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codeName="ThisWorkbook" defaultThemeVersion="124226"/>
  <mc:AlternateContent xmlns:mc="http://schemas.openxmlformats.org/markup-compatibility/2006">
    <mc:Choice Requires="x15">
      <x15ac:absPath xmlns:x15ac="http://schemas.microsoft.com/office/spreadsheetml/2010/11/ac" url="https://eea1-my.sharepoint.com/personal/javier_esparrago_eea_europa_eu/Documents/ETS/Art21/2023/Pre-filling/Beta data download/"/>
    </mc:Choice>
  </mc:AlternateContent>
  <xr:revisionPtr revIDLastSave="129" documentId="8_{E13085B7-851C-4092-B607-9EA103783F90}" xr6:coauthVersionLast="47" xr6:coauthVersionMax="47" xr10:uidLastSave="{09F642FD-A7D3-4660-B744-6263342A4327}"/>
  <bookViews>
    <workbookView xWindow="-108" yWindow="-108" windowWidth="23256" windowHeight="12576" tabRatio="776" activeTab="3" xr2:uid="{00000000-000D-0000-FFFF-FFFF00000000}"/>
  </bookViews>
  <sheets>
    <sheet name="Submission" sheetId="43" r:id="rId1"/>
    <sheet name="Instructions" sheetId="46" r:id="rId2"/>
    <sheet name="Explanatory note" sheetId="41" r:id="rId3"/>
    <sheet name="Q 1" sheetId="29" r:id="rId4"/>
    <sheet name="Q 2" sheetId="30" r:id="rId5"/>
    <sheet name="Q 3" sheetId="31" r:id="rId6"/>
    <sheet name="Q 4" sheetId="32" r:id="rId7"/>
    <sheet name="Q 5" sheetId="10" r:id="rId8"/>
    <sheet name="Q 6" sheetId="39" r:id="rId9"/>
    <sheet name="Q 7" sheetId="38" r:id="rId10"/>
    <sheet name="Q 8" sheetId="14" r:id="rId11"/>
    <sheet name="Q 9" sheetId="15" r:id="rId12"/>
    <sheet name="Q 10" sheetId="17" r:id="rId13"/>
    <sheet name="Q 11" sheetId="35" r:id="rId14"/>
    <sheet name="Q 12" sheetId="36" r:id="rId15"/>
    <sheet name="Q 13" sheetId="37" r:id="rId16"/>
    <sheet name="Lists and version log" sheetId="8" state="hidden" r:id="rId17"/>
  </sheets>
  <definedNames>
    <definedName name="_10.3a_col1">'Lists and version log'!$AK$3:$AK$14</definedName>
    <definedName name="_10.7a_col1">'Lists and version log'!$AL$3:$AL$14</definedName>
    <definedName name="_3.2_col1">'Lists and version log'!$G$2:$G$5</definedName>
    <definedName name="_5.09_col4">'Lists and version log'!$L$2:$L$12</definedName>
    <definedName name="_5.09_col5">'Lists and version log'!$M$2:$M$9</definedName>
    <definedName name="_5.10_col1">'Lists and version log'!$N$2:$N$4</definedName>
    <definedName name="_5.11_col2">'Lists and version log'!$O$2:$O$6</definedName>
    <definedName name="_5.11_col3">'Lists and version log'!$P$2:$P$12</definedName>
    <definedName name="_5.12_col1">'Lists and version log'!$Q$2:$Q$5</definedName>
    <definedName name="_5.12_col3">'Lists and version log'!$R$2:$R$5</definedName>
    <definedName name="_5.13_col1">'Lists and version log'!$S$2:$S$6</definedName>
    <definedName name="_5.17_col1">'Lists and version log'!$T$2:$T$4</definedName>
    <definedName name="_5.23_col1">'Lists and version log'!$U$2:$U$4</definedName>
    <definedName name="_5.3_col2">'Lists and version log'!$H$2:$H$4</definedName>
    <definedName name="_5.4_col1">'Lists and version log'!$C$2:$C$1048576</definedName>
    <definedName name="_5.6_col1">'Lists and version log'!$I$2:$I$32</definedName>
    <definedName name="_5.6_col2">'Lists and version log'!$J$2:$J$39</definedName>
    <definedName name="_5.7_col1">'Lists and version log'!$K$2:$K$6</definedName>
    <definedName name="_5.9_col3">'Lists and version log'!$L$2:$L$13</definedName>
    <definedName name="_5A.4_col1">'Lists and version log'!$C$2:$C$30</definedName>
    <definedName name="_6.10_col4_r3">'Lists and version log'!$AF$2:$AF$7</definedName>
    <definedName name="_6.1b_col1">'Lists and version log'!$V$2:$V$34</definedName>
    <definedName name="_6.3_col3">'Lists and version log'!$W$2:$W$8</definedName>
    <definedName name="_6.3_col6">'Lists and version log'!$X$2:$X$7</definedName>
    <definedName name="_6.4_col2">'Lists and version log'!$Y$2:$Y$6</definedName>
    <definedName name="_6.5_col3_r5">'Lists and version log'!$Z$2:$Z$7</definedName>
    <definedName name="_6.6_col1">'Lists and version log'!$AA$2:$AA$7</definedName>
    <definedName name="_6.7_col3">'Lists and version log'!$AB$2:$AB$4</definedName>
    <definedName name="_6.8_col3">'Lists and version log'!$AC$2:$AC$8</definedName>
    <definedName name="_6.8_col6">'Lists and version log'!$AD$2:$AD$7</definedName>
    <definedName name="_6.9_col1">'Lists and version log'!$AE$2:$AE$6</definedName>
    <definedName name="_8.13_col2">'Lists and version log'!$AH$2:$AH$6</definedName>
    <definedName name="_8.16_col3">'Lists and version log'!$AI$2:$AI$4</definedName>
    <definedName name="_8.18a_col1">'Lists and version log'!$AJ$3:$AJ$8</definedName>
    <definedName name="_8.9_col2">'Lists and version log'!$AG$2:$AG$6</definedName>
    <definedName name="_xlnm._FilterDatabase" localSheetId="16" hidden="1">'Lists and version log'!$J$2:$J$32</definedName>
    <definedName name="_xlnm._FilterDatabase" localSheetId="12" hidden="1">'Q 10'!$B$1:$B$219</definedName>
    <definedName name="_xlnm._FilterDatabase" localSheetId="13" hidden="1">'Q 11'!$B$1:$B$16</definedName>
    <definedName name="_xlnm._FilterDatabase" localSheetId="4" hidden="1">'Q 2'!$A$3:$I$3</definedName>
    <definedName name="_xlnm._FilterDatabase" localSheetId="5" hidden="1">'Q 3'!$B$1:$B$63</definedName>
    <definedName name="_xlnm._FilterDatabase" localSheetId="6" hidden="1">'Q 4'!$B$1:$B$27</definedName>
    <definedName name="_xlnm._FilterDatabase" localSheetId="7" hidden="1">'Q 5'!$B$1:$B$1508</definedName>
    <definedName name="_xlnm._FilterDatabase" localSheetId="8" hidden="1">'Q 6'!$B$1:$B$129</definedName>
    <definedName name="_xlnm._FilterDatabase" localSheetId="9" hidden="1">'Q 7'!$B$1:$B$68</definedName>
    <definedName name="_xlnm._FilterDatabase" localSheetId="10" hidden="1">'Q 8'!$B$1:$B$7</definedName>
    <definedName name="_Order1" hidden="1">255</definedName>
    <definedName name="_Order2" hidden="1">255</definedName>
    <definedName name="Annex_I">'Lists and version log'!$C$2:$C$31</definedName>
    <definedName name="H6.1">'Q 6'!$A$5</definedName>
    <definedName name="H6.10">'Q 6'!$A$348</definedName>
    <definedName name="H6.11">'Q 6'!$A$373</definedName>
    <definedName name="H6.12">'Q 6'!$A$377</definedName>
    <definedName name="H6.2">'Q 6'!$A$53</definedName>
    <definedName name="H6.3">'Q 6'!$A$76</definedName>
    <definedName name="H6.4">'Q 6'!$A$130</definedName>
    <definedName name="H6.5">'Q 6'!$A$226</definedName>
    <definedName name="H6.6">'Q 6'!$A$240</definedName>
    <definedName name="H6.7">'Q 6'!$A$270</definedName>
    <definedName name="H6.8">'Q 6'!$A$293</definedName>
    <definedName name="H6.9">'Q 6'!$A$328</definedName>
    <definedName name="H8.1">'Q 8'!$A$5</definedName>
    <definedName name="H8.10">'Q 8'!$A$137</definedName>
    <definedName name="H8.11">'Q 8'!$A$142</definedName>
    <definedName name="H8.12">'Q 8'!$A$147</definedName>
    <definedName name="H8.13">'Q 8'!$A$154</definedName>
    <definedName name="H8.14">'Q 8'!$A$240</definedName>
    <definedName name="H8.15">'Q 8'!$A$248</definedName>
    <definedName name="H8.16">'Q 8'!$A$258</definedName>
    <definedName name="H8.17">'Q 8'!$A$279</definedName>
    <definedName name="H8.18">'Q 8'!$A$293</definedName>
    <definedName name="H8.2">'Q 8'!$A$16</definedName>
    <definedName name="H8.3">'Q 8'!$A$28</definedName>
    <definedName name="H8.4">'Q 8'!$A$31</definedName>
    <definedName name="H8.5">'Q 8'!$A$37</definedName>
    <definedName name="H8.6">'Q 8'!$A$52</definedName>
    <definedName name="H8.7">'Q 8'!$A$65</definedName>
    <definedName name="H8.8">'Q 8'!$A$72</definedName>
    <definedName name="NextFreeRow">INDIRECT(INDIRECT("A1"))</definedName>
    <definedName name="Penalty_type">'Lists and version log'!$D$2:$D$5</definedName>
    <definedName name="Top">INDIRECT("B6:D6")</definedName>
    <definedName name="Yes_No">'Lists and version log'!$A$2:$A$5</definedName>
    <definedName name="Yes_No_Partially">'Lists and version log'!$B$2:$B$6</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980" i="43" l="1"/>
  <c r="O979" i="43"/>
  <c r="O978" i="43"/>
  <c r="O977" i="43"/>
  <c r="O976" i="43"/>
  <c r="O975" i="43"/>
  <c r="O974" i="43"/>
  <c r="O973" i="43"/>
  <c r="O972" i="43"/>
  <c r="O971" i="43"/>
  <c r="O970" i="43"/>
  <c r="O969" i="43"/>
  <c r="O968" i="43"/>
  <c r="O967" i="43"/>
  <c r="O966" i="43"/>
  <c r="O965" i="43"/>
  <c r="O964" i="43"/>
  <c r="O963" i="43"/>
  <c r="O962" i="43"/>
  <c r="O961" i="43"/>
  <c r="O960" i="43"/>
  <c r="O959" i="43"/>
  <c r="O958" i="43"/>
  <c r="O957" i="43"/>
  <c r="O956" i="43"/>
  <c r="O955" i="43"/>
  <c r="O954" i="43"/>
  <c r="O953" i="43"/>
  <c r="O952" i="43"/>
  <c r="O951" i="43"/>
  <c r="O950" i="43"/>
  <c r="O949" i="43"/>
  <c r="O948" i="43"/>
  <c r="O947" i="43"/>
  <c r="O946" i="43"/>
  <c r="O945" i="43"/>
  <c r="O944" i="43"/>
  <c r="O943" i="43"/>
  <c r="O942" i="43"/>
  <c r="O941" i="43"/>
  <c r="O940" i="43"/>
  <c r="O939" i="43"/>
  <c r="O938" i="43"/>
  <c r="O937" i="43"/>
  <c r="O936" i="43"/>
  <c r="O935" i="43"/>
  <c r="O934" i="43"/>
  <c r="O933" i="43"/>
  <c r="O932" i="43"/>
  <c r="O931" i="43"/>
  <c r="O930" i="43"/>
  <c r="O929" i="43"/>
  <c r="O928" i="43"/>
  <c r="O927" i="43"/>
  <c r="O926" i="43"/>
  <c r="O925" i="43"/>
  <c r="O924" i="43"/>
  <c r="O923" i="43"/>
  <c r="O922" i="43"/>
  <c r="O921" i="43"/>
  <c r="O920" i="43"/>
  <c r="O919" i="43"/>
  <c r="O918" i="43"/>
  <c r="O917" i="43"/>
  <c r="O916" i="43"/>
  <c r="O915" i="43"/>
  <c r="O914" i="43"/>
  <c r="O913" i="43"/>
  <c r="O912" i="43"/>
  <c r="O911" i="43"/>
  <c r="O910" i="43"/>
  <c r="O909" i="43"/>
  <c r="O908" i="43"/>
  <c r="O907" i="43"/>
  <c r="O906" i="43"/>
  <c r="O905" i="43"/>
  <c r="O904" i="43"/>
  <c r="O903" i="43"/>
  <c r="O902" i="43"/>
  <c r="O901" i="43"/>
  <c r="O900" i="43"/>
  <c r="O899" i="43"/>
  <c r="O898" i="43"/>
  <c r="O897" i="43"/>
  <c r="O896" i="43"/>
  <c r="O895" i="43"/>
  <c r="O894" i="43"/>
  <c r="O893" i="43"/>
  <c r="O892" i="43"/>
  <c r="O891" i="43"/>
  <c r="O890" i="43"/>
  <c r="O889" i="43"/>
  <c r="O888" i="43"/>
  <c r="O887" i="43"/>
  <c r="O886" i="43"/>
  <c r="O885" i="43"/>
  <c r="O884" i="43"/>
  <c r="O883" i="43"/>
  <c r="O882" i="43"/>
  <c r="O881" i="43"/>
  <c r="O880" i="43"/>
  <c r="O879" i="43"/>
  <c r="O878" i="43"/>
  <c r="O877" i="43"/>
  <c r="O876" i="43"/>
  <c r="O875" i="43"/>
  <c r="O874" i="43"/>
  <c r="O873" i="43"/>
  <c r="O872" i="43"/>
  <c r="O871" i="43"/>
  <c r="O870" i="43"/>
  <c r="O869" i="43"/>
  <c r="O868" i="43"/>
  <c r="O867" i="43"/>
  <c r="O866" i="43"/>
  <c r="O865" i="43"/>
  <c r="O864" i="43"/>
  <c r="O863" i="43"/>
  <c r="O862" i="43"/>
  <c r="O861" i="43"/>
  <c r="O860" i="43"/>
  <c r="O859" i="43"/>
  <c r="O858" i="43"/>
  <c r="O857" i="43"/>
  <c r="O856" i="43"/>
  <c r="O855" i="43"/>
  <c r="O854" i="43"/>
  <c r="O853" i="43"/>
  <c r="O852" i="43"/>
  <c r="O851" i="43"/>
  <c r="O850" i="43"/>
  <c r="O849" i="43"/>
  <c r="O848" i="43"/>
  <c r="O847" i="43"/>
  <c r="O846" i="43"/>
  <c r="O845" i="43"/>
  <c r="O844" i="43"/>
  <c r="O843" i="43"/>
  <c r="O842" i="43"/>
  <c r="O841" i="43"/>
  <c r="O840" i="43"/>
  <c r="O839" i="43"/>
  <c r="O838" i="43"/>
  <c r="O837" i="43"/>
  <c r="O836" i="43"/>
  <c r="O835" i="43"/>
  <c r="O834" i="43"/>
  <c r="O833" i="43"/>
  <c r="O832" i="43"/>
  <c r="O831" i="43"/>
  <c r="O830" i="43"/>
  <c r="O829" i="43"/>
  <c r="O828" i="43"/>
  <c r="O827" i="43"/>
  <c r="O826" i="43"/>
  <c r="O825" i="43"/>
  <c r="O824" i="43"/>
  <c r="O823" i="43"/>
  <c r="O822" i="43"/>
  <c r="O821" i="43"/>
  <c r="O820" i="43"/>
  <c r="O819" i="43"/>
  <c r="O818" i="43"/>
  <c r="O817" i="43"/>
  <c r="O816" i="43"/>
  <c r="O815" i="43"/>
  <c r="O814" i="43"/>
  <c r="O813" i="43"/>
  <c r="O812" i="43"/>
  <c r="O811" i="43"/>
  <c r="O810" i="43"/>
  <c r="O809" i="43"/>
  <c r="O808" i="43"/>
  <c r="O807" i="43"/>
  <c r="O806" i="43"/>
  <c r="O805" i="43"/>
  <c r="O804" i="43"/>
  <c r="O803" i="43"/>
  <c r="O802" i="43"/>
  <c r="O801" i="43"/>
  <c r="O800" i="43"/>
  <c r="O799" i="43"/>
  <c r="O798" i="43"/>
  <c r="O797" i="43"/>
  <c r="O796" i="43"/>
  <c r="O795" i="43"/>
  <c r="O794" i="43"/>
  <c r="O793" i="43"/>
  <c r="O792" i="43"/>
  <c r="O791" i="43"/>
  <c r="O790" i="43"/>
  <c r="O789" i="43"/>
  <c r="O788" i="43"/>
  <c r="O787" i="43"/>
  <c r="O786" i="43"/>
  <c r="O785" i="43"/>
  <c r="O784" i="43"/>
  <c r="O783" i="43"/>
  <c r="O782" i="43"/>
  <c r="O781" i="43"/>
  <c r="O780" i="43"/>
  <c r="O779" i="43"/>
  <c r="O778" i="43"/>
  <c r="O777" i="43"/>
  <c r="O776" i="43"/>
  <c r="O775" i="43"/>
  <c r="O774" i="43"/>
  <c r="O773" i="43"/>
  <c r="O772" i="43"/>
  <c r="O771" i="43"/>
  <c r="O770" i="43"/>
  <c r="O769" i="43"/>
  <c r="O768" i="43"/>
  <c r="O767" i="43"/>
  <c r="O766" i="43"/>
  <c r="O765" i="43"/>
  <c r="O764" i="43"/>
  <c r="O763" i="43"/>
  <c r="O762" i="43"/>
  <c r="O761" i="43"/>
  <c r="O760" i="43"/>
  <c r="O759" i="43"/>
  <c r="O758" i="43"/>
  <c r="O757" i="43"/>
  <c r="O756" i="43"/>
  <c r="O755" i="43"/>
  <c r="O754" i="43"/>
  <c r="O753" i="43"/>
  <c r="O752" i="43"/>
  <c r="O751" i="43"/>
  <c r="O750" i="43"/>
  <c r="O749" i="43"/>
  <c r="O748" i="43"/>
  <c r="O747" i="43"/>
  <c r="O746" i="43"/>
  <c r="O745" i="43"/>
  <c r="O744" i="43"/>
  <c r="O743" i="43"/>
  <c r="O742" i="43"/>
  <c r="O741" i="43"/>
  <c r="O740" i="43"/>
  <c r="O739" i="43"/>
  <c r="O738" i="43"/>
  <c r="O737" i="43"/>
  <c r="O736" i="43"/>
  <c r="O735" i="43"/>
  <c r="O734" i="43"/>
  <c r="O733" i="43"/>
  <c r="O732" i="43"/>
  <c r="O731" i="43"/>
  <c r="O730" i="43"/>
  <c r="O729" i="43"/>
  <c r="O728" i="43"/>
  <c r="O727" i="43"/>
  <c r="O726" i="43"/>
  <c r="O725" i="43"/>
  <c r="O724" i="43"/>
  <c r="O723" i="43"/>
  <c r="O722" i="43"/>
  <c r="O721" i="43"/>
  <c r="O720" i="43"/>
  <c r="O719" i="43"/>
  <c r="O718" i="43"/>
  <c r="O717" i="43"/>
  <c r="O716" i="43"/>
  <c r="O715" i="43"/>
  <c r="O714" i="43"/>
  <c r="O713" i="43"/>
  <c r="O712" i="43"/>
  <c r="O711" i="43"/>
  <c r="O710" i="43"/>
  <c r="O709" i="43"/>
  <c r="O708" i="43"/>
  <c r="O707" i="43"/>
  <c r="O706" i="43"/>
  <c r="O705" i="43"/>
  <c r="O704" i="43"/>
  <c r="O703" i="43"/>
  <c r="O702" i="43"/>
  <c r="O701" i="43"/>
  <c r="O700" i="43"/>
  <c r="O699" i="43"/>
  <c r="O698" i="43"/>
  <c r="O697" i="43"/>
  <c r="O696" i="43"/>
  <c r="O695" i="43"/>
  <c r="O694" i="43"/>
  <c r="O693" i="43"/>
  <c r="O692" i="43"/>
  <c r="O691" i="43"/>
  <c r="O690" i="43"/>
  <c r="O689" i="43"/>
  <c r="O688" i="43"/>
  <c r="O687" i="43"/>
  <c r="O686" i="43"/>
  <c r="O685" i="43"/>
  <c r="O684" i="43"/>
  <c r="O683" i="43"/>
  <c r="O682" i="43"/>
  <c r="O681" i="43"/>
  <c r="O680" i="43"/>
  <c r="O679" i="43"/>
  <c r="O678" i="43"/>
  <c r="O677" i="43"/>
  <c r="O676" i="43"/>
  <c r="O675" i="43"/>
  <c r="O674" i="43"/>
  <c r="O673" i="43"/>
  <c r="O672" i="43"/>
  <c r="O671" i="43"/>
  <c r="O670" i="43"/>
  <c r="O669" i="43"/>
  <c r="O668" i="43"/>
  <c r="O667" i="43"/>
  <c r="O666" i="43"/>
  <c r="O665" i="43"/>
  <c r="O664" i="43"/>
  <c r="O663" i="43"/>
  <c r="O662" i="43"/>
  <c r="O661" i="43"/>
  <c r="O660" i="43"/>
  <c r="O659" i="43"/>
  <c r="O658" i="43"/>
  <c r="O657" i="43"/>
  <c r="O656" i="43"/>
  <c r="O655" i="43"/>
  <c r="O654" i="43"/>
  <c r="O653" i="43"/>
  <c r="O652" i="43"/>
  <c r="O651" i="43"/>
  <c r="O650" i="43"/>
  <c r="O649" i="43"/>
  <c r="O648" i="43"/>
  <c r="O647" i="43"/>
  <c r="O646" i="43"/>
  <c r="O645" i="43"/>
  <c r="O644" i="43"/>
  <c r="O643" i="43"/>
  <c r="O642" i="43"/>
  <c r="O641" i="43"/>
  <c r="O640" i="43"/>
  <c r="O639" i="43"/>
  <c r="O638" i="43"/>
  <c r="O637" i="43"/>
  <c r="O636" i="43"/>
  <c r="O635" i="43"/>
  <c r="O634" i="43"/>
  <c r="O633" i="43"/>
  <c r="O632" i="43"/>
  <c r="O631" i="43"/>
  <c r="O630" i="43"/>
  <c r="O629" i="43"/>
  <c r="O628" i="43"/>
  <c r="O627" i="43"/>
  <c r="O626" i="43"/>
  <c r="O625" i="43"/>
  <c r="O624" i="43"/>
  <c r="O623" i="43"/>
  <c r="O622" i="43"/>
  <c r="O621" i="43"/>
  <c r="O620" i="43"/>
  <c r="O619" i="43"/>
  <c r="O618" i="43"/>
  <c r="O617" i="43"/>
  <c r="O616" i="43"/>
  <c r="O615" i="43"/>
  <c r="O614" i="43"/>
  <c r="O613" i="43"/>
  <c r="O612" i="43"/>
  <c r="O611" i="43"/>
  <c r="O610" i="43"/>
  <c r="O609" i="43"/>
  <c r="O608" i="43"/>
  <c r="O607" i="43"/>
  <c r="O606" i="43"/>
  <c r="O605" i="43"/>
  <c r="O604" i="43"/>
  <c r="O603" i="43"/>
  <c r="O602" i="43"/>
  <c r="O601" i="43"/>
  <c r="O600" i="43"/>
  <c r="O599" i="43"/>
  <c r="O598" i="43"/>
  <c r="O597" i="43"/>
  <c r="O596" i="43"/>
  <c r="O595" i="43"/>
  <c r="O594" i="43"/>
  <c r="O593" i="43"/>
  <c r="O592" i="43"/>
  <c r="O591" i="43"/>
  <c r="O590" i="43"/>
  <c r="O589" i="43"/>
  <c r="O588" i="43"/>
  <c r="O587" i="43"/>
  <c r="O586" i="43"/>
  <c r="O585" i="43"/>
  <c r="O584" i="43"/>
  <c r="O583" i="43"/>
  <c r="O582" i="43"/>
  <c r="O581" i="43"/>
  <c r="O580" i="43"/>
  <c r="O579" i="43"/>
  <c r="O578" i="43"/>
  <c r="O577" i="43"/>
  <c r="O576" i="43"/>
  <c r="O575" i="43"/>
  <c r="O574" i="43"/>
  <c r="O573" i="43"/>
  <c r="O572" i="43"/>
  <c r="O571" i="43"/>
  <c r="O570" i="43"/>
  <c r="O569" i="43"/>
  <c r="O568" i="43"/>
  <c r="O567" i="43"/>
  <c r="O566" i="43"/>
  <c r="O565" i="43"/>
  <c r="O564" i="43"/>
  <c r="O563" i="43"/>
  <c r="O562" i="43"/>
  <c r="O561" i="43"/>
  <c r="O560" i="43"/>
  <c r="O559" i="43"/>
  <c r="O558" i="43"/>
  <c r="O557" i="43"/>
  <c r="O556" i="43"/>
  <c r="O555" i="43"/>
  <c r="O554" i="43"/>
  <c r="O553" i="43"/>
  <c r="O552" i="43"/>
  <c r="O551" i="43"/>
  <c r="O550" i="43"/>
  <c r="O549" i="43"/>
  <c r="O548" i="43"/>
  <c r="O547" i="43"/>
  <c r="O546" i="43"/>
  <c r="O545" i="43"/>
  <c r="O544" i="43"/>
  <c r="O543" i="43"/>
  <c r="O542" i="43"/>
  <c r="O541" i="43"/>
  <c r="O540" i="43"/>
  <c r="O539" i="43"/>
  <c r="O538" i="43"/>
  <c r="O537" i="43"/>
  <c r="O536" i="43"/>
  <c r="O535" i="43"/>
  <c r="O534" i="43"/>
  <c r="O533" i="43"/>
  <c r="O532" i="43"/>
  <c r="O531" i="43"/>
  <c r="O530" i="43"/>
  <c r="O529" i="43"/>
  <c r="O528" i="43"/>
  <c r="O527" i="43"/>
  <c r="O526" i="43"/>
  <c r="O525" i="43"/>
  <c r="O524" i="43"/>
  <c r="O523" i="43"/>
  <c r="O522" i="43"/>
  <c r="O521" i="43"/>
  <c r="O520" i="43"/>
  <c r="O519" i="43"/>
  <c r="O518" i="43"/>
  <c r="O517" i="43"/>
  <c r="O516" i="43"/>
  <c r="O515" i="43"/>
  <c r="O514" i="43"/>
  <c r="O513" i="43"/>
  <c r="O512" i="43"/>
  <c r="O511" i="43"/>
  <c r="O510" i="43"/>
  <c r="O509" i="43"/>
  <c r="O508" i="43"/>
  <c r="O507" i="43"/>
  <c r="O506" i="43"/>
  <c r="O505" i="43"/>
  <c r="O504" i="43"/>
  <c r="O503" i="43"/>
  <c r="O502" i="43"/>
  <c r="O501" i="43"/>
  <c r="O500" i="43"/>
  <c r="O499" i="43"/>
  <c r="O498" i="43"/>
  <c r="O497" i="43"/>
  <c r="O496" i="43"/>
  <c r="O495" i="43"/>
  <c r="O494" i="43"/>
  <c r="O493" i="43"/>
  <c r="O492" i="43"/>
  <c r="O491" i="43"/>
  <c r="O490" i="43"/>
  <c r="O489" i="43"/>
  <c r="O488" i="43"/>
  <c r="O487" i="43"/>
  <c r="O486" i="43"/>
  <c r="O485" i="43"/>
  <c r="O484" i="43"/>
  <c r="O483" i="43"/>
  <c r="O482" i="43"/>
  <c r="O481" i="43"/>
  <c r="O480" i="43"/>
  <c r="O479" i="43"/>
  <c r="O478" i="43"/>
  <c r="O477" i="43"/>
  <c r="O476" i="43"/>
  <c r="O475" i="43"/>
  <c r="O474" i="43"/>
  <c r="O473" i="43"/>
  <c r="O472" i="43"/>
  <c r="O471" i="43"/>
  <c r="O470" i="43"/>
  <c r="O469" i="43"/>
  <c r="O468" i="43"/>
  <c r="O467" i="43"/>
  <c r="O466" i="43"/>
  <c r="O465" i="43"/>
  <c r="O464" i="43"/>
  <c r="O463" i="43"/>
  <c r="O462" i="43"/>
  <c r="O461" i="43"/>
  <c r="O460" i="43"/>
  <c r="O459" i="43"/>
  <c r="O458" i="43"/>
  <c r="O457" i="43"/>
  <c r="O456" i="43"/>
  <c r="O455" i="43"/>
  <c r="O454" i="43"/>
  <c r="O453" i="43"/>
  <c r="O452" i="43"/>
  <c r="O451" i="43"/>
  <c r="O450" i="43"/>
  <c r="O449" i="43"/>
  <c r="O448" i="43"/>
  <c r="O447" i="43"/>
  <c r="O446" i="43"/>
  <c r="O445" i="43"/>
  <c r="O444" i="43"/>
  <c r="O443" i="43"/>
  <c r="O442" i="43"/>
  <c r="O441" i="43"/>
  <c r="O440" i="43"/>
  <c r="O439" i="43"/>
  <c r="O438" i="43"/>
  <c r="O437" i="43"/>
  <c r="O436" i="43"/>
  <c r="O435" i="43"/>
  <c r="O434" i="43"/>
  <c r="O433" i="43"/>
  <c r="O432" i="43"/>
  <c r="O431" i="43"/>
  <c r="O430" i="43"/>
  <c r="O429" i="43"/>
  <c r="O428" i="43"/>
  <c r="O427" i="43"/>
  <c r="O426" i="43"/>
  <c r="O425" i="43"/>
  <c r="O424" i="43"/>
  <c r="O423" i="43"/>
  <c r="O422" i="43"/>
  <c r="O421" i="43"/>
  <c r="O420" i="43"/>
  <c r="O419" i="43"/>
  <c r="O418" i="43"/>
  <c r="O417" i="43"/>
  <c r="O416" i="43"/>
  <c r="O415" i="43"/>
  <c r="O414" i="43"/>
  <c r="O413" i="43"/>
  <c r="O412" i="43"/>
  <c r="O411" i="43"/>
  <c r="O410" i="43"/>
  <c r="O409" i="43"/>
  <c r="O408" i="43"/>
  <c r="O407" i="43"/>
  <c r="O406" i="43"/>
  <c r="O405" i="43"/>
  <c r="O404" i="43"/>
  <c r="O403" i="43"/>
  <c r="O402" i="43"/>
  <c r="O401" i="43"/>
  <c r="O400" i="43"/>
  <c r="O399" i="43"/>
  <c r="O398" i="43"/>
  <c r="O397" i="43"/>
  <c r="O396" i="43"/>
  <c r="O395" i="43"/>
  <c r="O394" i="43"/>
  <c r="O393" i="43"/>
  <c r="O392" i="43"/>
  <c r="O391" i="43"/>
  <c r="O390" i="43"/>
  <c r="O389" i="43"/>
  <c r="O388" i="43"/>
  <c r="O387" i="43"/>
  <c r="O386" i="43"/>
  <c r="O385" i="43"/>
  <c r="O384" i="43"/>
  <c r="O383" i="43"/>
  <c r="O382" i="43"/>
  <c r="O381" i="43"/>
  <c r="O380" i="43"/>
  <c r="O379" i="43"/>
  <c r="O378" i="43"/>
  <c r="O377" i="43"/>
  <c r="O376" i="43"/>
  <c r="O375" i="43"/>
  <c r="O374" i="43"/>
  <c r="O373" i="43"/>
  <c r="O372" i="43"/>
  <c r="O371" i="43"/>
  <c r="O370" i="43"/>
  <c r="O369" i="43"/>
  <c r="O368" i="43"/>
  <c r="O367" i="43"/>
  <c r="O366" i="43"/>
  <c r="O365" i="43"/>
  <c r="O364" i="43"/>
  <c r="O363" i="43"/>
  <c r="O362" i="43"/>
  <c r="O361" i="43"/>
  <c r="O360" i="43"/>
  <c r="O359" i="43"/>
  <c r="O358" i="43"/>
  <c r="O357" i="43"/>
  <c r="O356" i="43"/>
  <c r="O355" i="43"/>
  <c r="O354" i="43"/>
  <c r="O353" i="43"/>
  <c r="O352" i="43"/>
  <c r="O351" i="43"/>
  <c r="O350" i="43"/>
  <c r="O349" i="43"/>
  <c r="O348" i="43"/>
  <c r="O347" i="43"/>
  <c r="O346" i="43"/>
  <c r="O345" i="43"/>
  <c r="O344" i="43"/>
  <c r="O343" i="43"/>
  <c r="O342" i="43"/>
  <c r="O341" i="43"/>
  <c r="O340" i="43"/>
  <c r="O339" i="43"/>
  <c r="O338" i="43"/>
  <c r="O337" i="43"/>
  <c r="O336" i="43"/>
  <c r="O335" i="43"/>
  <c r="O334" i="43"/>
  <c r="O333" i="43"/>
  <c r="O332" i="43"/>
  <c r="O331" i="43"/>
  <c r="O330" i="43"/>
  <c r="O329" i="43"/>
  <c r="O328" i="43"/>
  <c r="O327" i="43"/>
  <c r="O326" i="43"/>
  <c r="O325" i="43"/>
  <c r="O324" i="43"/>
  <c r="O323" i="43"/>
  <c r="O322" i="43"/>
  <c r="O321" i="43"/>
  <c r="O320" i="43"/>
  <c r="O319" i="43"/>
  <c r="O318" i="43"/>
  <c r="O317" i="43"/>
  <c r="O316" i="43"/>
  <c r="O315" i="43"/>
  <c r="O314" i="43"/>
  <c r="O313" i="43"/>
  <c r="O312" i="43"/>
  <c r="O311" i="43"/>
  <c r="O310" i="43"/>
  <c r="O309" i="43"/>
  <c r="O308" i="43"/>
  <c r="O307" i="43"/>
  <c r="O306" i="43"/>
  <c r="O305" i="43"/>
  <c r="O304" i="43"/>
  <c r="O303" i="43"/>
  <c r="O302" i="43"/>
  <c r="O301" i="43"/>
  <c r="O300" i="43"/>
  <c r="O299" i="43"/>
  <c r="O298" i="43"/>
  <c r="O297" i="43"/>
  <c r="O296" i="43"/>
  <c r="O295" i="43"/>
  <c r="O294" i="43"/>
  <c r="O293" i="43"/>
  <c r="O292" i="43"/>
  <c r="O291" i="43"/>
  <c r="O290" i="43"/>
  <c r="O289" i="43"/>
  <c r="O288" i="43"/>
  <c r="O287" i="43"/>
  <c r="O286" i="43"/>
  <c r="O285" i="43"/>
  <c r="O284" i="43"/>
  <c r="O283" i="43"/>
  <c r="O282" i="43"/>
  <c r="O281" i="43"/>
  <c r="O280" i="43"/>
  <c r="O279" i="43"/>
  <c r="O278" i="43"/>
  <c r="O277" i="43"/>
  <c r="O276" i="43"/>
  <c r="O275" i="43"/>
  <c r="O274" i="43"/>
  <c r="O273" i="43"/>
  <c r="O272" i="43"/>
  <c r="O271" i="43"/>
  <c r="O270" i="43"/>
  <c r="O269" i="43"/>
  <c r="O268" i="43"/>
  <c r="O267" i="43"/>
  <c r="O266" i="43"/>
  <c r="O265" i="43"/>
  <c r="O264" i="43"/>
  <c r="O263" i="43"/>
  <c r="O262" i="43"/>
  <c r="O261" i="43"/>
  <c r="O260" i="43"/>
  <c r="O259" i="43"/>
  <c r="O258" i="43"/>
  <c r="O257" i="43"/>
  <c r="O256" i="43"/>
  <c r="O255" i="43"/>
  <c r="O254" i="43"/>
  <c r="O253" i="43"/>
  <c r="O252" i="43"/>
  <c r="O251" i="43"/>
  <c r="O250" i="43"/>
  <c r="O249" i="43"/>
  <c r="O248" i="43"/>
  <c r="O247" i="43"/>
  <c r="O246" i="43"/>
  <c r="O245" i="43"/>
  <c r="O244" i="43"/>
  <c r="O243" i="43"/>
  <c r="O242" i="43"/>
  <c r="O241" i="43"/>
  <c r="O240" i="43"/>
  <c r="O239" i="43"/>
  <c r="O238" i="43"/>
  <c r="O237" i="43"/>
  <c r="O236" i="43"/>
  <c r="O235" i="43"/>
  <c r="O234" i="43"/>
  <c r="O233" i="43"/>
  <c r="O232" i="43"/>
  <c r="O231" i="43"/>
  <c r="O230" i="43"/>
  <c r="O229" i="43"/>
  <c r="O228" i="43"/>
  <c r="O227" i="43"/>
  <c r="O226" i="43"/>
  <c r="O225" i="43"/>
  <c r="O224" i="43"/>
  <c r="O223" i="43"/>
  <c r="O222" i="43"/>
  <c r="O221" i="43"/>
  <c r="O220" i="43"/>
  <c r="O219" i="43"/>
  <c r="O218" i="43"/>
  <c r="O217" i="43"/>
  <c r="O216" i="43"/>
  <c r="O215" i="43"/>
  <c r="O214" i="43"/>
  <c r="O213" i="43"/>
  <c r="O212" i="43"/>
  <c r="O211" i="43"/>
  <c r="O210" i="43"/>
  <c r="O209" i="43"/>
  <c r="O208" i="43"/>
  <c r="O207" i="43"/>
  <c r="O206" i="43"/>
  <c r="O205" i="43"/>
  <c r="O204" i="43"/>
  <c r="O203" i="43"/>
  <c r="O202" i="43"/>
  <c r="O201" i="43"/>
  <c r="O200" i="43"/>
  <c r="O199" i="43"/>
  <c r="O198" i="43"/>
  <c r="O197" i="43"/>
  <c r="O196" i="43"/>
  <c r="O195" i="43"/>
  <c r="O194" i="43"/>
  <c r="O193" i="43"/>
  <c r="O192" i="43"/>
  <c r="O191" i="43"/>
  <c r="O190" i="43"/>
  <c r="O189" i="43"/>
  <c r="O188" i="43"/>
  <c r="O187" i="43"/>
  <c r="O186" i="43"/>
  <c r="O185" i="43"/>
  <c r="O184" i="43"/>
  <c r="O183" i="43"/>
  <c r="O182" i="43"/>
  <c r="O181" i="43"/>
  <c r="O180" i="43"/>
  <c r="O179" i="43"/>
  <c r="O178" i="43"/>
  <c r="O177" i="43"/>
  <c r="O176" i="43"/>
  <c r="O175" i="43"/>
  <c r="O174" i="43"/>
  <c r="O173" i="43"/>
  <c r="O172" i="43"/>
  <c r="O171" i="43"/>
  <c r="O170" i="43"/>
  <c r="O169" i="43"/>
  <c r="O168" i="43"/>
  <c r="O167" i="43"/>
  <c r="O166" i="43"/>
  <c r="O165" i="43"/>
  <c r="O164" i="43"/>
  <c r="O163" i="43"/>
  <c r="O162" i="43"/>
  <c r="O161" i="43"/>
  <c r="O160" i="43"/>
  <c r="O159" i="43"/>
  <c r="O158" i="43"/>
  <c r="O157" i="43"/>
  <c r="O156" i="43"/>
  <c r="O155" i="43"/>
  <c r="O154" i="43"/>
  <c r="O153" i="43"/>
  <c r="O152" i="43"/>
  <c r="O151" i="43"/>
  <c r="O150" i="43"/>
  <c r="O149" i="43"/>
  <c r="O148" i="43"/>
  <c r="O147" i="43"/>
  <c r="O146" i="43"/>
  <c r="O145" i="43"/>
  <c r="O144" i="43"/>
  <c r="O143" i="43"/>
  <c r="O142" i="43"/>
  <c r="O141" i="43"/>
  <c r="O140" i="43"/>
  <c r="O139" i="43"/>
  <c r="O138" i="43"/>
  <c r="O137" i="43"/>
  <c r="O136" i="43"/>
  <c r="O135" i="43"/>
  <c r="O134" i="43"/>
  <c r="O133" i="43"/>
  <c r="O132" i="43"/>
  <c r="O131" i="43"/>
  <c r="O130" i="43"/>
  <c r="O129" i="43"/>
  <c r="O128" i="43"/>
  <c r="O127" i="43"/>
  <c r="O126" i="43"/>
  <c r="O125" i="43"/>
  <c r="O124" i="43"/>
  <c r="O123" i="43"/>
  <c r="O122" i="43"/>
  <c r="O121" i="43"/>
  <c r="O120" i="43"/>
  <c r="O119" i="43"/>
  <c r="O118" i="43"/>
  <c r="O117" i="43"/>
  <c r="O116" i="43"/>
  <c r="O115" i="43"/>
  <c r="O114" i="43"/>
  <c r="O113" i="43"/>
  <c r="O112" i="43"/>
  <c r="O111" i="43"/>
  <c r="O110" i="43"/>
  <c r="O109" i="43"/>
  <c r="O108" i="43"/>
  <c r="O107" i="43"/>
  <c r="O106" i="43"/>
  <c r="O105" i="43"/>
  <c r="O104" i="43"/>
  <c r="O103" i="43"/>
  <c r="O102" i="43"/>
  <c r="O101" i="43"/>
  <c r="O100" i="43"/>
  <c r="O99" i="43"/>
  <c r="O98" i="43"/>
  <c r="O97" i="43"/>
  <c r="O96" i="43"/>
  <c r="O95" i="43"/>
  <c r="O94" i="43"/>
  <c r="O93" i="43"/>
  <c r="O92" i="43"/>
  <c r="O91" i="43"/>
  <c r="O90" i="43"/>
  <c r="O89" i="43"/>
  <c r="O88" i="43"/>
  <c r="O87" i="43"/>
  <c r="O86" i="43"/>
  <c r="O85" i="43"/>
  <c r="O84" i="43"/>
  <c r="O83" i="43"/>
  <c r="O82" i="43"/>
  <c r="O81" i="43"/>
  <c r="O80" i="43"/>
  <c r="O79" i="43"/>
  <c r="O78" i="43"/>
  <c r="O77" i="43"/>
  <c r="O76" i="43"/>
  <c r="O75" i="43"/>
  <c r="O74" i="43"/>
  <c r="O73" i="43"/>
  <c r="O72" i="43"/>
  <c r="O71" i="43"/>
  <c r="O70" i="43"/>
  <c r="O69" i="43"/>
  <c r="O68" i="43"/>
  <c r="O67" i="43"/>
  <c r="O66" i="43"/>
  <c r="O65" i="43"/>
  <c r="O64" i="43"/>
  <c r="O63" i="43"/>
  <c r="O62" i="43"/>
  <c r="O61" i="43"/>
  <c r="O60" i="43"/>
  <c r="O59" i="43"/>
  <c r="O58" i="43"/>
  <c r="O57" i="43"/>
  <c r="O56" i="43"/>
  <c r="O55" i="43"/>
  <c r="O54" i="43"/>
  <c r="O53" i="43"/>
  <c r="O52" i="43"/>
  <c r="O51" i="43"/>
  <c r="O50" i="43"/>
  <c r="O49" i="43"/>
  <c r="O48" i="43"/>
  <c r="O47" i="43"/>
  <c r="O46" i="43"/>
  <c r="O45" i="43"/>
  <c r="O44" i="43"/>
  <c r="O43" i="43"/>
  <c r="O42" i="43"/>
  <c r="O41" i="43"/>
  <c r="O40" i="43"/>
  <c r="O39" i="43"/>
  <c r="O38" i="43"/>
  <c r="O37" i="43"/>
  <c r="O36" i="43"/>
  <c r="O35" i="43"/>
  <c r="O34" i="43"/>
  <c r="O33" i="43"/>
  <c r="O32" i="43"/>
  <c r="O31" i="43"/>
  <c r="O30" i="43"/>
  <c r="O29" i="43"/>
  <c r="O28" i="43"/>
  <c r="O27" i="43"/>
  <c r="O26" i="43"/>
  <c r="O25" i="43"/>
  <c r="O24" i="43"/>
  <c r="O23" i="43"/>
  <c r="O22" i="43"/>
  <c r="O21" i="43"/>
  <c r="O20" i="43"/>
  <c r="O19" i="43"/>
  <c r="O18" i="43"/>
  <c r="O17" i="43"/>
  <c r="O16" i="43"/>
  <c r="O15" i="43"/>
  <c r="O14" i="43"/>
  <c r="O13" i="43"/>
  <c r="O12" i="43"/>
  <c r="O11" i="43"/>
  <c r="O10" i="43"/>
  <c r="O9" i="43"/>
  <c r="O8" i="43"/>
  <c r="O7" i="43"/>
  <c r="O6" i="43"/>
  <c r="O5" i="43"/>
  <c r="O4" i="43"/>
  <c r="E11" i="29" s="1"/>
  <c r="O3" i="43"/>
  <c r="O2" i="43"/>
  <c r="AR2" i="8" l="1" a="1"/>
  <c r="AR2" i="8" s="1"/>
  <c r="AQ2" i="8" a="1"/>
  <c r="AQ2" i="8" s="1"/>
  <c r="AV2" i="8" a="1"/>
  <c r="AV2" i="8" s="1"/>
  <c r="AU2" i="8" a="1"/>
  <c r="AU2" i="8" s="1"/>
  <c r="G10" i="39" l="1"/>
  <c r="E156" i="10"/>
  <c r="E9" i="29"/>
  <c r="I7" i="30"/>
  <c r="C9" i="30"/>
  <c r="D10" i="30"/>
  <c r="E11" i="30"/>
  <c r="F12" i="30"/>
  <c r="G13" i="30"/>
  <c r="H14" i="30"/>
  <c r="I15" i="30"/>
  <c r="C17" i="30"/>
  <c r="D18" i="30"/>
  <c r="E19" i="30"/>
  <c r="F20" i="30"/>
  <c r="G21" i="30"/>
  <c r="H22" i="30"/>
  <c r="I23" i="30"/>
  <c r="C25" i="30"/>
  <c r="D26" i="30"/>
  <c r="E27" i="30"/>
  <c r="F28" i="30"/>
  <c r="G39" i="30"/>
  <c r="C49" i="30"/>
  <c r="F57" i="30"/>
  <c r="F62" i="30"/>
  <c r="D67" i="30"/>
  <c r="H69" i="30"/>
  <c r="G87" i="30"/>
  <c r="G91" i="30"/>
  <c r="F95" i="30"/>
  <c r="F103" i="30"/>
  <c r="G7" i="31"/>
  <c r="H18" i="31"/>
  <c r="H26" i="31"/>
  <c r="H34" i="31"/>
  <c r="H42" i="31"/>
  <c r="C53" i="31"/>
  <c r="G65" i="31"/>
  <c r="G9" i="32"/>
  <c r="G13" i="32"/>
  <c r="G21" i="32"/>
  <c r="I6" i="10"/>
  <c r="G18" i="10"/>
  <c r="G22" i="10"/>
  <c r="H30" i="10"/>
  <c r="H37" i="10"/>
  <c r="F54" i="10"/>
  <c r="F58" i="10"/>
  <c r="F62" i="10"/>
  <c r="G69" i="10"/>
  <c r="C71" i="10"/>
  <c r="H72" i="10"/>
  <c r="E74" i="10"/>
  <c r="I75" i="10"/>
  <c r="G77" i="10"/>
  <c r="C79" i="10"/>
  <c r="H80" i="10"/>
  <c r="E82" i="10"/>
  <c r="I83" i="10"/>
  <c r="G85" i="10"/>
  <c r="C87" i="10"/>
  <c r="H88" i="10"/>
  <c r="E90" i="10"/>
  <c r="I91" i="10"/>
  <c r="G93" i="10"/>
  <c r="C95" i="10"/>
  <c r="H96" i="10"/>
  <c r="E98" i="10"/>
  <c r="I99" i="10"/>
  <c r="G101" i="10"/>
  <c r="C103" i="10"/>
  <c r="H104" i="10"/>
  <c r="E106" i="10"/>
  <c r="I107" i="10"/>
  <c r="H109" i="10"/>
  <c r="C112" i="10"/>
  <c r="C115" i="10"/>
  <c r="E118" i="10"/>
  <c r="G121" i="10"/>
  <c r="H124" i="10"/>
  <c r="I127" i="10"/>
  <c r="C131" i="10"/>
  <c r="E134" i="10"/>
  <c r="G137" i="10"/>
  <c r="H140" i="10"/>
  <c r="I143" i="10"/>
  <c r="C147" i="10"/>
  <c r="E150" i="10"/>
  <c r="G153" i="10"/>
  <c r="E10" i="29"/>
  <c r="C8" i="30"/>
  <c r="D9" i="30"/>
  <c r="E10" i="30"/>
  <c r="F11" i="30"/>
  <c r="G12" i="30"/>
  <c r="H13" i="30"/>
  <c r="I14" i="30"/>
  <c r="C16" i="30"/>
  <c r="D17" i="30"/>
  <c r="E18" i="30"/>
  <c r="F19" i="30"/>
  <c r="G20" i="30"/>
  <c r="H21" i="30"/>
  <c r="I22" i="30"/>
  <c r="C24" i="30"/>
  <c r="D25" i="30"/>
  <c r="E26" i="30"/>
  <c r="F27" i="30"/>
  <c r="G28" i="30"/>
  <c r="H39" i="30"/>
  <c r="E49" i="30"/>
  <c r="H58" i="30"/>
  <c r="H62" i="30"/>
  <c r="F67" i="30"/>
  <c r="D70" i="30"/>
  <c r="H87" i="30"/>
  <c r="H91" i="30"/>
  <c r="H95" i="30"/>
  <c r="H103" i="30"/>
  <c r="G8" i="31"/>
  <c r="H19" i="31"/>
  <c r="H27" i="31"/>
  <c r="H35" i="31"/>
  <c r="I45" i="31"/>
  <c r="F53" i="31"/>
  <c r="H65" i="31"/>
  <c r="H9" i="32"/>
  <c r="H13" i="32"/>
  <c r="G22" i="32"/>
  <c r="C8" i="10"/>
  <c r="H18" i="10"/>
  <c r="H22" i="10"/>
  <c r="F31" i="10"/>
  <c r="F38" i="10"/>
  <c r="H54" i="10"/>
  <c r="H58" i="10"/>
  <c r="H62" i="10"/>
  <c r="H69" i="10"/>
  <c r="E71" i="10"/>
  <c r="I72" i="10"/>
  <c r="G74" i="10"/>
  <c r="C76" i="10"/>
  <c r="H77" i="10"/>
  <c r="E79" i="10"/>
  <c r="I80" i="10"/>
  <c r="G82" i="10"/>
  <c r="C84" i="10"/>
  <c r="H85" i="10"/>
  <c r="E87" i="10"/>
  <c r="I88" i="10"/>
  <c r="G90" i="10"/>
  <c r="C92" i="10"/>
  <c r="H93" i="10"/>
  <c r="E95" i="10"/>
  <c r="I96" i="10"/>
  <c r="G98" i="10"/>
  <c r="C100" i="10"/>
  <c r="H101" i="10"/>
  <c r="E103" i="10"/>
  <c r="I104" i="10"/>
  <c r="G106" i="10"/>
  <c r="C108" i="10"/>
  <c r="I109" i="10"/>
  <c r="G112" i="10"/>
  <c r="E115" i="10"/>
  <c r="G118" i="10"/>
  <c r="H121" i="10"/>
  <c r="I124" i="10"/>
  <c r="C128" i="10"/>
  <c r="E131" i="10"/>
  <c r="G134" i="10"/>
  <c r="H137" i="10"/>
  <c r="I140" i="10"/>
  <c r="C144" i="10"/>
  <c r="E147" i="10"/>
  <c r="G150" i="10"/>
  <c r="H153" i="10"/>
  <c r="C7" i="30"/>
  <c r="D8" i="30"/>
  <c r="E9" i="30"/>
  <c r="F10" i="30"/>
  <c r="G11" i="30"/>
  <c r="H12" i="30"/>
  <c r="I13" i="30"/>
  <c r="C15" i="30"/>
  <c r="D16" i="30"/>
  <c r="E17" i="30"/>
  <c r="F18" i="30"/>
  <c r="G19" i="30"/>
  <c r="H20" i="30"/>
  <c r="I21" i="30"/>
  <c r="C23" i="30"/>
  <c r="D24" i="30"/>
  <c r="E25" i="30"/>
  <c r="F26" i="30"/>
  <c r="G27" i="30"/>
  <c r="H28" i="30"/>
  <c r="I41" i="30"/>
  <c r="F49" i="30"/>
  <c r="F59" i="30"/>
  <c r="F63" i="30"/>
  <c r="H67" i="30"/>
  <c r="F70" i="30"/>
  <c r="G88" i="30"/>
  <c r="F92" i="30"/>
  <c r="G100" i="30"/>
  <c r="F104" i="30"/>
  <c r="G9" i="31"/>
  <c r="H20" i="31"/>
  <c r="H28" i="31"/>
  <c r="H36" i="31"/>
  <c r="C51" i="31"/>
  <c r="H53" i="31"/>
  <c r="I65" i="31"/>
  <c r="G10" i="32"/>
  <c r="G14" i="32"/>
  <c r="G23" i="32"/>
  <c r="I10" i="10"/>
  <c r="G19" i="10"/>
  <c r="I25" i="10"/>
  <c r="H31" i="10"/>
  <c r="H38" i="10"/>
  <c r="F55" i="10"/>
  <c r="F59" i="10"/>
  <c r="F63" i="10"/>
  <c r="I69" i="10"/>
  <c r="G71" i="10"/>
  <c r="C73" i="10"/>
  <c r="H74" i="10"/>
  <c r="E76" i="10"/>
  <c r="I77" i="10"/>
  <c r="G79" i="10"/>
  <c r="C81" i="10"/>
  <c r="H82" i="10"/>
  <c r="E84" i="10"/>
  <c r="I85" i="10"/>
  <c r="G87" i="10"/>
  <c r="C89" i="10"/>
  <c r="H90" i="10"/>
  <c r="E92" i="10"/>
  <c r="I93" i="10"/>
  <c r="G95" i="10"/>
  <c r="C97" i="10"/>
  <c r="H98" i="10"/>
  <c r="E100" i="10"/>
  <c r="I101" i="10"/>
  <c r="G103" i="10"/>
  <c r="C105" i="10"/>
  <c r="H106" i="10"/>
  <c r="E108" i="10"/>
  <c r="E110" i="10"/>
  <c r="I112" i="10"/>
  <c r="C116" i="10"/>
  <c r="E119" i="10"/>
  <c r="G122" i="10"/>
  <c r="H125" i="10"/>
  <c r="I128" i="10"/>
  <c r="C132" i="10"/>
  <c r="E135" i="10"/>
  <c r="G138" i="10"/>
  <c r="H141" i="10"/>
  <c r="I144" i="10"/>
  <c r="C148" i="10"/>
  <c r="E151" i="10"/>
  <c r="H154" i="10"/>
  <c r="D7" i="30"/>
  <c r="E8" i="30"/>
  <c r="F9" i="30"/>
  <c r="G10" i="30"/>
  <c r="H11" i="30"/>
  <c r="I12" i="30"/>
  <c r="C14" i="30"/>
  <c r="D15" i="30"/>
  <c r="E16" i="30"/>
  <c r="F17" i="30"/>
  <c r="G18" i="30"/>
  <c r="H19" i="30"/>
  <c r="I20" i="30"/>
  <c r="C22" i="30"/>
  <c r="D23" i="30"/>
  <c r="E24" i="30"/>
  <c r="F25" i="30"/>
  <c r="G26" i="30"/>
  <c r="H27" i="30"/>
  <c r="I28" i="30"/>
  <c r="C45" i="30"/>
  <c r="G49" i="30"/>
  <c r="H59" i="30"/>
  <c r="H63" i="30"/>
  <c r="D68" i="30"/>
  <c r="H70" i="30"/>
  <c r="H88" i="30"/>
  <c r="H92" i="30"/>
  <c r="H100" i="30"/>
  <c r="H104" i="30"/>
  <c r="G10" i="31"/>
  <c r="H21" i="31"/>
  <c r="H29" i="31"/>
  <c r="H37" i="31"/>
  <c r="F51" i="31"/>
  <c r="F58" i="31"/>
  <c r="G66" i="31"/>
  <c r="H10" i="32"/>
  <c r="H14" i="32"/>
  <c r="G24" i="32"/>
  <c r="C12" i="10"/>
  <c r="H19" i="10"/>
  <c r="F28" i="10"/>
  <c r="F35" i="10"/>
  <c r="C42" i="10"/>
  <c r="H55" i="10"/>
  <c r="H59" i="10"/>
  <c r="H63" i="10"/>
  <c r="C70" i="10"/>
  <c r="H71" i="10"/>
  <c r="E73" i="10"/>
  <c r="I74" i="10"/>
  <c r="G76" i="10"/>
  <c r="C78" i="10"/>
  <c r="H79" i="10"/>
  <c r="E81" i="10"/>
  <c r="I82" i="10"/>
  <c r="G84" i="10"/>
  <c r="C86" i="10"/>
  <c r="H87" i="10"/>
  <c r="E89" i="10"/>
  <c r="I90" i="10"/>
  <c r="G92" i="10"/>
  <c r="C94" i="10"/>
  <c r="H95" i="10"/>
  <c r="E97" i="10"/>
  <c r="I98" i="10"/>
  <c r="G100" i="10"/>
  <c r="C102" i="10"/>
  <c r="H103" i="10"/>
  <c r="E105" i="10"/>
  <c r="I106" i="10"/>
  <c r="G108" i="10"/>
  <c r="G110" i="10"/>
  <c r="C113" i="10"/>
  <c r="E116" i="10"/>
  <c r="G119" i="10"/>
  <c r="H122" i="10"/>
  <c r="I125" i="10"/>
  <c r="C129" i="10"/>
  <c r="E132" i="10"/>
  <c r="G135" i="10"/>
  <c r="H138" i="10"/>
  <c r="I141" i="10"/>
  <c r="C145" i="10"/>
  <c r="E148" i="10"/>
  <c r="G151" i="10"/>
  <c r="C155" i="10"/>
  <c r="E7" i="30"/>
  <c r="F8" i="30"/>
  <c r="G9" i="30"/>
  <c r="H10" i="30"/>
  <c r="I11" i="30"/>
  <c r="C13" i="30"/>
  <c r="D14" i="30"/>
  <c r="E15" i="30"/>
  <c r="F16" i="30"/>
  <c r="G17" i="30"/>
  <c r="H18" i="30"/>
  <c r="I19" i="30"/>
  <c r="C21" i="30"/>
  <c r="D22" i="30"/>
  <c r="E23" i="30"/>
  <c r="F24" i="30"/>
  <c r="G25" i="30"/>
  <c r="H26" i="30"/>
  <c r="I27" i="30"/>
  <c r="I34" i="30"/>
  <c r="E45" i="30"/>
  <c r="H49" i="30"/>
  <c r="F60" i="30"/>
  <c r="F64" i="30"/>
  <c r="F68" i="30"/>
  <c r="C82" i="30"/>
  <c r="G89" i="30"/>
  <c r="F93" i="30"/>
  <c r="G101" i="30"/>
  <c r="F105" i="30"/>
  <c r="G11" i="31"/>
  <c r="H22" i="31"/>
  <c r="H30" i="31"/>
  <c r="H38" i="31"/>
  <c r="H51" i="31"/>
  <c r="F59" i="31"/>
  <c r="H66" i="31"/>
  <c r="G11" i="32"/>
  <c r="G15" i="32"/>
  <c r="G25" i="32"/>
  <c r="G16" i="10"/>
  <c r="G20" i="10"/>
  <c r="H28" i="10"/>
  <c r="H35" i="10"/>
  <c r="I45" i="10"/>
  <c r="F56" i="10"/>
  <c r="F60" i="10"/>
  <c r="F64" i="10"/>
  <c r="E70" i="10"/>
  <c r="I71" i="10"/>
  <c r="G73" i="10"/>
  <c r="C75" i="10"/>
  <c r="H76" i="10"/>
  <c r="E78" i="10"/>
  <c r="I79" i="10"/>
  <c r="G81" i="10"/>
  <c r="C83" i="10"/>
  <c r="H84" i="10"/>
  <c r="E86" i="10"/>
  <c r="I87" i="10"/>
  <c r="G89" i="10"/>
  <c r="C91" i="10"/>
  <c r="H92" i="10"/>
  <c r="E94" i="10"/>
  <c r="I95" i="10"/>
  <c r="G97" i="10"/>
  <c r="C99" i="10"/>
  <c r="H100" i="10"/>
  <c r="E102" i="10"/>
  <c r="I103" i="10"/>
  <c r="G105" i="10"/>
  <c r="C107" i="10"/>
  <c r="H108" i="10"/>
  <c r="I110" i="10"/>
  <c r="G113" i="10"/>
  <c r="H116" i="10"/>
  <c r="I119" i="10"/>
  <c r="C123" i="10"/>
  <c r="E126" i="10"/>
  <c r="G129" i="10"/>
  <c r="H132" i="10"/>
  <c r="I135" i="10"/>
  <c r="C139" i="10"/>
  <c r="E142" i="10"/>
  <c r="G145" i="10"/>
  <c r="H148" i="10"/>
  <c r="I151" i="10"/>
  <c r="E155" i="10"/>
  <c r="F7" i="30"/>
  <c r="G8" i="30"/>
  <c r="H9" i="30"/>
  <c r="I10" i="30"/>
  <c r="C12" i="30"/>
  <c r="D13" i="30"/>
  <c r="E14" i="30"/>
  <c r="F15" i="30"/>
  <c r="G16" i="30"/>
  <c r="H17" i="30"/>
  <c r="I18" i="30"/>
  <c r="C20" i="30"/>
  <c r="D21" i="30"/>
  <c r="E22" i="30"/>
  <c r="F23" i="30"/>
  <c r="G24" i="30"/>
  <c r="H25" i="30"/>
  <c r="I26" i="30"/>
  <c r="C28" i="30"/>
  <c r="C39" i="30"/>
  <c r="F45" i="30"/>
  <c r="F54" i="30"/>
  <c r="H60" i="30"/>
  <c r="H64" i="30"/>
  <c r="H68" i="30"/>
  <c r="G82" i="30"/>
  <c r="H89" i="30"/>
  <c r="H93" i="30"/>
  <c r="H101" i="30"/>
  <c r="H105" i="30"/>
  <c r="H15" i="31"/>
  <c r="H23" i="31"/>
  <c r="H31" i="31"/>
  <c r="H39" i="31"/>
  <c r="C52" i="31"/>
  <c r="G64" i="31"/>
  <c r="I66" i="31"/>
  <c r="H11" i="32"/>
  <c r="H15" i="32"/>
  <c r="G26" i="32"/>
  <c r="H16" i="10"/>
  <c r="H20" i="10"/>
  <c r="F29" i="10"/>
  <c r="F36" i="10"/>
  <c r="C47" i="10"/>
  <c r="H56" i="10"/>
  <c r="H60" i="10"/>
  <c r="H64" i="10"/>
  <c r="G70" i="10"/>
  <c r="C72" i="10"/>
  <c r="H73" i="10"/>
  <c r="E75" i="10"/>
  <c r="I76" i="10"/>
  <c r="G78" i="10"/>
  <c r="C80" i="10"/>
  <c r="H81" i="10"/>
  <c r="E83" i="10"/>
  <c r="I84" i="10"/>
  <c r="G86" i="10"/>
  <c r="C88" i="10"/>
  <c r="H89" i="10"/>
  <c r="E91" i="10"/>
  <c r="I92" i="10"/>
  <c r="G94" i="10"/>
  <c r="C96" i="10"/>
  <c r="H97" i="10"/>
  <c r="E99" i="10"/>
  <c r="I100" i="10"/>
  <c r="G102" i="10"/>
  <c r="C104" i="10"/>
  <c r="H105" i="10"/>
  <c r="E107" i="10"/>
  <c r="I108" i="10"/>
  <c r="E111" i="10"/>
  <c r="H113" i="10"/>
  <c r="I116" i="10"/>
  <c r="C120" i="10"/>
  <c r="E123" i="10"/>
  <c r="G126" i="10"/>
  <c r="H129" i="10"/>
  <c r="I132" i="10"/>
  <c r="C136" i="10"/>
  <c r="E139" i="10"/>
  <c r="G142" i="10"/>
  <c r="H145" i="10"/>
  <c r="I148" i="10"/>
  <c r="C152" i="10"/>
  <c r="E6" i="29"/>
  <c r="E90" i="37"/>
  <c r="E86" i="37"/>
  <c r="E82" i="37"/>
  <c r="E78" i="37"/>
  <c r="E74" i="37"/>
  <c r="E70" i="37"/>
  <c r="E66" i="37"/>
  <c r="E62" i="37"/>
  <c r="E58" i="37"/>
  <c r="E54" i="37"/>
  <c r="E50" i="37"/>
  <c r="E46" i="37"/>
  <c r="E42" i="37"/>
  <c r="E38" i="37"/>
  <c r="E34" i="37"/>
  <c r="E30" i="37"/>
  <c r="E26" i="37"/>
  <c r="E22" i="37"/>
  <c r="E18" i="37"/>
  <c r="E14" i="37"/>
  <c r="E10" i="37"/>
  <c r="H29" i="36"/>
  <c r="G10" i="36"/>
  <c r="G21" i="35"/>
  <c r="I15" i="35"/>
  <c r="C212" i="17"/>
  <c r="C208" i="17"/>
  <c r="C204" i="17"/>
  <c r="H195" i="17"/>
  <c r="C193" i="17"/>
  <c r="F190" i="17"/>
  <c r="G183" i="17"/>
  <c r="E182" i="17"/>
  <c r="I180" i="17"/>
  <c r="G179" i="17"/>
  <c r="E178" i="17"/>
  <c r="I176" i="17"/>
  <c r="G175" i="17"/>
  <c r="E174" i="17"/>
  <c r="I172" i="17"/>
  <c r="G171" i="17"/>
  <c r="F161" i="17"/>
  <c r="D160" i="17"/>
  <c r="H158" i="17"/>
  <c r="F157" i="17"/>
  <c r="H155" i="17"/>
  <c r="E154" i="17"/>
  <c r="G152" i="17"/>
  <c r="I150" i="17"/>
  <c r="F149" i="17"/>
  <c r="H147" i="17"/>
  <c r="H139" i="17"/>
  <c r="I136" i="17"/>
  <c r="F126" i="17"/>
  <c r="F122" i="17"/>
  <c r="F118" i="17"/>
  <c r="H109" i="17"/>
  <c r="C107" i="17"/>
  <c r="F104" i="17"/>
  <c r="H101" i="17"/>
  <c r="C99" i="17"/>
  <c r="F96" i="17"/>
  <c r="H93" i="17"/>
  <c r="E87" i="17"/>
  <c r="I85" i="17"/>
  <c r="G84" i="17"/>
  <c r="E5" i="29"/>
  <c r="I11" i="35"/>
  <c r="E89" i="37"/>
  <c r="E85" i="37"/>
  <c r="E81" i="37"/>
  <c r="E77" i="37"/>
  <c r="E73" i="37"/>
  <c r="E69" i="37"/>
  <c r="E65" i="37"/>
  <c r="E61" i="37"/>
  <c r="E57" i="37"/>
  <c r="E53" i="37"/>
  <c r="E49" i="37"/>
  <c r="E45" i="37"/>
  <c r="E41" i="37"/>
  <c r="E37" i="37"/>
  <c r="E33" i="37"/>
  <c r="E29" i="37"/>
  <c r="E25" i="37"/>
  <c r="E21" i="37"/>
  <c r="E17" i="37"/>
  <c r="E13" i="37"/>
  <c r="E9" i="37"/>
  <c r="G20" i="36"/>
  <c r="G8" i="36"/>
  <c r="G20" i="35"/>
  <c r="C9" i="35"/>
  <c r="C211" i="17"/>
  <c r="C207" i="17"/>
  <c r="C203" i="17"/>
  <c r="C195" i="17"/>
  <c r="F192" i="17"/>
  <c r="H189" i="17"/>
  <c r="E183" i="17"/>
  <c r="I181" i="17"/>
  <c r="G180" i="17"/>
  <c r="E179" i="17"/>
  <c r="I177" i="17"/>
  <c r="G176" i="17"/>
  <c r="E175" i="17"/>
  <c r="I173" i="17"/>
  <c r="G172" i="17"/>
  <c r="E171" i="17"/>
  <c r="D161" i="17"/>
  <c r="H159" i="17"/>
  <c r="F158" i="17"/>
  <c r="I156" i="17"/>
  <c r="F155" i="17"/>
  <c r="H153" i="17"/>
  <c r="E152" i="17"/>
  <c r="G150" i="17"/>
  <c r="I148" i="17"/>
  <c r="F147" i="17"/>
  <c r="I138" i="17"/>
  <c r="I135" i="17"/>
  <c r="F125" i="17"/>
  <c r="F121" i="17"/>
  <c r="F117" i="17"/>
  <c r="C109" i="17"/>
  <c r="F106" i="17"/>
  <c r="H103" i="17"/>
  <c r="C101" i="17"/>
  <c r="F98" i="17"/>
  <c r="H95" i="17"/>
  <c r="C93" i="17"/>
  <c r="I86" i="17"/>
  <c r="G85" i="17"/>
  <c r="E84" i="17"/>
  <c r="I82" i="17"/>
  <c r="G81" i="17"/>
  <c r="E80" i="17"/>
  <c r="I78" i="17"/>
  <c r="G77" i="17"/>
  <c r="E76" i="17"/>
  <c r="I74" i="17"/>
  <c r="G73" i="17"/>
  <c r="E72" i="17"/>
  <c r="I70" i="17"/>
  <c r="G69" i="17"/>
  <c r="E68" i="17"/>
  <c r="I66" i="17"/>
  <c r="H56" i="17"/>
  <c r="F55" i="17"/>
  <c r="D54" i="17"/>
  <c r="AK37" i="8" s="1"/>
  <c r="H52" i="17"/>
  <c r="F51" i="17"/>
  <c r="I95" i="37"/>
  <c r="D89" i="37"/>
  <c r="D85" i="37"/>
  <c r="D81" i="37"/>
  <c r="D77" i="37"/>
  <c r="D73" i="37"/>
  <c r="D69" i="37"/>
  <c r="D65" i="37"/>
  <c r="D61" i="37"/>
  <c r="D57" i="37"/>
  <c r="D53" i="37"/>
  <c r="D49" i="37"/>
  <c r="D45" i="37"/>
  <c r="D41" i="37"/>
  <c r="D37" i="37"/>
  <c r="D33" i="37"/>
  <c r="D29" i="37"/>
  <c r="D25" i="37"/>
  <c r="D21" i="37"/>
  <c r="D17" i="37"/>
  <c r="D13" i="37"/>
  <c r="D9" i="37"/>
  <c r="G19" i="36"/>
  <c r="G7" i="36"/>
  <c r="C20" i="35"/>
  <c r="C6" i="35"/>
  <c r="F210" i="17"/>
  <c r="F206" i="17"/>
  <c r="F202" i="17"/>
  <c r="H194" i="17"/>
  <c r="C192" i="17"/>
  <c r="F189" i="17"/>
  <c r="C183" i="17"/>
  <c r="H181" i="17"/>
  <c r="F180" i="17"/>
  <c r="C179" i="17"/>
  <c r="H177" i="17"/>
  <c r="F176" i="17"/>
  <c r="C175" i="17"/>
  <c r="H173" i="17"/>
  <c r="F172" i="17"/>
  <c r="C171" i="17"/>
  <c r="I160" i="17"/>
  <c r="G159" i="17"/>
  <c r="E158" i="17"/>
  <c r="H156" i="17"/>
  <c r="E155" i="17"/>
  <c r="G153" i="17"/>
  <c r="I151" i="17"/>
  <c r="F150" i="17"/>
  <c r="H148" i="17"/>
  <c r="E147" i="17"/>
  <c r="H138" i="17"/>
  <c r="H135" i="17"/>
  <c r="C125" i="17"/>
  <c r="C121" i="17"/>
  <c r="C117" i="17"/>
  <c r="H108" i="17"/>
  <c r="C106" i="17"/>
  <c r="F103" i="17"/>
  <c r="H100" i="17"/>
  <c r="C98" i="17"/>
  <c r="F95" i="17"/>
  <c r="I90" i="17"/>
  <c r="H86" i="17"/>
  <c r="F85" i="17"/>
  <c r="C84" i="17"/>
  <c r="H82" i="17"/>
  <c r="F81" i="17"/>
  <c r="C80" i="17"/>
  <c r="H78" i="17"/>
  <c r="F77" i="17"/>
  <c r="C76" i="17"/>
  <c r="H74" i="17"/>
  <c r="F73" i="17"/>
  <c r="C72" i="17"/>
  <c r="H70" i="17"/>
  <c r="F69" i="17"/>
  <c r="C68" i="17"/>
  <c r="H66" i="17"/>
  <c r="G56" i="17"/>
  <c r="E55" i="17"/>
  <c r="I53" i="17"/>
  <c r="G52" i="17"/>
  <c r="E92" i="37"/>
  <c r="D92" i="37"/>
  <c r="D88" i="37"/>
  <c r="D84" i="37"/>
  <c r="D80" i="37"/>
  <c r="D76" i="37"/>
  <c r="D72" i="37"/>
  <c r="D68" i="37"/>
  <c r="D64" i="37"/>
  <c r="D60" i="37"/>
  <c r="D56" i="37"/>
  <c r="D52" i="37"/>
  <c r="D48" i="37"/>
  <c r="D44" i="37"/>
  <c r="D40" i="37"/>
  <c r="D36" i="37"/>
  <c r="D32" i="37"/>
  <c r="D28" i="37"/>
  <c r="D24" i="37"/>
  <c r="D20" i="37"/>
  <c r="D16" i="37"/>
  <c r="D12" i="37"/>
  <c r="E7" i="37"/>
  <c r="G17" i="36"/>
  <c r="C23" i="35"/>
  <c r="C19" i="35"/>
  <c r="F213" i="17"/>
  <c r="F209" i="17"/>
  <c r="F205" i="17"/>
  <c r="H196" i="17"/>
  <c r="C194" i="17"/>
  <c r="F191" i="17"/>
  <c r="I186" i="17"/>
  <c r="H182" i="17"/>
  <c r="F181" i="17"/>
  <c r="C180" i="17"/>
  <c r="H178" i="17"/>
  <c r="F177" i="17"/>
  <c r="C176" i="17"/>
  <c r="H174" i="17"/>
  <c r="F173" i="17"/>
  <c r="C172" i="17"/>
  <c r="I161" i="17"/>
  <c r="G160" i="17"/>
  <c r="E159" i="17"/>
  <c r="I157" i="17"/>
  <c r="F156" i="17"/>
  <c r="H154" i="17"/>
  <c r="E153" i="17"/>
  <c r="G151" i="17"/>
  <c r="I149" i="17"/>
  <c r="F148" i="17"/>
  <c r="H140" i="17"/>
  <c r="I137" i="17"/>
  <c r="H134" i="17"/>
  <c r="C124" i="17"/>
  <c r="C120" i="17"/>
  <c r="C116" i="17"/>
  <c r="C108" i="17"/>
  <c r="F105" i="17"/>
  <c r="H102" i="17"/>
  <c r="C100" i="17"/>
  <c r="F97" i="17"/>
  <c r="H94" i="17"/>
  <c r="H87" i="17"/>
  <c r="F86" i="17"/>
  <c r="C85" i="17"/>
  <c r="H83" i="17"/>
  <c r="F82" i="17"/>
  <c r="C81" i="17"/>
  <c r="H79" i="17"/>
  <c r="F78" i="17"/>
  <c r="C77" i="17"/>
  <c r="H75" i="17"/>
  <c r="F74" i="17"/>
  <c r="C73" i="17"/>
  <c r="H71" i="17"/>
  <c r="F70" i="17"/>
  <c r="C69" i="17"/>
  <c r="H67" i="17"/>
  <c r="F66" i="17"/>
  <c r="E56" i="17"/>
  <c r="I54" i="17"/>
  <c r="G53" i="17"/>
  <c r="E52" i="17"/>
  <c r="I50" i="17"/>
  <c r="E91" i="37"/>
  <c r="E87" i="37"/>
  <c r="E83" i="37"/>
  <c r="E79" i="37"/>
  <c r="E75" i="37"/>
  <c r="E71" i="37"/>
  <c r="E67" i="37"/>
  <c r="E63" i="37"/>
  <c r="E59" i="37"/>
  <c r="E55" i="37"/>
  <c r="E51" i="37"/>
  <c r="E47" i="37"/>
  <c r="E43" i="37"/>
  <c r="E39" i="37"/>
  <c r="E35" i="37"/>
  <c r="E31" i="37"/>
  <c r="E27" i="37"/>
  <c r="E23" i="37"/>
  <c r="E19" i="37"/>
  <c r="E15" i="37"/>
  <c r="E11" i="37"/>
  <c r="H31" i="36"/>
  <c r="G12" i="36"/>
  <c r="G22" i="35"/>
  <c r="G18" i="35"/>
  <c r="C213" i="17"/>
  <c r="C209" i="17"/>
  <c r="C205" i="17"/>
  <c r="F196" i="17"/>
  <c r="H193" i="17"/>
  <c r="C191" i="17"/>
  <c r="I183" i="17"/>
  <c r="G182" i="17"/>
  <c r="E181" i="17"/>
  <c r="I179" i="17"/>
  <c r="G178" i="17"/>
  <c r="E177" i="17"/>
  <c r="I175" i="17"/>
  <c r="G174" i="17"/>
  <c r="E173" i="17"/>
  <c r="I171" i="17"/>
  <c r="H161" i="17"/>
  <c r="F160" i="17"/>
  <c r="D159" i="17"/>
  <c r="H157" i="17"/>
  <c r="E156" i="17"/>
  <c r="G154" i="17"/>
  <c r="I152" i="17"/>
  <c r="F151" i="17"/>
  <c r="H149" i="17"/>
  <c r="E148" i="17"/>
  <c r="E140" i="17"/>
  <c r="H137" i="17"/>
  <c r="I133" i="17"/>
  <c r="F123" i="17"/>
  <c r="F119" i="17"/>
  <c r="F115" i="17"/>
  <c r="H107" i="17"/>
  <c r="C105" i="17"/>
  <c r="F102" i="17"/>
  <c r="H99" i="17"/>
  <c r="C97" i="17"/>
  <c r="F94" i="17"/>
  <c r="G87" i="17"/>
  <c r="E86" i="17"/>
  <c r="I84" i="17"/>
  <c r="G83" i="17"/>
  <c r="E82" i="17"/>
  <c r="I80" i="17"/>
  <c r="G79" i="17"/>
  <c r="E78" i="17"/>
  <c r="I76" i="17"/>
  <c r="G75" i="17"/>
  <c r="E74" i="17"/>
  <c r="I72" i="17"/>
  <c r="G71" i="17"/>
  <c r="E70" i="17"/>
  <c r="I68" i="17"/>
  <c r="G67" i="17"/>
  <c r="E66" i="17"/>
  <c r="D56" i="17"/>
  <c r="H54" i="17"/>
  <c r="F53" i="17"/>
  <c r="D52" i="17"/>
  <c r="D91" i="37"/>
  <c r="D87" i="37"/>
  <c r="D83" i="37"/>
  <c r="D79" i="37"/>
  <c r="D75" i="37"/>
  <c r="D71" i="37"/>
  <c r="D67" i="37"/>
  <c r="D63" i="37"/>
  <c r="D59" i="37"/>
  <c r="D55" i="37"/>
  <c r="D51" i="37"/>
  <c r="D47" i="37"/>
  <c r="D43" i="37"/>
  <c r="D39" i="37"/>
  <c r="D35" i="37"/>
  <c r="D31" i="37"/>
  <c r="D27" i="37"/>
  <c r="D23" i="37"/>
  <c r="D19" i="37"/>
  <c r="D15" i="37"/>
  <c r="D11" i="37"/>
  <c r="H30" i="36"/>
  <c r="G11" i="36"/>
  <c r="D90" i="37"/>
  <c r="D74" i="37"/>
  <c r="D58" i="37"/>
  <c r="D42" i="37"/>
  <c r="D26" i="37"/>
  <c r="D10" i="37"/>
  <c r="G19" i="35"/>
  <c r="F207" i="17"/>
  <c r="F193" i="17"/>
  <c r="I182" i="17"/>
  <c r="F179" i="17"/>
  <c r="H175" i="17"/>
  <c r="E172" i="17"/>
  <c r="I159" i="17"/>
  <c r="I155" i="17"/>
  <c r="H151" i="17"/>
  <c r="G147" i="17"/>
  <c r="H133" i="17"/>
  <c r="F116" i="17"/>
  <c r="C104" i="17"/>
  <c r="H96" i="17"/>
  <c r="G86" i="17"/>
  <c r="E83" i="17"/>
  <c r="G80" i="17"/>
  <c r="I77" i="17"/>
  <c r="E75" i="17"/>
  <c r="G72" i="17"/>
  <c r="I69" i="17"/>
  <c r="E67" i="17"/>
  <c r="H55" i="17"/>
  <c r="D53" i="17"/>
  <c r="AK36" i="8" s="1"/>
  <c r="H50" i="17"/>
  <c r="F49" i="17"/>
  <c r="D48" i="17"/>
  <c r="H46" i="17"/>
  <c r="F45" i="17"/>
  <c r="D44" i="17"/>
  <c r="AK27" i="8" s="1"/>
  <c r="H42" i="17"/>
  <c r="F41" i="17"/>
  <c r="D40" i="17"/>
  <c r="H38" i="17"/>
  <c r="F37" i="17"/>
  <c r="D36" i="17"/>
  <c r="H34" i="17"/>
  <c r="F33" i="17"/>
  <c r="D32" i="17"/>
  <c r="G30" i="17"/>
  <c r="I28" i="17"/>
  <c r="F27" i="17"/>
  <c r="H25" i="17"/>
  <c r="E24" i="17"/>
  <c r="G22" i="17"/>
  <c r="I13" i="17"/>
  <c r="H12" i="17"/>
  <c r="H9" i="17"/>
  <c r="G81" i="15"/>
  <c r="G77" i="15"/>
  <c r="G69" i="15"/>
  <c r="G65" i="15"/>
  <c r="G61" i="15"/>
  <c r="G50" i="15"/>
  <c r="D42" i="15"/>
  <c r="G36" i="15"/>
  <c r="G24" i="15"/>
  <c r="D16" i="15"/>
  <c r="G10" i="15"/>
  <c r="C339" i="14"/>
  <c r="E88" i="37"/>
  <c r="E72" i="37"/>
  <c r="E56" i="37"/>
  <c r="E40" i="37"/>
  <c r="E24" i="37"/>
  <c r="E8" i="37"/>
  <c r="C18" i="35"/>
  <c r="C206" i="17"/>
  <c r="H192" i="17"/>
  <c r="F182" i="17"/>
  <c r="I178" i="17"/>
  <c r="F175" i="17"/>
  <c r="H171" i="17"/>
  <c r="F159" i="17"/>
  <c r="G155" i="17"/>
  <c r="E151" i="17"/>
  <c r="I140" i="17"/>
  <c r="C126" i="17"/>
  <c r="C115" i="17"/>
  <c r="C103" i="17"/>
  <c r="C96" i="17"/>
  <c r="C86" i="17"/>
  <c r="C83" i="17"/>
  <c r="F80" i="17"/>
  <c r="H77" i="17"/>
  <c r="C75" i="17"/>
  <c r="F72" i="17"/>
  <c r="H69" i="17"/>
  <c r="C67" i="17"/>
  <c r="G55" i="17"/>
  <c r="I52" i="17"/>
  <c r="G50" i="17"/>
  <c r="E49" i="17"/>
  <c r="I47" i="17"/>
  <c r="G46" i="17"/>
  <c r="E45" i="17"/>
  <c r="I43" i="17"/>
  <c r="G42" i="17"/>
  <c r="E41" i="17"/>
  <c r="I39" i="17"/>
  <c r="G38" i="17"/>
  <c r="E37" i="17"/>
  <c r="I35" i="17"/>
  <c r="G34" i="17"/>
  <c r="E33" i="17"/>
  <c r="I31" i="17"/>
  <c r="F30" i="17"/>
  <c r="H28" i="17"/>
  <c r="E27" i="17"/>
  <c r="G25" i="17"/>
  <c r="I23" i="17"/>
  <c r="F22" i="17"/>
  <c r="H13" i="17"/>
  <c r="E12" i="17"/>
  <c r="I8" i="17"/>
  <c r="C81" i="15"/>
  <c r="C77" i="15"/>
  <c r="C69" i="15"/>
  <c r="C65" i="15"/>
  <c r="C61" i="15"/>
  <c r="D50" i="15"/>
  <c r="G41" i="15"/>
  <c r="G35" i="15"/>
  <c r="D24" i="15"/>
  <c r="G15" i="15"/>
  <c r="G9" i="15"/>
  <c r="H338" i="14"/>
  <c r="C336" i="14"/>
  <c r="F333" i="14"/>
  <c r="H330" i="14"/>
  <c r="C328" i="14"/>
  <c r="F325" i="14"/>
  <c r="G317" i="14"/>
  <c r="E316" i="14"/>
  <c r="I314" i="14"/>
  <c r="G313" i="14"/>
  <c r="E312" i="14"/>
  <c r="I310" i="14"/>
  <c r="G309" i="14"/>
  <c r="E308" i="14"/>
  <c r="I306" i="14"/>
  <c r="G305" i="14"/>
  <c r="E304" i="14"/>
  <c r="I302" i="14"/>
  <c r="G301" i="14"/>
  <c r="D86" i="37"/>
  <c r="D70" i="37"/>
  <c r="D54" i="37"/>
  <c r="D38" i="37"/>
  <c r="D22" i="37"/>
  <c r="H28" i="36"/>
  <c r="I13" i="35"/>
  <c r="F204" i="17"/>
  <c r="H191" i="17"/>
  <c r="C182" i="17"/>
  <c r="F178" i="17"/>
  <c r="I174" i="17"/>
  <c r="F171" i="17"/>
  <c r="I158" i="17"/>
  <c r="I154" i="17"/>
  <c r="H150" i="17"/>
  <c r="I139" i="17"/>
  <c r="F124" i="17"/>
  <c r="F109" i="17"/>
  <c r="C102" i="17"/>
  <c r="C95" i="17"/>
  <c r="H85" i="17"/>
  <c r="G82" i="17"/>
  <c r="I79" i="17"/>
  <c r="E77" i="17"/>
  <c r="G74" i="17"/>
  <c r="I71" i="17"/>
  <c r="E69" i="17"/>
  <c r="G66" i="17"/>
  <c r="D55" i="17"/>
  <c r="AK38" i="8" s="1"/>
  <c r="F52" i="17"/>
  <c r="F50" i="17"/>
  <c r="D49" i="17"/>
  <c r="H47" i="17"/>
  <c r="F46" i="17"/>
  <c r="D45" i="17"/>
  <c r="AK28" i="8" s="1"/>
  <c r="H43" i="17"/>
  <c r="F42" i="17"/>
  <c r="D41" i="17"/>
  <c r="H39" i="17"/>
  <c r="F38" i="17"/>
  <c r="D37" i="17"/>
  <c r="H35" i="17"/>
  <c r="F34" i="17"/>
  <c r="D33" i="17"/>
  <c r="H31" i="17"/>
  <c r="E30" i="17"/>
  <c r="G28" i="17"/>
  <c r="I26" i="17"/>
  <c r="F25" i="17"/>
  <c r="H23" i="17"/>
  <c r="G21" i="17"/>
  <c r="E13" i="17"/>
  <c r="I11" i="17"/>
  <c r="H8" i="17"/>
  <c r="G80" i="15"/>
  <c r="G76" i="15"/>
  <c r="G68" i="15"/>
  <c r="G64" i="15"/>
  <c r="G60" i="15"/>
  <c r="E84" i="37"/>
  <c r="E68" i="37"/>
  <c r="E52" i="37"/>
  <c r="E36" i="37"/>
  <c r="E20" i="37"/>
  <c r="G18" i="36"/>
  <c r="C219" i="17"/>
  <c r="F203" i="17"/>
  <c r="H190" i="17"/>
  <c r="G181" i="17"/>
  <c r="C178" i="17"/>
  <c r="F174" i="17"/>
  <c r="C165" i="17"/>
  <c r="G158" i="17"/>
  <c r="F154" i="17"/>
  <c r="E150" i="17"/>
  <c r="E139" i="17"/>
  <c r="C123" i="17"/>
  <c r="F108" i="17"/>
  <c r="F101" i="17"/>
  <c r="C94" i="17"/>
  <c r="E85" i="17"/>
  <c r="C82" i="17"/>
  <c r="F79" i="17"/>
  <c r="H76" i="17"/>
  <c r="C74" i="17"/>
  <c r="F71" i="17"/>
  <c r="H68" i="17"/>
  <c r="C66" i="17"/>
  <c r="G54" i="17"/>
  <c r="I51" i="17"/>
  <c r="E50" i="17"/>
  <c r="I48" i="17"/>
  <c r="G47" i="17"/>
  <c r="E46" i="17"/>
  <c r="I44" i="17"/>
  <c r="G43" i="17"/>
  <c r="E42" i="17"/>
  <c r="I40" i="17"/>
  <c r="G39" i="17"/>
  <c r="E38" i="17"/>
  <c r="I36" i="17"/>
  <c r="G35" i="17"/>
  <c r="E34" i="17"/>
  <c r="I32" i="17"/>
  <c r="G31" i="17"/>
  <c r="I29" i="17"/>
  <c r="F28" i="17"/>
  <c r="H26" i="17"/>
  <c r="E25" i="17"/>
  <c r="G23" i="17"/>
  <c r="F21" i="17"/>
  <c r="E22" i="17"/>
  <c r="H11" i="17"/>
  <c r="I7" i="17"/>
  <c r="C80" i="15"/>
  <c r="C76" i="15"/>
  <c r="C68" i="15"/>
  <c r="C64" i="15"/>
  <c r="C60" i="15"/>
  <c r="D49" i="15"/>
  <c r="G40" i="15"/>
  <c r="I31" i="15"/>
  <c r="D23" i="15"/>
  <c r="G14" i="15"/>
  <c r="H340" i="14"/>
  <c r="C338" i="14"/>
  <c r="F335" i="14"/>
  <c r="H332" i="14"/>
  <c r="C330" i="14"/>
  <c r="F327" i="14"/>
  <c r="H324" i="14"/>
  <c r="E317" i="14"/>
  <c r="I315" i="14"/>
  <c r="G314" i="14"/>
  <c r="E313" i="14"/>
  <c r="I311" i="14"/>
  <c r="D82" i="37"/>
  <c r="D66" i="37"/>
  <c r="D50" i="37"/>
  <c r="D34" i="37"/>
  <c r="D18" i="37"/>
  <c r="G9" i="36"/>
  <c r="F212" i="17"/>
  <c r="C202" i="17"/>
  <c r="C190" i="17"/>
  <c r="C181" i="17"/>
  <c r="G177" i="17"/>
  <c r="C174" i="17"/>
  <c r="G161" i="17"/>
  <c r="D158" i="17"/>
  <c r="I153" i="17"/>
  <c r="G149" i="17"/>
  <c r="E138" i="17"/>
  <c r="C122" i="17"/>
  <c r="F107" i="17"/>
  <c r="F100" i="17"/>
  <c r="F93" i="17"/>
  <c r="H84" i="17"/>
  <c r="I81" i="17"/>
  <c r="E79" i="17"/>
  <c r="G76" i="17"/>
  <c r="I73" i="17"/>
  <c r="E71" i="17"/>
  <c r="G68" i="17"/>
  <c r="C60" i="17"/>
  <c r="F54" i="17"/>
  <c r="H51" i="17"/>
  <c r="D50" i="17"/>
  <c r="H48" i="17"/>
  <c r="F47" i="17"/>
  <c r="D46" i="17"/>
  <c r="AK29" i="8" s="1"/>
  <c r="H44" i="17"/>
  <c r="F43" i="17"/>
  <c r="D42" i="17"/>
  <c r="H40" i="17"/>
  <c r="F39" i="17"/>
  <c r="D38" i="17"/>
  <c r="H36" i="17"/>
  <c r="F35" i="17"/>
  <c r="D34" i="17"/>
  <c r="H32" i="17"/>
  <c r="F31" i="17"/>
  <c r="H29" i="17"/>
  <c r="E28" i="17"/>
  <c r="G26" i="17"/>
  <c r="I24" i="17"/>
  <c r="F23" i="17"/>
  <c r="E21" i="17"/>
  <c r="I21" i="17"/>
  <c r="E11" i="17"/>
  <c r="G83" i="15"/>
  <c r="G79" i="15"/>
  <c r="G75" i="15"/>
  <c r="G67" i="15"/>
  <c r="G63" i="15"/>
  <c r="G52" i="15"/>
  <c r="G48" i="15"/>
  <c r="D40" i="15"/>
  <c r="G26" i="15"/>
  <c r="G22" i="15"/>
  <c r="D14" i="15"/>
  <c r="F340" i="14"/>
  <c r="H337" i="14"/>
  <c r="D78" i="37"/>
  <c r="D62" i="37"/>
  <c r="D46" i="37"/>
  <c r="D30" i="37"/>
  <c r="D14" i="37"/>
  <c r="C22" i="35"/>
  <c r="C210" i="17"/>
  <c r="F195" i="17"/>
  <c r="H183" i="17"/>
  <c r="E180" i="17"/>
  <c r="H176" i="17"/>
  <c r="C173" i="17"/>
  <c r="H160" i="17"/>
  <c r="E157" i="17"/>
  <c r="H152" i="17"/>
  <c r="G148" i="17"/>
  <c r="H136" i="17"/>
  <c r="C119" i="17"/>
  <c r="H105" i="17"/>
  <c r="H98" i="17"/>
  <c r="F87" i="17"/>
  <c r="I83" i="17"/>
  <c r="E81" i="17"/>
  <c r="G78" i="17"/>
  <c r="I75" i="17"/>
  <c r="E73" i="17"/>
  <c r="G70" i="17"/>
  <c r="I67" i="17"/>
  <c r="F56" i="17"/>
  <c r="H53" i="17"/>
  <c r="E51" i="17"/>
  <c r="H49" i="17"/>
  <c r="F48" i="17"/>
  <c r="D47" i="17"/>
  <c r="AK30" i="8" s="1"/>
  <c r="H45" i="17"/>
  <c r="F44" i="17"/>
  <c r="D43" i="17"/>
  <c r="AK26" i="8" s="1"/>
  <c r="H41" i="17"/>
  <c r="F40" i="17"/>
  <c r="D39" i="17"/>
  <c r="AK22" i="8" s="1"/>
  <c r="H37" i="17"/>
  <c r="F36" i="17"/>
  <c r="D35" i="17"/>
  <c r="AK18" i="8" s="1"/>
  <c r="H33" i="17"/>
  <c r="F32" i="17"/>
  <c r="I30" i="17"/>
  <c r="F29" i="17"/>
  <c r="H27" i="17"/>
  <c r="E26" i="17"/>
  <c r="G24" i="17"/>
  <c r="I22" i="17"/>
  <c r="H14" i="17"/>
  <c r="H7" i="17"/>
  <c r="H10" i="17"/>
  <c r="G82" i="15"/>
  <c r="G78" i="15"/>
  <c r="G74" i="15"/>
  <c r="G66" i="15"/>
  <c r="G62" i="15"/>
  <c r="G51" i="15"/>
  <c r="D43" i="15"/>
  <c r="G38" i="15"/>
  <c r="G25" i="15"/>
  <c r="D17" i="15"/>
  <c r="G12" i="15"/>
  <c r="H339" i="14"/>
  <c r="C337" i="14"/>
  <c r="F334" i="14"/>
  <c r="H331" i="14"/>
  <c r="C329" i="14"/>
  <c r="F326" i="14"/>
  <c r="I321" i="14"/>
  <c r="H316" i="14"/>
  <c r="F315" i="14"/>
  <c r="C314" i="14"/>
  <c r="H312" i="14"/>
  <c r="F311" i="14"/>
  <c r="C310" i="14"/>
  <c r="H308" i="14"/>
  <c r="F307" i="14"/>
  <c r="E80" i="37"/>
  <c r="E16" i="37"/>
  <c r="C189" i="17"/>
  <c r="E161" i="17"/>
  <c r="E137" i="17"/>
  <c r="I87" i="17"/>
  <c r="F76" i="17"/>
  <c r="I56" i="17"/>
  <c r="G48" i="17"/>
  <c r="E43" i="17"/>
  <c r="I37" i="17"/>
  <c r="G32" i="17"/>
  <c r="F26" i="17"/>
  <c r="H21" i="17"/>
  <c r="C75" i="15"/>
  <c r="G49" i="15"/>
  <c r="D25" i="15"/>
  <c r="C340" i="14"/>
  <c r="H334" i="14"/>
  <c r="F330" i="14"/>
  <c r="C326" i="14"/>
  <c r="C317" i="14"/>
  <c r="C315" i="14"/>
  <c r="I312" i="14"/>
  <c r="H310" i="14"/>
  <c r="C309" i="14"/>
  <c r="E307" i="14"/>
  <c r="H305" i="14"/>
  <c r="C304" i="14"/>
  <c r="G302" i="14"/>
  <c r="C301" i="14"/>
  <c r="H299" i="14"/>
  <c r="F298" i="14"/>
  <c r="C297" i="14"/>
  <c r="H290" i="14"/>
  <c r="F289" i="14"/>
  <c r="D288" i="14"/>
  <c r="H286" i="14"/>
  <c r="E285" i="14"/>
  <c r="G283" i="14"/>
  <c r="F274" i="14"/>
  <c r="F272" i="14"/>
  <c r="F270" i="14"/>
  <c r="F268" i="14"/>
  <c r="F266" i="14"/>
  <c r="F264" i="14"/>
  <c r="G251" i="14"/>
  <c r="H236" i="14"/>
  <c r="E235" i="14"/>
  <c r="G233" i="14"/>
  <c r="C232" i="14"/>
  <c r="F230" i="14"/>
  <c r="H228" i="14"/>
  <c r="E227" i="14"/>
  <c r="G225" i="14"/>
  <c r="C224" i="14"/>
  <c r="F222" i="14"/>
  <c r="H220" i="14"/>
  <c r="E219" i="14"/>
  <c r="G217" i="14"/>
  <c r="C216" i="14"/>
  <c r="F214" i="14"/>
  <c r="H212" i="14"/>
  <c r="E211" i="14"/>
  <c r="G209" i="14"/>
  <c r="E76" i="37"/>
  <c r="E12" i="37"/>
  <c r="F183" i="17"/>
  <c r="E160" i="17"/>
  <c r="I134" i="17"/>
  <c r="C87" i="17"/>
  <c r="F75" i="17"/>
  <c r="I55" i="17"/>
  <c r="E48" i="17"/>
  <c r="I42" i="17"/>
  <c r="G37" i="17"/>
  <c r="E32" i="17"/>
  <c r="I25" i="17"/>
  <c r="I12" i="17"/>
  <c r="C74" i="15"/>
  <c r="G43" i="15"/>
  <c r="G23" i="15"/>
  <c r="F339" i="14"/>
  <c r="C334" i="14"/>
  <c r="H329" i="14"/>
  <c r="H325" i="14"/>
  <c r="I316" i="14"/>
  <c r="H314" i="14"/>
  <c r="G312" i="14"/>
  <c r="G310" i="14"/>
  <c r="I308" i="14"/>
  <c r="C307" i="14"/>
  <c r="F305" i="14"/>
  <c r="I303" i="14"/>
  <c r="F302" i="14"/>
  <c r="I300" i="14"/>
  <c r="G299" i="14"/>
  <c r="E298" i="14"/>
  <c r="I296" i="14"/>
  <c r="G290" i="14"/>
  <c r="E289" i="14"/>
  <c r="I287" i="14"/>
  <c r="G286" i="14"/>
  <c r="I284" i="14"/>
  <c r="F283" i="14"/>
  <c r="D274" i="14"/>
  <c r="D272" i="14"/>
  <c r="D270" i="14"/>
  <c r="D268" i="14"/>
  <c r="D266" i="14"/>
  <c r="D264" i="14"/>
  <c r="I248" i="14"/>
  <c r="G236" i="14"/>
  <c r="C235" i="14"/>
  <c r="F233" i="14"/>
  <c r="H231" i="14"/>
  <c r="E230" i="14"/>
  <c r="G228" i="14"/>
  <c r="C227" i="14"/>
  <c r="F225" i="14"/>
  <c r="H223" i="14"/>
  <c r="E222" i="14"/>
  <c r="G220" i="14"/>
  <c r="C219" i="14"/>
  <c r="F217" i="14"/>
  <c r="H215" i="14"/>
  <c r="E214" i="14"/>
  <c r="G212" i="14"/>
  <c r="C211" i="14"/>
  <c r="F209" i="14"/>
  <c r="H207" i="14"/>
  <c r="E206" i="14"/>
  <c r="G204" i="14"/>
  <c r="C203" i="14"/>
  <c r="F201" i="14"/>
  <c r="H199" i="14"/>
  <c r="E198" i="14"/>
  <c r="G196" i="14"/>
  <c r="C195" i="14"/>
  <c r="F193" i="14"/>
  <c r="H191" i="14"/>
  <c r="E190" i="14"/>
  <c r="G188" i="14"/>
  <c r="C187" i="14"/>
  <c r="F185" i="14"/>
  <c r="H183" i="14"/>
  <c r="E182" i="14"/>
  <c r="G180" i="14"/>
  <c r="C179" i="14"/>
  <c r="F177" i="14"/>
  <c r="H175" i="14"/>
  <c r="E174" i="14"/>
  <c r="G172" i="14"/>
  <c r="C171" i="14"/>
  <c r="F169" i="14"/>
  <c r="E64" i="37"/>
  <c r="G23" i="35"/>
  <c r="H180" i="17"/>
  <c r="G157" i="17"/>
  <c r="F120" i="17"/>
  <c r="F84" i="17"/>
  <c r="H73" i="17"/>
  <c r="E54" i="17"/>
  <c r="E47" i="17"/>
  <c r="I41" i="17"/>
  <c r="G36" i="17"/>
  <c r="E31" i="17"/>
  <c r="H24" i="17"/>
  <c r="I10" i="17"/>
  <c r="C67" i="15"/>
  <c r="G42" i="15"/>
  <c r="G17" i="15"/>
  <c r="F338" i="14"/>
  <c r="H333" i="14"/>
  <c r="F329" i="14"/>
  <c r="C325" i="14"/>
  <c r="G316" i="14"/>
  <c r="F314" i="14"/>
  <c r="F312" i="14"/>
  <c r="F310" i="14"/>
  <c r="G308" i="14"/>
  <c r="H306" i="14"/>
  <c r="E305" i="14"/>
  <c r="H303" i="14"/>
  <c r="E302" i="14"/>
  <c r="H300" i="14"/>
  <c r="F299" i="14"/>
  <c r="C298" i="14"/>
  <c r="H296" i="14"/>
  <c r="F290" i="14"/>
  <c r="D289" i="14"/>
  <c r="H287" i="14"/>
  <c r="F286" i="14"/>
  <c r="H284" i="14"/>
  <c r="E283" i="14"/>
  <c r="C274" i="14"/>
  <c r="C272" i="14"/>
  <c r="C270" i="14"/>
  <c r="C268" i="14"/>
  <c r="C266" i="14"/>
  <c r="C264" i="14"/>
  <c r="F246" i="14"/>
  <c r="F236" i="14"/>
  <c r="H234" i="14"/>
  <c r="E233" i="14"/>
  <c r="G231" i="14"/>
  <c r="C230" i="14"/>
  <c r="F228" i="14"/>
  <c r="H226" i="14"/>
  <c r="E225" i="14"/>
  <c r="G223" i="14"/>
  <c r="C222" i="14"/>
  <c r="F220" i="14"/>
  <c r="H218" i="14"/>
  <c r="E217" i="14"/>
  <c r="G215" i="14"/>
  <c r="C214" i="14"/>
  <c r="F212" i="14"/>
  <c r="H210" i="14"/>
  <c r="E209" i="14"/>
  <c r="G207" i="14"/>
  <c r="C206" i="14"/>
  <c r="F204" i="14"/>
  <c r="H202" i="14"/>
  <c r="E201" i="14"/>
  <c r="G199" i="14"/>
  <c r="C198" i="14"/>
  <c r="F196" i="14"/>
  <c r="H194" i="14"/>
  <c r="E193" i="14"/>
  <c r="G191" i="14"/>
  <c r="C190" i="14"/>
  <c r="F188" i="14"/>
  <c r="H186" i="14"/>
  <c r="E185" i="14"/>
  <c r="G183" i="14"/>
  <c r="C182" i="14"/>
  <c r="F180" i="14"/>
  <c r="H178" i="14"/>
  <c r="E177" i="14"/>
  <c r="G175" i="14"/>
  <c r="C174" i="14"/>
  <c r="E60" i="37"/>
  <c r="C21" i="35"/>
  <c r="H179" i="17"/>
  <c r="G156" i="17"/>
  <c r="C118" i="17"/>
  <c r="F83" i="17"/>
  <c r="H72" i="17"/>
  <c r="E53" i="17"/>
  <c r="I46" i="17"/>
  <c r="G41" i="17"/>
  <c r="E36" i="17"/>
  <c r="H30" i="17"/>
  <c r="F24" i="17"/>
  <c r="I9" i="17"/>
  <c r="C66" i="15"/>
  <c r="D41" i="15"/>
  <c r="G16" i="15"/>
  <c r="F337" i="14"/>
  <c r="C333" i="14"/>
  <c r="H328" i="14"/>
  <c r="F324" i="14"/>
  <c r="F316" i="14"/>
  <c r="E314" i="14"/>
  <c r="C312" i="14"/>
  <c r="E310" i="14"/>
  <c r="F308" i="14"/>
  <c r="G306" i="14"/>
  <c r="C305" i="14"/>
  <c r="G303" i="14"/>
  <c r="C302" i="14"/>
  <c r="G300" i="14"/>
  <c r="E299" i="14"/>
  <c r="I297" i="14"/>
  <c r="G296" i="14"/>
  <c r="E290" i="14"/>
  <c r="I288" i="14"/>
  <c r="G287" i="14"/>
  <c r="E286" i="14"/>
  <c r="G284" i="14"/>
  <c r="H275" i="14"/>
  <c r="H273" i="14"/>
  <c r="H271" i="14"/>
  <c r="H269" i="14"/>
  <c r="H267" i="14"/>
  <c r="H265" i="14"/>
  <c r="I258" i="14"/>
  <c r="F245" i="14"/>
  <c r="E236" i="14"/>
  <c r="G234" i="14"/>
  <c r="C233" i="14"/>
  <c r="F231" i="14"/>
  <c r="H229" i="14"/>
  <c r="E228" i="14"/>
  <c r="G226" i="14"/>
  <c r="C225" i="14"/>
  <c r="F223" i="14"/>
  <c r="H221" i="14"/>
  <c r="E220" i="14"/>
  <c r="G218" i="14"/>
  <c r="C217" i="14"/>
  <c r="F215" i="14"/>
  <c r="H213" i="14"/>
  <c r="E212" i="14"/>
  <c r="G210" i="14"/>
  <c r="C209" i="14"/>
  <c r="F207" i="14"/>
  <c r="H205" i="14"/>
  <c r="E48" i="37"/>
  <c r="F211" i="17"/>
  <c r="C177" i="17"/>
  <c r="F153" i="17"/>
  <c r="H106" i="17"/>
  <c r="H81" i="17"/>
  <c r="C71" i="17"/>
  <c r="G51" i="17"/>
  <c r="I45" i="17"/>
  <c r="G40" i="17"/>
  <c r="E35" i="17"/>
  <c r="G29" i="17"/>
  <c r="E23" i="17"/>
  <c r="C83" i="15"/>
  <c r="C63" i="15"/>
  <c r="G39" i="15"/>
  <c r="D15" i="15"/>
  <c r="H336" i="14"/>
  <c r="F332" i="14"/>
  <c r="F328" i="14"/>
  <c r="C324" i="14"/>
  <c r="C316" i="14"/>
  <c r="I313" i="14"/>
  <c r="H311" i="14"/>
  <c r="I309" i="14"/>
  <c r="C308" i="14"/>
  <c r="F306" i="14"/>
  <c r="I304" i="14"/>
  <c r="F303" i="14"/>
  <c r="I301" i="14"/>
  <c r="F300" i="14"/>
  <c r="C299" i="14"/>
  <c r="H297" i="14"/>
  <c r="F296" i="14"/>
  <c r="D290" i="14"/>
  <c r="H288" i="14"/>
  <c r="F287" i="14"/>
  <c r="I285" i="14"/>
  <c r="F284" i="14"/>
  <c r="F275" i="14"/>
  <c r="F273" i="14"/>
  <c r="F271" i="14"/>
  <c r="F269" i="14"/>
  <c r="F267" i="14"/>
  <c r="F265" i="14"/>
  <c r="G255" i="14"/>
  <c r="H244" i="14"/>
  <c r="C236" i="14"/>
  <c r="F234" i="14"/>
  <c r="H232" i="14"/>
  <c r="E231" i="14"/>
  <c r="G229" i="14"/>
  <c r="C228" i="14"/>
  <c r="F226" i="14"/>
  <c r="H224" i="14"/>
  <c r="E223" i="14"/>
  <c r="G221" i="14"/>
  <c r="C220" i="14"/>
  <c r="F218" i="14"/>
  <c r="H216" i="14"/>
  <c r="E215" i="14"/>
  <c r="G213" i="14"/>
  <c r="C212" i="14"/>
  <c r="F210" i="14"/>
  <c r="H208" i="14"/>
  <c r="E207" i="14"/>
  <c r="G205" i="14"/>
  <c r="C204" i="14"/>
  <c r="F202" i="14"/>
  <c r="H200" i="14"/>
  <c r="E199" i="14"/>
  <c r="G197" i="14"/>
  <c r="C196" i="14"/>
  <c r="F194" i="14"/>
  <c r="H192" i="14"/>
  <c r="E191" i="14"/>
  <c r="G189" i="14"/>
  <c r="C188" i="14"/>
  <c r="F186" i="14"/>
  <c r="H184" i="14"/>
  <c r="E183" i="14"/>
  <c r="G181" i="14"/>
  <c r="C180" i="14"/>
  <c r="F178" i="14"/>
  <c r="H176" i="14"/>
  <c r="E32" i="37"/>
  <c r="C196" i="17"/>
  <c r="G173" i="17"/>
  <c r="E149" i="17"/>
  <c r="F99" i="17"/>
  <c r="C79" i="17"/>
  <c r="F68" i="17"/>
  <c r="I49" i="17"/>
  <c r="G44" i="17"/>
  <c r="E39" i="17"/>
  <c r="I33" i="17"/>
  <c r="I27" i="17"/>
  <c r="I14" i="17"/>
  <c r="C79" i="15"/>
  <c r="D52" i="15"/>
  <c r="G34" i="15"/>
  <c r="G11" i="15"/>
  <c r="H335" i="14"/>
  <c r="F331" i="14"/>
  <c r="C327" i="14"/>
  <c r="H317" i="14"/>
  <c r="G315" i="14"/>
  <c r="F313" i="14"/>
  <c r="E311" i="14"/>
  <c r="F309" i="14"/>
  <c r="H307" i="14"/>
  <c r="C306" i="14"/>
  <c r="G304" i="14"/>
  <c r="C303" i="14"/>
  <c r="F301" i="14"/>
  <c r="C300" i="14"/>
  <c r="H298" i="14"/>
  <c r="F297" i="14"/>
  <c r="C296" i="14"/>
  <c r="H289" i="14"/>
  <c r="F288" i="14"/>
  <c r="D287" i="14"/>
  <c r="G285" i="14"/>
  <c r="I283" i="14"/>
  <c r="C275" i="14"/>
  <c r="C273" i="14"/>
  <c r="C271" i="14"/>
  <c r="C269" i="14"/>
  <c r="C267" i="14"/>
  <c r="C265" i="14"/>
  <c r="G253" i="14"/>
  <c r="F243" i="14"/>
  <c r="G235" i="14"/>
  <c r="C234" i="14"/>
  <c r="F232" i="14"/>
  <c r="H230" i="14"/>
  <c r="E229" i="14"/>
  <c r="G227" i="14"/>
  <c r="C226" i="14"/>
  <c r="F224" i="14"/>
  <c r="H222" i="14"/>
  <c r="E221" i="14"/>
  <c r="G219" i="14"/>
  <c r="C218" i="14"/>
  <c r="F216" i="14"/>
  <c r="H214" i="14"/>
  <c r="E213" i="14"/>
  <c r="G211" i="14"/>
  <c r="C210" i="14"/>
  <c r="F208" i="14"/>
  <c r="H206" i="14"/>
  <c r="E205" i="14"/>
  <c r="G203" i="14"/>
  <c r="C202" i="14"/>
  <c r="F200" i="14"/>
  <c r="H198" i="14"/>
  <c r="E197" i="14"/>
  <c r="G195" i="14"/>
  <c r="C194" i="14"/>
  <c r="F192" i="14"/>
  <c r="H190" i="14"/>
  <c r="E189" i="14"/>
  <c r="G187" i="14"/>
  <c r="C186" i="14"/>
  <c r="F184" i="14"/>
  <c r="H182" i="14"/>
  <c r="E181" i="14"/>
  <c r="G179" i="14"/>
  <c r="C178" i="14"/>
  <c r="F176" i="14"/>
  <c r="E28" i="37"/>
  <c r="F194" i="17"/>
  <c r="H172" i="17"/>
  <c r="I147" i="17"/>
  <c r="H97" i="17"/>
  <c r="C78" i="17"/>
  <c r="F67" i="17"/>
  <c r="G49" i="17"/>
  <c r="E44" i="17"/>
  <c r="I38" i="17"/>
  <c r="G33" i="17"/>
  <c r="G27" i="17"/>
  <c r="E14" i="17"/>
  <c r="C78" i="15"/>
  <c r="D51" i="15"/>
  <c r="D26" i="15"/>
  <c r="I6" i="15"/>
  <c r="C335" i="14"/>
  <c r="C331" i="14"/>
  <c r="H326" i="14"/>
  <c r="F317" i="14"/>
  <c r="E315" i="14"/>
  <c r="C313" i="14"/>
  <c r="C311" i="14"/>
  <c r="E309" i="14"/>
  <c r="G307" i="14"/>
  <c r="I305" i="14"/>
  <c r="F304" i="14"/>
  <c r="H302" i="14"/>
  <c r="E301" i="14"/>
  <c r="I299" i="14"/>
  <c r="G298" i="14"/>
  <c r="E297" i="14"/>
  <c r="I290" i="14"/>
  <c r="G289" i="14"/>
  <c r="E288" i="14"/>
  <c r="I286" i="14"/>
  <c r="F285" i="14"/>
  <c r="H283" i="14"/>
  <c r="H274" i="14"/>
  <c r="H272" i="14"/>
  <c r="H270" i="14"/>
  <c r="H268" i="14"/>
  <c r="H266" i="14"/>
  <c r="H264" i="14"/>
  <c r="G252" i="14"/>
  <c r="I240" i="14"/>
  <c r="F235" i="14"/>
  <c r="E44" i="37"/>
  <c r="G45" i="17"/>
  <c r="G13" i="15"/>
  <c r="H309" i="14"/>
  <c r="G297" i="14"/>
  <c r="D273" i="14"/>
  <c r="E234" i="14"/>
  <c r="H227" i="14"/>
  <c r="F221" i="14"/>
  <c r="C215" i="14"/>
  <c r="G208" i="14"/>
  <c r="H204" i="14"/>
  <c r="G201" i="14"/>
  <c r="F198" i="14"/>
  <c r="E195" i="14"/>
  <c r="C192" i="14"/>
  <c r="H188" i="14"/>
  <c r="G185" i="14"/>
  <c r="F182" i="14"/>
  <c r="E179" i="14"/>
  <c r="C176" i="14"/>
  <c r="G173" i="14"/>
  <c r="H171" i="14"/>
  <c r="C170" i="14"/>
  <c r="E168" i="14"/>
  <c r="G166" i="14"/>
  <c r="C165" i="14"/>
  <c r="F163" i="14"/>
  <c r="H161" i="14"/>
  <c r="E160" i="14"/>
  <c r="G158" i="14"/>
  <c r="C157" i="14"/>
  <c r="H149" i="14"/>
  <c r="F132" i="14"/>
  <c r="H130" i="14"/>
  <c r="E129" i="14"/>
  <c r="G127" i="14"/>
  <c r="C126" i="14"/>
  <c r="F124" i="14"/>
  <c r="H122" i="14"/>
  <c r="E121" i="14"/>
  <c r="G119" i="14"/>
  <c r="C118" i="14"/>
  <c r="F116" i="14"/>
  <c r="H114" i="14"/>
  <c r="E113" i="14"/>
  <c r="G111" i="14"/>
  <c r="C110" i="14"/>
  <c r="F108" i="14"/>
  <c r="H106" i="14"/>
  <c r="E105" i="14"/>
  <c r="G103" i="14"/>
  <c r="C102" i="14"/>
  <c r="F100" i="14"/>
  <c r="H98" i="14"/>
  <c r="E97" i="14"/>
  <c r="G95" i="14"/>
  <c r="C94" i="14"/>
  <c r="F92" i="14"/>
  <c r="H90" i="14"/>
  <c r="E89" i="14"/>
  <c r="G87" i="14"/>
  <c r="C86" i="14"/>
  <c r="F84" i="14"/>
  <c r="I80" i="14"/>
  <c r="E62" i="14"/>
  <c r="G57" i="14"/>
  <c r="C45" i="14"/>
  <c r="I29" i="14"/>
  <c r="E22" i="14"/>
  <c r="G10" i="14"/>
  <c r="C65" i="38"/>
  <c r="C61" i="38"/>
  <c r="C57" i="38"/>
  <c r="C53" i="38"/>
  <c r="C49" i="38"/>
  <c r="C45" i="38"/>
  <c r="C41" i="38"/>
  <c r="C37" i="38"/>
  <c r="C33" i="38"/>
  <c r="C29" i="38"/>
  <c r="F17" i="38"/>
  <c r="I15" i="38"/>
  <c r="D14" i="38"/>
  <c r="H12" i="38"/>
  <c r="F208" i="17"/>
  <c r="E40" i="17"/>
  <c r="F336" i="14"/>
  <c r="I307" i="14"/>
  <c r="E296" i="14"/>
  <c r="D271" i="14"/>
  <c r="H233" i="14"/>
  <c r="F227" i="14"/>
  <c r="C221" i="14"/>
  <c r="G214" i="14"/>
  <c r="E208" i="14"/>
  <c r="E204" i="14"/>
  <c r="C201" i="14"/>
  <c r="H197" i="14"/>
  <c r="G194" i="14"/>
  <c r="F191" i="14"/>
  <c r="E188" i="14"/>
  <c r="C185" i="14"/>
  <c r="H181" i="14"/>
  <c r="G178" i="14"/>
  <c r="F175" i="14"/>
  <c r="F173" i="14"/>
  <c r="G171" i="14"/>
  <c r="H169" i="14"/>
  <c r="C168" i="14"/>
  <c r="F166" i="14"/>
  <c r="H164" i="14"/>
  <c r="E163" i="14"/>
  <c r="G161" i="14"/>
  <c r="C160" i="14"/>
  <c r="F158" i="14"/>
  <c r="I154" i="14"/>
  <c r="F149" i="14"/>
  <c r="E132" i="14"/>
  <c r="G130" i="14"/>
  <c r="C129" i="14"/>
  <c r="F127" i="14"/>
  <c r="H125" i="14"/>
  <c r="E124" i="14"/>
  <c r="G122" i="14"/>
  <c r="C121" i="14"/>
  <c r="F119" i="14"/>
  <c r="H117" i="14"/>
  <c r="E116" i="14"/>
  <c r="G114" i="14"/>
  <c r="C113" i="14"/>
  <c r="F111" i="14"/>
  <c r="H109" i="14"/>
  <c r="E108" i="14"/>
  <c r="G106" i="14"/>
  <c r="C105" i="14"/>
  <c r="F103" i="14"/>
  <c r="H101" i="14"/>
  <c r="E100" i="14"/>
  <c r="G98" i="14"/>
  <c r="C97" i="14"/>
  <c r="F95" i="14"/>
  <c r="H93" i="14"/>
  <c r="E92" i="14"/>
  <c r="G90" i="14"/>
  <c r="C89" i="14"/>
  <c r="F87" i="14"/>
  <c r="H85" i="14"/>
  <c r="E84" i="14"/>
  <c r="H77" i="14"/>
  <c r="G61" i="14"/>
  <c r="G56" i="14"/>
  <c r="I42" i="14"/>
  <c r="G25" i="14"/>
  <c r="E176" i="17"/>
  <c r="I34" i="17"/>
  <c r="C332" i="14"/>
  <c r="E306" i="14"/>
  <c r="I289" i="14"/>
  <c r="D269" i="14"/>
  <c r="G232" i="14"/>
  <c r="E226" i="14"/>
  <c r="H219" i="14"/>
  <c r="F213" i="14"/>
  <c r="C208" i="14"/>
  <c r="H203" i="14"/>
  <c r="G200" i="14"/>
  <c r="F197" i="14"/>
  <c r="E194" i="14"/>
  <c r="C191" i="14"/>
  <c r="H187" i="14"/>
  <c r="G184" i="14"/>
  <c r="F181" i="14"/>
  <c r="E178" i="14"/>
  <c r="E175" i="14"/>
  <c r="E173" i="14"/>
  <c r="F171" i="14"/>
  <c r="G169" i="14"/>
  <c r="H167" i="14"/>
  <c r="E166" i="14"/>
  <c r="G164" i="14"/>
  <c r="C163" i="14"/>
  <c r="F161" i="14"/>
  <c r="H159" i="14"/>
  <c r="E158" i="14"/>
  <c r="H152" i="14"/>
  <c r="G145" i="14"/>
  <c r="C132" i="14"/>
  <c r="F130" i="14"/>
  <c r="H128" i="14"/>
  <c r="E127" i="14"/>
  <c r="G125" i="14"/>
  <c r="C124" i="14"/>
  <c r="F122" i="14"/>
  <c r="H120" i="14"/>
  <c r="E119" i="14"/>
  <c r="G117" i="14"/>
  <c r="C116" i="14"/>
  <c r="F114" i="14"/>
  <c r="H112" i="14"/>
  <c r="E111" i="14"/>
  <c r="G109" i="14"/>
  <c r="C108" i="14"/>
  <c r="F106" i="14"/>
  <c r="H104" i="14"/>
  <c r="E103" i="14"/>
  <c r="G101" i="14"/>
  <c r="C100" i="14"/>
  <c r="F98" i="14"/>
  <c r="H96" i="14"/>
  <c r="E95" i="14"/>
  <c r="G93" i="14"/>
  <c r="C92" i="14"/>
  <c r="F90" i="14"/>
  <c r="H88" i="14"/>
  <c r="E87" i="14"/>
  <c r="G85" i="14"/>
  <c r="C84" i="14"/>
  <c r="H76" i="14"/>
  <c r="E61" i="14"/>
  <c r="G55" i="14"/>
  <c r="G40" i="14"/>
  <c r="E25" i="14"/>
  <c r="G20" i="14"/>
  <c r="G9" i="14"/>
  <c r="C64" i="38"/>
  <c r="C60" i="38"/>
  <c r="C56" i="38"/>
  <c r="C52" i="38"/>
  <c r="C48" i="38"/>
  <c r="C44" i="38"/>
  <c r="C40" i="38"/>
  <c r="C36" i="38"/>
  <c r="C32" i="38"/>
  <c r="C28" i="38"/>
  <c r="C17" i="38"/>
  <c r="F15" i="38"/>
  <c r="I13" i="38"/>
  <c r="D12" i="38"/>
  <c r="H10" i="38"/>
  <c r="C9" i="38"/>
  <c r="D394" i="39"/>
  <c r="D392" i="39"/>
  <c r="D390" i="39"/>
  <c r="D388" i="39"/>
  <c r="D386" i="39"/>
  <c r="D384" i="39"/>
  <c r="I373" i="39"/>
  <c r="H366" i="39"/>
  <c r="G356" i="39"/>
  <c r="I348" i="39"/>
  <c r="F342" i="39"/>
  <c r="C335" i="39"/>
  <c r="C333" i="39"/>
  <c r="H324" i="39"/>
  <c r="C315" i="39"/>
  <c r="I313" i="39"/>
  <c r="H312" i="39"/>
  <c r="G311" i="39"/>
  <c r="F310" i="39"/>
  <c r="E309" i="39"/>
  <c r="D308" i="39"/>
  <c r="C307" i="39"/>
  <c r="I305" i="39"/>
  <c r="H304" i="39"/>
  <c r="G303" i="39"/>
  <c r="F302" i="39"/>
  <c r="E301" i="39"/>
  <c r="D300" i="39"/>
  <c r="C299" i="39"/>
  <c r="I297" i="39"/>
  <c r="H296" i="39"/>
  <c r="G295" i="39"/>
  <c r="C288" i="39"/>
  <c r="C286" i="39"/>
  <c r="C284" i="39"/>
  <c r="C282" i="39"/>
  <c r="C280" i="39"/>
  <c r="C278" i="39"/>
  <c r="C276" i="39"/>
  <c r="F152" i="17"/>
  <c r="E29" i="17"/>
  <c r="H327" i="14"/>
  <c r="H304" i="14"/>
  <c r="G288" i="14"/>
  <c r="D267" i="14"/>
  <c r="E232" i="14"/>
  <c r="H225" i="14"/>
  <c r="F219" i="14"/>
  <c r="C213" i="14"/>
  <c r="C207" i="14"/>
  <c r="F203" i="14"/>
  <c r="E200" i="14"/>
  <c r="C197" i="14"/>
  <c r="H193" i="14"/>
  <c r="G190" i="14"/>
  <c r="F187" i="14"/>
  <c r="E184" i="14"/>
  <c r="C181" i="14"/>
  <c r="H177" i="14"/>
  <c r="C175" i="14"/>
  <c r="C173" i="14"/>
  <c r="E171" i="14"/>
  <c r="E169" i="14"/>
  <c r="G167" i="14"/>
  <c r="C166" i="14"/>
  <c r="F164" i="14"/>
  <c r="H162" i="14"/>
  <c r="E161" i="14"/>
  <c r="G159" i="14"/>
  <c r="C158" i="14"/>
  <c r="F152" i="14"/>
  <c r="I143" i="14"/>
  <c r="H131" i="14"/>
  <c r="E130" i="14"/>
  <c r="G128" i="14"/>
  <c r="C127" i="14"/>
  <c r="F125" i="14"/>
  <c r="H123" i="14"/>
  <c r="E122" i="14"/>
  <c r="G120" i="14"/>
  <c r="C119" i="14"/>
  <c r="F117" i="14"/>
  <c r="H115" i="14"/>
  <c r="E114" i="14"/>
  <c r="G112" i="14"/>
  <c r="C111" i="14"/>
  <c r="F109" i="14"/>
  <c r="H107" i="14"/>
  <c r="E106" i="14"/>
  <c r="G104" i="14"/>
  <c r="C103" i="14"/>
  <c r="F101" i="14"/>
  <c r="H99" i="14"/>
  <c r="E98" i="14"/>
  <c r="G96" i="14"/>
  <c r="C95" i="14"/>
  <c r="F93" i="14"/>
  <c r="H91" i="14"/>
  <c r="E90" i="14"/>
  <c r="G88" i="14"/>
  <c r="C87" i="14"/>
  <c r="F85" i="14"/>
  <c r="H83" i="14"/>
  <c r="H75" i="14"/>
  <c r="G60" i="14"/>
  <c r="G54" i="14"/>
  <c r="C40" i="14"/>
  <c r="G24" i="14"/>
  <c r="I17" i="14"/>
  <c r="E9" i="14"/>
  <c r="G63" i="38"/>
  <c r="G59" i="38"/>
  <c r="G55" i="38"/>
  <c r="G51" i="38"/>
  <c r="G47" i="38"/>
  <c r="G43" i="38"/>
  <c r="G39" i="38"/>
  <c r="G35" i="38"/>
  <c r="G31" i="38"/>
  <c r="G27" i="38"/>
  <c r="I16" i="38"/>
  <c r="D15" i="38"/>
  <c r="H13" i="38"/>
  <c r="C12" i="38"/>
  <c r="H104" i="17"/>
  <c r="H22" i="17"/>
  <c r="I317" i="14"/>
  <c r="E303" i="14"/>
  <c r="E287" i="14"/>
  <c r="D265" i="14"/>
  <c r="C231" i="14"/>
  <c r="G224" i="14"/>
  <c r="E218" i="14"/>
  <c r="H211" i="14"/>
  <c r="G206" i="14"/>
  <c r="E203" i="14"/>
  <c r="C200" i="14"/>
  <c r="H196" i="14"/>
  <c r="G193" i="14"/>
  <c r="F190" i="14"/>
  <c r="E187" i="14"/>
  <c r="C184" i="14"/>
  <c r="H180" i="14"/>
  <c r="G177" i="14"/>
  <c r="H174" i="14"/>
  <c r="H172" i="14"/>
  <c r="H170" i="14"/>
  <c r="C169" i="14"/>
  <c r="F167" i="14"/>
  <c r="H165" i="14"/>
  <c r="E164" i="14"/>
  <c r="G162" i="14"/>
  <c r="C161" i="14"/>
  <c r="F159" i="14"/>
  <c r="H157" i="14"/>
  <c r="H151" i="14"/>
  <c r="G140" i="14"/>
  <c r="G131" i="14"/>
  <c r="C130" i="14"/>
  <c r="F128" i="14"/>
  <c r="H126" i="14"/>
  <c r="E125" i="14"/>
  <c r="G123" i="14"/>
  <c r="C122" i="14"/>
  <c r="F120" i="14"/>
  <c r="H118" i="14"/>
  <c r="E117" i="14"/>
  <c r="G115" i="14"/>
  <c r="C114" i="14"/>
  <c r="F112" i="14"/>
  <c r="H110" i="14"/>
  <c r="E109" i="14"/>
  <c r="G107" i="14"/>
  <c r="C106" i="14"/>
  <c r="F104" i="14"/>
  <c r="H102" i="14"/>
  <c r="E101" i="14"/>
  <c r="G99" i="14"/>
  <c r="C98" i="14"/>
  <c r="F96" i="14"/>
  <c r="H94" i="14"/>
  <c r="E93" i="14"/>
  <c r="G91" i="14"/>
  <c r="C90" i="14"/>
  <c r="F88" i="14"/>
  <c r="H86" i="14"/>
  <c r="E85" i="14"/>
  <c r="G83" i="14"/>
  <c r="G69" i="14"/>
  <c r="E60" i="14"/>
  <c r="G50" i="14"/>
  <c r="I37" i="14"/>
  <c r="E24" i="14"/>
  <c r="G12" i="14"/>
  <c r="I6" i="14"/>
  <c r="C63" i="38"/>
  <c r="C59" i="38"/>
  <c r="C55" i="38"/>
  <c r="C51" i="38"/>
  <c r="C47" i="38"/>
  <c r="C43" i="38"/>
  <c r="C39" i="38"/>
  <c r="C35" i="38"/>
  <c r="C31" i="38"/>
  <c r="C27" i="38"/>
  <c r="H16" i="38"/>
  <c r="C15" i="38"/>
  <c r="F13" i="38"/>
  <c r="I11" i="38"/>
  <c r="D10" i="38"/>
  <c r="H80" i="17"/>
  <c r="C82" i="15"/>
  <c r="H315" i="14"/>
  <c r="H301" i="14"/>
  <c r="H285" i="14"/>
  <c r="G254" i="14"/>
  <c r="G230" i="14"/>
  <c r="E224" i="14"/>
  <c r="H217" i="14"/>
  <c r="F211" i="14"/>
  <c r="F206" i="14"/>
  <c r="G202" i="14"/>
  <c r="F199" i="14"/>
  <c r="E196" i="14"/>
  <c r="C193" i="14"/>
  <c r="H189" i="14"/>
  <c r="G186" i="14"/>
  <c r="F183" i="14"/>
  <c r="E180" i="14"/>
  <c r="C177" i="14"/>
  <c r="G174" i="14"/>
  <c r="F172" i="14"/>
  <c r="G170" i="14"/>
  <c r="H168" i="14"/>
  <c r="E167" i="14"/>
  <c r="G165" i="14"/>
  <c r="C164" i="14"/>
  <c r="F162" i="14"/>
  <c r="H160" i="14"/>
  <c r="E159" i="14"/>
  <c r="G157" i="14"/>
  <c r="F151" i="14"/>
  <c r="I138" i="14"/>
  <c r="F131" i="14"/>
  <c r="H129" i="14"/>
  <c r="E128" i="14"/>
  <c r="G126" i="14"/>
  <c r="C125" i="14"/>
  <c r="F123" i="14"/>
  <c r="H121" i="14"/>
  <c r="E120" i="14"/>
  <c r="G118" i="14"/>
  <c r="C117" i="14"/>
  <c r="F115" i="14"/>
  <c r="H113" i="14"/>
  <c r="E112" i="14"/>
  <c r="G110" i="14"/>
  <c r="C109" i="14"/>
  <c r="F107" i="14"/>
  <c r="H105" i="14"/>
  <c r="E104" i="14"/>
  <c r="G102" i="14"/>
  <c r="C101" i="14"/>
  <c r="F99" i="14"/>
  <c r="H97" i="14"/>
  <c r="E96" i="14"/>
  <c r="G94" i="14"/>
  <c r="C93" i="14"/>
  <c r="F91" i="14"/>
  <c r="H89" i="14"/>
  <c r="E88" i="14"/>
  <c r="G86" i="14"/>
  <c r="C85" i="14"/>
  <c r="F83" i="14"/>
  <c r="G68" i="14"/>
  <c r="G59" i="14"/>
  <c r="C50" i="14"/>
  <c r="G35" i="14"/>
  <c r="G23" i="14"/>
  <c r="E12" i="14"/>
  <c r="G66" i="38"/>
  <c r="G62" i="38"/>
  <c r="G58" i="38"/>
  <c r="G54" i="38"/>
  <c r="G50" i="38"/>
  <c r="G46" i="38"/>
  <c r="G42" i="38"/>
  <c r="G38" i="38"/>
  <c r="G34" i="38"/>
  <c r="G30" i="38"/>
  <c r="H22" i="38"/>
  <c r="F16" i="38"/>
  <c r="I14" i="38"/>
  <c r="D13" i="38"/>
  <c r="H11" i="38"/>
  <c r="C10" i="38"/>
  <c r="F8" i="38"/>
  <c r="F393" i="39"/>
  <c r="F391" i="39"/>
  <c r="F389" i="39"/>
  <c r="F387" i="39"/>
  <c r="F385" i="39"/>
  <c r="F383" i="39"/>
  <c r="G369" i="39"/>
  <c r="G364" i="39"/>
  <c r="G355" i="39"/>
  <c r="C344" i="39"/>
  <c r="F341" i="39"/>
  <c r="F334" i="39"/>
  <c r="F332" i="39"/>
  <c r="H315" i="39"/>
  <c r="G314" i="39"/>
  <c r="F313" i="39"/>
  <c r="E312" i="39"/>
  <c r="D311" i="39"/>
  <c r="C310" i="39"/>
  <c r="I308" i="39"/>
  <c r="H307" i="39"/>
  <c r="G306" i="39"/>
  <c r="F305" i="39"/>
  <c r="E304" i="39"/>
  <c r="D303" i="39"/>
  <c r="C302" i="39"/>
  <c r="I300" i="39"/>
  <c r="C70" i="17"/>
  <c r="E284" i="14"/>
  <c r="G216" i="14"/>
  <c r="C199" i="14"/>
  <c r="E186" i="14"/>
  <c r="F174" i="14"/>
  <c r="C167" i="14"/>
  <c r="G160" i="14"/>
  <c r="H132" i="14"/>
  <c r="F126" i="14"/>
  <c r="C120" i="14"/>
  <c r="G113" i="14"/>
  <c r="E107" i="14"/>
  <c r="H100" i="14"/>
  <c r="F94" i="14"/>
  <c r="C88" i="14"/>
  <c r="I65" i="14"/>
  <c r="E23" i="14"/>
  <c r="G64" i="38"/>
  <c r="G53" i="38"/>
  <c r="C42" i="38"/>
  <c r="G32" i="38"/>
  <c r="C16" i="38"/>
  <c r="F11" i="38"/>
  <c r="D9" i="38"/>
  <c r="H393" i="39"/>
  <c r="C391" i="39"/>
  <c r="F388" i="39"/>
  <c r="H385" i="39"/>
  <c r="C383" i="39"/>
  <c r="G367" i="39"/>
  <c r="H355" i="39"/>
  <c r="F343" i="39"/>
  <c r="F335" i="39"/>
  <c r="G332" i="39"/>
  <c r="F315" i="39"/>
  <c r="C314" i="39"/>
  <c r="F312" i="39"/>
  <c r="I310" i="39"/>
  <c r="F309" i="39"/>
  <c r="I307" i="39"/>
  <c r="E306" i="39"/>
  <c r="I304" i="39"/>
  <c r="E303" i="39"/>
  <c r="H301" i="39"/>
  <c r="E300" i="39"/>
  <c r="I298" i="39"/>
  <c r="G297" i="39"/>
  <c r="E296" i="39"/>
  <c r="C295" i="39"/>
  <c r="H286" i="39"/>
  <c r="F284" i="39"/>
  <c r="D282" i="39"/>
  <c r="H279" i="39"/>
  <c r="F277" i="39"/>
  <c r="I266" i="39"/>
  <c r="E260" i="39"/>
  <c r="H257" i="39"/>
  <c r="C255" i="39"/>
  <c r="E252" i="39"/>
  <c r="H249" i="39"/>
  <c r="C247" i="39"/>
  <c r="E244" i="39"/>
  <c r="H235" i="39"/>
  <c r="G231" i="39"/>
  <c r="C222" i="39"/>
  <c r="G220" i="39"/>
  <c r="I218" i="39"/>
  <c r="E217" i="39"/>
  <c r="H215" i="39"/>
  <c r="C214" i="39"/>
  <c r="G212" i="39"/>
  <c r="I210" i="39"/>
  <c r="E209" i="39"/>
  <c r="H207" i="39"/>
  <c r="C206" i="39"/>
  <c r="G204" i="39"/>
  <c r="I202" i="39"/>
  <c r="E201" i="39"/>
  <c r="H199" i="39"/>
  <c r="C198" i="39"/>
  <c r="G196" i="39"/>
  <c r="I194" i="39"/>
  <c r="E193" i="39"/>
  <c r="H191" i="39"/>
  <c r="C190" i="39"/>
  <c r="G188" i="39"/>
  <c r="I186" i="39"/>
  <c r="E185" i="39"/>
  <c r="H183" i="39"/>
  <c r="C182" i="39"/>
  <c r="G180" i="39"/>
  <c r="I178" i="39"/>
  <c r="E177" i="39"/>
  <c r="H175" i="39"/>
  <c r="C174" i="39"/>
  <c r="G172" i="39"/>
  <c r="I170" i="39"/>
  <c r="E169" i="39"/>
  <c r="H167" i="39"/>
  <c r="C166" i="39"/>
  <c r="G164" i="39"/>
  <c r="I162" i="39"/>
  <c r="E161" i="39"/>
  <c r="H159" i="39"/>
  <c r="C158" i="39"/>
  <c r="G156" i="39"/>
  <c r="I154" i="39"/>
  <c r="E153" i="39"/>
  <c r="H151" i="39"/>
  <c r="C150" i="39"/>
  <c r="G148" i="39"/>
  <c r="I146" i="39"/>
  <c r="E145" i="39"/>
  <c r="H143" i="39"/>
  <c r="C142" i="39"/>
  <c r="G140" i="39"/>
  <c r="I138" i="39"/>
  <c r="E137" i="39"/>
  <c r="H135" i="39"/>
  <c r="C134" i="39"/>
  <c r="H127" i="39"/>
  <c r="D117" i="39"/>
  <c r="C116" i="39"/>
  <c r="I114" i="39"/>
  <c r="H113" i="39"/>
  <c r="G112" i="39"/>
  <c r="F111" i="39"/>
  <c r="E110" i="39"/>
  <c r="D109" i="39"/>
  <c r="C108" i="39"/>
  <c r="I106" i="39"/>
  <c r="H105" i="39"/>
  <c r="G104" i="39"/>
  <c r="F103" i="39"/>
  <c r="E102" i="39"/>
  <c r="D101" i="39"/>
  <c r="C100" i="39"/>
  <c r="I98" i="39"/>
  <c r="H97" i="39"/>
  <c r="G96" i="39"/>
  <c r="F95" i="39"/>
  <c r="E94" i="39"/>
  <c r="D51" i="17"/>
  <c r="AK34" i="8" s="1"/>
  <c r="D275" i="14"/>
  <c r="E216" i="14"/>
  <c r="G198" i="14"/>
  <c r="H185" i="14"/>
  <c r="H173" i="14"/>
  <c r="H166" i="14"/>
  <c r="F160" i="14"/>
  <c r="G132" i="14"/>
  <c r="E126" i="14"/>
  <c r="H119" i="14"/>
  <c r="F113" i="14"/>
  <c r="C107" i="14"/>
  <c r="G100" i="14"/>
  <c r="E94" i="14"/>
  <c r="H87" i="14"/>
  <c r="G62" i="14"/>
  <c r="G22" i="14"/>
  <c r="C62" i="38"/>
  <c r="G52" i="38"/>
  <c r="G41" i="38"/>
  <c r="C30" i="38"/>
  <c r="H15" i="38"/>
  <c r="D11" i="38"/>
  <c r="I8" i="38"/>
  <c r="D393" i="39"/>
  <c r="H390" i="39"/>
  <c r="C388" i="39"/>
  <c r="D385" i="39"/>
  <c r="I377" i="39"/>
  <c r="G366" i="39"/>
  <c r="H354" i="39"/>
  <c r="C343" i="39"/>
  <c r="H334" i="39"/>
  <c r="C332" i="39"/>
  <c r="E315" i="39"/>
  <c r="H313" i="39"/>
  <c r="D312" i="39"/>
  <c r="H310" i="39"/>
  <c r="D309" i="39"/>
  <c r="G307" i="39"/>
  <c r="D306" i="39"/>
  <c r="G304" i="39"/>
  <c r="C303" i="39"/>
  <c r="G301" i="39"/>
  <c r="C300" i="39"/>
  <c r="H298" i="39"/>
  <c r="F297" i="39"/>
  <c r="D296" i="39"/>
  <c r="H288" i="39"/>
  <c r="F286" i="39"/>
  <c r="D284" i="39"/>
  <c r="H281" i="39"/>
  <c r="F279" i="39"/>
  <c r="D277" i="39"/>
  <c r="H262" i="39"/>
  <c r="C260" i="39"/>
  <c r="E257" i="39"/>
  <c r="H254" i="39"/>
  <c r="C252" i="39"/>
  <c r="E249" i="39"/>
  <c r="H246" i="39"/>
  <c r="C244" i="39"/>
  <c r="G235" i="39"/>
  <c r="G230" i="39"/>
  <c r="I221" i="39"/>
  <c r="E220" i="39"/>
  <c r="H218" i="39"/>
  <c r="C217" i="39"/>
  <c r="G215" i="39"/>
  <c r="I213" i="39"/>
  <c r="E212" i="39"/>
  <c r="H210" i="39"/>
  <c r="C209" i="39"/>
  <c r="G207" i="39"/>
  <c r="I205" i="39"/>
  <c r="E204" i="39"/>
  <c r="H202" i="39"/>
  <c r="C201" i="39"/>
  <c r="G199" i="39"/>
  <c r="I197" i="39"/>
  <c r="E196" i="39"/>
  <c r="H194" i="39"/>
  <c r="C193" i="39"/>
  <c r="G191" i="39"/>
  <c r="I189" i="39"/>
  <c r="E188" i="39"/>
  <c r="H186" i="39"/>
  <c r="C185" i="39"/>
  <c r="G183" i="39"/>
  <c r="I181" i="39"/>
  <c r="E180" i="39"/>
  <c r="H178" i="39"/>
  <c r="C177" i="39"/>
  <c r="G175" i="39"/>
  <c r="I173" i="39"/>
  <c r="E172" i="39"/>
  <c r="H170" i="39"/>
  <c r="C169" i="39"/>
  <c r="G167" i="39"/>
  <c r="I165" i="39"/>
  <c r="E164" i="39"/>
  <c r="H162" i="39"/>
  <c r="C161" i="39"/>
  <c r="G159" i="39"/>
  <c r="I157" i="39"/>
  <c r="E156" i="39"/>
  <c r="H154" i="39"/>
  <c r="C153" i="39"/>
  <c r="G151" i="39"/>
  <c r="I149" i="39"/>
  <c r="E148" i="39"/>
  <c r="H146" i="39"/>
  <c r="C145" i="39"/>
  <c r="G143" i="39"/>
  <c r="I141" i="39"/>
  <c r="E140" i="39"/>
  <c r="H138" i="39"/>
  <c r="C137" i="39"/>
  <c r="G135" i="39"/>
  <c r="I133" i="39"/>
  <c r="H126" i="39"/>
  <c r="C117" i="39"/>
  <c r="I115" i="39"/>
  <c r="H114" i="39"/>
  <c r="G113" i="39"/>
  <c r="F112" i="39"/>
  <c r="E111" i="39"/>
  <c r="D110" i="39"/>
  <c r="C109" i="39"/>
  <c r="I107" i="39"/>
  <c r="H106" i="39"/>
  <c r="G105" i="39"/>
  <c r="F104" i="39"/>
  <c r="E103" i="39"/>
  <c r="D102" i="39"/>
  <c r="C101" i="39"/>
  <c r="I99" i="39"/>
  <c r="H98" i="39"/>
  <c r="G97" i="39"/>
  <c r="F96" i="39"/>
  <c r="E95" i="39"/>
  <c r="D94" i="39"/>
  <c r="C93" i="39"/>
  <c r="I91" i="39"/>
  <c r="H90" i="39"/>
  <c r="G89" i="39"/>
  <c r="F88" i="39"/>
  <c r="E87" i="39"/>
  <c r="D86" i="39"/>
  <c r="C85" i="39"/>
  <c r="I83" i="39"/>
  <c r="H82" i="39"/>
  <c r="G81" i="39"/>
  <c r="F80" i="39"/>
  <c r="E79" i="39"/>
  <c r="D78" i="39"/>
  <c r="I67" i="39"/>
  <c r="H62" i="39"/>
  <c r="I50" i="39"/>
  <c r="C48" i="39"/>
  <c r="H45" i="39"/>
  <c r="I42" i="39"/>
  <c r="C40" i="39"/>
  <c r="H37" i="39"/>
  <c r="I34" i="39"/>
  <c r="C32" i="39"/>
  <c r="H29" i="39"/>
  <c r="I26" i="39"/>
  <c r="C24" i="39"/>
  <c r="C62" i="15"/>
  <c r="F244" i="14"/>
  <c r="E210" i="14"/>
  <c r="H195" i="14"/>
  <c r="C183" i="14"/>
  <c r="E172" i="14"/>
  <c r="F165" i="14"/>
  <c r="C159" i="14"/>
  <c r="E131" i="14"/>
  <c r="H124" i="14"/>
  <c r="F118" i="14"/>
  <c r="C112" i="14"/>
  <c r="G105" i="14"/>
  <c r="E99" i="14"/>
  <c r="H92" i="14"/>
  <c r="F86" i="14"/>
  <c r="E59" i="14"/>
  <c r="G21" i="14"/>
  <c r="G61" i="38"/>
  <c r="C50" i="38"/>
  <c r="G40" i="38"/>
  <c r="G29" i="38"/>
  <c r="H14" i="38"/>
  <c r="C11" i="38"/>
  <c r="H8" i="38"/>
  <c r="C393" i="39"/>
  <c r="F390" i="39"/>
  <c r="H387" i="39"/>
  <c r="C385" i="39"/>
  <c r="H375" i="39"/>
  <c r="G365" i="39"/>
  <c r="G354" i="39"/>
  <c r="G342" i="39"/>
  <c r="G334" i="39"/>
  <c r="I328" i="39"/>
  <c r="D315" i="39"/>
  <c r="G313" i="39"/>
  <c r="C312" i="39"/>
  <c r="G310" i="39"/>
  <c r="C309" i="39"/>
  <c r="F307" i="39"/>
  <c r="C306" i="39"/>
  <c r="F304" i="39"/>
  <c r="I302" i="39"/>
  <c r="F301" i="39"/>
  <c r="I299" i="39"/>
  <c r="G298" i="39"/>
  <c r="E297" i="39"/>
  <c r="C296" i="39"/>
  <c r="F288" i="39"/>
  <c r="D286" i="39"/>
  <c r="H283" i="39"/>
  <c r="F281" i="39"/>
  <c r="D279" i="39"/>
  <c r="C277" i="39"/>
  <c r="E262" i="39"/>
  <c r="H259" i="39"/>
  <c r="C257" i="39"/>
  <c r="E254" i="39"/>
  <c r="H251" i="39"/>
  <c r="C249" i="39"/>
  <c r="E246" i="39"/>
  <c r="H243" i="39"/>
  <c r="G234" i="39"/>
  <c r="G229" i="39"/>
  <c r="H221" i="39"/>
  <c r="C220" i="39"/>
  <c r="G218" i="39"/>
  <c r="I216" i="39"/>
  <c r="E215" i="39"/>
  <c r="H213" i="39"/>
  <c r="C212" i="39"/>
  <c r="G210" i="39"/>
  <c r="I208" i="39"/>
  <c r="E207" i="39"/>
  <c r="H205" i="39"/>
  <c r="C204" i="39"/>
  <c r="G202" i="39"/>
  <c r="I200" i="39"/>
  <c r="E199" i="39"/>
  <c r="H197" i="39"/>
  <c r="C196" i="39"/>
  <c r="G194" i="39"/>
  <c r="I192" i="39"/>
  <c r="E191" i="39"/>
  <c r="H189" i="39"/>
  <c r="C188" i="39"/>
  <c r="G186" i="39"/>
  <c r="I184" i="39"/>
  <c r="E183" i="39"/>
  <c r="H181" i="39"/>
  <c r="C180" i="39"/>
  <c r="G178" i="39"/>
  <c r="I176" i="39"/>
  <c r="E175" i="39"/>
  <c r="H173" i="39"/>
  <c r="C172" i="39"/>
  <c r="G170" i="39"/>
  <c r="I168" i="39"/>
  <c r="E167" i="39"/>
  <c r="H165" i="39"/>
  <c r="C164" i="39"/>
  <c r="G162" i="39"/>
  <c r="I160" i="39"/>
  <c r="E159" i="39"/>
  <c r="H157" i="39"/>
  <c r="C156" i="39"/>
  <c r="G154" i="39"/>
  <c r="I152" i="39"/>
  <c r="E151" i="39"/>
  <c r="H149" i="39"/>
  <c r="C148" i="39"/>
  <c r="G146" i="39"/>
  <c r="I144" i="39"/>
  <c r="E143" i="39"/>
  <c r="H141" i="39"/>
  <c r="C140" i="39"/>
  <c r="G138" i="39"/>
  <c r="I136" i="39"/>
  <c r="E135" i="39"/>
  <c r="H133" i="39"/>
  <c r="H125" i="39"/>
  <c r="I116" i="39"/>
  <c r="H115" i="39"/>
  <c r="G114" i="39"/>
  <c r="F113" i="39"/>
  <c r="E112" i="39"/>
  <c r="D111" i="39"/>
  <c r="C110" i="39"/>
  <c r="I108" i="39"/>
  <c r="H107" i="39"/>
  <c r="G106" i="39"/>
  <c r="F105" i="39"/>
  <c r="E104" i="39"/>
  <c r="D103" i="39"/>
  <c r="C102" i="39"/>
  <c r="I100" i="39"/>
  <c r="H99" i="39"/>
  <c r="G98" i="39"/>
  <c r="F97" i="39"/>
  <c r="E96" i="39"/>
  <c r="D95" i="39"/>
  <c r="C94" i="39"/>
  <c r="I92" i="39"/>
  <c r="H91" i="39"/>
  <c r="G37" i="15"/>
  <c r="H235" i="14"/>
  <c r="H209" i="14"/>
  <c r="F195" i="14"/>
  <c r="G182" i="14"/>
  <c r="C172" i="14"/>
  <c r="E165" i="14"/>
  <c r="H158" i="14"/>
  <c r="C131" i="14"/>
  <c r="G124" i="14"/>
  <c r="E118" i="14"/>
  <c r="H111" i="14"/>
  <c r="F105" i="14"/>
  <c r="C99" i="14"/>
  <c r="G92" i="14"/>
  <c r="E86" i="14"/>
  <c r="G58" i="14"/>
  <c r="G11" i="14"/>
  <c r="G60" i="38"/>
  <c r="G49" i="38"/>
  <c r="C38" i="38"/>
  <c r="G28" i="38"/>
  <c r="F14" i="38"/>
  <c r="I10" i="38"/>
  <c r="D8" i="38"/>
  <c r="H392" i="39"/>
  <c r="C390" i="39"/>
  <c r="D387" i="39"/>
  <c r="H384" i="39"/>
  <c r="G370" i="39"/>
  <c r="G359" i="39"/>
  <c r="G353" i="39"/>
  <c r="C342" i="39"/>
  <c r="C334" i="39"/>
  <c r="H326" i="39"/>
  <c r="I314" i="39"/>
  <c r="E313" i="39"/>
  <c r="I311" i="39"/>
  <c r="E310" i="39"/>
  <c r="H308" i="39"/>
  <c r="E307" i="39"/>
  <c r="H305" i="39"/>
  <c r="D304" i="39"/>
  <c r="H302" i="39"/>
  <c r="D301" i="39"/>
  <c r="H299" i="39"/>
  <c r="F298" i="39"/>
  <c r="D297" i="39"/>
  <c r="I295" i="39"/>
  <c r="D288" i="39"/>
  <c r="H285" i="39"/>
  <c r="F283" i="39"/>
  <c r="D281" i="39"/>
  <c r="C279" i="39"/>
  <c r="H276" i="39"/>
  <c r="C262" i="39"/>
  <c r="E259" i="39"/>
  <c r="H256" i="39"/>
  <c r="C254" i="39"/>
  <c r="E251" i="39"/>
  <c r="H248" i="39"/>
  <c r="C246" i="39"/>
  <c r="E243" i="39"/>
  <c r="I233" i="39"/>
  <c r="I226" i="39"/>
  <c r="G221" i="39"/>
  <c r="I219" i="39"/>
  <c r="E218" i="39"/>
  <c r="H216" i="39"/>
  <c r="C215" i="39"/>
  <c r="G213" i="39"/>
  <c r="I211" i="39"/>
  <c r="E210" i="39"/>
  <c r="H208" i="39"/>
  <c r="C207" i="39"/>
  <c r="G205" i="39"/>
  <c r="I203" i="39"/>
  <c r="E202" i="39"/>
  <c r="H200" i="39"/>
  <c r="C199" i="39"/>
  <c r="G197" i="39"/>
  <c r="I195" i="39"/>
  <c r="E194" i="39"/>
  <c r="H192" i="39"/>
  <c r="C191" i="39"/>
  <c r="G189" i="39"/>
  <c r="I187" i="39"/>
  <c r="E186" i="39"/>
  <c r="H184" i="39"/>
  <c r="C183" i="39"/>
  <c r="G181" i="39"/>
  <c r="I179" i="39"/>
  <c r="E178" i="39"/>
  <c r="H176" i="39"/>
  <c r="C175" i="39"/>
  <c r="G173" i="39"/>
  <c r="I171" i="39"/>
  <c r="E170" i="39"/>
  <c r="H168" i="39"/>
  <c r="C167" i="39"/>
  <c r="G165" i="39"/>
  <c r="I163" i="39"/>
  <c r="E162" i="39"/>
  <c r="H160" i="39"/>
  <c r="C159" i="39"/>
  <c r="G157" i="39"/>
  <c r="I155" i="39"/>
  <c r="E154" i="39"/>
  <c r="H152" i="39"/>
  <c r="C151" i="39"/>
  <c r="G149" i="39"/>
  <c r="I147" i="39"/>
  <c r="E146" i="39"/>
  <c r="H144" i="39"/>
  <c r="C143" i="39"/>
  <c r="G141" i="39"/>
  <c r="I139" i="39"/>
  <c r="E138" i="39"/>
  <c r="H136" i="39"/>
  <c r="C135" i="39"/>
  <c r="G133" i="39"/>
  <c r="I117" i="39"/>
  <c r="H116" i="39"/>
  <c r="G115" i="39"/>
  <c r="F114" i="39"/>
  <c r="E113" i="39"/>
  <c r="D112" i="39"/>
  <c r="C111" i="39"/>
  <c r="I109" i="39"/>
  <c r="H108" i="39"/>
  <c r="G107" i="39"/>
  <c r="F106" i="39"/>
  <c r="E105" i="39"/>
  <c r="D104" i="39"/>
  <c r="C103" i="39"/>
  <c r="I101" i="39"/>
  <c r="H100" i="39"/>
  <c r="G99" i="39"/>
  <c r="F98" i="39"/>
  <c r="E97" i="39"/>
  <c r="D96" i="39"/>
  <c r="C95" i="39"/>
  <c r="I93" i="39"/>
  <c r="H92" i="39"/>
  <c r="G91" i="39"/>
  <c r="F90" i="39"/>
  <c r="E89" i="39"/>
  <c r="D88" i="39"/>
  <c r="C87" i="39"/>
  <c r="I85" i="39"/>
  <c r="H84" i="39"/>
  <c r="G83" i="39"/>
  <c r="F82" i="39"/>
  <c r="E81" i="39"/>
  <c r="D80" i="39"/>
  <c r="C79" i="39"/>
  <c r="I71" i="39"/>
  <c r="G67" i="39"/>
  <c r="I60" i="39"/>
  <c r="C50" i="39"/>
  <c r="H47" i="39"/>
  <c r="I44" i="39"/>
  <c r="C42" i="39"/>
  <c r="H313" i="14"/>
  <c r="F229" i="14"/>
  <c r="F205" i="14"/>
  <c r="G192" i="14"/>
  <c r="H179" i="14"/>
  <c r="F170" i="14"/>
  <c r="H163" i="14"/>
  <c r="F157" i="14"/>
  <c r="G129" i="14"/>
  <c r="E123" i="14"/>
  <c r="H116" i="14"/>
  <c r="F110" i="14"/>
  <c r="C104" i="14"/>
  <c r="G97" i="14"/>
  <c r="E91" i="14"/>
  <c r="H84" i="14"/>
  <c r="I47" i="14"/>
  <c r="E11" i="14"/>
  <c r="C58" i="38"/>
  <c r="G48" i="38"/>
  <c r="G37" i="38"/>
  <c r="I17" i="38"/>
  <c r="C14" i="38"/>
  <c r="F10" i="38"/>
  <c r="C8" i="38"/>
  <c r="F392" i="39"/>
  <c r="H389" i="39"/>
  <c r="C387" i="39"/>
  <c r="F384" i="39"/>
  <c r="H369" i="39"/>
  <c r="G358" i="39"/>
  <c r="G352" i="39"/>
  <c r="G341" i="39"/>
  <c r="H333" i="39"/>
  <c r="H325" i="39"/>
  <c r="H314" i="39"/>
  <c r="D313" i="39"/>
  <c r="H311" i="39"/>
  <c r="D310" i="39"/>
  <c r="G308" i="39"/>
  <c r="D307" i="39"/>
  <c r="G305" i="39"/>
  <c r="C304" i="39"/>
  <c r="G302" i="39"/>
  <c r="C301" i="39"/>
  <c r="G299" i="39"/>
  <c r="E298" i="39"/>
  <c r="C297" i="39"/>
  <c r="H295" i="39"/>
  <c r="H287" i="39"/>
  <c r="F285" i="39"/>
  <c r="D283" i="39"/>
  <c r="C281" i="39"/>
  <c r="H278" i="39"/>
  <c r="F276" i="39"/>
  <c r="H261" i="39"/>
  <c r="C259" i="39"/>
  <c r="E256" i="39"/>
  <c r="H253" i="39"/>
  <c r="C251" i="39"/>
  <c r="E248" i="39"/>
  <c r="H245" i="39"/>
  <c r="C243" i="39"/>
  <c r="H233" i="39"/>
  <c r="I222" i="39"/>
  <c r="E221" i="39"/>
  <c r="H219" i="39"/>
  <c r="C218" i="39"/>
  <c r="G216" i="39"/>
  <c r="I214" i="39"/>
  <c r="E213" i="39"/>
  <c r="H211" i="39"/>
  <c r="C210" i="39"/>
  <c r="G208" i="39"/>
  <c r="I206" i="39"/>
  <c r="E205" i="39"/>
  <c r="H203" i="39"/>
  <c r="C202" i="39"/>
  <c r="G200" i="39"/>
  <c r="I198" i="39"/>
  <c r="E197" i="39"/>
  <c r="H195" i="39"/>
  <c r="C194" i="39"/>
  <c r="G192" i="39"/>
  <c r="I190" i="39"/>
  <c r="E189" i="39"/>
  <c r="H187" i="39"/>
  <c r="C186" i="39"/>
  <c r="G184" i="39"/>
  <c r="I182" i="39"/>
  <c r="E181" i="39"/>
  <c r="H179" i="39"/>
  <c r="C178" i="39"/>
  <c r="G176" i="39"/>
  <c r="I174" i="39"/>
  <c r="E173" i="39"/>
  <c r="H171" i="39"/>
  <c r="C170" i="39"/>
  <c r="G168" i="39"/>
  <c r="I166" i="39"/>
  <c r="E165" i="39"/>
  <c r="H163" i="39"/>
  <c r="C162" i="39"/>
  <c r="G160" i="39"/>
  <c r="I158" i="39"/>
  <c r="E157" i="39"/>
  <c r="H155" i="39"/>
  <c r="C154" i="39"/>
  <c r="G152" i="39"/>
  <c r="I150" i="39"/>
  <c r="E149" i="39"/>
  <c r="H147" i="39"/>
  <c r="C146" i="39"/>
  <c r="G144" i="39"/>
  <c r="I142" i="39"/>
  <c r="E141" i="39"/>
  <c r="H139" i="39"/>
  <c r="C138" i="39"/>
  <c r="G136" i="39"/>
  <c r="I134" i="39"/>
  <c r="E133" i="39"/>
  <c r="H117" i="39"/>
  <c r="G116" i="39"/>
  <c r="F115" i="39"/>
  <c r="E114" i="39"/>
  <c r="D113" i="39"/>
  <c r="C112" i="39"/>
  <c r="I110" i="39"/>
  <c r="H109" i="39"/>
  <c r="G108" i="39"/>
  <c r="F107" i="39"/>
  <c r="E106" i="39"/>
  <c r="D105" i="39"/>
  <c r="C104" i="39"/>
  <c r="I102" i="39"/>
  <c r="H101" i="39"/>
  <c r="G100" i="39"/>
  <c r="F99" i="39"/>
  <c r="E98" i="39"/>
  <c r="D97" i="39"/>
  <c r="C96" i="39"/>
  <c r="I94" i="39"/>
  <c r="H93" i="39"/>
  <c r="G92" i="39"/>
  <c r="F91" i="39"/>
  <c r="E90" i="39"/>
  <c r="D89" i="39"/>
  <c r="C88" i="39"/>
  <c r="I86" i="39"/>
  <c r="H85" i="39"/>
  <c r="G84" i="39"/>
  <c r="F83" i="39"/>
  <c r="E82" i="39"/>
  <c r="D81" i="39"/>
  <c r="C80" i="39"/>
  <c r="I78" i="39"/>
  <c r="H71" i="39"/>
  <c r="G65" i="39"/>
  <c r="G60" i="39"/>
  <c r="I49" i="39"/>
  <c r="C47" i="39"/>
  <c r="H44" i="39"/>
  <c r="G311" i="14"/>
  <c r="C229" i="14"/>
  <c r="C205" i="14"/>
  <c r="E192" i="14"/>
  <c r="F179" i="14"/>
  <c r="E170" i="14"/>
  <c r="G163" i="14"/>
  <c r="E157" i="14"/>
  <c r="F129" i="14"/>
  <c r="C123" i="14"/>
  <c r="G116" i="14"/>
  <c r="E110" i="14"/>
  <c r="H103" i="14"/>
  <c r="F97" i="14"/>
  <c r="C91" i="14"/>
  <c r="G84" i="14"/>
  <c r="G45" i="14"/>
  <c r="E10" i="14"/>
  <c r="G57" i="38"/>
  <c r="C46" i="38"/>
  <c r="G36" i="38"/>
  <c r="H17" i="38"/>
  <c r="C13" i="38"/>
  <c r="I9" i="38"/>
  <c r="H394" i="39"/>
  <c r="C392" i="39"/>
  <c r="D389" i="39"/>
  <c r="H386" i="39"/>
  <c r="C384" i="39"/>
  <c r="G368" i="39"/>
  <c r="H357" i="39"/>
  <c r="G344" i="39"/>
  <c r="C341" i="39"/>
  <c r="G333" i="39"/>
  <c r="H323" i="39"/>
  <c r="F314" i="39"/>
  <c r="C313" i="39"/>
  <c r="F311" i="39"/>
  <c r="I309" i="39"/>
  <c r="F308" i="39"/>
  <c r="I306" i="39"/>
  <c r="E305" i="39"/>
  <c r="I303" i="39"/>
  <c r="E302" i="39"/>
  <c r="H300" i="39"/>
  <c r="F299" i="39"/>
  <c r="D298" i="39"/>
  <c r="I296" i="39"/>
  <c r="F295" i="39"/>
  <c r="F287" i="39"/>
  <c r="D285" i="39"/>
  <c r="C283" i="39"/>
  <c r="H280" i="39"/>
  <c r="F278" i="39"/>
  <c r="D276" i="39"/>
  <c r="E261" i="39"/>
  <c r="H258" i="39"/>
  <c r="C256" i="39"/>
  <c r="E253" i="39"/>
  <c r="H250" i="39"/>
  <c r="C248" i="39"/>
  <c r="E245" i="39"/>
  <c r="I240" i="39"/>
  <c r="G233" i="39"/>
  <c r="H222" i="39"/>
  <c r="C221" i="39"/>
  <c r="G219" i="39"/>
  <c r="I217" i="39"/>
  <c r="E216" i="39"/>
  <c r="H214" i="39"/>
  <c r="C213" i="39"/>
  <c r="G211" i="39"/>
  <c r="I209" i="39"/>
  <c r="E208" i="39"/>
  <c r="H206" i="39"/>
  <c r="C205" i="39"/>
  <c r="G203" i="39"/>
  <c r="I201" i="39"/>
  <c r="E200" i="39"/>
  <c r="H198" i="39"/>
  <c r="C197" i="39"/>
  <c r="G195" i="39"/>
  <c r="I193" i="39"/>
  <c r="E192" i="39"/>
  <c r="H190" i="39"/>
  <c r="C189" i="39"/>
  <c r="G187" i="39"/>
  <c r="I185" i="39"/>
  <c r="E184" i="39"/>
  <c r="H182" i="39"/>
  <c r="C181" i="39"/>
  <c r="G179" i="39"/>
  <c r="I177" i="39"/>
  <c r="E176" i="39"/>
  <c r="H174" i="39"/>
  <c r="C173" i="39"/>
  <c r="G171" i="39"/>
  <c r="I169" i="39"/>
  <c r="E168" i="39"/>
  <c r="H166" i="39"/>
  <c r="C165" i="39"/>
  <c r="G163" i="39"/>
  <c r="I161" i="39"/>
  <c r="E160" i="39"/>
  <c r="H158" i="39"/>
  <c r="C157" i="39"/>
  <c r="G155" i="39"/>
  <c r="I153" i="39"/>
  <c r="E152" i="39"/>
  <c r="H150" i="39"/>
  <c r="C149" i="39"/>
  <c r="G147" i="39"/>
  <c r="I145" i="39"/>
  <c r="E144" i="39"/>
  <c r="H142" i="39"/>
  <c r="C141" i="39"/>
  <c r="G139" i="39"/>
  <c r="I137" i="39"/>
  <c r="E136" i="39"/>
  <c r="H134" i="39"/>
  <c r="C133" i="39"/>
  <c r="G117" i="39"/>
  <c r="F116" i="39"/>
  <c r="E115" i="39"/>
  <c r="D114" i="39"/>
  <c r="C113" i="39"/>
  <c r="I111" i="39"/>
  <c r="H110" i="39"/>
  <c r="G109" i="39"/>
  <c r="F108" i="39"/>
  <c r="E107" i="39"/>
  <c r="D106" i="39"/>
  <c r="C105" i="39"/>
  <c r="I103" i="39"/>
  <c r="H102" i="39"/>
  <c r="G101" i="39"/>
  <c r="F100" i="39"/>
  <c r="E99" i="39"/>
  <c r="D98" i="39"/>
  <c r="C97" i="39"/>
  <c r="I95" i="39"/>
  <c r="H94" i="39"/>
  <c r="G93" i="39"/>
  <c r="F92" i="39"/>
  <c r="E91" i="39"/>
  <c r="D90" i="39"/>
  <c r="C89" i="39"/>
  <c r="I87" i="39"/>
  <c r="H86" i="39"/>
  <c r="G85" i="39"/>
  <c r="F84" i="39"/>
  <c r="E83" i="39"/>
  <c r="D82" i="39"/>
  <c r="C81" i="39"/>
  <c r="I79" i="39"/>
  <c r="H78" i="39"/>
  <c r="G71" i="39"/>
  <c r="I64" i="39"/>
  <c r="I58" i="39"/>
  <c r="H49" i="39"/>
  <c r="I46" i="39"/>
  <c r="C44" i="39"/>
  <c r="E300" i="14"/>
  <c r="C223" i="14"/>
  <c r="E202" i="14"/>
  <c r="F189" i="14"/>
  <c r="G176" i="14"/>
  <c r="G168" i="14"/>
  <c r="E162" i="14"/>
  <c r="H150" i="14"/>
  <c r="C128" i="14"/>
  <c r="G121" i="14"/>
  <c r="E115" i="14"/>
  <c r="H108" i="14"/>
  <c r="F102" i="14"/>
  <c r="C96" i="14"/>
  <c r="G89" i="14"/>
  <c r="E83" i="14"/>
  <c r="G34" i="14"/>
  <c r="C66" i="38"/>
  <c r="G56" i="38"/>
  <c r="G45" i="38"/>
  <c r="C34" i="38"/>
  <c r="D17" i="38"/>
  <c r="I12" i="38"/>
  <c r="H9" i="38"/>
  <c r="F394" i="39"/>
  <c r="H391" i="39"/>
  <c r="C389" i="39"/>
  <c r="F386" i="39"/>
  <c r="H383" i="39"/>
  <c r="I367" i="39"/>
  <c r="G357" i="39"/>
  <c r="F344" i="39"/>
  <c r="H335" i="39"/>
  <c r="F333" i="39"/>
  <c r="I315" i="39"/>
  <c r="E314" i="39"/>
  <c r="I312" i="39"/>
  <c r="E311" i="39"/>
  <c r="H309" i="39"/>
  <c r="E308" i="39"/>
  <c r="H306" i="39"/>
  <c r="D305" i="39"/>
  <c r="H303" i="39"/>
  <c r="D302" i="39"/>
  <c r="G300" i="39"/>
  <c r="E299" i="39"/>
  <c r="C298" i="39"/>
  <c r="G296" i="39"/>
  <c r="E295" i="39"/>
  <c r="D287" i="39"/>
  <c r="C285" i="39"/>
  <c r="H282" i="39"/>
  <c r="F280" i="39"/>
  <c r="D278" i="39"/>
  <c r="I270" i="39"/>
  <c r="C261" i="39"/>
  <c r="E258" i="39"/>
  <c r="H255" i="39"/>
  <c r="C253" i="39"/>
  <c r="E250" i="39"/>
  <c r="H247" i="39"/>
  <c r="C245" i="39"/>
  <c r="G237" i="39"/>
  <c r="H232" i="39"/>
  <c r="G222" i="39"/>
  <c r="I220" i="39"/>
  <c r="E219" i="39"/>
  <c r="H217" i="39"/>
  <c r="C216" i="39"/>
  <c r="G214" i="39"/>
  <c r="I212" i="39"/>
  <c r="E211" i="39"/>
  <c r="H209" i="39"/>
  <c r="C208" i="39"/>
  <c r="G206" i="39"/>
  <c r="I204" i="39"/>
  <c r="E203" i="39"/>
  <c r="H201" i="39"/>
  <c r="C200" i="39"/>
  <c r="G198" i="39"/>
  <c r="I196" i="39"/>
  <c r="E195" i="39"/>
  <c r="H193" i="39"/>
  <c r="C192" i="39"/>
  <c r="G190" i="39"/>
  <c r="I188" i="39"/>
  <c r="E187" i="39"/>
  <c r="H185" i="39"/>
  <c r="C184" i="39"/>
  <c r="G182" i="39"/>
  <c r="I180" i="39"/>
  <c r="E179" i="39"/>
  <c r="H177" i="39"/>
  <c r="C176" i="39"/>
  <c r="G174" i="39"/>
  <c r="I172" i="39"/>
  <c r="E171" i="39"/>
  <c r="H169" i="39"/>
  <c r="C168" i="39"/>
  <c r="G166" i="39"/>
  <c r="I164" i="39"/>
  <c r="E163" i="39"/>
  <c r="I298" i="14"/>
  <c r="H127" i="14"/>
  <c r="G33" i="14"/>
  <c r="C394" i="39"/>
  <c r="G335" i="39"/>
  <c r="F306" i="39"/>
  <c r="D295" i="39"/>
  <c r="C258" i="39"/>
  <c r="E222" i="39"/>
  <c r="G209" i="39"/>
  <c r="H196" i="39"/>
  <c r="I183" i="39"/>
  <c r="C171" i="39"/>
  <c r="C160" i="39"/>
  <c r="H153" i="39"/>
  <c r="E147" i="39"/>
  <c r="I140" i="39"/>
  <c r="G134" i="39"/>
  <c r="D115" i="39"/>
  <c r="G110" i="39"/>
  <c r="C106" i="39"/>
  <c r="F101" i="39"/>
  <c r="I96" i="39"/>
  <c r="D93" i="39"/>
  <c r="C90" i="39"/>
  <c r="H87" i="39"/>
  <c r="F85" i="39"/>
  <c r="D83" i="39"/>
  <c r="I80" i="39"/>
  <c r="G78" i="39"/>
  <c r="H64" i="39"/>
  <c r="C49" i="39"/>
  <c r="I43" i="39"/>
  <c r="H40" i="39"/>
  <c r="C37" i="39"/>
  <c r="C34" i="39"/>
  <c r="C31" i="39"/>
  <c r="C28" i="39"/>
  <c r="C25" i="39"/>
  <c r="C22" i="39"/>
  <c r="H19" i="39"/>
  <c r="I11" i="39"/>
  <c r="F9" i="39"/>
  <c r="C1508" i="10"/>
  <c r="H1496" i="10"/>
  <c r="G1476" i="10"/>
  <c r="E1463" i="10"/>
  <c r="C1454" i="10"/>
  <c r="K1438" i="10"/>
  <c r="C1438" i="10"/>
  <c r="D1437" i="10"/>
  <c r="E1436" i="10"/>
  <c r="F1435" i="10"/>
  <c r="G1434" i="10"/>
  <c r="H1433" i="10"/>
  <c r="I1432" i="10"/>
  <c r="J1431" i="10"/>
  <c r="K1430" i="10"/>
  <c r="C1430" i="10"/>
  <c r="D1429" i="10"/>
  <c r="E1428" i="10"/>
  <c r="F1427" i="10"/>
  <c r="G1426" i="10"/>
  <c r="H1425" i="10"/>
  <c r="I1424" i="10"/>
  <c r="J1423" i="10"/>
  <c r="K1422" i="10"/>
  <c r="C1422" i="10"/>
  <c r="D1421" i="10"/>
  <c r="E1420" i="10"/>
  <c r="F1419" i="10"/>
  <c r="G1418" i="10"/>
  <c r="H1417" i="10"/>
  <c r="I1416" i="10"/>
  <c r="J1415" i="10"/>
  <c r="K1414" i="10"/>
  <c r="C1414" i="10"/>
  <c r="D1413" i="10"/>
  <c r="E1412" i="10"/>
  <c r="F1411" i="10"/>
  <c r="G1410" i="10"/>
  <c r="H1409" i="10"/>
  <c r="I1408" i="10"/>
  <c r="J1407" i="10"/>
  <c r="K1406" i="10"/>
  <c r="C1406" i="10"/>
  <c r="D1405" i="10"/>
  <c r="E1404" i="10"/>
  <c r="F1403" i="10"/>
  <c r="G1402" i="10"/>
  <c r="H1401" i="10"/>
  <c r="I1400" i="10"/>
  <c r="J1399" i="10"/>
  <c r="K1398" i="10"/>
  <c r="C1398" i="10"/>
  <c r="D1397" i="10"/>
  <c r="E1396" i="10"/>
  <c r="F1395" i="10"/>
  <c r="G1394" i="10"/>
  <c r="H1393" i="10"/>
  <c r="I1392" i="10"/>
  <c r="J1391" i="10"/>
  <c r="K1390" i="10"/>
  <c r="C1390" i="10"/>
  <c r="D1389" i="10"/>
  <c r="H1375" i="10"/>
  <c r="C1374" i="10"/>
  <c r="G1372" i="10"/>
  <c r="I1370" i="10"/>
  <c r="E1369" i="10"/>
  <c r="H1367" i="10"/>
  <c r="C1366" i="10"/>
  <c r="G1364" i="10"/>
  <c r="I1362" i="10"/>
  <c r="E1361" i="10"/>
  <c r="H1359" i="10"/>
  <c r="C1358" i="10"/>
  <c r="G1356" i="10"/>
  <c r="I1354" i="10"/>
  <c r="E1353" i="10"/>
  <c r="H1351" i="10"/>
  <c r="C1350" i="10"/>
  <c r="G1348" i="10"/>
  <c r="I1346" i="10"/>
  <c r="E1345" i="10"/>
  <c r="H1343" i="10"/>
  <c r="C1342" i="10"/>
  <c r="G1340" i="10"/>
  <c r="I1338" i="10"/>
  <c r="E1337" i="10"/>
  <c r="H1335" i="10"/>
  <c r="C1334" i="10"/>
  <c r="G1332" i="10"/>
  <c r="I1330" i="10"/>
  <c r="E1329" i="10"/>
  <c r="H1327" i="10"/>
  <c r="F1316" i="10"/>
  <c r="E1315" i="10"/>
  <c r="D1314" i="10"/>
  <c r="C1313" i="10"/>
  <c r="I1311" i="10"/>
  <c r="H1310" i="10"/>
  <c r="G1309" i="10"/>
  <c r="F1308" i="10"/>
  <c r="E1307" i="10"/>
  <c r="D1306" i="10"/>
  <c r="C1305" i="10"/>
  <c r="I1303" i="10"/>
  <c r="H1302" i="10"/>
  <c r="G1301" i="10"/>
  <c r="F1300" i="10"/>
  <c r="E1299" i="10"/>
  <c r="D1298" i="10"/>
  <c r="C1297" i="10"/>
  <c r="I1295" i="10"/>
  <c r="H1294" i="10"/>
  <c r="G222" i="14"/>
  <c r="F121" i="14"/>
  <c r="G65" i="38"/>
  <c r="D391" i="39"/>
  <c r="H332" i="39"/>
  <c r="C305" i="39"/>
  <c r="C287" i="39"/>
  <c r="E255" i="39"/>
  <c r="H220" i="39"/>
  <c r="I207" i="39"/>
  <c r="C195" i="39"/>
  <c r="E182" i="39"/>
  <c r="G169" i="39"/>
  <c r="I159" i="39"/>
  <c r="G153" i="39"/>
  <c r="C147" i="39"/>
  <c r="H140" i="39"/>
  <c r="E134" i="39"/>
  <c r="C115" i="39"/>
  <c r="F110" i="39"/>
  <c r="I105" i="39"/>
  <c r="E101" i="39"/>
  <c r="H96" i="39"/>
  <c r="E92" i="39"/>
  <c r="I89" i="39"/>
  <c r="G87" i="39"/>
  <c r="E85" i="39"/>
  <c r="C83" i="39"/>
  <c r="H80" i="39"/>
  <c r="F78" i="39"/>
  <c r="G64" i="39"/>
  <c r="I48" i="39"/>
  <c r="H43" i="39"/>
  <c r="I39" i="39"/>
  <c r="I36" i="39"/>
  <c r="I33" i="39"/>
  <c r="I30" i="39"/>
  <c r="I27" i="39"/>
  <c r="I24" i="39"/>
  <c r="I21" i="39"/>
  <c r="C19" i="39"/>
  <c r="H11" i="39"/>
  <c r="H8" i="39"/>
  <c r="G1507" i="10"/>
  <c r="H1495" i="10"/>
  <c r="G1475" i="10"/>
  <c r="G1462" i="10"/>
  <c r="G1453" i="10"/>
  <c r="J1438" i="10"/>
  <c r="K1437" i="10"/>
  <c r="C1437" i="10"/>
  <c r="D1436" i="10"/>
  <c r="E1435" i="10"/>
  <c r="F1434" i="10"/>
  <c r="G1433" i="10"/>
  <c r="H1432" i="10"/>
  <c r="I1431" i="10"/>
  <c r="J1430" i="10"/>
  <c r="K1429" i="10"/>
  <c r="C1429" i="10"/>
  <c r="D1428" i="10"/>
  <c r="E1427" i="10"/>
  <c r="F1426" i="10"/>
  <c r="G1425" i="10"/>
  <c r="H1424" i="10"/>
  <c r="I1423" i="10"/>
  <c r="J1422" i="10"/>
  <c r="K1421" i="10"/>
  <c r="C1421" i="10"/>
  <c r="D1420" i="10"/>
  <c r="E1419" i="10"/>
  <c r="F1418" i="10"/>
  <c r="G1417" i="10"/>
  <c r="H1416" i="10"/>
  <c r="I1415" i="10"/>
  <c r="J1414" i="10"/>
  <c r="K1413" i="10"/>
  <c r="C1413" i="10"/>
  <c r="D1412" i="10"/>
  <c r="E1411" i="10"/>
  <c r="F1410" i="10"/>
  <c r="G1409" i="10"/>
  <c r="H1408" i="10"/>
  <c r="I1407" i="10"/>
  <c r="J1406" i="10"/>
  <c r="K1405" i="10"/>
  <c r="C1405" i="10"/>
  <c r="D1404" i="10"/>
  <c r="E1403" i="10"/>
  <c r="F1402" i="10"/>
  <c r="G1401" i="10"/>
  <c r="H1400" i="10"/>
  <c r="I1399" i="10"/>
  <c r="J1398" i="10"/>
  <c r="K1397" i="10"/>
  <c r="C1397" i="10"/>
  <c r="D1396" i="10"/>
  <c r="E1395" i="10"/>
  <c r="F1394" i="10"/>
  <c r="G1393" i="10"/>
  <c r="H1392" i="10"/>
  <c r="I1391" i="10"/>
  <c r="J1390" i="10"/>
  <c r="K1389" i="10"/>
  <c r="C1389" i="10"/>
  <c r="G1375" i="10"/>
  <c r="I1373" i="10"/>
  <c r="E1372" i="10"/>
  <c r="H1370" i="10"/>
  <c r="C1369" i="10"/>
  <c r="G1367" i="10"/>
  <c r="I1365" i="10"/>
  <c r="E1364" i="10"/>
  <c r="H1362" i="10"/>
  <c r="C1361" i="10"/>
  <c r="G1359" i="10"/>
  <c r="I1357" i="10"/>
  <c r="E1356" i="10"/>
  <c r="H1354" i="10"/>
  <c r="C1353" i="10"/>
  <c r="G1351" i="10"/>
  <c r="I1349" i="10"/>
  <c r="E1348" i="10"/>
  <c r="H1346" i="10"/>
  <c r="C1345" i="10"/>
  <c r="G1343" i="10"/>
  <c r="I1341" i="10"/>
  <c r="E1340" i="10"/>
  <c r="H1338" i="10"/>
  <c r="C1337" i="10"/>
  <c r="G1335" i="10"/>
  <c r="I1333" i="10"/>
  <c r="E1332" i="10"/>
  <c r="H1330" i="10"/>
  <c r="C1329" i="10"/>
  <c r="G1327" i="10"/>
  <c r="E1316" i="10"/>
  <c r="D1315" i="10"/>
  <c r="C1314" i="10"/>
  <c r="I1312" i="10"/>
  <c r="H1311" i="10"/>
  <c r="G1310" i="10"/>
  <c r="F1309" i="10"/>
  <c r="E1308" i="10"/>
  <c r="D1307" i="10"/>
  <c r="C1306" i="10"/>
  <c r="I1304" i="10"/>
  <c r="H1303" i="10"/>
  <c r="G1302" i="10"/>
  <c r="F1301" i="10"/>
  <c r="E1300" i="10"/>
  <c r="D1299" i="10"/>
  <c r="C1298" i="10"/>
  <c r="I1296" i="10"/>
  <c r="H1295" i="10"/>
  <c r="G1294" i="10"/>
  <c r="F1293" i="10"/>
  <c r="E1292" i="10"/>
  <c r="D1291" i="10"/>
  <c r="C1290" i="10"/>
  <c r="I1288" i="10"/>
  <c r="H1287" i="10"/>
  <c r="G1286" i="10"/>
  <c r="F1285" i="10"/>
  <c r="E1284" i="10"/>
  <c r="D1283" i="10"/>
  <c r="C1282" i="10"/>
  <c r="I1280" i="10"/>
  <c r="H201" i="14"/>
  <c r="C115" i="14"/>
  <c r="C54" i="38"/>
  <c r="H388" i="39"/>
  <c r="G315" i="39"/>
  <c r="F303" i="39"/>
  <c r="H284" i="39"/>
  <c r="H252" i="39"/>
  <c r="C219" i="39"/>
  <c r="E206" i="39"/>
  <c r="G193" i="39"/>
  <c r="H180" i="39"/>
  <c r="I167" i="39"/>
  <c r="G158" i="39"/>
  <c r="C152" i="39"/>
  <c r="H145" i="39"/>
  <c r="E139" i="39"/>
  <c r="I130" i="39"/>
  <c r="C114" i="39"/>
  <c r="F109" i="39"/>
  <c r="I104" i="39"/>
  <c r="E100" i="39"/>
  <c r="H95" i="39"/>
  <c r="D92" i="39"/>
  <c r="H89" i="39"/>
  <c r="F87" i="39"/>
  <c r="D85" i="39"/>
  <c r="I82" i="39"/>
  <c r="G80" i="39"/>
  <c r="E78" i="39"/>
  <c r="I62" i="39"/>
  <c r="H48" i="39"/>
  <c r="C43" i="39"/>
  <c r="H39" i="39"/>
  <c r="H36" i="39"/>
  <c r="H33" i="39"/>
  <c r="H30" i="39"/>
  <c r="H27" i="39"/>
  <c r="H24" i="39"/>
  <c r="H21" i="39"/>
  <c r="I18" i="39"/>
  <c r="F11" i="39"/>
  <c r="F8" i="39"/>
  <c r="C1507" i="10"/>
  <c r="H1494" i="10"/>
  <c r="G1474" i="10"/>
  <c r="E1462" i="10"/>
  <c r="C1453" i="10"/>
  <c r="I1438" i="10"/>
  <c r="J1437" i="10"/>
  <c r="K1436" i="10"/>
  <c r="C1436" i="10"/>
  <c r="D1435" i="10"/>
  <c r="E1434" i="10"/>
  <c r="F1433" i="10"/>
  <c r="G1432" i="10"/>
  <c r="H1431" i="10"/>
  <c r="I1430" i="10"/>
  <c r="J1429" i="10"/>
  <c r="K1428" i="10"/>
  <c r="C1428" i="10"/>
  <c r="D1427" i="10"/>
  <c r="E1426" i="10"/>
  <c r="F1425" i="10"/>
  <c r="G1424" i="10"/>
  <c r="H1423" i="10"/>
  <c r="I1422" i="10"/>
  <c r="J1421" i="10"/>
  <c r="K1420" i="10"/>
  <c r="C1420" i="10"/>
  <c r="D1419" i="10"/>
  <c r="E1418" i="10"/>
  <c r="F1417" i="10"/>
  <c r="G1416" i="10"/>
  <c r="H1415" i="10"/>
  <c r="I1414" i="10"/>
  <c r="J1413" i="10"/>
  <c r="K1412" i="10"/>
  <c r="C1412" i="10"/>
  <c r="D1411" i="10"/>
  <c r="E1410" i="10"/>
  <c r="F1409" i="10"/>
  <c r="G1408" i="10"/>
  <c r="H1407" i="10"/>
  <c r="I1406" i="10"/>
  <c r="J1405" i="10"/>
  <c r="K1404" i="10"/>
  <c r="C1404" i="10"/>
  <c r="D1403" i="10"/>
  <c r="E1402" i="10"/>
  <c r="F1401" i="10"/>
  <c r="G1400" i="10"/>
  <c r="H1399" i="10"/>
  <c r="I1398" i="10"/>
  <c r="J1397" i="10"/>
  <c r="K1396" i="10"/>
  <c r="C1396" i="10"/>
  <c r="D1395" i="10"/>
  <c r="E1394" i="10"/>
  <c r="F1393" i="10"/>
  <c r="G1392" i="10"/>
  <c r="H1391" i="10"/>
  <c r="I1390" i="10"/>
  <c r="J1389" i="10"/>
  <c r="I1376" i="10"/>
  <c r="E1375" i="10"/>
  <c r="H1373" i="10"/>
  <c r="C1372" i="10"/>
  <c r="G1370" i="10"/>
  <c r="I1368" i="10"/>
  <c r="E1367" i="10"/>
  <c r="H1365" i="10"/>
  <c r="C1364" i="10"/>
  <c r="G1362" i="10"/>
  <c r="I1360" i="10"/>
  <c r="E1359" i="10"/>
  <c r="H1357" i="10"/>
  <c r="C1356" i="10"/>
  <c r="G1354" i="10"/>
  <c r="I1352" i="10"/>
  <c r="E1351" i="10"/>
  <c r="H1349" i="10"/>
  <c r="C1348" i="10"/>
  <c r="G1346" i="10"/>
  <c r="I1344" i="10"/>
  <c r="E1343" i="10"/>
  <c r="H1341" i="10"/>
  <c r="C1340" i="10"/>
  <c r="G1338" i="10"/>
  <c r="I1336" i="10"/>
  <c r="E1335" i="10"/>
  <c r="H1333" i="10"/>
  <c r="C1332" i="10"/>
  <c r="G1330" i="10"/>
  <c r="I1328" i="10"/>
  <c r="E1327" i="10"/>
  <c r="D1316" i="10"/>
  <c r="C1315" i="10"/>
  <c r="I1313" i="10"/>
  <c r="H1312" i="10"/>
  <c r="G1311" i="10"/>
  <c r="F1310" i="10"/>
  <c r="E1309" i="10"/>
  <c r="D1308" i="10"/>
  <c r="C1307" i="10"/>
  <c r="I1305" i="10"/>
  <c r="H1304" i="10"/>
  <c r="G1303" i="10"/>
  <c r="F1302" i="10"/>
  <c r="E1301" i="10"/>
  <c r="D1300" i="10"/>
  <c r="C1299" i="10"/>
  <c r="I1297" i="10"/>
  <c r="H1296" i="10"/>
  <c r="G1295" i="10"/>
  <c r="F1294" i="10"/>
  <c r="E1293" i="10"/>
  <c r="D1292" i="10"/>
  <c r="C1291" i="10"/>
  <c r="I1289" i="10"/>
  <c r="H1288" i="10"/>
  <c r="G1287" i="10"/>
  <c r="F1286" i="10"/>
  <c r="E1285" i="10"/>
  <c r="D1284" i="10"/>
  <c r="C1283" i="10"/>
  <c r="I1281" i="10"/>
  <c r="H1280" i="10"/>
  <c r="G1279" i="10"/>
  <c r="F1278" i="10"/>
  <c r="C189" i="14"/>
  <c r="G108" i="14"/>
  <c r="G44" i="38"/>
  <c r="C386" i="39"/>
  <c r="D314" i="39"/>
  <c r="I301" i="39"/>
  <c r="F282" i="39"/>
  <c r="C250" i="39"/>
  <c r="G217" i="39"/>
  <c r="H204" i="39"/>
  <c r="I191" i="39"/>
  <c r="C179" i="39"/>
  <c r="E166" i="39"/>
  <c r="E158" i="39"/>
  <c r="I151" i="39"/>
  <c r="G145" i="39"/>
  <c r="C139" i="39"/>
  <c r="H128" i="39"/>
  <c r="I113" i="39"/>
  <c r="E109" i="39"/>
  <c r="H104" i="39"/>
  <c r="D100" i="39"/>
  <c r="G95" i="39"/>
  <c r="C92" i="39"/>
  <c r="F89" i="39"/>
  <c r="D87" i="39"/>
  <c r="I84" i="39"/>
  <c r="G82" i="39"/>
  <c r="E80" i="39"/>
  <c r="C78" i="39"/>
  <c r="G62" i="39"/>
  <c r="I47" i="39"/>
  <c r="H42" i="39"/>
  <c r="C39" i="39"/>
  <c r="C36" i="39"/>
  <c r="C33" i="39"/>
  <c r="C30" i="39"/>
  <c r="C27" i="39"/>
  <c r="I23" i="39"/>
  <c r="C21" i="39"/>
  <c r="H18" i="39"/>
  <c r="I10" i="39"/>
  <c r="G1510" i="10"/>
  <c r="G1506" i="10"/>
  <c r="H1493" i="10"/>
  <c r="G1473" i="10"/>
  <c r="G1456" i="10"/>
  <c r="G1452" i="10"/>
  <c r="H1438" i="10"/>
  <c r="I1437" i="10"/>
  <c r="J1436" i="10"/>
  <c r="K1435" i="10"/>
  <c r="C1435" i="10"/>
  <c r="D1434" i="10"/>
  <c r="E1433" i="10"/>
  <c r="F1432" i="10"/>
  <c r="G1431" i="10"/>
  <c r="H1430" i="10"/>
  <c r="I1429" i="10"/>
  <c r="J1428" i="10"/>
  <c r="K1427" i="10"/>
  <c r="C1427" i="10"/>
  <c r="D1426" i="10"/>
  <c r="E1425" i="10"/>
  <c r="F1424" i="10"/>
  <c r="G1423" i="10"/>
  <c r="H1422" i="10"/>
  <c r="I1421" i="10"/>
  <c r="J1420" i="10"/>
  <c r="K1419" i="10"/>
  <c r="C1419" i="10"/>
  <c r="D1418" i="10"/>
  <c r="E1417" i="10"/>
  <c r="F1416" i="10"/>
  <c r="G1415" i="10"/>
  <c r="H1414" i="10"/>
  <c r="I1413" i="10"/>
  <c r="J1412" i="10"/>
  <c r="K1411" i="10"/>
  <c r="C1411" i="10"/>
  <c r="D1410" i="10"/>
  <c r="E1409" i="10"/>
  <c r="F1408" i="10"/>
  <c r="G1407" i="10"/>
  <c r="H1406" i="10"/>
  <c r="I1405" i="10"/>
  <c r="J1404" i="10"/>
  <c r="K1403" i="10"/>
  <c r="C1403" i="10"/>
  <c r="D1402" i="10"/>
  <c r="E1401" i="10"/>
  <c r="F1400" i="10"/>
  <c r="G1399" i="10"/>
  <c r="H1398" i="10"/>
  <c r="I1397" i="10"/>
  <c r="J1396" i="10"/>
  <c r="K1395" i="10"/>
  <c r="C1395" i="10"/>
  <c r="D1394" i="10"/>
  <c r="E1393" i="10"/>
  <c r="F1392" i="10"/>
  <c r="G1391" i="10"/>
  <c r="H1390" i="10"/>
  <c r="I1389" i="10"/>
  <c r="H1376" i="10"/>
  <c r="C1375" i="10"/>
  <c r="G1373" i="10"/>
  <c r="I1371" i="10"/>
  <c r="E1370" i="10"/>
  <c r="H1368" i="10"/>
  <c r="C1367" i="10"/>
  <c r="G1365" i="10"/>
  <c r="I1363" i="10"/>
  <c r="E1362" i="10"/>
  <c r="H1360" i="10"/>
  <c r="C1359" i="10"/>
  <c r="G1357" i="10"/>
  <c r="I1355" i="10"/>
  <c r="E1354" i="10"/>
  <c r="H1352" i="10"/>
  <c r="C1351" i="10"/>
  <c r="G1349" i="10"/>
  <c r="I1347" i="10"/>
  <c r="E1346" i="10"/>
  <c r="H1344" i="10"/>
  <c r="C1343" i="10"/>
  <c r="G1341" i="10"/>
  <c r="I1339" i="10"/>
  <c r="E1338" i="10"/>
  <c r="H1336" i="10"/>
  <c r="C1335" i="10"/>
  <c r="G1333" i="10"/>
  <c r="I1331" i="10"/>
  <c r="E1330" i="10"/>
  <c r="H1328" i="10"/>
  <c r="C1327" i="10"/>
  <c r="C1316" i="10"/>
  <c r="I1314" i="10"/>
  <c r="H1313" i="10"/>
  <c r="G1312" i="10"/>
  <c r="F1311" i="10"/>
  <c r="E1310" i="10"/>
  <c r="D1309" i="10"/>
  <c r="C1308" i="10"/>
  <c r="I1306" i="10"/>
  <c r="H1305" i="10"/>
  <c r="G1304" i="10"/>
  <c r="F1303" i="10"/>
  <c r="E1302" i="10"/>
  <c r="D1301" i="10"/>
  <c r="C1300" i="10"/>
  <c r="I1298" i="10"/>
  <c r="H1297" i="10"/>
  <c r="G1296" i="10"/>
  <c r="F1295" i="10"/>
  <c r="E1294" i="10"/>
  <c r="E176" i="14"/>
  <c r="E102" i="14"/>
  <c r="G33" i="38"/>
  <c r="D383" i="39"/>
  <c r="G312" i="39"/>
  <c r="F300" i="39"/>
  <c r="D280" i="39"/>
  <c r="E247" i="39"/>
  <c r="I215" i="39"/>
  <c r="C203" i="39"/>
  <c r="E190" i="39"/>
  <c r="G177" i="39"/>
  <c r="H164" i="39"/>
  <c r="I156" i="39"/>
  <c r="G150" i="39"/>
  <c r="C144" i="39"/>
  <c r="H137" i="39"/>
  <c r="F117" i="39"/>
  <c r="I112" i="39"/>
  <c r="E108" i="39"/>
  <c r="H103" i="39"/>
  <c r="D99" i="39"/>
  <c r="G94" i="39"/>
  <c r="D91" i="39"/>
  <c r="I88" i="39"/>
  <c r="G86" i="39"/>
  <c r="E84" i="39"/>
  <c r="C82" i="39"/>
  <c r="H79" i="39"/>
  <c r="I69" i="39"/>
  <c r="G58" i="39"/>
  <c r="H46" i="39"/>
  <c r="I41" i="39"/>
  <c r="I38" i="39"/>
  <c r="I35" i="39"/>
  <c r="I32" i="39"/>
  <c r="I29" i="39"/>
  <c r="H26" i="39"/>
  <c r="H23" i="39"/>
  <c r="I20" i="39"/>
  <c r="C18" i="39"/>
  <c r="H10" i="39"/>
  <c r="C1510" i="10"/>
  <c r="C1506" i="10"/>
  <c r="G1486" i="10"/>
  <c r="G1472" i="10"/>
  <c r="C1456" i="10"/>
  <c r="C1452" i="10"/>
  <c r="G1438" i="10"/>
  <c r="H1437" i="10"/>
  <c r="I1436" i="10"/>
  <c r="J1435" i="10"/>
  <c r="K1434" i="10"/>
  <c r="C1434" i="10"/>
  <c r="D1433" i="10"/>
  <c r="E1432" i="10"/>
  <c r="F1431" i="10"/>
  <c r="G1430" i="10"/>
  <c r="H1429" i="10"/>
  <c r="I1428" i="10"/>
  <c r="J1427" i="10"/>
  <c r="K1426" i="10"/>
  <c r="C1426" i="10"/>
  <c r="D1425" i="10"/>
  <c r="E1424" i="10"/>
  <c r="F1423" i="10"/>
  <c r="G1422" i="10"/>
  <c r="H1421" i="10"/>
  <c r="I1420" i="10"/>
  <c r="J1419" i="10"/>
  <c r="K1418" i="10"/>
  <c r="C1418" i="10"/>
  <c r="D1417" i="10"/>
  <c r="E1416" i="10"/>
  <c r="F1415" i="10"/>
  <c r="G1414" i="10"/>
  <c r="H1413" i="10"/>
  <c r="I1412" i="10"/>
  <c r="J1411" i="10"/>
  <c r="K1410" i="10"/>
  <c r="C1410" i="10"/>
  <c r="D1409" i="10"/>
  <c r="E1408" i="10"/>
  <c r="F1407" i="10"/>
  <c r="G1406" i="10"/>
  <c r="H1405" i="10"/>
  <c r="I1404" i="10"/>
  <c r="J1403" i="10"/>
  <c r="K1402" i="10"/>
  <c r="C1402" i="10"/>
  <c r="D1401" i="10"/>
  <c r="E1400" i="10"/>
  <c r="F1399" i="10"/>
  <c r="G1398" i="10"/>
  <c r="H1397" i="10"/>
  <c r="I1396" i="10"/>
  <c r="J1395" i="10"/>
  <c r="K1394" i="10"/>
  <c r="C1394" i="10"/>
  <c r="D1393" i="10"/>
  <c r="E1392" i="10"/>
  <c r="F1391" i="10"/>
  <c r="G1390" i="10"/>
  <c r="H1389" i="10"/>
  <c r="G1376" i="10"/>
  <c r="I1374" i="10"/>
  <c r="E1373" i="10"/>
  <c r="H1371" i="10"/>
  <c r="C1370" i="10"/>
  <c r="G1368" i="10"/>
  <c r="I1366" i="10"/>
  <c r="E1365" i="10"/>
  <c r="H1363" i="10"/>
  <c r="C1362" i="10"/>
  <c r="G1360" i="10"/>
  <c r="I1358" i="10"/>
  <c r="E1357" i="10"/>
  <c r="H1355" i="10"/>
  <c r="C1354" i="10"/>
  <c r="G1352" i="10"/>
  <c r="I1350" i="10"/>
  <c r="E1349" i="10"/>
  <c r="H1347" i="10"/>
  <c r="C1346" i="10"/>
  <c r="G1344" i="10"/>
  <c r="I1342" i="10"/>
  <c r="E1341" i="10"/>
  <c r="H1339" i="10"/>
  <c r="C1338" i="10"/>
  <c r="G1336" i="10"/>
  <c r="I1334" i="10"/>
  <c r="E1333" i="10"/>
  <c r="H1331" i="10"/>
  <c r="C1330" i="10"/>
  <c r="G1328" i="10"/>
  <c r="I1324" i="10"/>
  <c r="I1315" i="10"/>
  <c r="H1314" i="10"/>
  <c r="G1313" i="10"/>
  <c r="F1312" i="10"/>
  <c r="E1311" i="10"/>
  <c r="D1310" i="10"/>
  <c r="C1309" i="10"/>
  <c r="I1307" i="10"/>
  <c r="H1306" i="10"/>
  <c r="G1305" i="10"/>
  <c r="F1304" i="10"/>
  <c r="E1303" i="10"/>
  <c r="D1302" i="10"/>
  <c r="C1301" i="10"/>
  <c r="I1299" i="10"/>
  <c r="H1298" i="10"/>
  <c r="G1297" i="10"/>
  <c r="F1296" i="10"/>
  <c r="E1295" i="10"/>
  <c r="D1294" i="10"/>
  <c r="C1293" i="10"/>
  <c r="I1291" i="10"/>
  <c r="H1290" i="10"/>
  <c r="G1289" i="10"/>
  <c r="F1288" i="10"/>
  <c r="E1287" i="10"/>
  <c r="D1286" i="10"/>
  <c r="C1285" i="10"/>
  <c r="I1283" i="10"/>
  <c r="H1282" i="10"/>
  <c r="G1281" i="10"/>
  <c r="F168" i="14"/>
  <c r="H95" i="14"/>
  <c r="D16" i="38"/>
  <c r="H367" i="39"/>
  <c r="C311" i="39"/>
  <c r="D299" i="39"/>
  <c r="H277" i="39"/>
  <c r="H244" i="39"/>
  <c r="E214" i="39"/>
  <c r="G201" i="39"/>
  <c r="H188" i="39"/>
  <c r="I175" i="39"/>
  <c r="C163" i="39"/>
  <c r="H156" i="39"/>
  <c r="E150" i="39"/>
  <c r="I143" i="39"/>
  <c r="G137" i="39"/>
  <c r="E117" i="39"/>
  <c r="H112" i="39"/>
  <c r="D108" i="39"/>
  <c r="G103" i="39"/>
  <c r="C99" i="39"/>
  <c r="F94" i="39"/>
  <c r="C91" i="39"/>
  <c r="H88" i="39"/>
  <c r="F86" i="39"/>
  <c r="D84" i="39"/>
  <c r="I81" i="39"/>
  <c r="G79" i="39"/>
  <c r="H69" i="39"/>
  <c r="I56" i="39"/>
  <c r="C46" i="39"/>
  <c r="H41" i="39"/>
  <c r="H38" i="39"/>
  <c r="H35" i="39"/>
  <c r="H32" i="39"/>
  <c r="C29" i="39"/>
  <c r="C26" i="39"/>
  <c r="C23" i="39"/>
  <c r="H20" i="39"/>
  <c r="I17" i="39"/>
  <c r="G1509" i="10"/>
  <c r="I1503" i="10"/>
  <c r="E1486" i="10"/>
  <c r="G1464" i="10"/>
  <c r="G1455" i="10"/>
  <c r="I1449" i="10"/>
  <c r="F1438" i="10"/>
  <c r="G1437" i="10"/>
  <c r="H1436" i="10"/>
  <c r="I1435" i="10"/>
  <c r="J1434" i="10"/>
  <c r="K1433" i="10"/>
  <c r="C1433" i="10"/>
  <c r="D1432" i="10"/>
  <c r="E1431" i="10"/>
  <c r="F1430" i="10"/>
  <c r="G1429" i="10"/>
  <c r="H1428" i="10"/>
  <c r="I1427" i="10"/>
  <c r="J1426" i="10"/>
  <c r="K1425" i="10"/>
  <c r="C1425" i="10"/>
  <c r="D1424" i="10"/>
  <c r="E1423" i="10"/>
  <c r="F1422" i="10"/>
  <c r="G1421" i="10"/>
  <c r="H1420" i="10"/>
  <c r="I1419" i="10"/>
  <c r="J1418" i="10"/>
  <c r="K1417" i="10"/>
  <c r="C1417" i="10"/>
  <c r="D1416" i="10"/>
  <c r="E1415" i="10"/>
  <c r="F1414" i="10"/>
  <c r="G1413" i="10"/>
  <c r="H1412" i="10"/>
  <c r="I1411" i="10"/>
  <c r="J1410" i="10"/>
  <c r="K1409" i="10"/>
  <c r="C1409" i="10"/>
  <c r="D1408" i="10"/>
  <c r="E1407" i="10"/>
  <c r="F1406" i="10"/>
  <c r="G1405" i="10"/>
  <c r="H1404" i="10"/>
  <c r="I1403" i="10"/>
  <c r="J1402" i="10"/>
  <c r="K1401" i="10"/>
  <c r="C1401" i="10"/>
  <c r="D1400" i="10"/>
  <c r="E1399" i="10"/>
  <c r="F1398" i="10"/>
  <c r="G1397" i="10"/>
  <c r="H1396" i="10"/>
  <c r="I1395" i="10"/>
  <c r="J1394" i="10"/>
  <c r="K1393" i="10"/>
  <c r="C1393" i="10"/>
  <c r="D1392" i="10"/>
  <c r="E1391" i="10"/>
  <c r="F1390" i="10"/>
  <c r="G1389" i="10"/>
  <c r="E1376" i="10"/>
  <c r="H1374" i="10"/>
  <c r="C1373" i="10"/>
  <c r="G1371" i="10"/>
  <c r="I1369" i="10"/>
  <c r="E1368" i="10"/>
  <c r="H1366" i="10"/>
  <c r="C1365" i="10"/>
  <c r="G1363" i="10"/>
  <c r="I1361" i="10"/>
  <c r="E1360" i="10"/>
  <c r="H1358" i="10"/>
  <c r="C1357" i="10"/>
  <c r="G1355" i="10"/>
  <c r="I1353" i="10"/>
  <c r="E1352" i="10"/>
  <c r="H1350" i="10"/>
  <c r="C1349" i="10"/>
  <c r="G1347" i="10"/>
  <c r="I1345" i="10"/>
  <c r="E1344" i="10"/>
  <c r="H1342" i="10"/>
  <c r="C1341" i="10"/>
  <c r="G1339" i="10"/>
  <c r="I1337" i="10"/>
  <c r="E1336" i="10"/>
  <c r="H1334" i="10"/>
  <c r="C1333" i="10"/>
  <c r="G1331" i="10"/>
  <c r="I1329" i="10"/>
  <c r="E1328" i="10"/>
  <c r="I1316" i="10"/>
  <c r="H1315" i="10"/>
  <c r="G1314" i="10"/>
  <c r="F1313" i="10"/>
  <c r="E1312" i="10"/>
  <c r="D1311" i="10"/>
  <c r="C1310" i="10"/>
  <c r="I1308" i="10"/>
  <c r="H1307" i="10"/>
  <c r="G1306" i="10"/>
  <c r="F1305" i="10"/>
  <c r="E1304" i="10"/>
  <c r="D1303" i="10"/>
  <c r="C1302" i="10"/>
  <c r="I1300" i="10"/>
  <c r="H1299" i="10"/>
  <c r="G1298" i="10"/>
  <c r="F1297" i="10"/>
  <c r="E1296" i="10"/>
  <c r="D1295" i="10"/>
  <c r="C1294" i="10"/>
  <c r="I1292" i="10"/>
  <c r="H1291" i="10"/>
  <c r="G1290" i="10"/>
  <c r="F1289" i="10"/>
  <c r="E1288" i="10"/>
  <c r="D1287" i="10"/>
  <c r="C1286" i="10"/>
  <c r="I1284" i="10"/>
  <c r="H1283" i="10"/>
  <c r="G1282" i="10"/>
  <c r="F1281" i="10"/>
  <c r="C162" i="14"/>
  <c r="F89" i="14"/>
  <c r="F12" i="38"/>
  <c r="I355" i="39"/>
  <c r="G309" i="39"/>
  <c r="H297" i="39"/>
  <c r="H268" i="39"/>
  <c r="G236" i="39"/>
  <c r="H212" i="39"/>
  <c r="I199" i="39"/>
  <c r="C187" i="39"/>
  <c r="E174" i="39"/>
  <c r="H161" i="39"/>
  <c r="E155" i="39"/>
  <c r="I148" i="39"/>
  <c r="G142" i="39"/>
  <c r="C136" i="39"/>
  <c r="E116" i="39"/>
  <c r="H111" i="39"/>
  <c r="D107" i="39"/>
  <c r="G102" i="39"/>
  <c r="C98" i="39"/>
  <c r="F93" i="39"/>
  <c r="I90" i="39"/>
  <c r="G88" i="39"/>
  <c r="E86" i="39"/>
  <c r="C84" i="39"/>
  <c r="H81" i="39"/>
  <c r="F79" i="39"/>
  <c r="G69" i="39"/>
  <c r="G56" i="39"/>
  <c r="I45" i="39"/>
  <c r="C41" i="39"/>
  <c r="C38" i="39"/>
  <c r="C35" i="39"/>
  <c r="I31" i="39"/>
  <c r="I28" i="39"/>
  <c r="I25" i="39"/>
  <c r="I22" i="39"/>
  <c r="C20" i="39"/>
  <c r="H17" i="39"/>
  <c r="F10" i="39"/>
  <c r="C1509" i="10"/>
  <c r="G1500" i="10"/>
  <c r="C1486" i="10"/>
  <c r="E1464" i="10"/>
  <c r="C1455" i="10"/>
  <c r="G1446" i="10"/>
  <c r="E1438" i="10"/>
  <c r="F1437" i="10"/>
  <c r="G1436" i="10"/>
  <c r="H1435" i="10"/>
  <c r="I1434" i="10"/>
  <c r="J1433" i="10"/>
  <c r="K1432" i="10"/>
  <c r="C1432" i="10"/>
  <c r="D1431" i="10"/>
  <c r="E1430" i="10"/>
  <c r="F1429" i="10"/>
  <c r="G1428" i="10"/>
  <c r="H1427" i="10"/>
  <c r="I1426" i="10"/>
  <c r="J1425" i="10"/>
  <c r="K1424" i="10"/>
  <c r="C1424" i="10"/>
  <c r="D1423" i="10"/>
  <c r="E1422" i="10"/>
  <c r="F1421" i="10"/>
  <c r="G1420" i="10"/>
  <c r="H1419" i="10"/>
  <c r="I1418" i="10"/>
  <c r="J1417" i="10"/>
  <c r="K1416" i="10"/>
  <c r="C1416" i="10"/>
  <c r="D1415" i="10"/>
  <c r="E1414" i="10"/>
  <c r="F1413" i="10"/>
  <c r="G1412" i="10"/>
  <c r="H1411" i="10"/>
  <c r="I1410" i="10"/>
  <c r="J1409" i="10"/>
  <c r="K1408" i="10"/>
  <c r="C1408" i="10"/>
  <c r="D1407" i="10"/>
  <c r="E1406" i="10"/>
  <c r="F1405" i="10"/>
  <c r="G1404" i="10"/>
  <c r="H1403" i="10"/>
  <c r="I1402" i="10"/>
  <c r="J1401" i="10"/>
  <c r="K1400" i="10"/>
  <c r="C1400" i="10"/>
  <c r="D1399" i="10"/>
  <c r="E1398" i="10"/>
  <c r="F1397" i="10"/>
  <c r="G1396" i="10"/>
  <c r="H1395" i="10"/>
  <c r="I1394" i="10"/>
  <c r="J1393" i="10"/>
  <c r="K1392" i="10"/>
  <c r="C1392" i="10"/>
  <c r="D1391" i="10"/>
  <c r="E1390" i="10"/>
  <c r="F1389" i="10"/>
  <c r="C1376" i="10"/>
  <c r="G1374" i="10"/>
  <c r="I1372" i="10"/>
  <c r="E1371" i="10"/>
  <c r="H1369" i="10"/>
  <c r="C1368" i="10"/>
  <c r="G1366" i="10"/>
  <c r="I1364" i="10"/>
  <c r="E1363" i="10"/>
  <c r="H1361" i="10"/>
  <c r="C1360" i="10"/>
  <c r="G1358" i="10"/>
  <c r="I1356" i="10"/>
  <c r="E1355" i="10"/>
  <c r="H1353" i="10"/>
  <c r="C1352" i="10"/>
  <c r="G1350" i="10"/>
  <c r="I1348" i="10"/>
  <c r="E1347" i="10"/>
  <c r="H1345" i="10"/>
  <c r="C1344" i="10"/>
  <c r="G1342" i="10"/>
  <c r="I1340" i="10"/>
  <c r="E1339" i="10"/>
  <c r="H1337" i="10"/>
  <c r="C1336" i="10"/>
  <c r="G1334" i="10"/>
  <c r="I1332" i="10"/>
  <c r="E1331" i="10"/>
  <c r="H1329" i="10"/>
  <c r="C1328" i="10"/>
  <c r="H1316" i="10"/>
  <c r="G1315" i="10"/>
  <c r="F1314" i="10"/>
  <c r="E1313" i="10"/>
  <c r="D1312" i="10"/>
  <c r="C1311" i="10"/>
  <c r="I1309" i="10"/>
  <c r="H1308" i="10"/>
  <c r="G1307" i="10"/>
  <c r="F1306" i="10"/>
  <c r="E1305" i="10"/>
  <c r="D1304" i="10"/>
  <c r="C1303" i="10"/>
  <c r="I1301" i="10"/>
  <c r="H1300" i="10"/>
  <c r="G1299" i="10"/>
  <c r="F1298" i="10"/>
  <c r="E1297" i="10"/>
  <c r="D1296" i="10"/>
  <c r="C1295" i="10"/>
  <c r="I1293" i="10"/>
  <c r="H1292" i="10"/>
  <c r="G1291" i="10"/>
  <c r="F1290" i="10"/>
  <c r="E1289" i="10"/>
  <c r="D1288" i="10"/>
  <c r="C1287" i="10"/>
  <c r="I1285" i="10"/>
  <c r="H1284" i="10"/>
  <c r="G1283" i="10"/>
  <c r="F1282" i="10"/>
  <c r="E1281" i="10"/>
  <c r="D1280" i="10"/>
  <c r="C1279" i="10"/>
  <c r="I1277" i="10"/>
  <c r="F150" i="14"/>
  <c r="C211" i="39"/>
  <c r="I135" i="39"/>
  <c r="E88" i="39"/>
  <c r="I40" i="39"/>
  <c r="C17" i="39"/>
  <c r="D1438" i="10"/>
  <c r="C1431" i="10"/>
  <c r="K1423" i="10"/>
  <c r="J1416" i="10"/>
  <c r="I1409" i="10"/>
  <c r="H1402" i="10"/>
  <c r="G1395" i="10"/>
  <c r="I1375" i="10"/>
  <c r="C1363" i="10"/>
  <c r="E1350" i="10"/>
  <c r="G1337" i="10"/>
  <c r="F1315" i="10"/>
  <c r="E1306" i="10"/>
  <c r="D1297" i="10"/>
  <c r="C1292" i="10"/>
  <c r="C1289" i="10"/>
  <c r="H1285" i="10"/>
  <c r="I1282" i="10"/>
  <c r="E1280" i="10"/>
  <c r="H1278" i="10"/>
  <c r="E1277" i="10"/>
  <c r="D1276" i="10"/>
  <c r="C1275" i="10"/>
  <c r="I1273" i="10"/>
  <c r="H1272" i="10"/>
  <c r="G1271" i="10"/>
  <c r="F1270" i="10"/>
  <c r="E1269" i="10"/>
  <c r="D1268" i="10"/>
  <c r="C1267" i="10"/>
  <c r="I1265" i="10"/>
  <c r="H1264" i="10"/>
  <c r="G1263" i="10"/>
  <c r="F1262" i="10"/>
  <c r="E1261" i="10"/>
  <c r="D1260" i="10"/>
  <c r="C1259" i="10"/>
  <c r="I1257" i="10"/>
  <c r="H1256" i="10"/>
  <c r="G1255" i="10"/>
  <c r="F1254" i="10"/>
  <c r="E1253" i="10"/>
  <c r="D1252" i="10"/>
  <c r="C1251" i="10"/>
  <c r="I1249" i="10"/>
  <c r="H1248" i="10"/>
  <c r="G1247" i="10"/>
  <c r="F1246" i="10"/>
  <c r="E1245" i="10"/>
  <c r="D1244" i="10"/>
  <c r="C1243" i="10"/>
  <c r="I1241" i="10"/>
  <c r="H1240" i="10"/>
  <c r="G1239" i="10"/>
  <c r="F1238" i="10"/>
  <c r="E1237" i="10"/>
  <c r="D1236" i="10"/>
  <c r="C1235" i="10"/>
  <c r="I1233" i="10"/>
  <c r="H1232" i="10"/>
  <c r="G1231" i="10"/>
  <c r="F1230" i="10"/>
  <c r="E1229" i="10"/>
  <c r="D1228" i="10"/>
  <c r="C1227" i="10"/>
  <c r="I1225" i="10"/>
  <c r="H1224" i="10"/>
  <c r="G1223" i="10"/>
  <c r="F1222" i="10"/>
  <c r="E1221" i="10"/>
  <c r="D1220" i="10"/>
  <c r="I1212" i="10"/>
  <c r="D1211" i="10"/>
  <c r="H1209" i="10"/>
  <c r="C1208" i="10"/>
  <c r="F1206" i="10"/>
  <c r="I1204" i="10"/>
  <c r="D1203" i="10"/>
  <c r="H1201" i="10"/>
  <c r="C1200" i="10"/>
  <c r="F1198" i="10"/>
  <c r="I1196" i="10"/>
  <c r="D1195" i="10"/>
  <c r="H1193" i="10"/>
  <c r="C1192" i="10"/>
  <c r="F1190" i="10"/>
  <c r="I1188" i="10"/>
  <c r="D1187" i="10"/>
  <c r="H1185" i="10"/>
  <c r="C1184" i="10"/>
  <c r="F1182" i="10"/>
  <c r="I1180" i="10"/>
  <c r="D1179" i="10"/>
  <c r="H1177" i="10"/>
  <c r="C1176" i="10"/>
  <c r="F1174" i="10"/>
  <c r="I1172" i="10"/>
  <c r="D1171" i="10"/>
  <c r="H1169" i="10"/>
  <c r="C1168" i="10"/>
  <c r="F1166" i="10"/>
  <c r="I1164" i="10"/>
  <c r="D1163" i="10"/>
  <c r="H1161" i="10"/>
  <c r="C1160" i="10"/>
  <c r="F1158" i="10"/>
  <c r="I1156" i="10"/>
  <c r="D1155" i="10"/>
  <c r="H1153" i="10"/>
  <c r="C1152" i="10"/>
  <c r="F1150" i="10"/>
  <c r="I1148" i="10"/>
  <c r="D1147" i="10"/>
  <c r="H1145" i="10"/>
  <c r="C1144" i="10"/>
  <c r="C1135" i="10"/>
  <c r="C1133" i="10"/>
  <c r="C1131" i="10"/>
  <c r="C1129" i="10"/>
  <c r="C1127" i="10"/>
  <c r="H1117" i="10"/>
  <c r="C1115" i="10"/>
  <c r="E1112" i="10"/>
  <c r="H1109" i="10"/>
  <c r="C1107" i="10"/>
  <c r="E1104" i="10"/>
  <c r="H1101" i="10"/>
  <c r="C1099" i="10"/>
  <c r="D1091" i="10"/>
  <c r="H1089" i="10"/>
  <c r="F1088" i="10"/>
  <c r="D1087" i="10"/>
  <c r="H1085" i="10"/>
  <c r="F1084" i="10"/>
  <c r="D1083" i="10"/>
  <c r="H1081" i="10"/>
  <c r="F1080" i="10"/>
  <c r="D1079" i="10"/>
  <c r="H1077" i="10"/>
  <c r="F1076" i="10"/>
  <c r="D1075" i="10"/>
  <c r="H1073" i="10"/>
  <c r="F1072" i="10"/>
  <c r="D1071" i="10"/>
  <c r="H1069" i="10"/>
  <c r="F1068" i="10"/>
  <c r="D1067" i="10"/>
  <c r="H1065" i="10"/>
  <c r="F1064" i="10"/>
  <c r="D1063" i="10"/>
  <c r="H1061" i="10"/>
  <c r="F1060" i="10"/>
  <c r="D1059" i="10"/>
  <c r="H1057" i="10"/>
  <c r="F1056" i="10"/>
  <c r="C83" i="14"/>
  <c r="E198" i="39"/>
  <c r="D116" i="39"/>
  <c r="C86" i="39"/>
  <c r="I37" i="39"/>
  <c r="H9" i="39"/>
  <c r="E1437" i="10"/>
  <c r="D1430" i="10"/>
  <c r="C1423" i="10"/>
  <c r="K1415" i="10"/>
  <c r="J1408" i="10"/>
  <c r="I1401" i="10"/>
  <c r="H1394" i="10"/>
  <c r="E1374" i="10"/>
  <c r="G1361" i="10"/>
  <c r="H1348" i="10"/>
  <c r="I1335" i="10"/>
  <c r="E1314" i="10"/>
  <c r="D1305" i="10"/>
  <c r="C1296" i="10"/>
  <c r="F1291" i="10"/>
  <c r="G1288" i="10"/>
  <c r="G1285" i="10"/>
  <c r="E1282" i="10"/>
  <c r="C1280" i="10"/>
  <c r="G1278" i="10"/>
  <c r="D1277" i="10"/>
  <c r="C1276" i="10"/>
  <c r="I1274" i="10"/>
  <c r="H1273" i="10"/>
  <c r="G1272" i="10"/>
  <c r="F1271" i="10"/>
  <c r="E1270" i="10"/>
  <c r="D1269" i="10"/>
  <c r="C1268" i="10"/>
  <c r="I1266" i="10"/>
  <c r="H1265" i="10"/>
  <c r="G1264" i="10"/>
  <c r="F1263" i="10"/>
  <c r="E1262" i="10"/>
  <c r="D1261" i="10"/>
  <c r="C1260" i="10"/>
  <c r="I1258" i="10"/>
  <c r="H1257" i="10"/>
  <c r="G1256" i="10"/>
  <c r="F1255" i="10"/>
  <c r="E1254" i="10"/>
  <c r="D1253" i="10"/>
  <c r="C1252" i="10"/>
  <c r="I1250" i="10"/>
  <c r="H1249" i="10"/>
  <c r="G1248" i="10"/>
  <c r="F1247" i="10"/>
  <c r="E1246" i="10"/>
  <c r="D1245" i="10"/>
  <c r="C1244" i="10"/>
  <c r="I1242" i="10"/>
  <c r="H1241" i="10"/>
  <c r="G1240" i="10"/>
  <c r="F1239" i="10"/>
  <c r="E1238" i="10"/>
  <c r="D1237" i="10"/>
  <c r="C1236" i="10"/>
  <c r="I1234" i="10"/>
  <c r="H1233" i="10"/>
  <c r="G1232" i="10"/>
  <c r="F1231" i="10"/>
  <c r="E1230" i="10"/>
  <c r="D1229" i="10"/>
  <c r="C1228" i="10"/>
  <c r="I1226" i="10"/>
  <c r="H1225" i="10"/>
  <c r="G1224" i="10"/>
  <c r="F1223" i="10"/>
  <c r="E1222" i="10"/>
  <c r="D1221" i="10"/>
  <c r="C1220" i="10"/>
  <c r="H1212" i="10"/>
  <c r="C1211" i="10"/>
  <c r="F1209" i="10"/>
  <c r="I1207" i="10"/>
  <c r="D1206" i="10"/>
  <c r="H1204" i="10"/>
  <c r="C1203" i="10"/>
  <c r="F1201" i="10"/>
  <c r="I1199" i="10"/>
  <c r="D1198" i="10"/>
  <c r="H1196" i="10"/>
  <c r="C1195" i="10"/>
  <c r="F1193" i="10"/>
  <c r="I1191" i="10"/>
  <c r="D1190" i="10"/>
  <c r="H1188" i="10"/>
  <c r="C1187" i="10"/>
  <c r="F1185" i="10"/>
  <c r="I1183" i="10"/>
  <c r="D1182" i="10"/>
  <c r="H1180" i="10"/>
  <c r="C1179" i="10"/>
  <c r="F1177" i="10"/>
  <c r="I1175" i="10"/>
  <c r="D1174" i="10"/>
  <c r="H1172" i="10"/>
  <c r="C1171" i="10"/>
  <c r="F1169" i="10"/>
  <c r="I1167" i="10"/>
  <c r="D1166" i="10"/>
  <c r="H1164" i="10"/>
  <c r="C1163" i="10"/>
  <c r="F1161" i="10"/>
  <c r="I1159" i="10"/>
  <c r="D1158" i="10"/>
  <c r="H1156" i="10"/>
  <c r="C1155" i="10"/>
  <c r="F1153" i="10"/>
  <c r="I1151" i="10"/>
  <c r="D1150" i="10"/>
  <c r="H1148" i="10"/>
  <c r="C1147" i="10"/>
  <c r="F1145" i="10"/>
  <c r="I1136" i="10"/>
  <c r="I1134" i="10"/>
  <c r="I1132" i="10"/>
  <c r="I1130" i="10"/>
  <c r="I1128" i="10"/>
  <c r="I1124" i="10"/>
  <c r="E1117" i="10"/>
  <c r="H1114" i="10"/>
  <c r="C1112" i="10"/>
  <c r="E1109" i="10"/>
  <c r="H1106" i="10"/>
  <c r="C1104" i="10"/>
  <c r="E1101" i="10"/>
  <c r="H1098" i="10"/>
  <c r="C1091" i="10"/>
  <c r="G1089" i="10"/>
  <c r="E1088" i="10"/>
  <c r="C1087" i="10"/>
  <c r="G1085" i="10"/>
  <c r="E1084" i="10"/>
  <c r="C1083" i="10"/>
  <c r="G1081" i="10"/>
  <c r="E1080" i="10"/>
  <c r="C1079" i="10"/>
  <c r="G1077" i="10"/>
  <c r="E1076" i="10"/>
  <c r="C1075" i="10"/>
  <c r="G1073" i="10"/>
  <c r="E1072" i="10"/>
  <c r="C1071" i="10"/>
  <c r="G1069" i="10"/>
  <c r="F9" i="38"/>
  <c r="G185" i="39"/>
  <c r="G111" i="39"/>
  <c r="H83" i="39"/>
  <c r="H34" i="39"/>
  <c r="G1508" i="10"/>
  <c r="F1436" i="10"/>
  <c r="E1429" i="10"/>
  <c r="D1422" i="10"/>
  <c r="C1415" i="10"/>
  <c r="K1407" i="10"/>
  <c r="J1400" i="10"/>
  <c r="I1393" i="10"/>
  <c r="H1372" i="10"/>
  <c r="I1359" i="10"/>
  <c r="C1347" i="10"/>
  <c r="E1334" i="10"/>
  <c r="D1313" i="10"/>
  <c r="C1304" i="10"/>
  <c r="I1294" i="10"/>
  <c r="E1291" i="10"/>
  <c r="C1288" i="10"/>
  <c r="D1285" i="10"/>
  <c r="D1282" i="10"/>
  <c r="I1279" i="10"/>
  <c r="E1278" i="10"/>
  <c r="C1277" i="10"/>
  <c r="I1275" i="10"/>
  <c r="H1274" i="10"/>
  <c r="G1273" i="10"/>
  <c r="F1272" i="10"/>
  <c r="E1271" i="10"/>
  <c r="D1270" i="10"/>
  <c r="C1269" i="10"/>
  <c r="I1267" i="10"/>
  <c r="H1266" i="10"/>
  <c r="G1265" i="10"/>
  <c r="F1264" i="10"/>
  <c r="E1263" i="10"/>
  <c r="D1262" i="10"/>
  <c r="C1261" i="10"/>
  <c r="I1259" i="10"/>
  <c r="H1258" i="10"/>
  <c r="G1257" i="10"/>
  <c r="F1256" i="10"/>
  <c r="E1255" i="10"/>
  <c r="D1254" i="10"/>
  <c r="C1253" i="10"/>
  <c r="I1251" i="10"/>
  <c r="H1250" i="10"/>
  <c r="G1249" i="10"/>
  <c r="F1248" i="10"/>
  <c r="E1247" i="10"/>
  <c r="D1246" i="10"/>
  <c r="C1245" i="10"/>
  <c r="I1243" i="10"/>
  <c r="H1242" i="10"/>
  <c r="G1241" i="10"/>
  <c r="F1240" i="10"/>
  <c r="E1239" i="10"/>
  <c r="D1238" i="10"/>
  <c r="C1237" i="10"/>
  <c r="I1235" i="10"/>
  <c r="H1234" i="10"/>
  <c r="G1233" i="10"/>
  <c r="F1232" i="10"/>
  <c r="E1231" i="10"/>
  <c r="D1230" i="10"/>
  <c r="C1229" i="10"/>
  <c r="I1227" i="10"/>
  <c r="H1226" i="10"/>
  <c r="G1225" i="10"/>
  <c r="F1224" i="10"/>
  <c r="E1223" i="10"/>
  <c r="D1222" i="10"/>
  <c r="C1221" i="10"/>
  <c r="I1217" i="10"/>
  <c r="F1212" i="10"/>
  <c r="I1210" i="10"/>
  <c r="D1209" i="10"/>
  <c r="H1207" i="10"/>
  <c r="C1206" i="10"/>
  <c r="F1204" i="10"/>
  <c r="I1202" i="10"/>
  <c r="D1201" i="10"/>
  <c r="H1199" i="10"/>
  <c r="C1198" i="10"/>
  <c r="F1196" i="10"/>
  <c r="I1194" i="10"/>
  <c r="D1193" i="10"/>
  <c r="H1191" i="10"/>
  <c r="C1190" i="10"/>
  <c r="F1188" i="10"/>
  <c r="I1186" i="10"/>
  <c r="D1185" i="10"/>
  <c r="H1183" i="10"/>
  <c r="C1182" i="10"/>
  <c r="F1180" i="10"/>
  <c r="I1178" i="10"/>
  <c r="D1177" i="10"/>
  <c r="H1175" i="10"/>
  <c r="C1174" i="10"/>
  <c r="F1172" i="10"/>
  <c r="I1170" i="10"/>
  <c r="D1169" i="10"/>
  <c r="H1167" i="10"/>
  <c r="C1166" i="10"/>
  <c r="F1164" i="10"/>
  <c r="I1162" i="10"/>
  <c r="D1161" i="10"/>
  <c r="H1159" i="10"/>
  <c r="C1158" i="10"/>
  <c r="F1156" i="10"/>
  <c r="I1154" i="10"/>
  <c r="D1153" i="10"/>
  <c r="H1151" i="10"/>
  <c r="C1150" i="10"/>
  <c r="F1148" i="10"/>
  <c r="I1146" i="10"/>
  <c r="D1145" i="10"/>
  <c r="H1136" i="10"/>
  <c r="H1134" i="10"/>
  <c r="H1132" i="10"/>
  <c r="H1130" i="10"/>
  <c r="H1128" i="10"/>
  <c r="H1119" i="10"/>
  <c r="C1117" i="10"/>
  <c r="E1114" i="10"/>
  <c r="H1111" i="10"/>
  <c r="C1109" i="10"/>
  <c r="E1106" i="10"/>
  <c r="H1103" i="10"/>
  <c r="C1101" i="10"/>
  <c r="E1098" i="10"/>
  <c r="H1090" i="10"/>
  <c r="F1089" i="10"/>
  <c r="D1088" i="10"/>
  <c r="H1086" i="10"/>
  <c r="F1085" i="10"/>
  <c r="D1084" i="10"/>
  <c r="H1082" i="10"/>
  <c r="F1081" i="10"/>
  <c r="D1080" i="10"/>
  <c r="H1078" i="10"/>
  <c r="F1077" i="10"/>
  <c r="D1076" i="10"/>
  <c r="H1074" i="10"/>
  <c r="F1073" i="10"/>
  <c r="D1072" i="10"/>
  <c r="H1070" i="10"/>
  <c r="F1069" i="10"/>
  <c r="D1068" i="10"/>
  <c r="H1066" i="10"/>
  <c r="F1065" i="10"/>
  <c r="D1064" i="10"/>
  <c r="H1062" i="10"/>
  <c r="F1061" i="10"/>
  <c r="D1060" i="10"/>
  <c r="H1058" i="10"/>
  <c r="F1057" i="10"/>
  <c r="D1056" i="10"/>
  <c r="H1054" i="10"/>
  <c r="F1053" i="10"/>
  <c r="G343" i="39"/>
  <c r="H172" i="39"/>
  <c r="C107" i="39"/>
  <c r="F81" i="39"/>
  <c r="H31" i="39"/>
  <c r="C1500" i="10"/>
  <c r="G1435" i="10"/>
  <c r="F1428" i="10"/>
  <c r="E1421" i="10"/>
  <c r="D1414" i="10"/>
  <c r="C1407" i="10"/>
  <c r="K1399" i="10"/>
  <c r="J1392" i="10"/>
  <c r="C1371" i="10"/>
  <c r="E1358" i="10"/>
  <c r="G1345" i="10"/>
  <c r="H1332" i="10"/>
  <c r="C1312" i="10"/>
  <c r="I1302" i="10"/>
  <c r="H1293" i="10"/>
  <c r="I1290" i="10"/>
  <c r="I1287" i="10"/>
  <c r="G1284" i="10"/>
  <c r="H1281" i="10"/>
  <c r="H1279" i="10"/>
  <c r="D1278" i="10"/>
  <c r="I1276" i="10"/>
  <c r="H1275" i="10"/>
  <c r="G1274" i="10"/>
  <c r="F1273" i="10"/>
  <c r="E1272" i="10"/>
  <c r="D1271" i="10"/>
  <c r="C1270" i="10"/>
  <c r="I1268" i="10"/>
  <c r="H1267" i="10"/>
  <c r="G1266" i="10"/>
  <c r="F1265" i="10"/>
  <c r="E1264" i="10"/>
  <c r="D1263" i="10"/>
  <c r="C1262" i="10"/>
  <c r="I1260" i="10"/>
  <c r="H1259" i="10"/>
  <c r="G1258" i="10"/>
  <c r="F1257" i="10"/>
  <c r="E1256" i="10"/>
  <c r="D1255" i="10"/>
  <c r="C1254" i="10"/>
  <c r="I1252" i="10"/>
  <c r="H1251" i="10"/>
  <c r="G1250" i="10"/>
  <c r="F1249" i="10"/>
  <c r="E1248" i="10"/>
  <c r="D1247" i="10"/>
  <c r="C1246" i="10"/>
  <c r="I1244" i="10"/>
  <c r="H1243" i="10"/>
  <c r="G1242" i="10"/>
  <c r="F1241" i="10"/>
  <c r="E1240" i="10"/>
  <c r="D1239" i="10"/>
  <c r="C1238" i="10"/>
  <c r="I1236" i="10"/>
  <c r="H1235" i="10"/>
  <c r="G1234" i="10"/>
  <c r="F1233" i="10"/>
  <c r="E1232" i="10"/>
  <c r="D1231" i="10"/>
  <c r="C1230" i="10"/>
  <c r="I1228" i="10"/>
  <c r="H1227" i="10"/>
  <c r="G1226" i="10"/>
  <c r="F1225" i="10"/>
  <c r="E1224" i="10"/>
  <c r="D1223" i="10"/>
  <c r="C1222" i="10"/>
  <c r="I1220" i="10"/>
  <c r="I1213" i="10"/>
  <c r="D1212" i="10"/>
  <c r="H1210" i="10"/>
  <c r="C1209" i="10"/>
  <c r="F1207" i="10"/>
  <c r="I1205" i="10"/>
  <c r="D1204" i="10"/>
  <c r="H1202" i="10"/>
  <c r="C1201" i="10"/>
  <c r="F1199" i="10"/>
  <c r="I1197" i="10"/>
  <c r="D1196" i="10"/>
  <c r="H1194" i="10"/>
  <c r="C1193" i="10"/>
  <c r="F1191" i="10"/>
  <c r="I1189" i="10"/>
  <c r="D1188" i="10"/>
  <c r="H1186" i="10"/>
  <c r="C1185" i="10"/>
  <c r="F1183" i="10"/>
  <c r="I1181" i="10"/>
  <c r="D1180" i="10"/>
  <c r="H1178" i="10"/>
  <c r="C1177" i="10"/>
  <c r="F1175" i="10"/>
  <c r="I1173" i="10"/>
  <c r="D1172" i="10"/>
  <c r="H1170" i="10"/>
  <c r="C1169" i="10"/>
  <c r="F1167" i="10"/>
  <c r="I1165" i="10"/>
  <c r="D1164" i="10"/>
  <c r="H1162" i="10"/>
  <c r="C1161" i="10"/>
  <c r="F1159" i="10"/>
  <c r="I1157" i="10"/>
  <c r="D1156" i="10"/>
  <c r="H1154" i="10"/>
  <c r="C1153" i="10"/>
  <c r="F1151" i="10"/>
  <c r="I1149" i="10"/>
  <c r="D1148" i="10"/>
  <c r="H1146" i="10"/>
  <c r="C1145" i="10"/>
  <c r="D1136" i="10"/>
  <c r="D1134" i="10"/>
  <c r="D1132" i="10"/>
  <c r="D1130" i="10"/>
  <c r="D1128" i="10"/>
  <c r="E1119" i="10"/>
  <c r="H1116" i="10"/>
  <c r="C1114" i="10"/>
  <c r="E1111" i="10"/>
  <c r="H1108" i="10"/>
  <c r="C1106" i="10"/>
  <c r="E1103" i="10"/>
  <c r="H1100" i="10"/>
  <c r="C1098" i="10"/>
  <c r="G1090" i="10"/>
  <c r="E1089" i="10"/>
  <c r="C1088" i="10"/>
  <c r="G1086" i="10"/>
  <c r="E1085" i="10"/>
  <c r="C1084" i="10"/>
  <c r="G1082" i="10"/>
  <c r="E1081" i="10"/>
  <c r="C1080" i="10"/>
  <c r="G1078" i="10"/>
  <c r="E1077" i="10"/>
  <c r="C1076" i="10"/>
  <c r="G1074" i="10"/>
  <c r="E1073" i="10"/>
  <c r="C1072" i="10"/>
  <c r="G1070" i="10"/>
  <c r="E1069" i="10"/>
  <c r="C1068" i="10"/>
  <c r="G1066" i="10"/>
  <c r="E1065" i="10"/>
  <c r="C1064" i="10"/>
  <c r="G1062" i="10"/>
  <c r="E1061" i="10"/>
  <c r="C1060" i="10"/>
  <c r="G1058" i="10"/>
  <c r="E1057" i="10"/>
  <c r="C1056" i="10"/>
  <c r="G1054" i="10"/>
  <c r="E1053" i="10"/>
  <c r="C1052" i="10"/>
  <c r="G1050" i="10"/>
  <c r="E1049" i="10"/>
  <c r="C1048" i="10"/>
  <c r="G1046" i="10"/>
  <c r="E1045" i="10"/>
  <c r="C1044" i="10"/>
  <c r="C308" i="39"/>
  <c r="G161" i="39"/>
  <c r="F102" i="39"/>
  <c r="D79" i="39"/>
  <c r="H28" i="39"/>
  <c r="G1479" i="10"/>
  <c r="H1434" i="10"/>
  <c r="G1427" i="10"/>
  <c r="F1420" i="10"/>
  <c r="E1413" i="10"/>
  <c r="D1406" i="10"/>
  <c r="C1399" i="10"/>
  <c r="K1391" i="10"/>
  <c r="G1369" i="10"/>
  <c r="H1356" i="10"/>
  <c r="I1343" i="10"/>
  <c r="C1331" i="10"/>
  <c r="I1310" i="10"/>
  <c r="H1301" i="10"/>
  <c r="G1293" i="10"/>
  <c r="E1290" i="10"/>
  <c r="F1287" i="10"/>
  <c r="F1284" i="10"/>
  <c r="D1281" i="10"/>
  <c r="F1279" i="10"/>
  <c r="C1278" i="10"/>
  <c r="H1276" i="10"/>
  <c r="G1275" i="10"/>
  <c r="F1274" i="10"/>
  <c r="E1273" i="10"/>
  <c r="D1272" i="10"/>
  <c r="C1271" i="10"/>
  <c r="I1269" i="10"/>
  <c r="H1268" i="10"/>
  <c r="G1267" i="10"/>
  <c r="F1266" i="10"/>
  <c r="E1265" i="10"/>
  <c r="D1264" i="10"/>
  <c r="C1263" i="10"/>
  <c r="I1261" i="10"/>
  <c r="H1260" i="10"/>
  <c r="G1259" i="10"/>
  <c r="F1258" i="10"/>
  <c r="E1257" i="10"/>
  <c r="D1256" i="10"/>
  <c r="C1255" i="10"/>
  <c r="I1253" i="10"/>
  <c r="H1252" i="10"/>
  <c r="G1251" i="10"/>
  <c r="F1250" i="10"/>
  <c r="E1249" i="10"/>
  <c r="D1248" i="10"/>
  <c r="C1247" i="10"/>
  <c r="I1245" i="10"/>
  <c r="H1244" i="10"/>
  <c r="G1243" i="10"/>
  <c r="F1242" i="10"/>
  <c r="E1241" i="10"/>
  <c r="D1240" i="10"/>
  <c r="C1239" i="10"/>
  <c r="I1237" i="10"/>
  <c r="H1236" i="10"/>
  <c r="G1235" i="10"/>
  <c r="F1234" i="10"/>
  <c r="E1233" i="10"/>
  <c r="D1232" i="10"/>
  <c r="C1231" i="10"/>
  <c r="I1229" i="10"/>
  <c r="H1228" i="10"/>
  <c r="G1227" i="10"/>
  <c r="F1226" i="10"/>
  <c r="E1225" i="10"/>
  <c r="D1224" i="10"/>
  <c r="C1223" i="10"/>
  <c r="I1221" i="10"/>
  <c r="H1220" i="10"/>
  <c r="H1213" i="10"/>
  <c r="C1212" i="10"/>
  <c r="F1210" i="10"/>
  <c r="I1208" i="10"/>
  <c r="D1207" i="10"/>
  <c r="H1205" i="10"/>
  <c r="C1204" i="10"/>
  <c r="F1202" i="10"/>
  <c r="I1200" i="10"/>
  <c r="D1199" i="10"/>
  <c r="H1197" i="10"/>
  <c r="C1196" i="10"/>
  <c r="F1194" i="10"/>
  <c r="I1192" i="10"/>
  <c r="D1191" i="10"/>
  <c r="H1189" i="10"/>
  <c r="C1188" i="10"/>
  <c r="F1186" i="10"/>
  <c r="I1184" i="10"/>
  <c r="D1183" i="10"/>
  <c r="H1181" i="10"/>
  <c r="C1180" i="10"/>
  <c r="F1178" i="10"/>
  <c r="I1176" i="10"/>
  <c r="D1175" i="10"/>
  <c r="H1173" i="10"/>
  <c r="C1172" i="10"/>
  <c r="F1170" i="10"/>
  <c r="I1168" i="10"/>
  <c r="D1167" i="10"/>
  <c r="H1165" i="10"/>
  <c r="C1164" i="10"/>
  <c r="F1162" i="10"/>
  <c r="I1160" i="10"/>
  <c r="D1159" i="10"/>
  <c r="H1157" i="10"/>
  <c r="C1156" i="10"/>
  <c r="F1154" i="10"/>
  <c r="I1152" i="10"/>
  <c r="D1151" i="10"/>
  <c r="H1149" i="10"/>
  <c r="C1148" i="10"/>
  <c r="F1146" i="10"/>
  <c r="I1144" i="10"/>
  <c r="C1136" i="10"/>
  <c r="C1134" i="10"/>
  <c r="C1132" i="10"/>
  <c r="C1130" i="10"/>
  <c r="C1128" i="10"/>
  <c r="C1119" i="10"/>
  <c r="E1116" i="10"/>
  <c r="H1113" i="10"/>
  <c r="C1111" i="10"/>
  <c r="E1108" i="10"/>
  <c r="H1105" i="10"/>
  <c r="C1103" i="10"/>
  <c r="E1100" i="10"/>
  <c r="H1091" i="10"/>
  <c r="F1090" i="10"/>
  <c r="D1089" i="10"/>
  <c r="H1087" i="10"/>
  <c r="F1086" i="10"/>
  <c r="D1085" i="10"/>
  <c r="H1083" i="10"/>
  <c r="F1082" i="10"/>
  <c r="D1081" i="10"/>
  <c r="H1079" i="10"/>
  <c r="F1078" i="10"/>
  <c r="D1077" i="10"/>
  <c r="H1075" i="10"/>
  <c r="F1074" i="10"/>
  <c r="D1073" i="10"/>
  <c r="H1071" i="10"/>
  <c r="F1070" i="10"/>
  <c r="D1069" i="10"/>
  <c r="H1067" i="10"/>
  <c r="F1066" i="10"/>
  <c r="D1065" i="10"/>
  <c r="H1063" i="10"/>
  <c r="F1062" i="10"/>
  <c r="D1061" i="10"/>
  <c r="H1059" i="10"/>
  <c r="F1058" i="10"/>
  <c r="D1057" i="10"/>
  <c r="H1055" i="10"/>
  <c r="F1054" i="10"/>
  <c r="D1053" i="10"/>
  <c r="H1051" i="10"/>
  <c r="F1050" i="10"/>
  <c r="D1049" i="10"/>
  <c r="H1047" i="10"/>
  <c r="F296" i="39"/>
  <c r="C155" i="39"/>
  <c r="I97" i="39"/>
  <c r="H67" i="39"/>
  <c r="H25" i="39"/>
  <c r="G1463" i="10"/>
  <c r="I1433" i="10"/>
  <c r="H1426" i="10"/>
  <c r="G1419" i="10"/>
  <c r="F1412" i="10"/>
  <c r="E1405" i="10"/>
  <c r="D1398" i="10"/>
  <c r="C1391" i="10"/>
  <c r="I1367" i="10"/>
  <c r="C1355" i="10"/>
  <c r="E1342" i="10"/>
  <c r="G1329" i="10"/>
  <c r="H1309" i="10"/>
  <c r="G1300" i="10"/>
  <c r="D1293" i="10"/>
  <c r="D1290" i="10"/>
  <c r="I1286" i="10"/>
  <c r="C1284" i="10"/>
  <c r="C1281" i="10"/>
  <c r="E1279" i="10"/>
  <c r="H1277" i="10"/>
  <c r="G1276" i="10"/>
  <c r="F1275" i="10"/>
  <c r="E1274" i="10"/>
  <c r="D1273" i="10"/>
  <c r="C1272" i="10"/>
  <c r="I1270" i="10"/>
  <c r="H1269" i="10"/>
  <c r="G1268" i="10"/>
  <c r="F1267" i="10"/>
  <c r="E1266" i="10"/>
  <c r="D1265" i="10"/>
  <c r="C1264" i="10"/>
  <c r="I1262" i="10"/>
  <c r="H1261" i="10"/>
  <c r="G1260" i="10"/>
  <c r="F1259" i="10"/>
  <c r="E1258" i="10"/>
  <c r="D1257" i="10"/>
  <c r="C1256" i="10"/>
  <c r="I1254" i="10"/>
  <c r="H1253" i="10"/>
  <c r="G1252" i="10"/>
  <c r="F1251" i="10"/>
  <c r="E1250" i="10"/>
  <c r="D1249" i="10"/>
  <c r="C1248" i="10"/>
  <c r="I1246" i="10"/>
  <c r="H1245" i="10"/>
  <c r="G1244" i="10"/>
  <c r="F1243" i="10"/>
  <c r="E1242" i="10"/>
  <c r="D1241" i="10"/>
  <c r="C1240" i="10"/>
  <c r="I1238" i="10"/>
  <c r="H1237" i="10"/>
  <c r="G1236" i="10"/>
  <c r="F1235" i="10"/>
  <c r="E1234" i="10"/>
  <c r="D1233" i="10"/>
  <c r="C1232" i="10"/>
  <c r="I1230" i="10"/>
  <c r="H1229" i="10"/>
  <c r="G1228" i="10"/>
  <c r="F1227" i="10"/>
  <c r="E1226" i="10"/>
  <c r="D1225" i="10"/>
  <c r="C1224" i="10"/>
  <c r="I1222" i="10"/>
  <c r="H1221" i="10"/>
  <c r="G1220" i="10"/>
  <c r="F1213" i="10"/>
  <c r="I1211" i="10"/>
  <c r="D1210" i="10"/>
  <c r="H1208" i="10"/>
  <c r="C1207" i="10"/>
  <c r="F1205" i="10"/>
  <c r="I1203" i="10"/>
  <c r="D1202" i="10"/>
  <c r="H1200" i="10"/>
  <c r="C1199" i="10"/>
  <c r="F1197" i="10"/>
  <c r="I1195" i="10"/>
  <c r="D1194" i="10"/>
  <c r="H1192" i="10"/>
  <c r="C1191" i="10"/>
  <c r="F1189" i="10"/>
  <c r="I1187" i="10"/>
  <c r="D1186" i="10"/>
  <c r="H1184" i="10"/>
  <c r="C1183" i="10"/>
  <c r="F1181" i="10"/>
  <c r="I1179" i="10"/>
  <c r="D1178" i="10"/>
  <c r="H1176" i="10"/>
  <c r="C1175" i="10"/>
  <c r="F1173" i="10"/>
  <c r="I1171" i="10"/>
  <c r="D1170" i="10"/>
  <c r="H1168" i="10"/>
  <c r="C1167" i="10"/>
  <c r="F1165" i="10"/>
  <c r="I1163" i="10"/>
  <c r="D1162" i="10"/>
  <c r="H1160" i="10"/>
  <c r="C1159" i="10"/>
  <c r="F1157" i="10"/>
  <c r="I1155" i="10"/>
  <c r="D1154" i="10"/>
  <c r="H1152" i="10"/>
  <c r="C1151" i="10"/>
  <c r="F1149" i="10"/>
  <c r="I1147" i="10"/>
  <c r="D1146" i="10"/>
  <c r="H1144" i="10"/>
  <c r="I1135" i="10"/>
  <c r="I1133" i="10"/>
  <c r="I1131" i="10"/>
  <c r="I1129" i="10"/>
  <c r="I1127" i="10"/>
  <c r="H1118" i="10"/>
  <c r="C1116" i="10"/>
  <c r="E1113" i="10"/>
  <c r="H1110" i="10"/>
  <c r="C1108" i="10"/>
  <c r="E1105" i="10"/>
  <c r="H1102" i="10"/>
  <c r="C1100" i="10"/>
  <c r="G1091" i="10"/>
  <c r="E1090" i="10"/>
  <c r="C1089" i="10"/>
  <c r="G1087" i="10"/>
  <c r="E1086" i="10"/>
  <c r="C1085" i="10"/>
  <c r="G1083" i="10"/>
  <c r="E1082" i="10"/>
  <c r="C1081" i="10"/>
  <c r="G1079" i="10"/>
  <c r="E1078" i="10"/>
  <c r="C1077" i="10"/>
  <c r="G1075" i="10"/>
  <c r="E1074" i="10"/>
  <c r="C1073" i="10"/>
  <c r="G1071" i="10"/>
  <c r="E1070" i="10"/>
  <c r="H260" i="39"/>
  <c r="H148" i="39"/>
  <c r="E93" i="39"/>
  <c r="H50" i="39"/>
  <c r="H22" i="39"/>
  <c r="G1454" i="10"/>
  <c r="J1432" i="10"/>
  <c r="I1425" i="10"/>
  <c r="H1418" i="10"/>
  <c r="G1411" i="10"/>
  <c r="F1404" i="10"/>
  <c r="E1397" i="10"/>
  <c r="D1390" i="10"/>
  <c r="E1366" i="10"/>
  <c r="G1353" i="10"/>
  <c r="H1340" i="10"/>
  <c r="I1327" i="10"/>
  <c r="G1308" i="10"/>
  <c r="F1299" i="10"/>
  <c r="G1292" i="10"/>
  <c r="H1289" i="10"/>
  <c r="H1286" i="10"/>
  <c r="F1283" i="10"/>
  <c r="G1280" i="10"/>
  <c r="D1279" i="10"/>
  <c r="G1277" i="10"/>
  <c r="F1276" i="10"/>
  <c r="E1275" i="10"/>
  <c r="D1274" i="10"/>
  <c r="C1273" i="10"/>
  <c r="I1271" i="10"/>
  <c r="H1270" i="10"/>
  <c r="G1269" i="10"/>
  <c r="F1268" i="10"/>
  <c r="E1267" i="10"/>
  <c r="D1266" i="10"/>
  <c r="C1265" i="10"/>
  <c r="I1263" i="10"/>
  <c r="H1262" i="10"/>
  <c r="G1261" i="10"/>
  <c r="F1260" i="10"/>
  <c r="E1259" i="10"/>
  <c r="D1258" i="10"/>
  <c r="C1257" i="10"/>
  <c r="I1255" i="10"/>
  <c r="H1254" i="10"/>
  <c r="G1253" i="10"/>
  <c r="F1252" i="10"/>
  <c r="E1251" i="10"/>
  <c r="D1250" i="10"/>
  <c r="C1249" i="10"/>
  <c r="I1247" i="10"/>
  <c r="H1246" i="10"/>
  <c r="G1245" i="10"/>
  <c r="F1244" i="10"/>
  <c r="E1243" i="10"/>
  <c r="D1242" i="10"/>
  <c r="C1241" i="10"/>
  <c r="I1239" i="10"/>
  <c r="H1238" i="10"/>
  <c r="G1237" i="10"/>
  <c r="F1236" i="10"/>
  <c r="E1235" i="10"/>
  <c r="D1234" i="10"/>
  <c r="C1233" i="10"/>
  <c r="I1231" i="10"/>
  <c r="H1230" i="10"/>
  <c r="G1229" i="10"/>
  <c r="F1228" i="10"/>
  <c r="E1227" i="10"/>
  <c r="D1226" i="10"/>
  <c r="C1225" i="10"/>
  <c r="I1223" i="10"/>
  <c r="H1222" i="10"/>
  <c r="G1221" i="10"/>
  <c r="F1220" i="10"/>
  <c r="D1213" i="10"/>
  <c r="H1211" i="10"/>
  <c r="C1210" i="10"/>
  <c r="F1208" i="10"/>
  <c r="I1206" i="10"/>
  <c r="D1205" i="10"/>
  <c r="H1203" i="10"/>
  <c r="C1202" i="10"/>
  <c r="F1200" i="10"/>
  <c r="I1198" i="10"/>
  <c r="D1197" i="10"/>
  <c r="H1195" i="10"/>
  <c r="C1194" i="10"/>
  <c r="F1192" i="10"/>
  <c r="I1190" i="10"/>
  <c r="D1189" i="10"/>
  <c r="H1187" i="10"/>
  <c r="C1186" i="10"/>
  <c r="F1184" i="10"/>
  <c r="I1182" i="10"/>
  <c r="D1181" i="10"/>
  <c r="H1179" i="10"/>
  <c r="C1178" i="10"/>
  <c r="F1176" i="10"/>
  <c r="I1174" i="10"/>
  <c r="D1173" i="10"/>
  <c r="H1171" i="10"/>
  <c r="C1170" i="10"/>
  <c r="F1168" i="10"/>
  <c r="I1166" i="10"/>
  <c r="D1165" i="10"/>
  <c r="H1163" i="10"/>
  <c r="C1162" i="10"/>
  <c r="F1160" i="10"/>
  <c r="I1158" i="10"/>
  <c r="D1157" i="10"/>
  <c r="H1155" i="10"/>
  <c r="C1154" i="10"/>
  <c r="F1152" i="10"/>
  <c r="I1150" i="10"/>
  <c r="D1149" i="10"/>
  <c r="H1147" i="10"/>
  <c r="C1146" i="10"/>
  <c r="F1144" i="10"/>
  <c r="H1135" i="10"/>
  <c r="H1133" i="10"/>
  <c r="H1131" i="10"/>
  <c r="H1129" i="10"/>
  <c r="H1127" i="10"/>
  <c r="E1118" i="10"/>
  <c r="H1115" i="10"/>
  <c r="C1113" i="10"/>
  <c r="E1110" i="10"/>
  <c r="H1107" i="10"/>
  <c r="C1105" i="10"/>
  <c r="E1102" i="10"/>
  <c r="H1099" i="10"/>
  <c r="F1091" i="10"/>
  <c r="D1090" i="10"/>
  <c r="H1088" i="10"/>
  <c r="F1087" i="10"/>
  <c r="D1086" i="10"/>
  <c r="H1084" i="10"/>
  <c r="F1083" i="10"/>
  <c r="D1082" i="10"/>
  <c r="H1080" i="10"/>
  <c r="F1079" i="10"/>
  <c r="D1078" i="10"/>
  <c r="H1076" i="10"/>
  <c r="F1075" i="10"/>
  <c r="D1074" i="10"/>
  <c r="H1072" i="10"/>
  <c r="F1071" i="10"/>
  <c r="D1070" i="10"/>
  <c r="H1068" i="10"/>
  <c r="F1067" i="10"/>
  <c r="D1066" i="10"/>
  <c r="H1064" i="10"/>
  <c r="F1063" i="10"/>
  <c r="D1062" i="10"/>
  <c r="H1060" i="10"/>
  <c r="F1059" i="10"/>
  <c r="D1058" i="10"/>
  <c r="H1056" i="10"/>
  <c r="F1055" i="10"/>
  <c r="D1054" i="10"/>
  <c r="H1052" i="10"/>
  <c r="F1051" i="10"/>
  <c r="D1050" i="10"/>
  <c r="H1048" i="10"/>
  <c r="F1047" i="10"/>
  <c r="G232" i="39"/>
  <c r="E142" i="39"/>
  <c r="G90" i="39"/>
  <c r="C45" i="39"/>
  <c r="I19" i="39"/>
  <c r="C1442" i="10"/>
  <c r="K1431" i="10"/>
  <c r="J1424" i="10"/>
  <c r="I1417" i="10"/>
  <c r="H1410" i="10"/>
  <c r="G1403" i="10"/>
  <c r="F1396" i="10"/>
  <c r="E1389" i="10"/>
  <c r="H1364" i="10"/>
  <c r="I1351" i="10"/>
  <c r="C1339" i="10"/>
  <c r="G1316" i="10"/>
  <c r="F1307" i="10"/>
  <c r="E1298" i="10"/>
  <c r="F1292" i="10"/>
  <c r="D1289" i="10"/>
  <c r="E1286" i="10"/>
  <c r="E1283" i="10"/>
  <c r="F1280" i="10"/>
  <c r="I1278" i="10"/>
  <c r="F1277" i="10"/>
  <c r="E1276" i="10"/>
  <c r="D1267" i="10"/>
  <c r="C1258" i="10"/>
  <c r="I1248" i="10"/>
  <c r="H1239" i="10"/>
  <c r="G1230" i="10"/>
  <c r="F1221" i="10"/>
  <c r="F1203" i="10"/>
  <c r="H1190" i="10"/>
  <c r="I1177" i="10"/>
  <c r="C1165" i="10"/>
  <c r="D1152" i="10"/>
  <c r="D1131" i="10"/>
  <c r="H1104" i="10"/>
  <c r="G1084" i="10"/>
  <c r="C1074" i="10"/>
  <c r="E1067" i="10"/>
  <c r="G1063" i="10"/>
  <c r="E1060" i="10"/>
  <c r="G1056" i="10"/>
  <c r="H1053" i="10"/>
  <c r="E1051" i="10"/>
  <c r="F1049" i="10"/>
  <c r="D1047" i="10"/>
  <c r="G1045" i="10"/>
  <c r="D1044" i="10"/>
  <c r="G1042" i="10"/>
  <c r="E1041" i="10"/>
  <c r="C1040" i="10"/>
  <c r="G1038" i="10"/>
  <c r="E1037" i="10"/>
  <c r="H1031" i="10"/>
  <c r="E1030" i="10"/>
  <c r="G1028" i="10"/>
  <c r="C1027" i="10"/>
  <c r="F1025" i="10"/>
  <c r="H1023" i="10"/>
  <c r="E1022" i="10"/>
  <c r="G1020" i="10"/>
  <c r="C1019" i="10"/>
  <c r="F1017" i="10"/>
  <c r="H1015" i="10"/>
  <c r="E1014" i="10"/>
  <c r="G1012" i="10"/>
  <c r="C1011" i="10"/>
  <c r="F1009" i="10"/>
  <c r="I1002" i="10"/>
  <c r="C1000" i="10"/>
  <c r="H997" i="10"/>
  <c r="I994" i="10"/>
  <c r="C992" i="10"/>
  <c r="H989" i="10"/>
  <c r="I986" i="10"/>
  <c r="C984" i="10"/>
  <c r="H981" i="10"/>
  <c r="I978" i="10"/>
  <c r="C976" i="10"/>
  <c r="H973" i="10"/>
  <c r="I970" i="10"/>
  <c r="C968" i="10"/>
  <c r="D1275" i="10"/>
  <c r="C1266" i="10"/>
  <c r="I1256" i="10"/>
  <c r="H1247" i="10"/>
  <c r="G1238" i="10"/>
  <c r="F1229" i="10"/>
  <c r="E1220" i="10"/>
  <c r="I1201" i="10"/>
  <c r="C1189" i="10"/>
  <c r="D1176" i="10"/>
  <c r="F1163" i="10"/>
  <c r="H1150" i="10"/>
  <c r="D1129" i="10"/>
  <c r="C1102" i="10"/>
  <c r="E1083" i="10"/>
  <c r="G1072" i="10"/>
  <c r="C1067" i="10"/>
  <c r="E1063" i="10"/>
  <c r="G1059" i="10"/>
  <c r="E1056" i="10"/>
  <c r="G1053" i="10"/>
  <c r="D1051" i="10"/>
  <c r="C1049" i="10"/>
  <c r="C1047" i="10"/>
  <c r="F1045" i="10"/>
  <c r="H1043" i="10"/>
  <c r="F1042" i="10"/>
  <c r="D1041" i="10"/>
  <c r="H1039" i="10"/>
  <c r="F1038" i="10"/>
  <c r="D1037" i="10"/>
  <c r="G1031" i="10"/>
  <c r="C1030" i="10"/>
  <c r="F1028" i="10"/>
  <c r="H1026" i="10"/>
  <c r="E1025" i="10"/>
  <c r="G1023" i="10"/>
  <c r="C1022" i="10"/>
  <c r="F1020" i="10"/>
  <c r="H1018" i="10"/>
  <c r="E1017" i="10"/>
  <c r="G1015" i="10"/>
  <c r="C1014" i="10"/>
  <c r="F1012" i="10"/>
  <c r="H1010" i="10"/>
  <c r="E1009" i="10"/>
  <c r="H1002" i="10"/>
  <c r="I999" i="10"/>
  <c r="C997" i="10"/>
  <c r="C1274" i="10"/>
  <c r="I1264" i="10"/>
  <c r="H1255" i="10"/>
  <c r="G1246" i="10"/>
  <c r="F1237" i="10"/>
  <c r="E1228" i="10"/>
  <c r="C1213" i="10"/>
  <c r="D1200" i="10"/>
  <c r="F1187" i="10"/>
  <c r="H1174" i="10"/>
  <c r="I1161" i="10"/>
  <c r="C1149" i="10"/>
  <c r="D1127" i="10"/>
  <c r="E1099" i="10"/>
  <c r="C1082" i="10"/>
  <c r="E1071" i="10"/>
  <c r="E1066" i="10"/>
  <c r="C1063" i="10"/>
  <c r="E1059" i="10"/>
  <c r="G1055" i="10"/>
  <c r="C1053" i="10"/>
  <c r="C1051" i="10"/>
  <c r="G1048" i="10"/>
  <c r="H1046" i="10"/>
  <c r="D1045" i="10"/>
  <c r="G1043" i="10"/>
  <c r="E1042" i="10"/>
  <c r="C1041" i="10"/>
  <c r="G1039" i="10"/>
  <c r="E1038" i="10"/>
  <c r="C1037" i="10"/>
  <c r="F1031" i="10"/>
  <c r="H1029" i="10"/>
  <c r="E1028" i="10"/>
  <c r="G1026" i="10"/>
  <c r="C1025" i="10"/>
  <c r="F1023" i="10"/>
  <c r="H1021" i="10"/>
  <c r="E1020" i="10"/>
  <c r="G1018" i="10"/>
  <c r="C1017" i="10"/>
  <c r="F1015" i="10"/>
  <c r="H1013" i="10"/>
  <c r="E1012" i="10"/>
  <c r="G1010" i="10"/>
  <c r="C1009" i="10"/>
  <c r="C1002" i="10"/>
  <c r="H999" i="10"/>
  <c r="I1272" i="10"/>
  <c r="H1263" i="10"/>
  <c r="G1254" i="10"/>
  <c r="F1245" i="10"/>
  <c r="E1236" i="10"/>
  <c r="D1227" i="10"/>
  <c r="F1211" i="10"/>
  <c r="H1198" i="10"/>
  <c r="I1185" i="10"/>
  <c r="C1173" i="10"/>
  <c r="D1160" i="10"/>
  <c r="F1147" i="10"/>
  <c r="C1118" i="10"/>
  <c r="E1091" i="10"/>
  <c r="G1080" i="10"/>
  <c r="C1070" i="10"/>
  <c r="C1066" i="10"/>
  <c r="E1062" i="10"/>
  <c r="C1059" i="10"/>
  <c r="E1055" i="10"/>
  <c r="G1052" i="10"/>
  <c r="H1050" i="10"/>
  <c r="F1048" i="10"/>
  <c r="F1046" i="10"/>
  <c r="C1045" i="10"/>
  <c r="F1043" i="10"/>
  <c r="D1042" i="10"/>
  <c r="H1040" i="10"/>
  <c r="F1039" i="10"/>
  <c r="D1038" i="10"/>
  <c r="H1032" i="10"/>
  <c r="E1031" i="10"/>
  <c r="G1029" i="10"/>
  <c r="C1028" i="10"/>
  <c r="F1026" i="10"/>
  <c r="H1024" i="10"/>
  <c r="E1023" i="10"/>
  <c r="G1021" i="10"/>
  <c r="C1020" i="10"/>
  <c r="F1018" i="10"/>
  <c r="H1016" i="10"/>
  <c r="E1015" i="10"/>
  <c r="G1013" i="10"/>
  <c r="C1012" i="10"/>
  <c r="F1010" i="10"/>
  <c r="H1008" i="10"/>
  <c r="I1001" i="10"/>
  <c r="C999" i="10"/>
  <c r="H996" i="10"/>
  <c r="I993" i="10"/>
  <c r="C991" i="10"/>
  <c r="H988" i="10"/>
  <c r="I985" i="10"/>
  <c r="C983" i="10"/>
  <c r="H980" i="10"/>
  <c r="I977" i="10"/>
  <c r="C975" i="10"/>
  <c r="H972" i="10"/>
  <c r="I969" i="10"/>
  <c r="H1271" i="10"/>
  <c r="G1262" i="10"/>
  <c r="F1253" i="10"/>
  <c r="E1244" i="10"/>
  <c r="D1235" i="10"/>
  <c r="C1226" i="10"/>
  <c r="I1209" i="10"/>
  <c r="C1197" i="10"/>
  <c r="D1184" i="10"/>
  <c r="F1171" i="10"/>
  <c r="H1158" i="10"/>
  <c r="I1145" i="10"/>
  <c r="E1115" i="10"/>
  <c r="C1090" i="10"/>
  <c r="E1079" i="10"/>
  <c r="C1069" i="10"/>
  <c r="G1065" i="10"/>
  <c r="C1062" i="10"/>
  <c r="E1058" i="10"/>
  <c r="D1055" i="10"/>
  <c r="F1052" i="10"/>
  <c r="E1050" i="10"/>
  <c r="E1048" i="10"/>
  <c r="E1046" i="10"/>
  <c r="H1044" i="10"/>
  <c r="E1043" i="10"/>
  <c r="C1042" i="10"/>
  <c r="G1040" i="10"/>
  <c r="E1039" i="10"/>
  <c r="C1038" i="10"/>
  <c r="G1032" i="10"/>
  <c r="C1031" i="10"/>
  <c r="F1029" i="10"/>
  <c r="H1027" i="10"/>
  <c r="E1026" i="10"/>
  <c r="G1024" i="10"/>
  <c r="C1023" i="10"/>
  <c r="F1021" i="10"/>
  <c r="H1019" i="10"/>
  <c r="E1018" i="10"/>
  <c r="G1016" i="10"/>
  <c r="C1015" i="10"/>
  <c r="F1013" i="10"/>
  <c r="H1011" i="10"/>
  <c r="E1010" i="10"/>
  <c r="G1008" i="10"/>
  <c r="H1001" i="10"/>
  <c r="I998" i="10"/>
  <c r="C996" i="10"/>
  <c r="H993" i="10"/>
  <c r="I990" i="10"/>
  <c r="C988" i="10"/>
  <c r="H985" i="10"/>
  <c r="I982" i="10"/>
  <c r="C980" i="10"/>
  <c r="H977" i="10"/>
  <c r="I974" i="10"/>
  <c r="C972" i="10"/>
  <c r="H969" i="10"/>
  <c r="I966" i="10"/>
  <c r="C964" i="10"/>
  <c r="H961" i="10"/>
  <c r="I958" i="10"/>
  <c r="C956" i="10"/>
  <c r="H953" i="10"/>
  <c r="I950" i="10"/>
  <c r="C948" i="10"/>
  <c r="H945" i="10"/>
  <c r="I942" i="10"/>
  <c r="C940" i="10"/>
  <c r="H937" i="10"/>
  <c r="I934" i="10"/>
  <c r="C932" i="10"/>
  <c r="H929" i="10"/>
  <c r="I926" i="10"/>
  <c r="C924" i="10"/>
  <c r="H921" i="10"/>
  <c r="I918" i="10"/>
  <c r="C916" i="10"/>
  <c r="H913" i="10"/>
  <c r="I910" i="10"/>
  <c r="C908" i="10"/>
  <c r="H905" i="10"/>
  <c r="I902" i="10"/>
  <c r="C900" i="10"/>
  <c r="H897" i="10"/>
  <c r="G1270" i="10"/>
  <c r="F1261" i="10"/>
  <c r="E1252" i="10"/>
  <c r="D1243" i="10"/>
  <c r="C1234" i="10"/>
  <c r="I1224" i="10"/>
  <c r="D1208" i="10"/>
  <c r="F1195" i="10"/>
  <c r="H1182" i="10"/>
  <c r="I1169" i="10"/>
  <c r="C1157" i="10"/>
  <c r="D1144" i="10"/>
  <c r="H1112" i="10"/>
  <c r="G1088" i="10"/>
  <c r="C1078" i="10"/>
  <c r="G1068" i="10"/>
  <c r="C1065" i="10"/>
  <c r="G1061" i="10"/>
  <c r="C1058" i="10"/>
  <c r="C1055" i="10"/>
  <c r="E1052" i="10"/>
  <c r="C1050" i="10"/>
  <c r="D1048" i="10"/>
  <c r="D1046" i="10"/>
  <c r="G1044" i="10"/>
  <c r="D1043" i="10"/>
  <c r="H1041" i="10"/>
  <c r="F1040" i="10"/>
  <c r="D1039" i="10"/>
  <c r="H1037" i="10"/>
  <c r="F1032" i="10"/>
  <c r="H1030" i="10"/>
  <c r="E1029" i="10"/>
  <c r="G1027" i="10"/>
  <c r="C1026" i="10"/>
  <c r="F1024" i="10"/>
  <c r="H1022" i="10"/>
  <c r="E1021" i="10"/>
  <c r="G1019" i="10"/>
  <c r="C1018" i="10"/>
  <c r="F1016" i="10"/>
  <c r="H1014" i="10"/>
  <c r="E1013" i="10"/>
  <c r="G1011" i="10"/>
  <c r="C1010" i="10"/>
  <c r="F1008" i="10"/>
  <c r="C1001" i="10"/>
  <c r="F1269" i="10"/>
  <c r="E1260" i="10"/>
  <c r="D1251" i="10"/>
  <c r="C1242" i="10"/>
  <c r="I1232" i="10"/>
  <c r="H1223" i="10"/>
  <c r="H1206" i="10"/>
  <c r="I1193" i="10"/>
  <c r="C1181" i="10"/>
  <c r="D1168" i="10"/>
  <c r="F1155" i="10"/>
  <c r="D1135" i="10"/>
  <c r="C1110" i="10"/>
  <c r="E1087" i="10"/>
  <c r="G1076" i="10"/>
  <c r="E1068" i="10"/>
  <c r="G1064" i="10"/>
  <c r="C1061" i="10"/>
  <c r="G1057" i="10"/>
  <c r="E1054" i="10"/>
  <c r="D1052" i="10"/>
  <c r="H1049" i="10"/>
  <c r="G1047" i="10"/>
  <c r="C1046" i="10"/>
  <c r="F1044" i="10"/>
  <c r="C1043" i="10"/>
  <c r="G1041" i="10"/>
  <c r="E1040" i="10"/>
  <c r="C1039" i="10"/>
  <c r="G1037" i="10"/>
  <c r="E1032" i="10"/>
  <c r="G1030" i="10"/>
  <c r="C1029" i="10"/>
  <c r="F1027" i="10"/>
  <c r="H1025" i="10"/>
  <c r="E1024" i="10"/>
  <c r="G1022" i="10"/>
  <c r="C1021" i="10"/>
  <c r="F1019" i="10"/>
  <c r="H1017" i="10"/>
  <c r="E1016" i="10"/>
  <c r="G1014" i="10"/>
  <c r="C1013" i="10"/>
  <c r="F1011" i="10"/>
  <c r="H1009" i="10"/>
  <c r="E1008" i="10"/>
  <c r="I1000" i="10"/>
  <c r="E1268" i="10"/>
  <c r="D1259" i="10"/>
  <c r="C1250" i="10"/>
  <c r="I1240" i="10"/>
  <c r="H1231" i="10"/>
  <c r="G1222" i="10"/>
  <c r="C1205" i="10"/>
  <c r="D1192" i="10"/>
  <c r="F1179" i="10"/>
  <c r="H1166" i="10"/>
  <c r="I1153" i="10"/>
  <c r="D1133" i="10"/>
  <c r="E1107" i="10"/>
  <c r="C1086" i="10"/>
  <c r="E1075" i="10"/>
  <c r="G1067" i="10"/>
  <c r="E1064" i="10"/>
  <c r="G1060" i="10"/>
  <c r="C1057" i="10"/>
  <c r="C1054" i="10"/>
  <c r="G1051" i="10"/>
  <c r="G1049" i="10"/>
  <c r="E1047" i="10"/>
  <c r="H1045" i="10"/>
  <c r="E1044" i="10"/>
  <c r="H1042" i="10"/>
  <c r="F1041" i="10"/>
  <c r="D1040" i="10"/>
  <c r="H1038" i="10"/>
  <c r="F1037" i="10"/>
  <c r="C1032" i="10"/>
  <c r="F1030" i="10"/>
  <c r="H1028" i="10"/>
  <c r="E1027" i="10"/>
  <c r="G1025" i="10"/>
  <c r="C1024" i="10"/>
  <c r="F1022" i="10"/>
  <c r="H1020" i="10"/>
  <c r="E1019" i="10"/>
  <c r="G1017" i="10"/>
  <c r="C1016" i="10"/>
  <c r="F1014" i="10"/>
  <c r="H1012" i="10"/>
  <c r="E1011" i="10"/>
  <c r="G1009" i="10"/>
  <c r="C1008" i="10"/>
  <c r="H1000" i="10"/>
  <c r="I997" i="10"/>
  <c r="C995" i="10"/>
  <c r="H992" i="10"/>
  <c r="I989" i="10"/>
  <c r="C987" i="10"/>
  <c r="H984" i="10"/>
  <c r="I981" i="10"/>
  <c r="C979" i="10"/>
  <c r="H976" i="10"/>
  <c r="I973" i="10"/>
  <c r="C971" i="10"/>
  <c r="H968" i="10"/>
  <c r="I965" i="10"/>
  <c r="C963" i="10"/>
  <c r="H960" i="10"/>
  <c r="I957" i="10"/>
  <c r="C955" i="10"/>
  <c r="H952" i="10"/>
  <c r="I949" i="10"/>
  <c r="C947" i="10"/>
  <c r="H944" i="10"/>
  <c r="I941" i="10"/>
  <c r="C939" i="10"/>
  <c r="H936" i="10"/>
  <c r="I933" i="10"/>
  <c r="C931" i="10"/>
  <c r="H928" i="10"/>
  <c r="I925" i="10"/>
  <c r="C923" i="10"/>
  <c r="H920" i="10"/>
  <c r="I917" i="10"/>
  <c r="C915" i="10"/>
  <c r="H912" i="10"/>
  <c r="I909" i="10"/>
  <c r="C907" i="10"/>
  <c r="H904" i="10"/>
  <c r="I901" i="10"/>
  <c r="C899" i="10"/>
  <c r="H998" i="10"/>
  <c r="I992" i="10"/>
  <c r="H987" i="10"/>
  <c r="C982" i="10"/>
  <c r="I976" i="10"/>
  <c r="H971" i="10"/>
  <c r="H966" i="10"/>
  <c r="I962" i="10"/>
  <c r="H959" i="10"/>
  <c r="I955" i="10"/>
  <c r="C952" i="10"/>
  <c r="I948" i="10"/>
  <c r="C945" i="10"/>
  <c r="H941" i="10"/>
  <c r="C938" i="10"/>
  <c r="H934" i="10"/>
  <c r="I930" i="10"/>
  <c r="H927" i="10"/>
  <c r="I923" i="10"/>
  <c r="C920" i="10"/>
  <c r="I916" i="10"/>
  <c r="C913" i="10"/>
  <c r="H909" i="10"/>
  <c r="C906" i="10"/>
  <c r="H902" i="10"/>
  <c r="I898" i="10"/>
  <c r="I895" i="10"/>
  <c r="C893" i="10"/>
  <c r="H890" i="10"/>
  <c r="I887" i="10"/>
  <c r="C885" i="10"/>
  <c r="H882" i="10"/>
  <c r="I879" i="10"/>
  <c r="C877" i="10"/>
  <c r="H874" i="10"/>
  <c r="I871" i="10"/>
  <c r="C869" i="10"/>
  <c r="H866" i="10"/>
  <c r="I863" i="10"/>
  <c r="C861" i="10"/>
  <c r="H858" i="10"/>
  <c r="I855" i="10"/>
  <c r="C853" i="10"/>
  <c r="H850" i="10"/>
  <c r="I847" i="10"/>
  <c r="C845" i="10"/>
  <c r="H842" i="10"/>
  <c r="I839" i="10"/>
  <c r="C837" i="10"/>
  <c r="H834" i="10"/>
  <c r="I831" i="10"/>
  <c r="C829" i="10"/>
  <c r="H826" i="10"/>
  <c r="I823" i="10"/>
  <c r="C821" i="10"/>
  <c r="H818" i="10"/>
  <c r="I815" i="10"/>
  <c r="C813" i="10"/>
  <c r="H810" i="10"/>
  <c r="I807" i="10"/>
  <c r="C805" i="10"/>
  <c r="H802" i="10"/>
  <c r="I799" i="10"/>
  <c r="C797" i="10"/>
  <c r="H794" i="10"/>
  <c r="I791" i="10"/>
  <c r="C789" i="10"/>
  <c r="H786" i="10"/>
  <c r="I783" i="10"/>
  <c r="C781" i="10"/>
  <c r="H778" i="10"/>
  <c r="I775" i="10"/>
  <c r="C773" i="10"/>
  <c r="H770" i="10"/>
  <c r="I767" i="10"/>
  <c r="C765" i="10"/>
  <c r="H762" i="10"/>
  <c r="I759" i="10"/>
  <c r="C757" i="10"/>
  <c r="H754" i="10"/>
  <c r="I751" i="10"/>
  <c r="C749" i="10"/>
  <c r="H746" i="10"/>
  <c r="I743" i="10"/>
  <c r="C741" i="10"/>
  <c r="H738" i="10"/>
  <c r="I735" i="10"/>
  <c r="C733" i="10"/>
  <c r="H730" i="10"/>
  <c r="I727" i="10"/>
  <c r="C725" i="10"/>
  <c r="H722" i="10"/>
  <c r="I719" i="10"/>
  <c r="C717" i="10"/>
  <c r="H714" i="10"/>
  <c r="I711" i="10"/>
  <c r="C709" i="10"/>
  <c r="H706" i="10"/>
  <c r="I703" i="10"/>
  <c r="C701" i="10"/>
  <c r="H698" i="10"/>
  <c r="I695" i="10"/>
  <c r="C693" i="10"/>
  <c r="H690" i="10"/>
  <c r="I687" i="10"/>
  <c r="C685" i="10"/>
  <c r="H682" i="10"/>
  <c r="I679" i="10"/>
  <c r="C677" i="10"/>
  <c r="H674" i="10"/>
  <c r="I671" i="10"/>
  <c r="C669" i="10"/>
  <c r="H666" i="10"/>
  <c r="I663" i="10"/>
  <c r="C661" i="10"/>
  <c r="H658" i="10"/>
  <c r="I655" i="10"/>
  <c r="C653" i="10"/>
  <c r="H650" i="10"/>
  <c r="I647" i="10"/>
  <c r="C645" i="10"/>
  <c r="H642" i="10"/>
  <c r="I639" i="10"/>
  <c r="C637" i="10"/>
  <c r="H634" i="10"/>
  <c r="I631" i="10"/>
  <c r="C629" i="10"/>
  <c r="H626" i="10"/>
  <c r="I623" i="10"/>
  <c r="C621" i="10"/>
  <c r="C998" i="10"/>
  <c r="I991" i="10"/>
  <c r="H986" i="10"/>
  <c r="C981" i="10"/>
  <c r="I975" i="10"/>
  <c r="H970" i="10"/>
  <c r="C966" i="10"/>
  <c r="H962" i="10"/>
  <c r="C959" i="10"/>
  <c r="H955" i="10"/>
  <c r="I951" i="10"/>
  <c r="H948" i="10"/>
  <c r="I944" i="10"/>
  <c r="C941" i="10"/>
  <c r="I937" i="10"/>
  <c r="C934" i="10"/>
  <c r="H930" i="10"/>
  <c r="C927" i="10"/>
  <c r="H923" i="10"/>
  <c r="I919" i="10"/>
  <c r="H916" i="10"/>
  <c r="I912" i="10"/>
  <c r="C909" i="10"/>
  <c r="I905" i="10"/>
  <c r="C902" i="10"/>
  <c r="H898" i="10"/>
  <c r="H895" i="10"/>
  <c r="I892" i="10"/>
  <c r="C890" i="10"/>
  <c r="H887" i="10"/>
  <c r="I884" i="10"/>
  <c r="C882" i="10"/>
  <c r="H879" i="10"/>
  <c r="I876" i="10"/>
  <c r="C874" i="10"/>
  <c r="H871" i="10"/>
  <c r="I868" i="10"/>
  <c r="C866" i="10"/>
  <c r="H863" i="10"/>
  <c r="I860" i="10"/>
  <c r="C858" i="10"/>
  <c r="H855" i="10"/>
  <c r="I852" i="10"/>
  <c r="C850" i="10"/>
  <c r="H847" i="10"/>
  <c r="I844" i="10"/>
  <c r="C842" i="10"/>
  <c r="H839" i="10"/>
  <c r="I836" i="10"/>
  <c r="C834" i="10"/>
  <c r="H831" i="10"/>
  <c r="I828" i="10"/>
  <c r="C826" i="10"/>
  <c r="H823" i="10"/>
  <c r="I820" i="10"/>
  <c r="C818" i="10"/>
  <c r="H815" i="10"/>
  <c r="I812" i="10"/>
  <c r="C810" i="10"/>
  <c r="H807" i="10"/>
  <c r="I804" i="10"/>
  <c r="C802" i="10"/>
  <c r="H799" i="10"/>
  <c r="I796" i="10"/>
  <c r="C794" i="10"/>
  <c r="H791" i="10"/>
  <c r="I788" i="10"/>
  <c r="C786" i="10"/>
  <c r="H783" i="10"/>
  <c r="I780" i="10"/>
  <c r="C778" i="10"/>
  <c r="H775" i="10"/>
  <c r="I772" i="10"/>
  <c r="C770" i="10"/>
  <c r="H767" i="10"/>
  <c r="I764" i="10"/>
  <c r="C762" i="10"/>
  <c r="H759" i="10"/>
  <c r="I756" i="10"/>
  <c r="C754" i="10"/>
  <c r="H751" i="10"/>
  <c r="I748" i="10"/>
  <c r="C746" i="10"/>
  <c r="H743" i="10"/>
  <c r="I740" i="10"/>
  <c r="C738" i="10"/>
  <c r="H735" i="10"/>
  <c r="I732" i="10"/>
  <c r="C730" i="10"/>
  <c r="H727" i="10"/>
  <c r="I724" i="10"/>
  <c r="C722" i="10"/>
  <c r="H719" i="10"/>
  <c r="I716" i="10"/>
  <c r="C714" i="10"/>
  <c r="H711" i="10"/>
  <c r="I708" i="10"/>
  <c r="C706" i="10"/>
  <c r="H703" i="10"/>
  <c r="I700" i="10"/>
  <c r="C698" i="10"/>
  <c r="H695" i="10"/>
  <c r="I692" i="10"/>
  <c r="C690" i="10"/>
  <c r="H687" i="10"/>
  <c r="I684" i="10"/>
  <c r="C682" i="10"/>
  <c r="H679" i="10"/>
  <c r="I676" i="10"/>
  <c r="C674" i="10"/>
  <c r="H671" i="10"/>
  <c r="I668" i="10"/>
  <c r="C666" i="10"/>
  <c r="H663" i="10"/>
  <c r="I660" i="10"/>
  <c r="C658" i="10"/>
  <c r="H655" i="10"/>
  <c r="I652" i="10"/>
  <c r="C650" i="10"/>
  <c r="H647" i="10"/>
  <c r="I644" i="10"/>
  <c r="C642" i="10"/>
  <c r="H639" i="10"/>
  <c r="I636" i="10"/>
  <c r="C634" i="10"/>
  <c r="H631" i="10"/>
  <c r="I628" i="10"/>
  <c r="C626" i="10"/>
  <c r="H623" i="10"/>
  <c r="I620" i="10"/>
  <c r="C618" i="10"/>
  <c r="H615" i="10"/>
  <c r="I996" i="10"/>
  <c r="H991" i="10"/>
  <c r="C986" i="10"/>
  <c r="I980" i="10"/>
  <c r="H975" i="10"/>
  <c r="C970" i="10"/>
  <c r="H965" i="10"/>
  <c r="C962" i="10"/>
  <c r="H958" i="10"/>
  <c r="I954" i="10"/>
  <c r="H951" i="10"/>
  <c r="I947" i="10"/>
  <c r="C944" i="10"/>
  <c r="I940" i="10"/>
  <c r="C937" i="10"/>
  <c r="H933" i="10"/>
  <c r="C930" i="10"/>
  <c r="H926" i="10"/>
  <c r="I922" i="10"/>
  <c r="H919" i="10"/>
  <c r="I915" i="10"/>
  <c r="C912" i="10"/>
  <c r="I908" i="10"/>
  <c r="C905" i="10"/>
  <c r="H901" i="10"/>
  <c r="C898" i="10"/>
  <c r="C895" i="10"/>
  <c r="H892" i="10"/>
  <c r="I889" i="10"/>
  <c r="C887" i="10"/>
  <c r="H884" i="10"/>
  <c r="I881" i="10"/>
  <c r="C879" i="10"/>
  <c r="H876" i="10"/>
  <c r="I873" i="10"/>
  <c r="C871" i="10"/>
  <c r="H868" i="10"/>
  <c r="I865" i="10"/>
  <c r="C863" i="10"/>
  <c r="H860" i="10"/>
  <c r="I857" i="10"/>
  <c r="C855" i="10"/>
  <c r="H852" i="10"/>
  <c r="I849" i="10"/>
  <c r="C847" i="10"/>
  <c r="H844" i="10"/>
  <c r="I841" i="10"/>
  <c r="C839" i="10"/>
  <c r="H836" i="10"/>
  <c r="I833" i="10"/>
  <c r="C831" i="10"/>
  <c r="H828" i="10"/>
  <c r="I825" i="10"/>
  <c r="C823" i="10"/>
  <c r="H820" i="10"/>
  <c r="I817" i="10"/>
  <c r="C815" i="10"/>
  <c r="H812" i="10"/>
  <c r="I809" i="10"/>
  <c r="C807" i="10"/>
  <c r="H804" i="10"/>
  <c r="I801" i="10"/>
  <c r="C799" i="10"/>
  <c r="H796" i="10"/>
  <c r="I793" i="10"/>
  <c r="C791" i="10"/>
  <c r="H788" i="10"/>
  <c r="I785" i="10"/>
  <c r="C783" i="10"/>
  <c r="H780" i="10"/>
  <c r="I777" i="10"/>
  <c r="C775" i="10"/>
  <c r="H772" i="10"/>
  <c r="I769" i="10"/>
  <c r="C767" i="10"/>
  <c r="H764" i="10"/>
  <c r="I761" i="10"/>
  <c r="C759" i="10"/>
  <c r="H756" i="10"/>
  <c r="I753" i="10"/>
  <c r="C751" i="10"/>
  <c r="H748" i="10"/>
  <c r="I745" i="10"/>
  <c r="C743" i="10"/>
  <c r="H740" i="10"/>
  <c r="I737" i="10"/>
  <c r="C735" i="10"/>
  <c r="H732" i="10"/>
  <c r="I729" i="10"/>
  <c r="C727" i="10"/>
  <c r="H724" i="10"/>
  <c r="I721" i="10"/>
  <c r="C719" i="10"/>
  <c r="H716" i="10"/>
  <c r="I713" i="10"/>
  <c r="C711" i="10"/>
  <c r="H708" i="10"/>
  <c r="I705" i="10"/>
  <c r="C703" i="10"/>
  <c r="H700" i="10"/>
  <c r="I697" i="10"/>
  <c r="C695" i="10"/>
  <c r="H692" i="10"/>
  <c r="I689" i="10"/>
  <c r="C687" i="10"/>
  <c r="H684" i="10"/>
  <c r="I681" i="10"/>
  <c r="C679" i="10"/>
  <c r="H676" i="10"/>
  <c r="I673" i="10"/>
  <c r="C671" i="10"/>
  <c r="H668" i="10"/>
  <c r="I665" i="10"/>
  <c r="C663" i="10"/>
  <c r="H660" i="10"/>
  <c r="I657" i="10"/>
  <c r="C655" i="10"/>
  <c r="H652" i="10"/>
  <c r="I649" i="10"/>
  <c r="C647" i="10"/>
  <c r="H644" i="10"/>
  <c r="I641" i="10"/>
  <c r="C639" i="10"/>
  <c r="H636" i="10"/>
  <c r="I633" i="10"/>
  <c r="C631" i="10"/>
  <c r="H628" i="10"/>
  <c r="I625" i="10"/>
  <c r="C623" i="10"/>
  <c r="H620" i="10"/>
  <c r="I617" i="10"/>
  <c r="C615" i="10"/>
  <c r="H612" i="10"/>
  <c r="I609" i="10"/>
  <c r="C607" i="10"/>
  <c r="H604" i="10"/>
  <c r="I601" i="10"/>
  <c r="C599" i="10"/>
  <c r="H596" i="10"/>
  <c r="I593" i="10"/>
  <c r="I995" i="10"/>
  <c r="H990" i="10"/>
  <c r="C985" i="10"/>
  <c r="I979" i="10"/>
  <c r="H974" i="10"/>
  <c r="C969" i="10"/>
  <c r="C965" i="10"/>
  <c r="I961" i="10"/>
  <c r="C958" i="10"/>
  <c r="H954" i="10"/>
  <c r="C951" i="10"/>
  <c r="H947" i="10"/>
  <c r="I943" i="10"/>
  <c r="H940" i="10"/>
  <c r="I936" i="10"/>
  <c r="C933" i="10"/>
  <c r="I929" i="10"/>
  <c r="C926" i="10"/>
  <c r="H922" i="10"/>
  <c r="C919" i="10"/>
  <c r="H915" i="10"/>
  <c r="I911" i="10"/>
  <c r="H908" i="10"/>
  <c r="I904" i="10"/>
  <c r="C901" i="10"/>
  <c r="I897" i="10"/>
  <c r="I894" i="10"/>
  <c r="C892" i="10"/>
  <c r="H889" i="10"/>
  <c r="I886" i="10"/>
  <c r="C884" i="10"/>
  <c r="H881" i="10"/>
  <c r="I878" i="10"/>
  <c r="C876" i="10"/>
  <c r="H873" i="10"/>
  <c r="I870" i="10"/>
  <c r="C868" i="10"/>
  <c r="H865" i="10"/>
  <c r="I862" i="10"/>
  <c r="C860" i="10"/>
  <c r="H857" i="10"/>
  <c r="I854" i="10"/>
  <c r="C852" i="10"/>
  <c r="H849" i="10"/>
  <c r="I846" i="10"/>
  <c r="C844" i="10"/>
  <c r="H841" i="10"/>
  <c r="I838" i="10"/>
  <c r="C836" i="10"/>
  <c r="H833" i="10"/>
  <c r="I830" i="10"/>
  <c r="C828" i="10"/>
  <c r="H825" i="10"/>
  <c r="I822" i="10"/>
  <c r="C820" i="10"/>
  <c r="H817" i="10"/>
  <c r="I814" i="10"/>
  <c r="C812" i="10"/>
  <c r="H809" i="10"/>
  <c r="I806" i="10"/>
  <c r="C804" i="10"/>
  <c r="H801" i="10"/>
  <c r="I798" i="10"/>
  <c r="C796" i="10"/>
  <c r="H793" i="10"/>
  <c r="I790" i="10"/>
  <c r="C788" i="10"/>
  <c r="H785" i="10"/>
  <c r="I782" i="10"/>
  <c r="C780" i="10"/>
  <c r="H777" i="10"/>
  <c r="I774" i="10"/>
  <c r="C772" i="10"/>
  <c r="H769" i="10"/>
  <c r="I766" i="10"/>
  <c r="C764" i="10"/>
  <c r="H761" i="10"/>
  <c r="I758" i="10"/>
  <c r="C756" i="10"/>
  <c r="H753" i="10"/>
  <c r="I750" i="10"/>
  <c r="C748" i="10"/>
  <c r="H745" i="10"/>
  <c r="I742" i="10"/>
  <c r="C740" i="10"/>
  <c r="H737" i="10"/>
  <c r="I734" i="10"/>
  <c r="C732" i="10"/>
  <c r="H729" i="10"/>
  <c r="I726" i="10"/>
  <c r="C724" i="10"/>
  <c r="H721" i="10"/>
  <c r="I718" i="10"/>
  <c r="C716" i="10"/>
  <c r="H713" i="10"/>
  <c r="I710" i="10"/>
  <c r="C708" i="10"/>
  <c r="H705" i="10"/>
  <c r="I702" i="10"/>
  <c r="C700" i="10"/>
  <c r="H697" i="10"/>
  <c r="I694" i="10"/>
  <c r="C692" i="10"/>
  <c r="H689" i="10"/>
  <c r="I686" i="10"/>
  <c r="C684" i="10"/>
  <c r="H681" i="10"/>
  <c r="I678" i="10"/>
  <c r="C676" i="10"/>
  <c r="H673" i="10"/>
  <c r="I670" i="10"/>
  <c r="C668" i="10"/>
  <c r="H665" i="10"/>
  <c r="I662" i="10"/>
  <c r="C660" i="10"/>
  <c r="H657" i="10"/>
  <c r="I654" i="10"/>
  <c r="C652" i="10"/>
  <c r="H649" i="10"/>
  <c r="I646" i="10"/>
  <c r="C644" i="10"/>
  <c r="H641" i="10"/>
  <c r="I638" i="10"/>
  <c r="C636" i="10"/>
  <c r="H633" i="10"/>
  <c r="I630" i="10"/>
  <c r="C628" i="10"/>
  <c r="H625" i="10"/>
  <c r="I622" i="10"/>
  <c r="C620" i="10"/>
  <c r="H995" i="10"/>
  <c r="C990" i="10"/>
  <c r="I984" i="10"/>
  <c r="H979" i="10"/>
  <c r="C974" i="10"/>
  <c r="I968" i="10"/>
  <c r="I964" i="10"/>
  <c r="C961" i="10"/>
  <c r="H957" i="10"/>
  <c r="C954" i="10"/>
  <c r="H950" i="10"/>
  <c r="I946" i="10"/>
  <c r="H943" i="10"/>
  <c r="I939" i="10"/>
  <c r="C936" i="10"/>
  <c r="I932" i="10"/>
  <c r="C929" i="10"/>
  <c r="H925" i="10"/>
  <c r="C922" i="10"/>
  <c r="H918" i="10"/>
  <c r="I914" i="10"/>
  <c r="H911" i="10"/>
  <c r="I907" i="10"/>
  <c r="C904" i="10"/>
  <c r="I900" i="10"/>
  <c r="C897" i="10"/>
  <c r="H894" i="10"/>
  <c r="I891" i="10"/>
  <c r="C889" i="10"/>
  <c r="H886" i="10"/>
  <c r="I883" i="10"/>
  <c r="C881" i="10"/>
  <c r="H878" i="10"/>
  <c r="I875" i="10"/>
  <c r="C873" i="10"/>
  <c r="H870" i="10"/>
  <c r="I867" i="10"/>
  <c r="C865" i="10"/>
  <c r="H862" i="10"/>
  <c r="I859" i="10"/>
  <c r="C857" i="10"/>
  <c r="H854" i="10"/>
  <c r="I851" i="10"/>
  <c r="C849" i="10"/>
  <c r="H846" i="10"/>
  <c r="I843" i="10"/>
  <c r="C841" i="10"/>
  <c r="H838" i="10"/>
  <c r="I835" i="10"/>
  <c r="C833" i="10"/>
  <c r="H830" i="10"/>
  <c r="I827" i="10"/>
  <c r="C825" i="10"/>
  <c r="H822" i="10"/>
  <c r="I819" i="10"/>
  <c r="C817" i="10"/>
  <c r="H814" i="10"/>
  <c r="I811" i="10"/>
  <c r="C809" i="10"/>
  <c r="H806" i="10"/>
  <c r="I803" i="10"/>
  <c r="C801" i="10"/>
  <c r="H798" i="10"/>
  <c r="I795" i="10"/>
  <c r="C793" i="10"/>
  <c r="H790" i="10"/>
  <c r="I787" i="10"/>
  <c r="C785" i="10"/>
  <c r="H782" i="10"/>
  <c r="I779" i="10"/>
  <c r="C777" i="10"/>
  <c r="H774" i="10"/>
  <c r="I771" i="10"/>
  <c r="C769" i="10"/>
  <c r="H766" i="10"/>
  <c r="I763" i="10"/>
  <c r="C761" i="10"/>
  <c r="H758" i="10"/>
  <c r="I755" i="10"/>
  <c r="C753" i="10"/>
  <c r="H750" i="10"/>
  <c r="I747" i="10"/>
  <c r="C745" i="10"/>
  <c r="H742" i="10"/>
  <c r="I739" i="10"/>
  <c r="C737" i="10"/>
  <c r="H734" i="10"/>
  <c r="I731" i="10"/>
  <c r="C729" i="10"/>
  <c r="H726" i="10"/>
  <c r="I723" i="10"/>
  <c r="C721" i="10"/>
  <c r="H718" i="10"/>
  <c r="I715" i="10"/>
  <c r="C713" i="10"/>
  <c r="H710" i="10"/>
  <c r="I707" i="10"/>
  <c r="C705" i="10"/>
  <c r="H702" i="10"/>
  <c r="I699" i="10"/>
  <c r="C697" i="10"/>
  <c r="H694" i="10"/>
  <c r="I691" i="10"/>
  <c r="C689" i="10"/>
  <c r="H686" i="10"/>
  <c r="I683" i="10"/>
  <c r="C681" i="10"/>
  <c r="H678" i="10"/>
  <c r="I675" i="10"/>
  <c r="C673" i="10"/>
  <c r="H670" i="10"/>
  <c r="I667" i="10"/>
  <c r="C665" i="10"/>
  <c r="H662" i="10"/>
  <c r="I659" i="10"/>
  <c r="C657" i="10"/>
  <c r="H654" i="10"/>
  <c r="I651" i="10"/>
  <c r="C649" i="10"/>
  <c r="H646" i="10"/>
  <c r="I643" i="10"/>
  <c r="C641" i="10"/>
  <c r="H638" i="10"/>
  <c r="I635" i="10"/>
  <c r="C633" i="10"/>
  <c r="H630" i="10"/>
  <c r="I627" i="10"/>
  <c r="C625" i="10"/>
  <c r="H622" i="10"/>
  <c r="I619" i="10"/>
  <c r="C617" i="10"/>
  <c r="H614" i="10"/>
  <c r="I611" i="10"/>
  <c r="C609" i="10"/>
  <c r="H606" i="10"/>
  <c r="I603" i="10"/>
  <c r="C601" i="10"/>
  <c r="H598" i="10"/>
  <c r="I595" i="10"/>
  <c r="C593" i="10"/>
  <c r="H590" i="10"/>
  <c r="I587" i="10"/>
  <c r="C585" i="10"/>
  <c r="H582" i="10"/>
  <c r="I579" i="10"/>
  <c r="C577" i="10"/>
  <c r="H574" i="10"/>
  <c r="I571" i="10"/>
  <c r="C569" i="10"/>
  <c r="H566" i="10"/>
  <c r="I563" i="10"/>
  <c r="C561" i="10"/>
  <c r="H558" i="10"/>
  <c r="I555" i="10"/>
  <c r="C553" i="10"/>
  <c r="H550" i="10"/>
  <c r="I547" i="10"/>
  <c r="C545" i="10"/>
  <c r="H542" i="10"/>
  <c r="I539" i="10"/>
  <c r="C537" i="10"/>
  <c r="H534" i="10"/>
  <c r="I531" i="10"/>
  <c r="C529" i="10"/>
  <c r="H526" i="10"/>
  <c r="I523" i="10"/>
  <c r="C521" i="10"/>
  <c r="H518" i="10"/>
  <c r="I515" i="10"/>
  <c r="C513" i="10"/>
  <c r="H994" i="10"/>
  <c r="C989" i="10"/>
  <c r="I983" i="10"/>
  <c r="H978" i="10"/>
  <c r="C973" i="10"/>
  <c r="I967" i="10"/>
  <c r="H964" i="10"/>
  <c r="I960" i="10"/>
  <c r="C957" i="10"/>
  <c r="I953" i="10"/>
  <c r="C950" i="10"/>
  <c r="H946" i="10"/>
  <c r="C943" i="10"/>
  <c r="H939" i="10"/>
  <c r="I935" i="10"/>
  <c r="H932" i="10"/>
  <c r="I928" i="10"/>
  <c r="C925" i="10"/>
  <c r="I921" i="10"/>
  <c r="C918" i="10"/>
  <c r="H914" i="10"/>
  <c r="C911" i="10"/>
  <c r="H907" i="10"/>
  <c r="I903" i="10"/>
  <c r="H900" i="10"/>
  <c r="I896" i="10"/>
  <c r="C894" i="10"/>
  <c r="H891" i="10"/>
  <c r="I888" i="10"/>
  <c r="C886" i="10"/>
  <c r="H883" i="10"/>
  <c r="I880" i="10"/>
  <c r="C878" i="10"/>
  <c r="H875" i="10"/>
  <c r="I872" i="10"/>
  <c r="C870" i="10"/>
  <c r="H867" i="10"/>
  <c r="I864" i="10"/>
  <c r="C862" i="10"/>
  <c r="H859" i="10"/>
  <c r="I856" i="10"/>
  <c r="C854" i="10"/>
  <c r="H851" i="10"/>
  <c r="I848" i="10"/>
  <c r="C846" i="10"/>
  <c r="H843" i="10"/>
  <c r="I840" i="10"/>
  <c r="C838" i="10"/>
  <c r="H835" i="10"/>
  <c r="I832" i="10"/>
  <c r="C830" i="10"/>
  <c r="H827" i="10"/>
  <c r="I824" i="10"/>
  <c r="C822" i="10"/>
  <c r="H819" i="10"/>
  <c r="I816" i="10"/>
  <c r="C814" i="10"/>
  <c r="H811" i="10"/>
  <c r="I808" i="10"/>
  <c r="C806" i="10"/>
  <c r="H803" i="10"/>
  <c r="I800" i="10"/>
  <c r="C798" i="10"/>
  <c r="H795" i="10"/>
  <c r="I792" i="10"/>
  <c r="C790" i="10"/>
  <c r="H787" i="10"/>
  <c r="I784" i="10"/>
  <c r="C782" i="10"/>
  <c r="H779" i="10"/>
  <c r="I776" i="10"/>
  <c r="C774" i="10"/>
  <c r="H771" i="10"/>
  <c r="I768" i="10"/>
  <c r="C766" i="10"/>
  <c r="H763" i="10"/>
  <c r="I760" i="10"/>
  <c r="C758" i="10"/>
  <c r="H755" i="10"/>
  <c r="I752" i="10"/>
  <c r="C750" i="10"/>
  <c r="H747" i="10"/>
  <c r="I744" i="10"/>
  <c r="C742" i="10"/>
  <c r="H739" i="10"/>
  <c r="I736" i="10"/>
  <c r="C734" i="10"/>
  <c r="H731" i="10"/>
  <c r="I728" i="10"/>
  <c r="C726" i="10"/>
  <c r="H723" i="10"/>
  <c r="I720" i="10"/>
  <c r="C718" i="10"/>
  <c r="H715" i="10"/>
  <c r="I712" i="10"/>
  <c r="C710" i="10"/>
  <c r="H707" i="10"/>
  <c r="I704" i="10"/>
  <c r="C702" i="10"/>
  <c r="H699" i="10"/>
  <c r="I696" i="10"/>
  <c r="C694" i="10"/>
  <c r="H691" i="10"/>
  <c r="I688" i="10"/>
  <c r="C686" i="10"/>
  <c r="H683" i="10"/>
  <c r="I680" i="10"/>
  <c r="C678" i="10"/>
  <c r="H675" i="10"/>
  <c r="I672" i="10"/>
  <c r="C670" i="10"/>
  <c r="H667" i="10"/>
  <c r="I664" i="10"/>
  <c r="C662" i="10"/>
  <c r="H659" i="10"/>
  <c r="I656" i="10"/>
  <c r="C654" i="10"/>
  <c r="H651" i="10"/>
  <c r="I648" i="10"/>
  <c r="C646" i="10"/>
  <c r="H643" i="10"/>
  <c r="I640" i="10"/>
  <c r="C638" i="10"/>
  <c r="H635" i="10"/>
  <c r="I632" i="10"/>
  <c r="C630" i="10"/>
  <c r="H627" i="10"/>
  <c r="I624" i="10"/>
  <c r="C622" i="10"/>
  <c r="H619" i="10"/>
  <c r="C994" i="10"/>
  <c r="I988" i="10"/>
  <c r="H983" i="10"/>
  <c r="C978" i="10"/>
  <c r="I972" i="10"/>
  <c r="H967" i="10"/>
  <c r="I963" i="10"/>
  <c r="C960" i="10"/>
  <c r="I956" i="10"/>
  <c r="C953" i="10"/>
  <c r="H949" i="10"/>
  <c r="C946" i="10"/>
  <c r="H942" i="10"/>
  <c r="I938" i="10"/>
  <c r="H935" i="10"/>
  <c r="I931" i="10"/>
  <c r="C928" i="10"/>
  <c r="I924" i="10"/>
  <c r="C921" i="10"/>
  <c r="H917" i="10"/>
  <c r="C914" i="10"/>
  <c r="H910" i="10"/>
  <c r="I906" i="10"/>
  <c r="H903" i="10"/>
  <c r="I899" i="10"/>
  <c r="H896" i="10"/>
  <c r="I893" i="10"/>
  <c r="C891" i="10"/>
  <c r="H888" i="10"/>
  <c r="I885" i="10"/>
  <c r="C883" i="10"/>
  <c r="H880" i="10"/>
  <c r="I877" i="10"/>
  <c r="C875" i="10"/>
  <c r="H872" i="10"/>
  <c r="I869" i="10"/>
  <c r="C867" i="10"/>
  <c r="H864" i="10"/>
  <c r="I861" i="10"/>
  <c r="C859" i="10"/>
  <c r="H856" i="10"/>
  <c r="I853" i="10"/>
  <c r="C851" i="10"/>
  <c r="H848" i="10"/>
  <c r="I845" i="10"/>
  <c r="C843" i="10"/>
  <c r="H840" i="10"/>
  <c r="I837" i="10"/>
  <c r="C835" i="10"/>
  <c r="H832" i="10"/>
  <c r="I829" i="10"/>
  <c r="C827" i="10"/>
  <c r="H824" i="10"/>
  <c r="I821" i="10"/>
  <c r="C819" i="10"/>
  <c r="H816" i="10"/>
  <c r="I813" i="10"/>
  <c r="C811" i="10"/>
  <c r="H808" i="10"/>
  <c r="I805" i="10"/>
  <c r="C803" i="10"/>
  <c r="H800" i="10"/>
  <c r="I797" i="10"/>
  <c r="C795" i="10"/>
  <c r="H792" i="10"/>
  <c r="I789" i="10"/>
  <c r="C787" i="10"/>
  <c r="H784" i="10"/>
  <c r="I781" i="10"/>
  <c r="C779" i="10"/>
  <c r="H776" i="10"/>
  <c r="I773" i="10"/>
  <c r="C771" i="10"/>
  <c r="H768" i="10"/>
  <c r="I765" i="10"/>
  <c r="C763" i="10"/>
  <c r="H760" i="10"/>
  <c r="I757" i="10"/>
  <c r="C755" i="10"/>
  <c r="H752" i="10"/>
  <c r="I749" i="10"/>
  <c r="C747" i="10"/>
  <c r="H744" i="10"/>
  <c r="I741" i="10"/>
  <c r="C739" i="10"/>
  <c r="H736" i="10"/>
  <c r="I733" i="10"/>
  <c r="C731" i="10"/>
  <c r="H728" i="10"/>
  <c r="I725" i="10"/>
  <c r="C723" i="10"/>
  <c r="H720" i="10"/>
  <c r="I717" i="10"/>
  <c r="C715" i="10"/>
  <c r="H712" i="10"/>
  <c r="I709" i="10"/>
  <c r="C707" i="10"/>
  <c r="H704" i="10"/>
  <c r="I701" i="10"/>
  <c r="C699" i="10"/>
  <c r="H696" i="10"/>
  <c r="I693" i="10"/>
  <c r="C691" i="10"/>
  <c r="H688" i="10"/>
  <c r="I685" i="10"/>
  <c r="C683" i="10"/>
  <c r="H680" i="10"/>
  <c r="I677" i="10"/>
  <c r="C675" i="10"/>
  <c r="H672" i="10"/>
  <c r="I669" i="10"/>
  <c r="C667" i="10"/>
  <c r="H664" i="10"/>
  <c r="I661" i="10"/>
  <c r="C659" i="10"/>
  <c r="H656" i="10"/>
  <c r="I653" i="10"/>
  <c r="C651" i="10"/>
  <c r="H648" i="10"/>
  <c r="I645" i="10"/>
  <c r="C643" i="10"/>
  <c r="H640" i="10"/>
  <c r="I637" i="10"/>
  <c r="C635" i="10"/>
  <c r="H632" i="10"/>
  <c r="I629" i="10"/>
  <c r="C627" i="10"/>
  <c r="H624" i="10"/>
  <c r="I621" i="10"/>
  <c r="C619" i="10"/>
  <c r="C993" i="10"/>
  <c r="I987" i="10"/>
  <c r="H982" i="10"/>
  <c r="C977" i="10"/>
  <c r="I971" i="10"/>
  <c r="C967" i="10"/>
  <c r="H963" i="10"/>
  <c r="I959" i="10"/>
  <c r="H956" i="10"/>
  <c r="I952" i="10"/>
  <c r="C949" i="10"/>
  <c r="I945" i="10"/>
  <c r="C942" i="10"/>
  <c r="H938" i="10"/>
  <c r="C935" i="10"/>
  <c r="H931" i="10"/>
  <c r="I927" i="10"/>
  <c r="H924" i="10"/>
  <c r="I920" i="10"/>
  <c r="C917" i="10"/>
  <c r="I913" i="10"/>
  <c r="C910" i="10"/>
  <c r="H906" i="10"/>
  <c r="C903" i="10"/>
  <c r="H899" i="10"/>
  <c r="C896" i="10"/>
  <c r="H893" i="10"/>
  <c r="I890" i="10"/>
  <c r="C888" i="10"/>
  <c r="H885" i="10"/>
  <c r="I882" i="10"/>
  <c r="C880" i="10"/>
  <c r="H877" i="10"/>
  <c r="I874" i="10"/>
  <c r="C872" i="10"/>
  <c r="H869" i="10"/>
  <c r="I866" i="10"/>
  <c r="C864" i="10"/>
  <c r="H861" i="10"/>
  <c r="I858" i="10"/>
  <c r="C856" i="10"/>
  <c r="H853" i="10"/>
  <c r="I850" i="10"/>
  <c r="C848" i="10"/>
  <c r="H845" i="10"/>
  <c r="I842" i="10"/>
  <c r="C840" i="10"/>
  <c r="H837" i="10"/>
  <c r="I834" i="10"/>
  <c r="C832" i="10"/>
  <c r="H829" i="10"/>
  <c r="I826" i="10"/>
  <c r="C824" i="10"/>
  <c r="H821" i="10"/>
  <c r="I818" i="10"/>
  <c r="C816" i="10"/>
  <c r="H813" i="10"/>
  <c r="I810" i="10"/>
  <c r="C808" i="10"/>
  <c r="H805" i="10"/>
  <c r="I802" i="10"/>
  <c r="C800" i="10"/>
  <c r="H797" i="10"/>
  <c r="I794" i="10"/>
  <c r="C792" i="10"/>
  <c r="H789" i="10"/>
  <c r="I786" i="10"/>
  <c r="C784" i="10"/>
  <c r="H781" i="10"/>
  <c r="I778" i="10"/>
  <c r="C776" i="10"/>
  <c r="H773" i="10"/>
  <c r="I770" i="10"/>
  <c r="C768" i="10"/>
  <c r="H765" i="10"/>
  <c r="I762" i="10"/>
  <c r="C760" i="10"/>
  <c r="H757" i="10"/>
  <c r="I754" i="10"/>
  <c r="C752" i="10"/>
  <c r="H749" i="10"/>
  <c r="I746" i="10"/>
  <c r="C744" i="10"/>
  <c r="H741" i="10"/>
  <c r="I738" i="10"/>
  <c r="C736" i="10"/>
  <c r="H733" i="10"/>
  <c r="I730" i="10"/>
  <c r="C728" i="10"/>
  <c r="H725" i="10"/>
  <c r="I722" i="10"/>
  <c r="C720" i="10"/>
  <c r="H717" i="10"/>
  <c r="I714" i="10"/>
  <c r="C712" i="10"/>
  <c r="H709" i="10"/>
  <c r="I706" i="10"/>
  <c r="C704" i="10"/>
  <c r="H701" i="10"/>
  <c r="I698" i="10"/>
  <c r="C696" i="10"/>
  <c r="H693" i="10"/>
  <c r="I690" i="10"/>
  <c r="C688" i="10"/>
  <c r="H685" i="10"/>
  <c r="I682" i="10"/>
  <c r="C680" i="10"/>
  <c r="H677" i="10"/>
  <c r="I674" i="10"/>
  <c r="C672" i="10"/>
  <c r="H669" i="10"/>
  <c r="I666" i="10"/>
  <c r="C664" i="10"/>
  <c r="H661" i="10"/>
  <c r="I658" i="10"/>
  <c r="C656" i="10"/>
  <c r="H653" i="10"/>
  <c r="I650" i="10"/>
  <c r="C648" i="10"/>
  <c r="H645" i="10"/>
  <c r="I642" i="10"/>
  <c r="C640" i="10"/>
  <c r="H637" i="10"/>
  <c r="I634" i="10"/>
  <c r="C632" i="10"/>
  <c r="H629" i="10"/>
  <c r="I626" i="10"/>
  <c r="C624" i="10"/>
  <c r="H621" i="10"/>
  <c r="I618" i="10"/>
  <c r="C616" i="10"/>
  <c r="H613" i="10"/>
  <c r="I610" i="10"/>
  <c r="C608" i="10"/>
  <c r="H605" i="10"/>
  <c r="I602" i="10"/>
  <c r="C600" i="10"/>
  <c r="H597" i="10"/>
  <c r="I594" i="10"/>
  <c r="C592" i="10"/>
  <c r="H589" i="10"/>
  <c r="I586" i="10"/>
  <c r="C584" i="10"/>
  <c r="H581" i="10"/>
  <c r="I578" i="10"/>
  <c r="C576" i="10"/>
  <c r="H573" i="10"/>
  <c r="I570" i="10"/>
  <c r="C568" i="10"/>
  <c r="H565" i="10"/>
  <c r="I562" i="10"/>
  <c r="C560" i="10"/>
  <c r="H557" i="10"/>
  <c r="I554" i="10"/>
  <c r="C552" i="10"/>
  <c r="H549" i="10"/>
  <c r="I546" i="10"/>
  <c r="C544" i="10"/>
  <c r="H541" i="10"/>
  <c r="I538" i="10"/>
  <c r="C536" i="10"/>
  <c r="H533" i="10"/>
  <c r="I530" i="10"/>
  <c r="C528" i="10"/>
  <c r="H525" i="10"/>
  <c r="I522" i="10"/>
  <c r="C520" i="10"/>
  <c r="H517" i="10"/>
  <c r="I514" i="10"/>
  <c r="C512" i="10"/>
  <c r="H618" i="10"/>
  <c r="C613" i="10"/>
  <c r="I608" i="10"/>
  <c r="I604" i="10"/>
  <c r="H600" i="10"/>
  <c r="C596" i="10"/>
  <c r="I591" i="10"/>
  <c r="H588" i="10"/>
  <c r="I584" i="10"/>
  <c r="C581" i="10"/>
  <c r="I577" i="10"/>
  <c r="C574" i="10"/>
  <c r="H570" i="10"/>
  <c r="C567" i="10"/>
  <c r="H563" i="10"/>
  <c r="I559" i="10"/>
  <c r="H556" i="10"/>
  <c r="I552" i="10"/>
  <c r="C549" i="10"/>
  <c r="I545" i="10"/>
  <c r="C542" i="10"/>
  <c r="H538" i="10"/>
  <c r="C535" i="10"/>
  <c r="H531" i="10"/>
  <c r="I527" i="10"/>
  <c r="H524" i="10"/>
  <c r="I520" i="10"/>
  <c r="C517" i="10"/>
  <c r="I513" i="10"/>
  <c r="H510" i="10"/>
  <c r="I507" i="10"/>
  <c r="C505" i="10"/>
  <c r="H502" i="10"/>
  <c r="I499" i="10"/>
  <c r="C497" i="10"/>
  <c r="H494" i="10"/>
  <c r="I491" i="10"/>
  <c r="C489" i="10"/>
  <c r="H486" i="10"/>
  <c r="I483" i="10"/>
  <c r="C481" i="10"/>
  <c r="H478" i="10"/>
  <c r="I475" i="10"/>
  <c r="C473" i="10"/>
  <c r="H470" i="10"/>
  <c r="I467" i="10"/>
  <c r="C465" i="10"/>
  <c r="H462" i="10"/>
  <c r="I459" i="10"/>
  <c r="C457" i="10"/>
  <c r="H454" i="10"/>
  <c r="I451" i="10"/>
  <c r="C449" i="10"/>
  <c r="H446" i="10"/>
  <c r="I443" i="10"/>
  <c r="C441" i="10"/>
  <c r="H438" i="10"/>
  <c r="I435" i="10"/>
  <c r="C433" i="10"/>
  <c r="H430" i="10"/>
  <c r="I427" i="10"/>
  <c r="C425" i="10"/>
  <c r="H422" i="10"/>
  <c r="I419" i="10"/>
  <c r="C417" i="10"/>
  <c r="H414" i="10"/>
  <c r="I411" i="10"/>
  <c r="C409" i="10"/>
  <c r="H406" i="10"/>
  <c r="I403" i="10"/>
  <c r="C401" i="10"/>
  <c r="H398" i="10"/>
  <c r="I395" i="10"/>
  <c r="C393" i="10"/>
  <c r="H390" i="10"/>
  <c r="I387" i="10"/>
  <c r="C385" i="10"/>
  <c r="H382" i="10"/>
  <c r="I379" i="10"/>
  <c r="C377" i="10"/>
  <c r="H374" i="10"/>
  <c r="I371" i="10"/>
  <c r="C369" i="10"/>
  <c r="H366" i="10"/>
  <c r="I363" i="10"/>
  <c r="C361" i="10"/>
  <c r="H358" i="10"/>
  <c r="I355" i="10"/>
  <c r="C353" i="10"/>
  <c r="H350" i="10"/>
  <c r="I347" i="10"/>
  <c r="C345" i="10"/>
  <c r="H342" i="10"/>
  <c r="I339" i="10"/>
  <c r="C337" i="10"/>
  <c r="H334" i="10"/>
  <c r="I331" i="10"/>
  <c r="C329" i="10"/>
  <c r="H326" i="10"/>
  <c r="I323" i="10"/>
  <c r="C321" i="10"/>
  <c r="H318" i="10"/>
  <c r="I315" i="10"/>
  <c r="C313" i="10"/>
  <c r="H310" i="10"/>
  <c r="I307" i="10"/>
  <c r="C305" i="10"/>
  <c r="H302" i="10"/>
  <c r="I299" i="10"/>
  <c r="C297" i="10"/>
  <c r="H294" i="10"/>
  <c r="I291" i="10"/>
  <c r="C289" i="10"/>
  <c r="H286" i="10"/>
  <c r="I283" i="10"/>
  <c r="C281" i="10"/>
  <c r="H278" i="10"/>
  <c r="I275" i="10"/>
  <c r="C273" i="10"/>
  <c r="H270" i="10"/>
  <c r="I267" i="10"/>
  <c r="C265" i="10"/>
  <c r="H262" i="10"/>
  <c r="I259" i="10"/>
  <c r="C257" i="10"/>
  <c r="H254" i="10"/>
  <c r="I251" i="10"/>
  <c r="C249" i="10"/>
  <c r="H246" i="10"/>
  <c r="I243" i="10"/>
  <c r="C241" i="10"/>
  <c r="H238" i="10"/>
  <c r="I235" i="10"/>
  <c r="C233" i="10"/>
  <c r="H230" i="10"/>
  <c r="I227" i="10"/>
  <c r="C225" i="10"/>
  <c r="H222" i="10"/>
  <c r="I219" i="10"/>
  <c r="C217" i="10"/>
  <c r="H214" i="10"/>
  <c r="I211" i="10"/>
  <c r="C209" i="10"/>
  <c r="H206" i="10"/>
  <c r="I203" i="10"/>
  <c r="I197" i="10"/>
  <c r="E196" i="10"/>
  <c r="H194" i="10"/>
  <c r="C193" i="10"/>
  <c r="G191" i="10"/>
  <c r="I189" i="10"/>
  <c r="E188" i="10"/>
  <c r="H186" i="10"/>
  <c r="C185" i="10"/>
  <c r="G183" i="10"/>
  <c r="I181" i="10"/>
  <c r="E180" i="10"/>
  <c r="H178" i="10"/>
  <c r="C177" i="10"/>
  <c r="G175" i="10"/>
  <c r="I173" i="10"/>
  <c r="E172" i="10"/>
  <c r="H170" i="10"/>
  <c r="C169" i="10"/>
  <c r="G167" i="10"/>
  <c r="I165" i="10"/>
  <c r="E164" i="10"/>
  <c r="H162" i="10"/>
  <c r="C161" i="10"/>
  <c r="G159" i="10"/>
  <c r="H617" i="10"/>
  <c r="I612" i="10"/>
  <c r="H608" i="10"/>
  <c r="C604" i="10"/>
  <c r="I599" i="10"/>
  <c r="H595" i="10"/>
  <c r="H591" i="10"/>
  <c r="C588" i="10"/>
  <c r="H584" i="10"/>
  <c r="I580" i="10"/>
  <c r="H577" i="10"/>
  <c r="I573" i="10"/>
  <c r="C570" i="10"/>
  <c r="I566" i="10"/>
  <c r="C563" i="10"/>
  <c r="H559" i="10"/>
  <c r="C556" i="10"/>
  <c r="H552" i="10"/>
  <c r="I548" i="10"/>
  <c r="H545" i="10"/>
  <c r="I541" i="10"/>
  <c r="C538" i="10"/>
  <c r="I534" i="10"/>
  <c r="C531" i="10"/>
  <c r="H527" i="10"/>
  <c r="C524" i="10"/>
  <c r="H520" i="10"/>
  <c r="I516" i="10"/>
  <c r="H513" i="10"/>
  <c r="C510" i="10"/>
  <c r="H507" i="10"/>
  <c r="I504" i="10"/>
  <c r="C502" i="10"/>
  <c r="H499" i="10"/>
  <c r="I496" i="10"/>
  <c r="C494" i="10"/>
  <c r="H491" i="10"/>
  <c r="I488" i="10"/>
  <c r="C486" i="10"/>
  <c r="H483" i="10"/>
  <c r="I480" i="10"/>
  <c r="C478" i="10"/>
  <c r="H475" i="10"/>
  <c r="I472" i="10"/>
  <c r="C470" i="10"/>
  <c r="H467" i="10"/>
  <c r="I464" i="10"/>
  <c r="C462" i="10"/>
  <c r="H459" i="10"/>
  <c r="I456" i="10"/>
  <c r="C454" i="10"/>
  <c r="H451" i="10"/>
  <c r="I448" i="10"/>
  <c r="C446" i="10"/>
  <c r="H443" i="10"/>
  <c r="I440" i="10"/>
  <c r="C438" i="10"/>
  <c r="H435" i="10"/>
  <c r="I432" i="10"/>
  <c r="C430" i="10"/>
  <c r="H427" i="10"/>
  <c r="I424" i="10"/>
  <c r="C422" i="10"/>
  <c r="H419" i="10"/>
  <c r="I416" i="10"/>
  <c r="C414" i="10"/>
  <c r="H411" i="10"/>
  <c r="I408" i="10"/>
  <c r="C406" i="10"/>
  <c r="H403" i="10"/>
  <c r="I400" i="10"/>
  <c r="C398" i="10"/>
  <c r="H395" i="10"/>
  <c r="I392" i="10"/>
  <c r="C390" i="10"/>
  <c r="H387" i="10"/>
  <c r="I384" i="10"/>
  <c r="C382" i="10"/>
  <c r="H379" i="10"/>
  <c r="I376" i="10"/>
  <c r="C374" i="10"/>
  <c r="H371" i="10"/>
  <c r="I368" i="10"/>
  <c r="C366" i="10"/>
  <c r="H363" i="10"/>
  <c r="I360" i="10"/>
  <c r="C358" i="10"/>
  <c r="H355" i="10"/>
  <c r="I352" i="10"/>
  <c r="C350" i="10"/>
  <c r="H347" i="10"/>
  <c r="I344" i="10"/>
  <c r="C342" i="10"/>
  <c r="H339" i="10"/>
  <c r="I336" i="10"/>
  <c r="C334" i="10"/>
  <c r="H331" i="10"/>
  <c r="I328" i="10"/>
  <c r="C326" i="10"/>
  <c r="H323" i="10"/>
  <c r="I320" i="10"/>
  <c r="C318" i="10"/>
  <c r="H315" i="10"/>
  <c r="I312" i="10"/>
  <c r="C310" i="10"/>
  <c r="H307" i="10"/>
  <c r="I304" i="10"/>
  <c r="C302" i="10"/>
  <c r="H299" i="10"/>
  <c r="I296" i="10"/>
  <c r="C294" i="10"/>
  <c r="H291" i="10"/>
  <c r="I288" i="10"/>
  <c r="C286" i="10"/>
  <c r="H283" i="10"/>
  <c r="I280" i="10"/>
  <c r="C278" i="10"/>
  <c r="H275" i="10"/>
  <c r="I272" i="10"/>
  <c r="C270" i="10"/>
  <c r="H267" i="10"/>
  <c r="I264" i="10"/>
  <c r="C262" i="10"/>
  <c r="H259" i="10"/>
  <c r="I256" i="10"/>
  <c r="C254" i="10"/>
  <c r="H251" i="10"/>
  <c r="I248" i="10"/>
  <c r="C246" i="10"/>
  <c r="H243" i="10"/>
  <c r="I240" i="10"/>
  <c r="C238" i="10"/>
  <c r="H235" i="10"/>
  <c r="I232" i="10"/>
  <c r="C230" i="10"/>
  <c r="H227" i="10"/>
  <c r="I224" i="10"/>
  <c r="C222" i="10"/>
  <c r="H219" i="10"/>
  <c r="I216" i="10"/>
  <c r="C214" i="10"/>
  <c r="H211" i="10"/>
  <c r="I208" i="10"/>
  <c r="C206" i="10"/>
  <c r="H203" i="10"/>
  <c r="H197" i="10"/>
  <c r="C196" i="10"/>
  <c r="G194" i="10"/>
  <c r="I192" i="10"/>
  <c r="E191" i="10"/>
  <c r="H189" i="10"/>
  <c r="C188" i="10"/>
  <c r="G186" i="10"/>
  <c r="I184" i="10"/>
  <c r="E183" i="10"/>
  <c r="H181" i="10"/>
  <c r="C180" i="10"/>
  <c r="G178" i="10"/>
  <c r="I176" i="10"/>
  <c r="E175" i="10"/>
  <c r="H173" i="10"/>
  <c r="C172" i="10"/>
  <c r="G170" i="10"/>
  <c r="I168" i="10"/>
  <c r="E167" i="10"/>
  <c r="H165" i="10"/>
  <c r="C164" i="10"/>
  <c r="G162" i="10"/>
  <c r="I160" i="10"/>
  <c r="E159" i="10"/>
  <c r="H157" i="10"/>
  <c r="C156" i="10"/>
  <c r="G154" i="10"/>
  <c r="I616" i="10"/>
  <c r="C612" i="10"/>
  <c r="I607" i="10"/>
  <c r="H603" i="10"/>
  <c r="H599" i="10"/>
  <c r="C595" i="10"/>
  <c r="C591" i="10"/>
  <c r="H587" i="10"/>
  <c r="I583" i="10"/>
  <c r="H580" i="10"/>
  <c r="I576" i="10"/>
  <c r="C573" i="10"/>
  <c r="I569" i="10"/>
  <c r="C566" i="10"/>
  <c r="H562" i="10"/>
  <c r="C559" i="10"/>
  <c r="H555" i="10"/>
  <c r="I551" i="10"/>
  <c r="H548" i="10"/>
  <c r="I544" i="10"/>
  <c r="C541" i="10"/>
  <c r="I537" i="10"/>
  <c r="C534" i="10"/>
  <c r="H530" i="10"/>
  <c r="C527" i="10"/>
  <c r="H523" i="10"/>
  <c r="I519" i="10"/>
  <c r="H516" i="10"/>
  <c r="I512" i="10"/>
  <c r="I509" i="10"/>
  <c r="C507" i="10"/>
  <c r="H504" i="10"/>
  <c r="I501" i="10"/>
  <c r="C499" i="10"/>
  <c r="H496" i="10"/>
  <c r="I493" i="10"/>
  <c r="C491" i="10"/>
  <c r="H488" i="10"/>
  <c r="I485" i="10"/>
  <c r="C483" i="10"/>
  <c r="H480" i="10"/>
  <c r="I477" i="10"/>
  <c r="C475" i="10"/>
  <c r="H472" i="10"/>
  <c r="I469" i="10"/>
  <c r="C467" i="10"/>
  <c r="H464" i="10"/>
  <c r="I461" i="10"/>
  <c r="C459" i="10"/>
  <c r="H456" i="10"/>
  <c r="I453" i="10"/>
  <c r="C451" i="10"/>
  <c r="H448" i="10"/>
  <c r="I445" i="10"/>
  <c r="C443" i="10"/>
  <c r="H440" i="10"/>
  <c r="I437" i="10"/>
  <c r="C435" i="10"/>
  <c r="H432" i="10"/>
  <c r="I429" i="10"/>
  <c r="C427" i="10"/>
  <c r="H424" i="10"/>
  <c r="I421" i="10"/>
  <c r="C419" i="10"/>
  <c r="H416" i="10"/>
  <c r="I413" i="10"/>
  <c r="C411" i="10"/>
  <c r="H408" i="10"/>
  <c r="I405" i="10"/>
  <c r="C403" i="10"/>
  <c r="H400" i="10"/>
  <c r="I397" i="10"/>
  <c r="C395" i="10"/>
  <c r="H392" i="10"/>
  <c r="I389" i="10"/>
  <c r="C387" i="10"/>
  <c r="H384" i="10"/>
  <c r="I381" i="10"/>
  <c r="C379" i="10"/>
  <c r="H376" i="10"/>
  <c r="I373" i="10"/>
  <c r="C371" i="10"/>
  <c r="H368" i="10"/>
  <c r="I365" i="10"/>
  <c r="C363" i="10"/>
  <c r="H360" i="10"/>
  <c r="I357" i="10"/>
  <c r="C355" i="10"/>
  <c r="H352" i="10"/>
  <c r="I349" i="10"/>
  <c r="C347" i="10"/>
  <c r="H344" i="10"/>
  <c r="I341" i="10"/>
  <c r="C339" i="10"/>
  <c r="H336" i="10"/>
  <c r="I333" i="10"/>
  <c r="C331" i="10"/>
  <c r="H328" i="10"/>
  <c r="I325" i="10"/>
  <c r="C323" i="10"/>
  <c r="H320" i="10"/>
  <c r="I317" i="10"/>
  <c r="C315" i="10"/>
  <c r="H312" i="10"/>
  <c r="I309" i="10"/>
  <c r="C307" i="10"/>
  <c r="H304" i="10"/>
  <c r="I301" i="10"/>
  <c r="C299" i="10"/>
  <c r="H296" i="10"/>
  <c r="I293" i="10"/>
  <c r="C291" i="10"/>
  <c r="H288" i="10"/>
  <c r="I285" i="10"/>
  <c r="C283" i="10"/>
  <c r="H280" i="10"/>
  <c r="I277" i="10"/>
  <c r="C275" i="10"/>
  <c r="H272" i="10"/>
  <c r="I269" i="10"/>
  <c r="C267" i="10"/>
  <c r="H264" i="10"/>
  <c r="I261" i="10"/>
  <c r="C259" i="10"/>
  <c r="H256" i="10"/>
  <c r="I253" i="10"/>
  <c r="C251" i="10"/>
  <c r="H248" i="10"/>
  <c r="I245" i="10"/>
  <c r="C243" i="10"/>
  <c r="H240" i="10"/>
  <c r="I237" i="10"/>
  <c r="C235" i="10"/>
  <c r="H232" i="10"/>
  <c r="I229" i="10"/>
  <c r="C227" i="10"/>
  <c r="H224" i="10"/>
  <c r="I221" i="10"/>
  <c r="C219" i="10"/>
  <c r="H216" i="10"/>
  <c r="I213" i="10"/>
  <c r="C211" i="10"/>
  <c r="H208" i="10"/>
  <c r="I205" i="10"/>
  <c r="C203" i="10"/>
  <c r="G197" i="10"/>
  <c r="I195" i="10"/>
  <c r="E194" i="10"/>
  <c r="H192" i="10"/>
  <c r="C191" i="10"/>
  <c r="G189" i="10"/>
  <c r="I187" i="10"/>
  <c r="E186" i="10"/>
  <c r="H184" i="10"/>
  <c r="C183" i="10"/>
  <c r="G181" i="10"/>
  <c r="I179" i="10"/>
  <c r="E178" i="10"/>
  <c r="H176" i="10"/>
  <c r="C175" i="10"/>
  <c r="G173" i="10"/>
  <c r="I171" i="10"/>
  <c r="E170" i="10"/>
  <c r="H168" i="10"/>
  <c r="C167" i="10"/>
  <c r="G165" i="10"/>
  <c r="I163" i="10"/>
  <c r="E162" i="10"/>
  <c r="H160" i="10"/>
  <c r="C159" i="10"/>
  <c r="G157" i="10"/>
  <c r="I155" i="10"/>
  <c r="E154" i="10"/>
  <c r="H152" i="10"/>
  <c r="C151" i="10"/>
  <c r="G149" i="10"/>
  <c r="I147" i="10"/>
  <c r="E146" i="10"/>
  <c r="H144" i="10"/>
  <c r="C143" i="10"/>
  <c r="G141" i="10"/>
  <c r="I139" i="10"/>
  <c r="E138" i="10"/>
  <c r="H136" i="10"/>
  <c r="C135" i="10"/>
  <c r="G133" i="10"/>
  <c r="I131" i="10"/>
  <c r="E130" i="10"/>
  <c r="H128" i="10"/>
  <c r="C127" i="10"/>
  <c r="G125" i="10"/>
  <c r="I123" i="10"/>
  <c r="E122" i="10"/>
  <c r="H120" i="10"/>
  <c r="C119" i="10"/>
  <c r="G117" i="10"/>
  <c r="I115" i="10"/>
  <c r="E114" i="10"/>
  <c r="H112" i="10"/>
  <c r="C111" i="10"/>
  <c r="G109" i="10"/>
  <c r="H616" i="10"/>
  <c r="H611" i="10"/>
  <c r="H607" i="10"/>
  <c r="C603" i="10"/>
  <c r="I598" i="10"/>
  <c r="H594" i="10"/>
  <c r="I590" i="10"/>
  <c r="C587" i="10"/>
  <c r="H583" i="10"/>
  <c r="C580" i="10"/>
  <c r="H576" i="10"/>
  <c r="I572" i="10"/>
  <c r="H569" i="10"/>
  <c r="I565" i="10"/>
  <c r="C562" i="10"/>
  <c r="I558" i="10"/>
  <c r="C555" i="10"/>
  <c r="H551" i="10"/>
  <c r="C548" i="10"/>
  <c r="H544" i="10"/>
  <c r="I540" i="10"/>
  <c r="H537" i="10"/>
  <c r="I533" i="10"/>
  <c r="C530" i="10"/>
  <c r="I526" i="10"/>
  <c r="C523" i="10"/>
  <c r="H519" i="10"/>
  <c r="C516" i="10"/>
  <c r="H512" i="10"/>
  <c r="H509" i="10"/>
  <c r="I506" i="10"/>
  <c r="C504" i="10"/>
  <c r="H501" i="10"/>
  <c r="I498" i="10"/>
  <c r="C496" i="10"/>
  <c r="H493" i="10"/>
  <c r="I490" i="10"/>
  <c r="C488" i="10"/>
  <c r="H485" i="10"/>
  <c r="I482" i="10"/>
  <c r="C480" i="10"/>
  <c r="H477" i="10"/>
  <c r="I474" i="10"/>
  <c r="C472" i="10"/>
  <c r="H469" i="10"/>
  <c r="I466" i="10"/>
  <c r="C464" i="10"/>
  <c r="H461" i="10"/>
  <c r="I458" i="10"/>
  <c r="C456" i="10"/>
  <c r="H453" i="10"/>
  <c r="I450" i="10"/>
  <c r="C448" i="10"/>
  <c r="H445" i="10"/>
  <c r="I442" i="10"/>
  <c r="C440" i="10"/>
  <c r="H437" i="10"/>
  <c r="I434" i="10"/>
  <c r="C432" i="10"/>
  <c r="H429" i="10"/>
  <c r="I426" i="10"/>
  <c r="C424" i="10"/>
  <c r="H421" i="10"/>
  <c r="I418" i="10"/>
  <c r="C416" i="10"/>
  <c r="H413" i="10"/>
  <c r="I410" i="10"/>
  <c r="C408" i="10"/>
  <c r="H405" i="10"/>
  <c r="I402" i="10"/>
  <c r="C400" i="10"/>
  <c r="H397" i="10"/>
  <c r="I394" i="10"/>
  <c r="C392" i="10"/>
  <c r="H389" i="10"/>
  <c r="I386" i="10"/>
  <c r="C384" i="10"/>
  <c r="H381" i="10"/>
  <c r="I378" i="10"/>
  <c r="C376" i="10"/>
  <c r="H373" i="10"/>
  <c r="I370" i="10"/>
  <c r="C368" i="10"/>
  <c r="H365" i="10"/>
  <c r="I362" i="10"/>
  <c r="C360" i="10"/>
  <c r="H357" i="10"/>
  <c r="I354" i="10"/>
  <c r="C352" i="10"/>
  <c r="H349" i="10"/>
  <c r="I346" i="10"/>
  <c r="C344" i="10"/>
  <c r="H341" i="10"/>
  <c r="I338" i="10"/>
  <c r="C336" i="10"/>
  <c r="H333" i="10"/>
  <c r="I330" i="10"/>
  <c r="C328" i="10"/>
  <c r="H325" i="10"/>
  <c r="I322" i="10"/>
  <c r="C320" i="10"/>
  <c r="H317" i="10"/>
  <c r="I314" i="10"/>
  <c r="C312" i="10"/>
  <c r="H309" i="10"/>
  <c r="I306" i="10"/>
  <c r="C304" i="10"/>
  <c r="H301" i="10"/>
  <c r="I298" i="10"/>
  <c r="C296" i="10"/>
  <c r="H293" i="10"/>
  <c r="I290" i="10"/>
  <c r="C288" i="10"/>
  <c r="H285" i="10"/>
  <c r="I282" i="10"/>
  <c r="C280" i="10"/>
  <c r="H277" i="10"/>
  <c r="I274" i="10"/>
  <c r="C272" i="10"/>
  <c r="H269" i="10"/>
  <c r="I266" i="10"/>
  <c r="C264" i="10"/>
  <c r="H261" i="10"/>
  <c r="I258" i="10"/>
  <c r="C256" i="10"/>
  <c r="H253" i="10"/>
  <c r="I250" i="10"/>
  <c r="C248" i="10"/>
  <c r="H245" i="10"/>
  <c r="I242" i="10"/>
  <c r="C240" i="10"/>
  <c r="H237" i="10"/>
  <c r="I234" i="10"/>
  <c r="C232" i="10"/>
  <c r="H229" i="10"/>
  <c r="I226" i="10"/>
  <c r="C224" i="10"/>
  <c r="H221" i="10"/>
  <c r="I218" i="10"/>
  <c r="C216" i="10"/>
  <c r="H213" i="10"/>
  <c r="I210" i="10"/>
  <c r="C208" i="10"/>
  <c r="H205" i="10"/>
  <c r="I198" i="10"/>
  <c r="E197" i="10"/>
  <c r="H195" i="10"/>
  <c r="C194" i="10"/>
  <c r="G192" i="10"/>
  <c r="I190" i="10"/>
  <c r="E189" i="10"/>
  <c r="H187" i="10"/>
  <c r="C186" i="10"/>
  <c r="G184" i="10"/>
  <c r="I182" i="10"/>
  <c r="E181" i="10"/>
  <c r="H179" i="10"/>
  <c r="C178" i="10"/>
  <c r="G176" i="10"/>
  <c r="I174" i="10"/>
  <c r="E173" i="10"/>
  <c r="H171" i="10"/>
  <c r="C170" i="10"/>
  <c r="G168" i="10"/>
  <c r="I166" i="10"/>
  <c r="E165" i="10"/>
  <c r="H163" i="10"/>
  <c r="C162" i="10"/>
  <c r="G160" i="10"/>
  <c r="I158" i="10"/>
  <c r="E157" i="10"/>
  <c r="H155" i="10"/>
  <c r="C154" i="10"/>
  <c r="G152" i="10"/>
  <c r="I150" i="10"/>
  <c r="E149" i="10"/>
  <c r="H147" i="10"/>
  <c r="C146" i="10"/>
  <c r="G144" i="10"/>
  <c r="I142" i="10"/>
  <c r="E141" i="10"/>
  <c r="H139" i="10"/>
  <c r="C138" i="10"/>
  <c r="G136" i="10"/>
  <c r="I134" i="10"/>
  <c r="E133" i="10"/>
  <c r="H131" i="10"/>
  <c r="C130" i="10"/>
  <c r="G128" i="10"/>
  <c r="I126" i="10"/>
  <c r="E125" i="10"/>
  <c r="H123" i="10"/>
  <c r="C122" i="10"/>
  <c r="G120" i="10"/>
  <c r="I118" i="10"/>
  <c r="E117" i="10"/>
  <c r="H115" i="10"/>
  <c r="C114" i="10"/>
  <c r="I615" i="10"/>
  <c r="C611" i="10"/>
  <c r="I606" i="10"/>
  <c r="H602" i="10"/>
  <c r="C598" i="10"/>
  <c r="C594" i="10"/>
  <c r="C590" i="10"/>
  <c r="H586" i="10"/>
  <c r="C583" i="10"/>
  <c r="H579" i="10"/>
  <c r="I575" i="10"/>
  <c r="H572" i="10"/>
  <c r="I568" i="10"/>
  <c r="C565" i="10"/>
  <c r="I561" i="10"/>
  <c r="C558" i="10"/>
  <c r="H554" i="10"/>
  <c r="C551" i="10"/>
  <c r="H547" i="10"/>
  <c r="I543" i="10"/>
  <c r="H540" i="10"/>
  <c r="I536" i="10"/>
  <c r="C533" i="10"/>
  <c r="I529" i="10"/>
  <c r="C526" i="10"/>
  <c r="H522" i="10"/>
  <c r="C519" i="10"/>
  <c r="H515" i="10"/>
  <c r="I511" i="10"/>
  <c r="C509" i="10"/>
  <c r="H506" i="10"/>
  <c r="I503" i="10"/>
  <c r="C501" i="10"/>
  <c r="H498" i="10"/>
  <c r="I495" i="10"/>
  <c r="C493" i="10"/>
  <c r="H490" i="10"/>
  <c r="I487" i="10"/>
  <c r="C485" i="10"/>
  <c r="H482" i="10"/>
  <c r="I479" i="10"/>
  <c r="C477" i="10"/>
  <c r="H474" i="10"/>
  <c r="I471" i="10"/>
  <c r="C469" i="10"/>
  <c r="H466" i="10"/>
  <c r="I463" i="10"/>
  <c r="C461" i="10"/>
  <c r="H458" i="10"/>
  <c r="I455" i="10"/>
  <c r="C453" i="10"/>
  <c r="H450" i="10"/>
  <c r="I447" i="10"/>
  <c r="C445" i="10"/>
  <c r="H442" i="10"/>
  <c r="I439" i="10"/>
  <c r="C437" i="10"/>
  <c r="H434" i="10"/>
  <c r="I431" i="10"/>
  <c r="C429" i="10"/>
  <c r="H426" i="10"/>
  <c r="I423" i="10"/>
  <c r="C421" i="10"/>
  <c r="H418" i="10"/>
  <c r="I415" i="10"/>
  <c r="C413" i="10"/>
  <c r="H410" i="10"/>
  <c r="I407" i="10"/>
  <c r="C405" i="10"/>
  <c r="H402" i="10"/>
  <c r="I399" i="10"/>
  <c r="C397" i="10"/>
  <c r="H394" i="10"/>
  <c r="I391" i="10"/>
  <c r="C389" i="10"/>
  <c r="H386" i="10"/>
  <c r="I383" i="10"/>
  <c r="C381" i="10"/>
  <c r="H378" i="10"/>
  <c r="I375" i="10"/>
  <c r="C373" i="10"/>
  <c r="H370" i="10"/>
  <c r="I367" i="10"/>
  <c r="C365" i="10"/>
  <c r="H362" i="10"/>
  <c r="I359" i="10"/>
  <c r="C357" i="10"/>
  <c r="H354" i="10"/>
  <c r="I351" i="10"/>
  <c r="C349" i="10"/>
  <c r="H346" i="10"/>
  <c r="I343" i="10"/>
  <c r="C341" i="10"/>
  <c r="H338" i="10"/>
  <c r="I335" i="10"/>
  <c r="C333" i="10"/>
  <c r="H330" i="10"/>
  <c r="I327" i="10"/>
  <c r="C325" i="10"/>
  <c r="H322" i="10"/>
  <c r="I319" i="10"/>
  <c r="C317" i="10"/>
  <c r="H314" i="10"/>
  <c r="I311" i="10"/>
  <c r="C309" i="10"/>
  <c r="H306" i="10"/>
  <c r="I303" i="10"/>
  <c r="C301" i="10"/>
  <c r="H298" i="10"/>
  <c r="I295" i="10"/>
  <c r="C293" i="10"/>
  <c r="H290" i="10"/>
  <c r="I287" i="10"/>
  <c r="C285" i="10"/>
  <c r="H282" i="10"/>
  <c r="I279" i="10"/>
  <c r="C277" i="10"/>
  <c r="H274" i="10"/>
  <c r="I271" i="10"/>
  <c r="C269" i="10"/>
  <c r="H266" i="10"/>
  <c r="I263" i="10"/>
  <c r="C261" i="10"/>
  <c r="H258" i="10"/>
  <c r="I255" i="10"/>
  <c r="C253" i="10"/>
  <c r="H250" i="10"/>
  <c r="I247" i="10"/>
  <c r="C245" i="10"/>
  <c r="H242" i="10"/>
  <c r="I239" i="10"/>
  <c r="C237" i="10"/>
  <c r="H234" i="10"/>
  <c r="I231" i="10"/>
  <c r="C229" i="10"/>
  <c r="H226" i="10"/>
  <c r="I223" i="10"/>
  <c r="C221" i="10"/>
  <c r="H218" i="10"/>
  <c r="I215" i="10"/>
  <c r="C213" i="10"/>
  <c r="H210" i="10"/>
  <c r="I207" i="10"/>
  <c r="C205" i="10"/>
  <c r="H198" i="10"/>
  <c r="C197" i="10"/>
  <c r="G195" i="10"/>
  <c r="I193" i="10"/>
  <c r="E192" i="10"/>
  <c r="H190" i="10"/>
  <c r="C189" i="10"/>
  <c r="G187" i="10"/>
  <c r="I185" i="10"/>
  <c r="E184" i="10"/>
  <c r="H182" i="10"/>
  <c r="C181" i="10"/>
  <c r="G179" i="10"/>
  <c r="I177" i="10"/>
  <c r="E176" i="10"/>
  <c r="H174" i="10"/>
  <c r="C173" i="10"/>
  <c r="G171" i="10"/>
  <c r="I169" i="10"/>
  <c r="E168" i="10"/>
  <c r="H166" i="10"/>
  <c r="C165" i="10"/>
  <c r="G163" i="10"/>
  <c r="I161" i="10"/>
  <c r="E160" i="10"/>
  <c r="H158" i="10"/>
  <c r="C157" i="10"/>
  <c r="G155" i="10"/>
  <c r="I153" i="10"/>
  <c r="E152" i="10"/>
  <c r="H150" i="10"/>
  <c r="C149" i="10"/>
  <c r="G147" i="10"/>
  <c r="I145" i="10"/>
  <c r="E144" i="10"/>
  <c r="H142" i="10"/>
  <c r="C141" i="10"/>
  <c r="G139" i="10"/>
  <c r="I137" i="10"/>
  <c r="E136" i="10"/>
  <c r="H134" i="10"/>
  <c r="C133" i="10"/>
  <c r="G131" i="10"/>
  <c r="I129" i="10"/>
  <c r="E128" i="10"/>
  <c r="H126" i="10"/>
  <c r="C125" i="10"/>
  <c r="G123" i="10"/>
  <c r="I121" i="10"/>
  <c r="E120" i="10"/>
  <c r="H118" i="10"/>
  <c r="C117" i="10"/>
  <c r="G115" i="10"/>
  <c r="I113" i="10"/>
  <c r="E112" i="10"/>
  <c r="H110" i="10"/>
  <c r="I614" i="10"/>
  <c r="H610" i="10"/>
  <c r="C606" i="10"/>
  <c r="C602" i="10"/>
  <c r="I597" i="10"/>
  <c r="H593" i="10"/>
  <c r="I589" i="10"/>
  <c r="C586" i="10"/>
  <c r="I582" i="10"/>
  <c r="C579" i="10"/>
  <c r="H575" i="10"/>
  <c r="C572" i="10"/>
  <c r="H568" i="10"/>
  <c r="I564" i="10"/>
  <c r="H561" i="10"/>
  <c r="I557" i="10"/>
  <c r="C554" i="10"/>
  <c r="I550" i="10"/>
  <c r="C547" i="10"/>
  <c r="H543" i="10"/>
  <c r="C540" i="10"/>
  <c r="H536" i="10"/>
  <c r="I532" i="10"/>
  <c r="H529" i="10"/>
  <c r="I525" i="10"/>
  <c r="C522" i="10"/>
  <c r="I518" i="10"/>
  <c r="C515" i="10"/>
  <c r="H511" i="10"/>
  <c r="I508" i="10"/>
  <c r="C506" i="10"/>
  <c r="H503" i="10"/>
  <c r="I500" i="10"/>
  <c r="C498" i="10"/>
  <c r="H495" i="10"/>
  <c r="I492" i="10"/>
  <c r="C490" i="10"/>
  <c r="H487" i="10"/>
  <c r="I484" i="10"/>
  <c r="C482" i="10"/>
  <c r="H479" i="10"/>
  <c r="I476" i="10"/>
  <c r="C474" i="10"/>
  <c r="H471" i="10"/>
  <c r="I468" i="10"/>
  <c r="C466" i="10"/>
  <c r="H463" i="10"/>
  <c r="I460" i="10"/>
  <c r="C458" i="10"/>
  <c r="H455" i="10"/>
  <c r="I452" i="10"/>
  <c r="C450" i="10"/>
  <c r="H447" i="10"/>
  <c r="I444" i="10"/>
  <c r="C442" i="10"/>
  <c r="H439" i="10"/>
  <c r="I436" i="10"/>
  <c r="C434" i="10"/>
  <c r="H431" i="10"/>
  <c r="I428" i="10"/>
  <c r="C426" i="10"/>
  <c r="H423" i="10"/>
  <c r="I420" i="10"/>
  <c r="C418" i="10"/>
  <c r="H415" i="10"/>
  <c r="I412" i="10"/>
  <c r="C410" i="10"/>
  <c r="H407" i="10"/>
  <c r="I404" i="10"/>
  <c r="C402" i="10"/>
  <c r="H399" i="10"/>
  <c r="I396" i="10"/>
  <c r="C394" i="10"/>
  <c r="H391" i="10"/>
  <c r="I388" i="10"/>
  <c r="C386" i="10"/>
  <c r="H383" i="10"/>
  <c r="I380" i="10"/>
  <c r="C378" i="10"/>
  <c r="H375" i="10"/>
  <c r="I372" i="10"/>
  <c r="C370" i="10"/>
  <c r="H367" i="10"/>
  <c r="I364" i="10"/>
  <c r="C362" i="10"/>
  <c r="H359" i="10"/>
  <c r="I356" i="10"/>
  <c r="C354" i="10"/>
  <c r="H351" i="10"/>
  <c r="I348" i="10"/>
  <c r="C346" i="10"/>
  <c r="H343" i="10"/>
  <c r="I340" i="10"/>
  <c r="C338" i="10"/>
  <c r="H335" i="10"/>
  <c r="I332" i="10"/>
  <c r="C330" i="10"/>
  <c r="H327" i="10"/>
  <c r="I324" i="10"/>
  <c r="C322" i="10"/>
  <c r="H319" i="10"/>
  <c r="I316" i="10"/>
  <c r="C314" i="10"/>
  <c r="H311" i="10"/>
  <c r="I308" i="10"/>
  <c r="C306" i="10"/>
  <c r="H303" i="10"/>
  <c r="I300" i="10"/>
  <c r="C298" i="10"/>
  <c r="H295" i="10"/>
  <c r="I292" i="10"/>
  <c r="C290" i="10"/>
  <c r="H287" i="10"/>
  <c r="I284" i="10"/>
  <c r="C282" i="10"/>
  <c r="H279" i="10"/>
  <c r="I276" i="10"/>
  <c r="C274" i="10"/>
  <c r="H271" i="10"/>
  <c r="I268" i="10"/>
  <c r="C266" i="10"/>
  <c r="H263" i="10"/>
  <c r="I260" i="10"/>
  <c r="C258" i="10"/>
  <c r="H255" i="10"/>
  <c r="I252" i="10"/>
  <c r="C250" i="10"/>
  <c r="H247" i="10"/>
  <c r="I244" i="10"/>
  <c r="C242" i="10"/>
  <c r="H239" i="10"/>
  <c r="I236" i="10"/>
  <c r="C234" i="10"/>
  <c r="H231" i="10"/>
  <c r="I228" i="10"/>
  <c r="C226" i="10"/>
  <c r="H223" i="10"/>
  <c r="I220" i="10"/>
  <c r="C218" i="10"/>
  <c r="H215" i="10"/>
  <c r="I212" i="10"/>
  <c r="C210" i="10"/>
  <c r="H207" i="10"/>
  <c r="I204" i="10"/>
  <c r="G198" i="10"/>
  <c r="I196" i="10"/>
  <c r="E195" i="10"/>
  <c r="H193" i="10"/>
  <c r="C192" i="10"/>
  <c r="G190" i="10"/>
  <c r="I188" i="10"/>
  <c r="E187" i="10"/>
  <c r="H185" i="10"/>
  <c r="C184" i="10"/>
  <c r="G182" i="10"/>
  <c r="I180" i="10"/>
  <c r="E179" i="10"/>
  <c r="H177" i="10"/>
  <c r="C176" i="10"/>
  <c r="G174" i="10"/>
  <c r="I172" i="10"/>
  <c r="E171" i="10"/>
  <c r="H169" i="10"/>
  <c r="C168" i="10"/>
  <c r="G166" i="10"/>
  <c r="I164" i="10"/>
  <c r="E163" i="10"/>
  <c r="H161" i="10"/>
  <c r="C160" i="10"/>
  <c r="G158" i="10"/>
  <c r="C614" i="10"/>
  <c r="C610" i="10"/>
  <c r="I605" i="10"/>
  <c r="H601" i="10"/>
  <c r="C597" i="10"/>
  <c r="I592" i="10"/>
  <c r="C589" i="10"/>
  <c r="I585" i="10"/>
  <c r="C582" i="10"/>
  <c r="H578" i="10"/>
  <c r="C575" i="10"/>
  <c r="H571" i="10"/>
  <c r="I567" i="10"/>
  <c r="H564" i="10"/>
  <c r="I560" i="10"/>
  <c r="C557" i="10"/>
  <c r="I553" i="10"/>
  <c r="C550" i="10"/>
  <c r="H546" i="10"/>
  <c r="C543" i="10"/>
  <c r="H539" i="10"/>
  <c r="I535" i="10"/>
  <c r="H532" i="10"/>
  <c r="I528" i="10"/>
  <c r="C525" i="10"/>
  <c r="I521" i="10"/>
  <c r="C518" i="10"/>
  <c r="H514" i="10"/>
  <c r="C511" i="10"/>
  <c r="H508" i="10"/>
  <c r="I505" i="10"/>
  <c r="C503" i="10"/>
  <c r="H500" i="10"/>
  <c r="I497" i="10"/>
  <c r="C495" i="10"/>
  <c r="H492" i="10"/>
  <c r="I489" i="10"/>
  <c r="C487" i="10"/>
  <c r="H484" i="10"/>
  <c r="I481" i="10"/>
  <c r="C479" i="10"/>
  <c r="H476" i="10"/>
  <c r="I473" i="10"/>
  <c r="C471" i="10"/>
  <c r="H468" i="10"/>
  <c r="I465" i="10"/>
  <c r="C463" i="10"/>
  <c r="H460" i="10"/>
  <c r="I457" i="10"/>
  <c r="C455" i="10"/>
  <c r="H452" i="10"/>
  <c r="I449" i="10"/>
  <c r="C447" i="10"/>
  <c r="H444" i="10"/>
  <c r="I441" i="10"/>
  <c r="C439" i="10"/>
  <c r="H436" i="10"/>
  <c r="I433" i="10"/>
  <c r="C431" i="10"/>
  <c r="H428" i="10"/>
  <c r="I425" i="10"/>
  <c r="C423" i="10"/>
  <c r="H420" i="10"/>
  <c r="I417" i="10"/>
  <c r="C415" i="10"/>
  <c r="H412" i="10"/>
  <c r="I409" i="10"/>
  <c r="C407" i="10"/>
  <c r="H404" i="10"/>
  <c r="I401" i="10"/>
  <c r="C399" i="10"/>
  <c r="H396" i="10"/>
  <c r="I393" i="10"/>
  <c r="C391" i="10"/>
  <c r="H388" i="10"/>
  <c r="I385" i="10"/>
  <c r="C383" i="10"/>
  <c r="H380" i="10"/>
  <c r="I377" i="10"/>
  <c r="C375" i="10"/>
  <c r="H372" i="10"/>
  <c r="I369" i="10"/>
  <c r="C367" i="10"/>
  <c r="H364" i="10"/>
  <c r="I361" i="10"/>
  <c r="C359" i="10"/>
  <c r="H356" i="10"/>
  <c r="I353" i="10"/>
  <c r="C351" i="10"/>
  <c r="H348" i="10"/>
  <c r="I345" i="10"/>
  <c r="C343" i="10"/>
  <c r="H340" i="10"/>
  <c r="I337" i="10"/>
  <c r="C335" i="10"/>
  <c r="H332" i="10"/>
  <c r="I329" i="10"/>
  <c r="C327" i="10"/>
  <c r="H324" i="10"/>
  <c r="I321" i="10"/>
  <c r="C319" i="10"/>
  <c r="H316" i="10"/>
  <c r="I313" i="10"/>
  <c r="C311" i="10"/>
  <c r="H308" i="10"/>
  <c r="I305" i="10"/>
  <c r="C303" i="10"/>
  <c r="H300" i="10"/>
  <c r="I297" i="10"/>
  <c r="C295" i="10"/>
  <c r="H292" i="10"/>
  <c r="I289" i="10"/>
  <c r="C287" i="10"/>
  <c r="H284" i="10"/>
  <c r="I281" i="10"/>
  <c r="C279" i="10"/>
  <c r="H276" i="10"/>
  <c r="I273" i="10"/>
  <c r="C271" i="10"/>
  <c r="H268" i="10"/>
  <c r="I265" i="10"/>
  <c r="C263" i="10"/>
  <c r="H260" i="10"/>
  <c r="I257" i="10"/>
  <c r="C255" i="10"/>
  <c r="H252" i="10"/>
  <c r="I249" i="10"/>
  <c r="C247" i="10"/>
  <c r="H244" i="10"/>
  <c r="I241" i="10"/>
  <c r="C239" i="10"/>
  <c r="H236" i="10"/>
  <c r="I233" i="10"/>
  <c r="C231" i="10"/>
  <c r="H228" i="10"/>
  <c r="I225" i="10"/>
  <c r="C223" i="10"/>
  <c r="H220" i="10"/>
  <c r="I217" i="10"/>
  <c r="C215" i="10"/>
  <c r="H212" i="10"/>
  <c r="I209" i="10"/>
  <c r="C207" i="10"/>
  <c r="H204" i="10"/>
  <c r="E198" i="10"/>
  <c r="H196" i="10"/>
  <c r="C195" i="10"/>
  <c r="G193" i="10"/>
  <c r="I191" i="10"/>
  <c r="E190" i="10"/>
  <c r="H188" i="10"/>
  <c r="C187" i="10"/>
  <c r="G185" i="10"/>
  <c r="I183" i="10"/>
  <c r="E182" i="10"/>
  <c r="H180" i="10"/>
  <c r="C179" i="10"/>
  <c r="G177" i="10"/>
  <c r="I175" i="10"/>
  <c r="E174" i="10"/>
  <c r="H172" i="10"/>
  <c r="C171" i="10"/>
  <c r="G169" i="10"/>
  <c r="I167" i="10"/>
  <c r="E166" i="10"/>
  <c r="H164" i="10"/>
  <c r="C163" i="10"/>
  <c r="G161" i="10"/>
  <c r="I159" i="10"/>
  <c r="E158" i="10"/>
  <c r="H156" i="10"/>
  <c r="I613" i="10"/>
  <c r="H609" i="10"/>
  <c r="C605" i="10"/>
  <c r="I600" i="10"/>
  <c r="I596" i="10"/>
  <c r="H592" i="10"/>
  <c r="I588" i="10"/>
  <c r="H585" i="10"/>
  <c r="I581" i="10"/>
  <c r="C578" i="10"/>
  <c r="I574" i="10"/>
  <c r="C571" i="10"/>
  <c r="H567" i="10"/>
  <c r="C564" i="10"/>
  <c r="H560" i="10"/>
  <c r="I556" i="10"/>
  <c r="H553" i="10"/>
  <c r="I549" i="10"/>
  <c r="C546" i="10"/>
  <c r="I542" i="10"/>
  <c r="C539" i="10"/>
  <c r="H535" i="10"/>
  <c r="C532" i="10"/>
  <c r="H528" i="10"/>
  <c r="I524" i="10"/>
  <c r="H521" i="10"/>
  <c r="I517" i="10"/>
  <c r="C514" i="10"/>
  <c r="I510" i="10"/>
  <c r="C508" i="10"/>
  <c r="H505" i="10"/>
  <c r="I502" i="10"/>
  <c r="C500" i="10"/>
  <c r="H497" i="10"/>
  <c r="I494" i="10"/>
  <c r="C492" i="10"/>
  <c r="H489" i="10"/>
  <c r="I486" i="10"/>
  <c r="C484" i="10"/>
  <c r="H481" i="10"/>
  <c r="I478" i="10"/>
  <c r="C476" i="10"/>
  <c r="H473" i="10"/>
  <c r="I470" i="10"/>
  <c r="C468" i="10"/>
  <c r="H465" i="10"/>
  <c r="I462" i="10"/>
  <c r="C460" i="10"/>
  <c r="H457" i="10"/>
  <c r="I454" i="10"/>
  <c r="C452" i="10"/>
  <c r="H449" i="10"/>
  <c r="I446" i="10"/>
  <c r="C444" i="10"/>
  <c r="H441" i="10"/>
  <c r="I438" i="10"/>
  <c r="C436" i="10"/>
  <c r="H433" i="10"/>
  <c r="I430" i="10"/>
  <c r="C428" i="10"/>
  <c r="H425" i="10"/>
  <c r="I422" i="10"/>
  <c r="C420" i="10"/>
  <c r="H417" i="10"/>
  <c r="I414" i="10"/>
  <c r="C412" i="10"/>
  <c r="H409" i="10"/>
  <c r="I406" i="10"/>
  <c r="C404" i="10"/>
  <c r="H401" i="10"/>
  <c r="I398" i="10"/>
  <c r="C396" i="10"/>
  <c r="H393" i="10"/>
  <c r="I390" i="10"/>
  <c r="C388" i="10"/>
  <c r="H385" i="10"/>
  <c r="I382" i="10"/>
  <c r="C380" i="10"/>
  <c r="H377" i="10"/>
  <c r="I374" i="10"/>
  <c r="C372" i="10"/>
  <c r="H369" i="10"/>
  <c r="I366" i="10"/>
  <c r="C364" i="10"/>
  <c r="H361" i="10"/>
  <c r="I358" i="10"/>
  <c r="C356" i="10"/>
  <c r="H353" i="10"/>
  <c r="I350" i="10"/>
  <c r="C348" i="10"/>
  <c r="H345" i="10"/>
  <c r="I342" i="10"/>
  <c r="C340" i="10"/>
  <c r="H337" i="10"/>
  <c r="I334" i="10"/>
  <c r="C332" i="10"/>
  <c r="H329" i="10"/>
  <c r="I326" i="10"/>
  <c r="C324" i="10"/>
  <c r="H321" i="10"/>
  <c r="I318" i="10"/>
  <c r="C316" i="10"/>
  <c r="H313" i="10"/>
  <c r="I310" i="10"/>
  <c r="C308" i="10"/>
  <c r="H305" i="10"/>
  <c r="I302" i="10"/>
  <c r="C300" i="10"/>
  <c r="H297" i="10"/>
  <c r="I294" i="10"/>
  <c r="C292" i="10"/>
  <c r="H289" i="10"/>
  <c r="I286" i="10"/>
  <c r="C284" i="10"/>
  <c r="H281" i="10"/>
  <c r="I278" i="10"/>
  <c r="C276" i="10"/>
  <c r="H273" i="10"/>
  <c r="I270" i="10"/>
  <c r="C268" i="10"/>
  <c r="H265" i="10"/>
  <c r="I262" i="10"/>
  <c r="C260" i="10"/>
  <c r="H257" i="10"/>
  <c r="I254" i="10"/>
  <c r="C252" i="10"/>
  <c r="H249" i="10"/>
  <c r="I246" i="10"/>
  <c r="C244" i="10"/>
  <c r="H241" i="10"/>
  <c r="I238" i="10"/>
  <c r="C236" i="10"/>
  <c r="H233" i="10"/>
  <c r="I230" i="10"/>
  <c r="C228" i="10"/>
  <c r="H225" i="10"/>
  <c r="I222" i="10"/>
  <c r="C220" i="10"/>
  <c r="H217" i="10"/>
  <c r="I214" i="10"/>
  <c r="C212" i="10"/>
  <c r="H209" i="10"/>
  <c r="I206" i="10"/>
  <c r="C204" i="10"/>
  <c r="C198" i="10"/>
  <c r="G196" i="10"/>
  <c r="I194" i="10"/>
  <c r="E193" i="10"/>
  <c r="H191" i="10"/>
  <c r="C190" i="10"/>
  <c r="G188" i="10"/>
  <c r="I186" i="10"/>
  <c r="E185" i="10"/>
  <c r="H183" i="10"/>
  <c r="C182" i="10"/>
  <c r="G180" i="10"/>
  <c r="I178" i="10"/>
  <c r="E177" i="10"/>
  <c r="H175" i="10"/>
  <c r="C174" i="10"/>
  <c r="G172" i="10"/>
  <c r="I170" i="10"/>
  <c r="E169" i="10"/>
  <c r="H167" i="10"/>
  <c r="C166" i="10"/>
  <c r="G164" i="10"/>
  <c r="I162" i="10"/>
  <c r="E161" i="10"/>
  <c r="H159" i="10"/>
  <c r="C158" i="10"/>
  <c r="G156" i="10"/>
  <c r="I154" i="10"/>
  <c r="E153" i="10"/>
  <c r="H151" i="10"/>
  <c r="C150" i="10"/>
  <c r="G148" i="10"/>
  <c r="I146" i="10"/>
  <c r="E145" i="10"/>
  <c r="H143" i="10"/>
  <c r="C142" i="10"/>
  <c r="G140" i="10"/>
  <c r="I138" i="10"/>
  <c r="E137" i="10"/>
  <c r="H135" i="10"/>
  <c r="C134" i="10"/>
  <c r="G132" i="10"/>
  <c r="I130" i="10"/>
  <c r="E129" i="10"/>
  <c r="H127" i="10"/>
  <c r="C126" i="10"/>
  <c r="G124" i="10"/>
  <c r="I122" i="10"/>
  <c r="E121" i="10"/>
  <c r="H119" i="10"/>
  <c r="C118" i="10"/>
  <c r="G116" i="10"/>
  <c r="I114" i="10"/>
  <c r="E113" i="10"/>
  <c r="H111" i="10"/>
  <c r="C110" i="10"/>
  <c r="E7" i="29"/>
  <c r="G7" i="30"/>
  <c r="H8" i="30"/>
  <c r="I9" i="30"/>
  <c r="C11" i="30"/>
  <c r="D12" i="30"/>
  <c r="E13" i="30"/>
  <c r="F14" i="30"/>
  <c r="G15" i="30"/>
  <c r="H16" i="30"/>
  <c r="I17" i="30"/>
  <c r="C19" i="30"/>
  <c r="D20" i="30"/>
  <c r="E21" i="30"/>
  <c r="F22" i="30"/>
  <c r="G23" i="30"/>
  <c r="H24" i="30"/>
  <c r="I25" i="30"/>
  <c r="C27" i="30"/>
  <c r="D28" i="30"/>
  <c r="E39" i="30"/>
  <c r="G45" i="30"/>
  <c r="F55" i="30"/>
  <c r="F61" i="30"/>
  <c r="F65" i="30"/>
  <c r="D69" i="30"/>
  <c r="G86" i="30"/>
  <c r="G90" i="30"/>
  <c r="F94" i="30"/>
  <c r="G102" i="30"/>
  <c r="F106" i="30"/>
  <c r="H16" i="31"/>
  <c r="H24" i="31"/>
  <c r="H32" i="31"/>
  <c r="H40" i="31"/>
  <c r="F52" i="31"/>
  <c r="H64" i="31"/>
  <c r="G8" i="32"/>
  <c r="G12" i="32"/>
  <c r="G19" i="32"/>
  <c r="G27" i="32"/>
  <c r="G17" i="10"/>
  <c r="G21" i="10"/>
  <c r="H29" i="10"/>
  <c r="H36" i="10"/>
  <c r="F53" i="10"/>
  <c r="F57" i="10"/>
  <c r="F61" i="10"/>
  <c r="C69" i="10"/>
  <c r="H70" i="10"/>
  <c r="E72" i="10"/>
  <c r="I73" i="10"/>
  <c r="G75" i="10"/>
  <c r="C77" i="10"/>
  <c r="H78" i="10"/>
  <c r="E80" i="10"/>
  <c r="I81" i="10"/>
  <c r="G83" i="10"/>
  <c r="C85" i="10"/>
  <c r="H86" i="10"/>
  <c r="E88" i="10"/>
  <c r="I89" i="10"/>
  <c r="G91" i="10"/>
  <c r="C93" i="10"/>
  <c r="H94" i="10"/>
  <c r="E96" i="10"/>
  <c r="I97" i="10"/>
  <c r="G99" i="10"/>
  <c r="C101" i="10"/>
  <c r="H102" i="10"/>
  <c r="E104" i="10"/>
  <c r="I105" i="10"/>
  <c r="G107" i="10"/>
  <c r="C109" i="10"/>
  <c r="G111" i="10"/>
  <c r="G114" i="10"/>
  <c r="H117" i="10"/>
  <c r="I120" i="10"/>
  <c r="C124" i="10"/>
  <c r="E127" i="10"/>
  <c r="G130" i="10"/>
  <c r="H133" i="10"/>
  <c r="I136" i="10"/>
  <c r="C140" i="10"/>
  <c r="E143" i="10"/>
  <c r="G146" i="10"/>
  <c r="H149" i="10"/>
  <c r="I152" i="10"/>
  <c r="I156" i="10"/>
  <c r="E8" i="29"/>
  <c r="H7" i="30"/>
  <c r="I8" i="30"/>
  <c r="C10" i="30"/>
  <c r="D11" i="30"/>
  <c r="E12" i="30"/>
  <c r="F13" i="30"/>
  <c r="G14" i="30"/>
  <c r="H15" i="30"/>
  <c r="I16" i="30"/>
  <c r="C18" i="30"/>
  <c r="D19" i="30"/>
  <c r="E20" i="30"/>
  <c r="F21" i="30"/>
  <c r="G22" i="30"/>
  <c r="H23" i="30"/>
  <c r="I24" i="30"/>
  <c r="C26" i="30"/>
  <c r="D27" i="30"/>
  <c r="E28" i="30"/>
  <c r="F39" i="30"/>
  <c r="H45" i="30"/>
  <c r="F56" i="30"/>
  <c r="H61" i="30"/>
  <c r="F66" i="30"/>
  <c r="F69" i="30"/>
  <c r="H86" i="30"/>
  <c r="H90" i="30"/>
  <c r="H94" i="30"/>
  <c r="H102" i="30"/>
  <c r="H106" i="30"/>
  <c r="H17" i="31"/>
  <c r="H25" i="31"/>
  <c r="H33" i="31"/>
  <c r="H41" i="31"/>
  <c r="H52" i="31"/>
  <c r="I64" i="31"/>
  <c r="H8" i="32"/>
  <c r="H12" i="32"/>
  <c r="G20" i="32"/>
  <c r="H31" i="32"/>
  <c r="H17" i="10"/>
  <c r="H21" i="10"/>
  <c r="F30" i="10"/>
  <c r="F37" i="10"/>
  <c r="H53" i="10"/>
  <c r="H57" i="10"/>
  <c r="H61" i="10"/>
  <c r="E69" i="10"/>
  <c r="I70" i="10"/>
  <c r="G72" i="10"/>
  <c r="C74" i="10"/>
  <c r="H75" i="10"/>
  <c r="E77" i="10"/>
  <c r="I78" i="10"/>
  <c r="G80" i="10"/>
  <c r="C82" i="10"/>
  <c r="H83" i="10"/>
  <c r="E85" i="10"/>
  <c r="I86" i="10"/>
  <c r="G88" i="10"/>
  <c r="C90" i="10"/>
  <c r="H91" i="10"/>
  <c r="E93" i="10"/>
  <c r="I94" i="10"/>
  <c r="G96" i="10"/>
  <c r="C98" i="10"/>
  <c r="H99" i="10"/>
  <c r="E101" i="10"/>
  <c r="I102" i="10"/>
  <c r="G104" i="10"/>
  <c r="C106" i="10"/>
  <c r="H107" i="10"/>
  <c r="E109" i="10"/>
  <c r="I111" i="10"/>
  <c r="H114" i="10"/>
  <c r="I117" i="10"/>
  <c r="C121" i="10"/>
  <c r="E124" i="10"/>
  <c r="G127" i="10"/>
  <c r="H130" i="10"/>
  <c r="I133" i="10"/>
  <c r="C137" i="10"/>
  <c r="E140" i="10"/>
  <c r="G143" i="10"/>
  <c r="H146" i="10"/>
  <c r="I149" i="10"/>
  <c r="C153" i="10"/>
  <c r="I157" i="10"/>
  <c r="AK23" i="8"/>
  <c r="AK39" i="8"/>
  <c r="AK25" i="8" l="1"/>
  <c r="AK35" i="8"/>
  <c r="AK31" i="8"/>
  <c r="AK19" i="8"/>
  <c r="AK33" i="8"/>
  <c r="AK32" i="8"/>
  <c r="AK21" i="8"/>
  <c r="AK20" i="8"/>
  <c r="AK24" i="8"/>
  <c r="F4" i="8" l="1"/>
  <c r="AL16" i="8" l="1"/>
  <c r="AL17" i="8"/>
  <c r="AL18" i="8"/>
  <c r="AL15" i="8"/>
  <c r="AK16" i="8"/>
  <c r="AK17" i="8"/>
  <c r="AK15" i="8"/>
  <c r="AK2" i="8" s="1"/>
  <c r="AJ8" i="8"/>
  <c r="AJ9" i="8"/>
  <c r="AJ10" i="8"/>
  <c r="AJ11" i="8"/>
  <c r="F23" i="8"/>
  <c r="F24" i="8"/>
  <c r="F25" i="8"/>
  <c r="F5" i="8"/>
  <c r="F6" i="8"/>
  <c r="F7" i="8"/>
  <c r="F8" i="8"/>
  <c r="F9" i="8"/>
  <c r="F10" i="8"/>
  <c r="F11" i="8"/>
  <c r="F12" i="8"/>
  <c r="F13" i="8"/>
  <c r="F14" i="8"/>
  <c r="F15" i="8"/>
  <c r="F16" i="8"/>
  <c r="F17" i="8"/>
  <c r="F18" i="8"/>
  <c r="F19" i="8"/>
  <c r="F20" i="8"/>
  <c r="F21" i="8"/>
  <c r="F22" i="8"/>
  <c r="AJ2" i="8" l="1"/>
  <c r="AL2" i="8"/>
  <c r="F2" i="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<sst xmlns="http://schemas.openxmlformats.org/spreadsheetml/2006/main" count="15141" uniqueCount="2244">
  <si>
    <t>Instructions</t>
  </si>
  <si>
    <t>&lt;please select&gt;</t>
  </si>
  <si>
    <r>
      <t xml:space="preserve">&lt;- Click the </t>
    </r>
    <r>
      <rPr>
        <b/>
        <sz val="10"/>
        <color rgb="FF004B7F"/>
        <rFont val="Calibri"/>
        <family val="2"/>
        <scheme val="minor"/>
      </rPr>
      <t>+</t>
    </r>
    <r>
      <rPr>
        <sz val="10"/>
        <color rgb="FF004B7F"/>
        <rFont val="Calibri"/>
        <family val="2"/>
        <scheme val="minor"/>
      </rPr>
      <t xml:space="preserve"> button for additional rows</t>
    </r>
  </si>
  <si>
    <t xml:space="preserve"> Explanatory Note (June 2022)</t>
  </si>
  <si>
    <t>1.</t>
  </si>
  <si>
    <t>Details of institution submitting the report</t>
  </si>
  <si>
    <t>Purpose</t>
  </si>
  <si>
    <t>This question seeks contact details in case of any clarification questions regarding the completed questionnaire.</t>
  </si>
  <si>
    <t>●</t>
  </si>
  <si>
    <t>Please provide details of the institution submitting the report, as well as the contact details of the person to whom any clarification questions can be addressed.</t>
  </si>
  <si>
    <t>2.</t>
  </si>
  <si>
    <t>Responsible authorities in the EU ETS and coordination between authorities</t>
  </si>
  <si>
    <t>2.1.</t>
  </si>
  <si>
    <t>Name, abbreviation and contact details of the competent authorities, the national accreditation body, the registry administrator and (if applicable) the national certification authority involved in the EU ETS compliance processes</t>
  </si>
  <si>
    <t>This question seeks a complete overview of the authorities involved in the implementation of EU ETS compliance processes in your Member State, i.e. the competent authorities, the national accreditation body, the registry administrator and, if applicable, the national certification authority, to ensure that all relevant information on these authorities is available in a central place.</t>
  </si>
  <si>
    <t>This question should only be answered for the report due by 30 June 2022. For subsequent reports, the question only needs to be answered if there have been changes during that reporting period.</t>
  </si>
  <si>
    <t xml:space="preserve">Under the type of competent authority please select the appropriate option: local competent authority, regional competent authority, central competent authority or other. </t>
  </si>
  <si>
    <t>Please fill in under contact details, the telephone number, e-mail address and website address. If multiple local or regional authorities or municipalities are involved, the contact details of all these local and regional authorities do not have to be provided. In this case, please use a collective name and abbreviation, and provide the number of local or regional authorities concerned in  the appropriate box.</t>
  </si>
  <si>
    <t>2.2.</t>
  </si>
  <si>
    <t xml:space="preserve">Responsibilities of the competent authorities </t>
  </si>
  <si>
    <t>This question seeks an overview of the responsibilities and tasks of the various competent authorities in your Member State. It concerns the competent authority’s responsibilities emanating from the EU ETS Directive, the Monitoring and Reporting Regulation (MRR)[*], the Accreditation and Verification Regulation (AVR)[**] , the Auctioning Regulation[***], the Free Allocation Rules[****], Implementing Regulation on annual activity level data[*****]and the Registry Regulation[******].</t>
  </si>
  <si>
    <t>[*]</t>
  </si>
  <si>
    <t xml:space="preserve">Commission Implementing Regulation (EU) 2018/2066 on the monitoring and reporting of greenhouse gas emissions pursuant to Directive 2003/87/EC of the European Parliament and of the Council and amending Commission Regulation (EU) No 601/2012: https://eur-lex.europa.eu/legal-content/EN/TXT/?uri=CELEX%3A02018R2066-20210101 </t>
  </si>
  <si>
    <t>[**]</t>
  </si>
  <si>
    <t xml:space="preserve">Commission Implementing Regulation (EU) 2018/2067 on the verification of data and on the accreditation of verifiers pursuant to Directive 2003/87/EC of the European Parliament and of the Council: https://eur-lex.europa.eu/legal-content/EN/TXT/?uri=CELEX%3A02018R2067-20210101 </t>
  </si>
  <si>
    <t>[***]</t>
  </si>
  <si>
    <t>Commission Regulation (EU) No 1031/2010 of 12 November 2010 on the timing, administration and other aspects of auctioning of greenhouse gas emission allowances pursuant to Directive 2003/87/EC of the European Parliament and of the Council establishing a scheme for greenhouse gas emission allowances trading within the Community</t>
  </si>
  <si>
    <t>[****]</t>
  </si>
  <si>
    <t>Commission Delegated Regulation (EU) 2019/331 of 19 December 2018 determining transitional Union-wide rules for harmonised free allocation of emission allowances pursuant to Article 10a of Directive 2003/87/EC of the European Parliament and of the Council, (OJ L 59, 27.2.2019, p. 8).</t>
  </si>
  <si>
    <t>[*****]</t>
  </si>
  <si>
    <t>Commission Implementing Regulation (EU) 2019/1842 of 31 October 2019 laying down rules for the application of Directive 2003/87/EC of the European Parliament and of the Council as regards further arrangements for the adjustments to free allocation of emission allowances due to activity level changes (OJ L 282, 4.11.2019, p. 20).</t>
  </si>
  <si>
    <t>[******]</t>
  </si>
  <si>
    <t>Commission Delegated Regulation (EU) 2019/1122 of 12 March 2019 supplementing Directive 2003/87/EC of the European Parliament and of the Council as regards the functioning of the Union Registry (OJ L 177, 2.7.2019, p. 3).</t>
  </si>
  <si>
    <t xml:space="preserve">This question should only be answered for the report due by 30 June 2022. For subsequent reports, the question only needs to be answered if there have been changes during that reporting period. </t>
  </si>
  <si>
    <t>Please provide the abbreviation of the competent authority or competent authorities responsible for the activities listed in the relevant boxes for installations and aircraft operators.</t>
  </si>
  <si>
    <t>If multiple competent authorities are involved in one particular activity, please add additional rows for these competent authorities. Where an activity is performed by multiple local or regional authorities, please use the collective abbreviation for those authorities (please see the guidance under question 2.1).</t>
  </si>
  <si>
    <t>Please note that not all activities concerning installations are applicable to aircraft operators and vice versa.</t>
  </si>
  <si>
    <t>The table below explains some of the elements in the reporting table.</t>
  </si>
  <si>
    <t>Requested information in the table</t>
  </si>
  <si>
    <t>Explanation</t>
  </si>
  <si>
    <t>Free allocation pursuant to Article 3e and 3f of the EU ETS Directive</t>
  </si>
  <si>
    <t>The competent authority of the administering Member State mentioned in Article 3e (free allocation of emission allowances for aircraft operators) and Article 3f (special reserve).</t>
  </si>
  <si>
    <t>Issuance of allowances</t>
  </si>
  <si>
    <t>Please specify the competent authority responsible for actually issuing the emission allowances to the operator or aircraft operator.</t>
  </si>
  <si>
    <t>Activities related to auctioning</t>
  </si>
  <si>
    <t xml:space="preserve">The auctioneer mentioned in the Auctioning Regulation. </t>
  </si>
  <si>
    <t>Inspection and enforcement</t>
  </si>
  <si>
    <t>Inspection and enforcement includes site visits to operators to assess whether they comply with the monitoring plan and the MRR, as well as taking enforcement action against infringements and imposing sanctions. Whereas inspection site visits might not be carried out by all Member States, enforcement actions should. All Member States should therefore complete this box regardless of whether they have carried out inspections or not.</t>
  </si>
  <si>
    <t>2.3.</t>
  </si>
  <si>
    <t>Competent authorities' focal point and coordination in the case of multiple competent authorities</t>
  </si>
  <si>
    <t>Article 18 of Directive 2003/87/EC (EU ETS Directive) requires Member States to designate the appropriate competent authority or competent authorities for the implementation of the rules of the Directive. If there is more than one competent authority in a Member State, Article 70(2) of the AVR requires the Member State to authorise one of these competent authorities as the focal point for exchanging information, coordinating the cooperation between the national accreditation body (NAB) and the competent authority and the activities in Chapter VI of the AVR. The first question seeks to provide the Commission and all Member States with a complete overview of the competent authorities’ focal points across Europe to facilitate information exchange between all Member States.</t>
  </si>
  <si>
    <t xml:space="preserve">Where multiple competent authorities carry out activities under the MRR in your Member State, Article 10 of the MRR requires the activities of these competent authorities to be coordinated. The second question seeks to gather information on how this coordination is carried out. </t>
  </si>
  <si>
    <t xml:space="preserve">Both questions only need to be answered when more than one competent authority is responsible for the activities mentioned in the MRR and AVR. They should be answered for the report due by 30 June 2022. For subsequent reports the questions only need to be answered if there have been changes during that reporting period. </t>
  </si>
  <si>
    <t>The competent authority focal point should be the focal point that is exchanging the information in practice according to Article 70(2) of the AVR.</t>
  </si>
  <si>
    <t>In the second question, please answer for each item yes or no depending on which situation is applicable to your Member State.</t>
  </si>
  <si>
    <t xml:space="preserve">The table below explains some of the elements in the reporting table. </t>
  </si>
  <si>
    <t xml:space="preserve">Is there a central authority reviewing monitoring plans, annual emission reports and improvement reports in addition to local and regional authorities? </t>
  </si>
  <si>
    <t xml:space="preserve">You should select yes if multiple regional or local authorities are responsible for assessing monitoring plans, emission reports or improvement report and a central competent authority reviews or checks a share of monitoring plans, emission reports and/or improvement reports or all of those documents  on a regular basis, carrying out spot checks or full reviews.  </t>
  </si>
  <si>
    <t>Is there a central authority providing advice to local or regional authorities?</t>
  </si>
  <si>
    <t>You should select yes if the central competent authority provides advice or instructions and/or guidance on MRV aspects. Such aspects could, for example, include how the local or regional competent authority should approve monitoring plans, assess emission reports, approve improvement reports or deal with specific monitoring and reporting issues. If this option applies, you are requested to indicate whether regional or local authorities are required to follow-up that advice or instructions.</t>
  </si>
  <si>
    <t>Are regular meetings organised between competent authorities?</t>
  </si>
  <si>
    <t xml:space="preserve">You should select yes if regular meetings are organised between different competent authorities. This situation differs from the situation where there is a structured and established working group in which competent authorities discuss MRVA issues.  </t>
  </si>
  <si>
    <t>Is common training organised?</t>
  </si>
  <si>
    <t xml:space="preserve">Please select yes if common training is organised for competent authorities to train them on the application of the rules and inform them on how to deal with specific MRVA issues. </t>
  </si>
  <si>
    <t>Is a structured working or coordination group established?</t>
  </si>
  <si>
    <t>You should select yes, if a structured working group or coordination group is established where staff from different competent authorities discuss and address MRVA issues.</t>
  </si>
  <si>
    <t>2.4.</t>
  </si>
  <si>
    <t>Cooperation between the national accreditation body (NAB) and, if applicable, the national certification authority (NCA) on the one hand and the competent authority on the other hand</t>
  </si>
  <si>
    <t xml:space="preserve">Article 70(1) of the AVR requires Member States to establish an effective exchange of appropriate information and effective cooperation between their NAB/ NCA and the competent authority. This question seeks to obtain an overview of how the cooperation between the NAB/NCA and competent authority is organised. </t>
  </si>
  <si>
    <t xml:space="preserve">This question must be answered regardless of the number of competent authorities involved in your Member State. </t>
  </si>
  <si>
    <t xml:space="preserve">The question should be answered for the report due by 30 June 2022. For subsequent reports, the question only needs to be answered if there have been changes during that reporting period. </t>
  </si>
  <si>
    <t>3.</t>
  </si>
  <si>
    <t>Coverage of activities and installations and aircraft operators</t>
  </si>
  <si>
    <t>3.A</t>
  </si>
  <si>
    <t>Installations</t>
  </si>
  <si>
    <t>3.1.</t>
  </si>
  <si>
    <t>Total number of installations</t>
  </si>
  <si>
    <t xml:space="preserve">The first table in this question seeks an overview of the aggregate number of installations covered by the EU ETS, distinguishing between category A, B and C installations as well as installations with low emissions. The second table aims to provide information on which  activities listed in Annex I of the EU ETS Directive are carried out by the EU ETS installations in your country. </t>
  </si>
  <si>
    <t>The first and second tables should be answered annually. Please note that the total number of installations is the combined total of category A, B and C installations (category A installations include the number of installations with low emissions).</t>
  </si>
  <si>
    <t>Information can be extracted from section 5d of the Commission monitoring plan template and AER template. The information can also be extracted from the ETS reporting tool. Please use in principle the data from the monitoring plan as the installation’s category does not necessarily have to change if the category threshold is exceeded. The competent authority may allow the operator not to modify the monitoring plan if the operator demonstrates that the threshold has not already been exceeded within the past five reporting periods and will not be exceeded again in subsequent reporting periods (Article 19 and 47(8) of the MRR).</t>
  </si>
  <si>
    <t>3.2.</t>
  </si>
  <si>
    <t>Installations with an exclusion under Article 27 and/or 27a of Directive 2003/87/EC</t>
  </si>
  <si>
    <t xml:space="preserve">Article 27 of the EU ETS Directive allows Member States to exclude installations which have, in each of the three years preceding the notification to the Commission, mentioned under Article 27 of the EU ETS Directive: </t>
  </si>
  <si>
    <t xml:space="preserve">• emissions of less than 25000 tonnes of CO2(e) excluding those from biomass; and 
• a rated thermal input below 35 MW where they carry out combustion activities. 
Hospitals may also be excluded under Article 27 of the EU ETS Directive if they undertake equivalent measures. </t>
  </si>
  <si>
    <t>Exclusion of those installations is only possible if the conditions and requirements specified in Article 27 have been met.</t>
  </si>
  <si>
    <t>Article 27a of the EU ETS Directive allows Member States to exclude:</t>
  </si>
  <si>
    <t>• installations which have, in each of the three years preceding the notification to the Commission, emissions of less than 2500 tonnes of CO2(e)[*]
• EU ETS reserve or backup units which did not operate more than 300 hours per year, in each of the three years preceding the notification of the Commission.</t>
  </si>
  <si>
    <t xml:space="preserve">Exclusion of those installations and reserve of back-up units is only possible if the conditions in Article 27a of the EU ETS Directive have been met. For example, simplified monitoring arrangements have to be in place to assess whether the thresholds are exceeded. </t>
  </si>
  <si>
    <t xml:space="preserve">This question ensures that the information can be compiled in one place allowing Member States and other stakeholders to have easy access to the information. </t>
  </si>
  <si>
    <t xml:space="preserve">[*] </t>
  </si>
  <si>
    <t>Emissions from biomass are excluded.</t>
  </si>
  <si>
    <t xml:space="preserve">The information in this question should be answered annually. </t>
  </si>
  <si>
    <t>Please answer yes and fill in the tables if a Member State has excluded installations under Article 27 or 27a (1) of the EU ETS Directive, or if a Member State has excluded reserve or backup units under Article 27a (3) of the EU ETS Di-rective. If your Member State did not apply Article 27 or 27a of the EU ETS Directive, you only have to answer no.</t>
  </si>
  <si>
    <t xml:space="preserve">Please select in the first table whether exclusion is carried out under Article 27, 27a (1) or 27a(3) of the EU ETS Directive and fill in the total emissions of installations or units excluded under Article 27 or 27a of the EU ETS Directive. Please also specify the number of installations or units that have exceeded the applicable threshold and need to re-enter EU ETS. </t>
  </si>
  <si>
    <t xml:space="preserve">In the second table, please indicate how many installations that were excluded under Article 27 or 27a of the EU ETS Directive were closed. </t>
  </si>
  <si>
    <t xml:space="preserve">The information can be extracted from the ETS reporting tool. </t>
  </si>
  <si>
    <t>3.B</t>
  </si>
  <si>
    <t>Aircraft operators</t>
  </si>
  <si>
    <t>3.3.</t>
  </si>
  <si>
    <t>Total number of aircraft operators</t>
  </si>
  <si>
    <t>This question seeks an overview of the aggregate number of aircraft operators covered by EU ETS and administered by your Member State, distinguishing between commercial aircraft operators and non-commercial aircraft operators. The total number of small emitters is requested to assess the share of small emitters, as defined by Article 55(1) of the MRR.</t>
  </si>
  <si>
    <t xml:space="preserve">The number of aircraft operators to be reported in the table of the question relate to aircraft operators that are administered by your Member State and have carried out flights falling under the scope of the EU ETS. Aircraft operators that are excluded because these do not carry out such flights should not be taken into account in this question. </t>
  </si>
  <si>
    <t>The question should be answered annually.</t>
  </si>
  <si>
    <t xml:space="preserve">The information can be extracted from several sources: Commission monitoring plan template, AER template, Eurocontrol’s ETS Support Facility and the ETS reporting tool.
</t>
  </si>
  <si>
    <t>4.</t>
  </si>
  <si>
    <t>The issue of permits for installations</t>
  </si>
  <si>
    <t>4.1.</t>
  </si>
  <si>
    <t xml:space="preserve">Integration of Articles 5-7 of the EU ETS Directive into procedures provided for in the Industrial Emissions Directive (IED), or coordination between the EU ETS permit and IED permit </t>
  </si>
  <si>
    <t>Article 8 of the EU ETS Directive requires Member States to take the necessary measures to ensure that, where installations carry out activities that are included in Annex I of the IED Directive, the conditions and procedures for the EU ETS permit and the IED permit are coordinated. That coordination can take different forms. Some Member States have integrated the EU ETS permit requirements into the IED permit, while other Member States issue separate permits. This question focuses on how the integration of the EU ETS permit with the IED permit takes place in your Member State, and, if those permits are separate, what measures have been taken to coordinate the procedures. It seeks relevant information on how the permit procedures are regulated in the Member States and the impact these may have on the organisational aspects of EU ETS compliance.</t>
  </si>
  <si>
    <t>Please answer yes, no or partially under each item depending on which situation is applicable to your Member State.</t>
  </si>
  <si>
    <t>The table below explains some of the elements in the first table of the question.</t>
  </si>
  <si>
    <t>Is the ETS permit part of the Industrial Emissions Directive permit?</t>
  </si>
  <si>
    <t>The question should be answered yes if there is one integrated permit regulating the activities under the EU ETS Directive and the IED Directive.</t>
  </si>
  <si>
    <t>Are the permitting procedures under the IED Directive and ETS permit integrated?</t>
  </si>
  <si>
    <t>This question only needs to be answered if the answer to the question above is no. It concerns cases where permitting procedures of IED Directive and EU ETS Directive are aligned, e.g. for example by having the same administrative procedures and coordination measures between both permitting procedures.</t>
  </si>
  <si>
    <t>Are IED regulators checking whether ETS permit is applicable and inform the competent authority responsible under the EU ETS?</t>
  </si>
  <si>
    <t>This question only needs to be answered if the first question in the table is answered no.</t>
  </si>
  <si>
    <t>Are the approval of monitoring plans and assessment of emission reports carried out by IED regulators?</t>
  </si>
  <si>
    <t>Cases where IED regulators approve monitoring plans and assess annual emission reports.</t>
  </si>
  <si>
    <t>Is inspection of the EU ETS activities carried out by the IED regulators?</t>
  </si>
  <si>
    <t>Cases where IED inspectors are involved in the inspection of EU ETS installations and IED installations together.</t>
  </si>
  <si>
    <t>Is the IED regulator requested to provide advice or instructions to the competent authority responsible for EU ETS?</t>
  </si>
  <si>
    <t xml:space="preserve">Cases where IED regulators provide advice on activities carried out by the competent authority under EU ETS, e.g. regarding specific monitoring issues, assessment of installation boundaries. If this situation is applicable, you are requested to indicate whether that advice or those instructions are binding and have to be followed up by the EU ETS competent authority. </t>
  </si>
  <si>
    <t>4.2.</t>
  </si>
  <si>
    <t xml:space="preserve">Updates of permits </t>
  </si>
  <si>
    <t>This question seeks an overview of the requirements in national law that Member States have set-up to implement Articles 6 and 7 of the EU ETS Directive. The aim is to understand when national law requires the permit to be withdrawn or changed as a result of an increase or decrease of capacity, or a change to an installation’s monitoring plan. Not all changes to an installation’s monitoring plan or capacity will result in a permit update. In some Member States a permit is only updated when the capacity is changed by a certain % or if there are significant changes to the monitoring plan. It depends on the national law of Member States. Also, in some Member States, permits can expire under certain circumstances. The main objective of this question is to assess how Articles 6 and 7 of the EU ETS Directive have been implemented in the national law of Member States. The total aggregate number of permit updates is requested to enable trend analysis of permit changes across the EU. The question seeks to obtain an overview of the extent to which the total number of updates varies between Member States, as well as a first indication of the administrative burden involved for Member States. Where the total number is high, this could mean that further assistance or guidance is necessary to implement Article 6 and 7 of the EU ETS Directive in a more efficient way.</t>
  </si>
  <si>
    <t>Please describe in the table the details of national law or policy on when permits are updated for the specified reasons, when permits are withdrawn and under what conditions permits expire.</t>
  </si>
  <si>
    <t>The first question should be answered for the report due by 30 June 2022. For subsequent reports, the question only needs to be answered if there have been changes during that reporting period. The second question on the number of permit updates should be answered annually and should be completed as far as this is known to the competent authority.</t>
  </si>
  <si>
    <t xml:space="preserve">  The table below explains some of the elements in the first question.</t>
  </si>
  <si>
    <t>Category of changes</t>
  </si>
  <si>
    <t>When can permits be withdrawn by the competent authority?</t>
  </si>
  <si>
    <t>Please specify the situations in which permits can be withdrawn, e.g. as a sanction in the case of non-compliance, shutdown of the installation.</t>
  </si>
  <si>
    <t xml:space="preserve">Does a permit expire under national law? If yes, under what circumstances?  </t>
  </si>
  <si>
    <t>A permit can for example expire if the permit is only valid for a certain period of time. If such a situation is applicable, please indicate in what time the permit could expire. If there are other circumstances under which the permit expires, please state so.</t>
  </si>
  <si>
    <t xml:space="preserve">When is a permit changed as a result of an increase in capacity? </t>
  </si>
  <si>
    <t>For example, the permit is updated when the capacity has increased by a certain %.</t>
  </si>
  <si>
    <t>When is a permit changed as a result of a decrease in capacity?</t>
  </si>
  <si>
    <t>For example, the permit is updated when the capacity has decreased by a certain % or falls below a certain threshold.</t>
  </si>
  <si>
    <t>When is a permit changed as a result of changes to the monitoring plan?</t>
  </si>
  <si>
    <t>Please indicate if a permit is changed as a result of significant changes to the monitoring plan or if all changes to the monitoring plan lead to a permit update.</t>
  </si>
  <si>
    <t xml:space="preserve">Are there other types of permit updates? If yes, please provide details. </t>
  </si>
  <si>
    <t>Please specify other situations in which the permit is updated: for example a change of name of the operator, change of installation boundaries.</t>
  </si>
  <si>
    <t>5.</t>
  </si>
  <si>
    <t>Applications of the monitoring and reporting regulation</t>
  </si>
  <si>
    <t>5.A</t>
  </si>
  <si>
    <t>General</t>
  </si>
  <si>
    <t>5.1.</t>
  </si>
  <si>
    <t>Additional national legislation and guidance</t>
  </si>
  <si>
    <t xml:space="preserve">The MRR has direct effect in the Member States and must be directly applied by the parties addressed in the regulation. However, in some areas the MRR provides room for Member States to complement the Regulation with additional legislation. This question seeks to obtain an overview of such additional legislation. The question also asks Member States to outline whether, in addition to the guidance made available by the Commission, they have developed national specific guidance to assist operators, aircraft operators or competent authority staff to apply the requirements in a uniform manner. This could be Member State specific frequently asked questions (FAQs), national templates or specific exemplars, checklists or other material. </t>
  </si>
  <si>
    <t>The question should be answered for the report due by 30 June 2022. For subsequent reports, the question only needs to be answered if there have been changes during that reporting period.</t>
  </si>
  <si>
    <t xml:space="preserve">Please indicate the area to which any additional legislation relates and what the additional requirements consist of. </t>
  </si>
  <si>
    <t>Please indicate the area in the MRR to which any national guidance relates by referring to the respective article of the regulation and specifying the subject that the guidance addresses</t>
  </si>
  <si>
    <t>5.2.</t>
  </si>
  <si>
    <t>Measures taken to streamline reporting requirements with any existing reporting requirements</t>
  </si>
  <si>
    <t>This question seeks an overview of the measures that Member States have taken to streamline the EU ETS reporting requirements with other existing reporting mechanisms and how data is exchanged  between the competent authorities responsible for EU ETS and other government bodies or agencies responsible for different reporting obligations.</t>
  </si>
  <si>
    <t>Please answer yes or no under each item depending on which situation is applicable to your Member State. If an item is not applicable, please say that this is NA.</t>
  </si>
  <si>
    <t>The table below explains some of the elements in the question.</t>
  </si>
  <si>
    <t>Measures to streamline reporting</t>
  </si>
  <si>
    <t>Using EU ETS data for compiling the GHG inventory report</t>
  </si>
  <si>
    <t>In this situation, data in the EU ETS annual emission report is used to compile the UNFCCC GHG inventory report and to meet the requirements of the Monitoring Mechanism Regulation [*]</t>
  </si>
  <si>
    <t xml:space="preserve">Using EU ETS data in the emission report for comparative analysis with national energy balance  </t>
  </si>
  <si>
    <t xml:space="preserve">Data from different sources is often used by competent authorities responsible for other reporting mechanisms to carry out cross checks, plausibility checks or validation checks in order to obtain more accurate data. These questions aim to collect information on the extent to which EU ETS data are used for such purposes. </t>
  </si>
  <si>
    <t xml:space="preserve">Using EU ETS data in the emission report for plausibility and validation of E-PRTR data </t>
  </si>
  <si>
    <t>Using EU ETS data in the emission report for validation and quality assurance in GHG inventory reporting</t>
  </si>
  <si>
    <t>Online reporting portal or platform to report for various reporting mechanisms</t>
  </si>
  <si>
    <t xml:space="preserve">If this situation is applicable, please specify under comments what reporting mechanisms are covered by the portal or platform.  </t>
  </si>
  <si>
    <t>Structured coordination between E-PRTR, GHG inventory and EU ETS competent authorities</t>
  </si>
  <si>
    <t>If this situation is applicable, please specify under comments what type of structured coordination exists: e.g. structured information exchange between authorities, working groups or frequent meetings.</t>
  </si>
  <si>
    <t>Regulation (EU) No 525/2013 of the European Parliament and Council of 21 May 2013 on a mechanism for monitoring and reporting greenhouse gas emissions and for reporting other information at national and Union level relevant to climate change and repealing Decision No 280/2004/EC.</t>
  </si>
  <si>
    <t>5.3.</t>
  </si>
  <si>
    <t>Use of electronic templates and file formats</t>
  </si>
  <si>
    <t>In accordance with Article 74 of the MRR, Member States may require operators or aircraft operators to use electronic templates or specific file formats for the submission of monitoring plans, changes to the monitoring plan, annual emission reports, verification reports and improvement reports. Templates or file format specifications established by the Member States shall contain, at least, all of the information specified in corresponding publications by the Commission. This question first seeks an overview of Member States that use Commission templates for submission of monitoring plans, emission reports, verification reports or improvement reports. If such templates are not used or only partially used for certain documents, the second and third question have to be completed. The second question aims to collect information on whether Member State specific templates or file formats for IT systems have been developed and what additional elements Member States have added to these templates or IT systems. The third  question aims to gather information on what measures Member States have taken to implement and comply with the requirements in Article 74(1) and (2) of the MRR.</t>
  </si>
  <si>
    <t>If Commission templates are not used and Member State templates or file formats are not applied please state so in your response to this question.</t>
  </si>
  <si>
    <t>Please indicate under the second column of both tables whether your Member State has developed a Member State specific template or a specific file format. A translation of the Commission template should not be regarded as a Member State specific template or file format.</t>
  </si>
  <si>
    <t xml:space="preserve">Please specify under the third column of both tables whether your Member State’s specific template is the Commission template with some additional elements, or a different template or specific file format. Please also specify what elements have been added to your Member State’s template or IT system compared to the information contained in the Commission template. </t>
  </si>
  <si>
    <t>Please specify under the third question how you have ensured that the requirements of Article 74(1) and (2) of the MRR are complied with. Please also specify what standardised electronic reporting language or template is used.</t>
  </si>
  <si>
    <t>5.4.</t>
  </si>
  <si>
    <t>Use of automated systems (IT) for electronic data exchange</t>
  </si>
  <si>
    <t>This question seeks to obtain an overview of Member States that use an IT system for submitting monitoring plans, emission reports or other documents. It aims to gather information regarding what measures Member States have taken to implement and comply with the requirements in Article 75 of the MRR.</t>
  </si>
  <si>
    <t xml:space="preserve">This question only needs to be completed in detail if your Member State uses an IT system.
</t>
  </si>
  <si>
    <t xml:space="preserve">Please specify what measures have been taken to ensure integrity of data, confidentiality of data, authenticity of data and non-repudiation of data (application of Article 75(1) of the MRR). </t>
  </si>
  <si>
    <t>Please specify what measures have been taken to ensure compliance with the non-functional requirements specified in Article 75(2) of the MRR.</t>
  </si>
  <si>
    <t>5.B</t>
  </si>
  <si>
    <t>5.5.</t>
  </si>
  <si>
    <t xml:space="preserve">Fuel consumption and total emissions </t>
  </si>
  <si>
    <t>This question seeks to support the following:</t>
  </si>
  <si>
    <t xml:space="preserve">• assessing changes in the most important fuels used: over the years it will be possible to assess whether installations covered by the EU ETS change from fuels with higher CO2 emissions per unit of energy, to those with lower specific CO2 emissions;
• secondly, for allowing some checking of the consistency of emissions and fuel use between EU ETS and national inventories;
• comparing fuel use across the EU for the most important fuels. </t>
  </si>
  <si>
    <t xml:space="preserve">The question should be answered annually. </t>
  </si>
  <si>
    <t xml:space="preserve">Response to this question is not expected to include fuel used for non-combustion purposes (i.e. fuel used as process raw material). </t>
  </si>
  <si>
    <t xml:space="preserve">Please fill in the total fuel consumption and the total emissions for the fuels listed in the table. For “other fossil fuels”, please include all other fuels not covered by the specific fuels listed. Please note that details concerning biomass including biofuels, bioliquids and other biomass fuels (sustainable or unsustainable) are excluded from this question. But the fossil fractions of biomass fuels are to be included. </t>
  </si>
  <si>
    <t xml:space="preserve">The fuel consumption (in terms of energy content) as well as the emissions from the fuels can be collected from section 8 and 9 as well as from the accounting sheet of the Commission’s AER template. These can also be extracted from the ETS reporting tool. </t>
  </si>
  <si>
    <t>If operators of installations have reported emission factors expressed as tCO2/t or t/Nm3 and the carbon content of a material in a mass balance, a proxy value for the calorific value is not always provided in the annual emission reports. In those cases it may not be possible to extract the energy content of a particular fuel from the emission report. The competent authority may then estimate the energy content of the source streams used as fuels.</t>
  </si>
  <si>
    <t xml:space="preserve">For more information on what fuels are included within the specific fuel types, please see the table below.
</t>
  </si>
  <si>
    <t>Fuel type description</t>
  </si>
  <si>
    <t>This includes the following fuels</t>
  </si>
  <si>
    <t>Hard coal</t>
  </si>
  <si>
    <t>Anthracite, coking coal, other bituminous coals</t>
  </si>
  <si>
    <t>Lignite and sub-bituminous coal</t>
  </si>
  <si>
    <t>Coal briquettes and other low calorific coal derived products</t>
  </si>
  <si>
    <t>Peat</t>
  </si>
  <si>
    <t>Peat products</t>
  </si>
  <si>
    <t>Coke</t>
  </si>
  <si>
    <t>Coke oven coke, gas coke and lignite coke</t>
  </si>
  <si>
    <t>Natural gas</t>
  </si>
  <si>
    <t>Coke oven gas</t>
  </si>
  <si>
    <t>Blast furnace gas</t>
  </si>
  <si>
    <t>Oxygen steel furnace gas</t>
  </si>
  <si>
    <t>Refinery gas and other process derived gases</t>
  </si>
  <si>
    <t xml:space="preserve">Ethane, refinery gas, gas works gas and  chemical plant process gases
</t>
  </si>
  <si>
    <t xml:space="preserve">Fuel oil </t>
  </si>
  <si>
    <t>Heavy fuel oil, residual fuel oil</t>
  </si>
  <si>
    <t>Liquefied petroleum gas</t>
  </si>
  <si>
    <t>Petroleum coke</t>
  </si>
  <si>
    <t>Other fossil fuels</t>
  </si>
  <si>
    <t>Patent fuel, coal tar, oil shale and tar sands, natural gas liquids (NGL), naphtha: other kerosene, gas/diesel oil, white spirit, lubricants, bitumen, paraffin waxes, other petroleum products</t>
  </si>
  <si>
    <t>5.6.</t>
  </si>
  <si>
    <t>Aggregate total emissions for each reported IPCC Common Reporting Format (CRF) category</t>
  </si>
  <si>
    <t xml:space="preserve">Article 73 of the MRR requires operators to report emissions from their Annex I activities in accordance with, among other things, codes from the CRF for national greenhouse gas inventory systems (as approved by the respective bodies of the United Nations Framework Convention on Climate Change (UNFCCC)). </t>
  </si>
  <si>
    <t xml:space="preserve">The objective of this question is to assist Member States and the EU as a whole to improve the quality of data in the national inventories, as well as to enable the Commission to assess the data consistency between the EU ETS and the national inventories reported to the UNFCCC. </t>
  </si>
  <si>
    <t xml:space="preserve">It should be noted that data in response to this question aligns with Member State responsibilities to report proxy inventory data by 31st July, in accordance with Article 8(1) of the Monitoring Mechanism Regulation (MMR). </t>
  </si>
  <si>
    <t xml:space="preserve">Please compile and submit the data reported by operators in accordance with the IPCC CRF categories listed in section 6 of the annual emission report (AER) template provided by the Commission. IPCC CRF categories from the 2006 IPCC guidelines should be used. Please indicate the IPCC CRF category and, for each category, provide the total emissions, the combustion emissions and the process emissions. An example of how to complete the table accompanying this question is provided below (example 1). An example of how to assign the CRF categories and emissions is provided in text box 1 (example 2). </t>
  </si>
  <si>
    <t xml:space="preserve">The data needed for this question should be collected from the operator’s verified emission reports submitted to the competent authority. This data does not necessarily have to be equal to the data that is reported to the Commission in accordance with Article 7(1)(k) of the MMR (e.g. where the competent authority may have corrected data after 30 June as a result of checks performed on the emission reports). The data collected under this question therefore concerns preliminary data. </t>
  </si>
  <si>
    <t xml:space="preserve">Annex X of the MRR requires operators to report the emissions per source stream or emission source. This is reflected in section 8 of the Commission AER template for the calculation based methodology. For the measurement based methodology information per source stream can be extracted from the corroborating calculation in section 9 of the Commission AER template. The extracted information allows Member States to determine the process and combustion emission data in this question. Information can also be extracted from the ETS reporting tool. </t>
  </si>
  <si>
    <r>
      <rPr>
        <b/>
        <sz val="10"/>
        <color theme="1"/>
        <rFont val="Calibri"/>
        <family val="2"/>
        <scheme val="minor"/>
      </rPr>
      <t>Example 1</t>
    </r>
    <r>
      <rPr>
        <sz val="10"/>
        <color theme="1"/>
        <rFont val="Calibri"/>
        <family val="2"/>
        <scheme val="minor"/>
      </rPr>
      <t>: Joint reporting of energy and process related emissions in the iron and steel sector.</t>
    </r>
  </si>
  <si>
    <t>CRF Category (Energy)</t>
  </si>
  <si>
    <t>CRF Category 2 (Process emission)</t>
  </si>
  <si>
    <t xml:space="preserve">Total emissions t CO2(e)
</t>
  </si>
  <si>
    <t xml:space="preserve">Total combustion emissions (t CO2(e))
</t>
  </si>
  <si>
    <t xml:space="preserve">Total process emissions (t CO2(e))
</t>
  </si>
  <si>
    <t>1.A.2 Energy- iron and steel</t>
  </si>
  <si>
    <t>2.C.1 Process- Iron and steel production</t>
  </si>
  <si>
    <t>5,703,658</t>
  </si>
  <si>
    <t>2,548,658</t>
  </si>
  <si>
    <t>3,155,000</t>
  </si>
  <si>
    <r>
      <rPr>
        <b/>
        <sz val="10"/>
        <color theme="1"/>
        <rFont val="Calibri"/>
        <family val="2"/>
        <scheme val="minor"/>
      </rPr>
      <t>Textbox 1: Example of how emissions can be assigned to CRF categories (Example 2)</t>
    </r>
    <r>
      <rPr>
        <sz val="10"/>
        <color theme="1"/>
        <rFont val="Calibri"/>
        <family val="2"/>
        <scheme val="minor"/>
      </rPr>
      <t xml:space="preserve">
Some MS have developed a method for assigning emissions to CRF energy and process categories. Several information sources from the operator are used to assign the energy or process CRF category code to source streams (fuel and material flows) and to determine the total combustion and process emissions. This includes the following source stream information from the operator: 
</t>
    </r>
  </si>
  <si>
    <t xml:space="preserve">• information on the Annex I activity as listed in section 6 of the emission report template;
• the source stream type according to Annex II Table 1 of the MRR; 
• the methodology for calculating emissions for the created source stream according to Article 24 or 25 of the MRR (combustion emissions, process emissions and mass balance emissions);
• information as to whether the source stream was used as a fuel or not. 
</t>
  </si>
  <si>
    <t xml:space="preserve">Inventory experts are consulted to manually assign some material flows to CRF categories that could not be assigned following the aforementioned approach. For example in one MS, the CRF categories 1A2f and 2B8 are divided into several subcategories (e.g. cement "1A2f(b)", production of carbon black "2B8f"). This categorization is not available in EIONET, so CRF categories 1A2f(a) to 1A2f(d) are grouped under 1A2f and 2B8a to 2B8g under 2B8. 
</t>
  </si>
  <si>
    <t>5.7.</t>
  </si>
  <si>
    <t>Use of default values for calculation factors</t>
  </si>
  <si>
    <t xml:space="preserve">This question seeks an overview of how the requirements in Article 31(1) of the MRR are applied and to what extent default values are used to calculate emissions. </t>
  </si>
  <si>
    <t xml:space="preserve">The data can be collected from the monitoring plan (sections 7d and 8 of the Commission monitoring plan template). Information can also be extracted from the ETS reporting tool. </t>
  </si>
  <si>
    <t>5.8.</t>
  </si>
  <si>
    <t>Application of frequency of analysis</t>
  </si>
  <si>
    <t>This question seeks insight into the number of installations for which the competent authority has allowed a different frequency than the frequency listed in Annex VII of the MRR because of unreasonable costs. This question relates to the application of Article 35(2) (b) of the MRR only: the application of the 1/3 uncertainty rule in Article 35(2) (a) of the MRR is not covered in this question.</t>
  </si>
  <si>
    <t xml:space="preserve">Information on the analysis frequency applied can be generated from the monitoring plan (section 8g of the Commission monitoring plan template). The frequency needs to be compared against the analysis frequencies listed in Annex VII of the MRR. Information can be extracted from the ETS reporting tool. </t>
  </si>
  <si>
    <t>Please provide in the third column of the table, for each type of fuel or material, the number of major source streams for which a different analysis frequency in accordance with Article 35(2) (b) of the MRR is applied. In the interest of proportional approach, analogous information concerning minor source streams is not called for here.</t>
  </si>
  <si>
    <t>5.9.</t>
  </si>
  <si>
    <t>Application of tier approaches by category C installations</t>
  </si>
  <si>
    <t>This question seeks an overview of category C installations that are not meeting the highest tier required by Articles 26 and 41 of the MRR. This carries on notification to the Commission of category C installations not in compliance with the highest tier. The provision of this information enables EU-wide trend analysis of:</t>
  </si>
  <si>
    <t xml:space="preserve">• the types of installation involved
• monitoring parameters mostly affected 
• tiers applied in practice. In addition, this information will help harmonise the application of the highest tiers across the EU in relation to the largest EU ETS emitters.
</t>
  </si>
  <si>
    <t xml:space="preserve">The information can be collected from the monitoring plans (sections 8 and 9 of the Commission monitoring plan template, section 8 and 9 of the Commission AER template). Information can also be extracted from the ETS reporting tool. </t>
  </si>
  <si>
    <t xml:space="preserve">Please select the affected source streams under the calculation based and measurement based methodology. Please use the source stream list used by operators in the monitoring plans and emission reports. Only major source streams need to be included in this table. In the case of continuous emission measurement (CEMS) only emission sources emitting more than 5000 t CO2, or contributing more than 10% of the total annual emissions of the installation (Article 41(1) of the MRR) per year have to be included in this table. </t>
  </si>
  <si>
    <t xml:space="preserve">If more than one monitoring parameter or more than one source stream is affected within an installation, please provide a separate row for each source stream or monitoring parameter. </t>
  </si>
  <si>
    <t>Please provide the installation identification code (the code recognised in accordance with Regulation (EU) No 2019/1122) for all rows. Where due to special circumstances involving confidentiality a Member State is unable to reveal the installation identification code, a more anonymous code may be entered to represent the identity of the individual installation involved, as long as the correlation to the actual installation identification code is clearly and accurately indicated to the Commission in a separate written communication.</t>
  </si>
  <si>
    <t>5.10.</t>
  </si>
  <si>
    <t>Application of tiers by category B installations</t>
  </si>
  <si>
    <t>This question seeks an overview of category B installations that are not meeting the highest tier in accordance with Articles 26 and 41 of the MRR because of unreasonable costs or technical infeasibility. This information is asked for on an aggregated level (i.e. not installation specific).</t>
  </si>
  <si>
    <t>Please select the monitoring methodology and main Annex I activity concerned and indicate the number of category B installations affected. A distinction should be made between the calculation based and measurement based methodology.</t>
  </si>
  <si>
    <t xml:space="preserve">The information can be collected from the monitoring plans (sections 8 and 9 of the Commission monitoring plan template and sections 8 and 9 of the Commission AER template). The information can also be extracted from the ETS reporting tool. </t>
  </si>
  <si>
    <t>5.11.</t>
  </si>
  <si>
    <t>Installations applying the fall back approach</t>
  </si>
  <si>
    <t>This question seeks an overview of installations applying the fall-back approach in accordance with Article 22 of the MRR. Only in rare cases and under strict conditions should the application of the fall-back approach be allowed by the competent authority. It is therefore important to understand where the fall-back approach has been applied in a Member State and for what reasons. Information on the parameter for which at least tier 1 was not met, and the estimated emissions affected by the parameter, provides insight into the circumstances which led to the application and approval of a fall-back approach.</t>
  </si>
  <si>
    <t>The information can be collected from the monitoring plan (section 12 in the Commission monitoring plan template and section 10 of the Commission AER Template). The reasons for applying the fall-back approach can be compiled from section 12b of the Commission monitoring plan template. The information can also be extracted from the ETS reporting tool.</t>
  </si>
  <si>
    <t>Please select the reason for applying the fall-back approach and the parameter af-fected. For more information on the reasons for applying a fall-back approach please see section 4.3.4 in the MRR Guidance Document No. 1 (for installations).</t>
  </si>
  <si>
    <t xml:space="preserve">In the last column, please estimate the total emissions affected by the parameter for the source stream or emission source that cannot meet tier 1. The parameters for calculation based methodology and measurement based methodology are listed in the drop down box menu. In the case of a measurement based methodology, the parameter is the annual average hourly emissions. </t>
  </si>
  <si>
    <t xml:space="preserve">If, for several parameters within an installation, tier 1 cannot be achieved, please provide a separate row for each parameter. </t>
  </si>
  <si>
    <t>5.12.</t>
  </si>
  <si>
    <t>Improvement reports</t>
  </si>
  <si>
    <t>This question seeks an overview of the number of times that a particular type of improvement report must be submitted, in accordance with Article 69 of the MRR, and the number of times that the improvement report was submitted in practice. This enables analysis of how the MRR requirement on improvement reports is applied over time across EU. The question concerns improvement reports submitted in the previous reporting period, not the actual reporting period.</t>
  </si>
  <si>
    <t xml:space="preserve">The question should be answered annually. As the question relates to the previous reporting period, i.e. the Article 21 report due by 30 June of 2022 includes information on improvement reports submitted in 2021. 
</t>
  </si>
  <si>
    <t xml:space="preserve">Please select the type of improvement report. It is important to analyse whether an improvement report was submitted because of: tiers not being met, application of the fall-back approach or as a result of verifier’s comments (non-conformities and recommendations for improvements). Therefore the question asks for information related to the different types of improvement reports. This information can be collected from the submitted improvement reports themselves. </t>
  </si>
  <si>
    <t>Please indicate, in the last two columns, the number of installations required to submit an improvement report in accordance with Article 69 of the MRR, as well as the number of installations that actually submitted such a report. For more guidance on when an improvement report must be submitted, please see section 5.7 of the MRR Guidance Document No. 1 (for installations).</t>
  </si>
  <si>
    <t xml:space="preserve">Information on whether an improvement report was required in a particular case can be collected from section 8 and 9 of the Commission monitoring plan template (deviation from the required tier) and the Annex I of the Commission Verification Report Template. The information can also be extracted from the ETS reporting tool. </t>
  </si>
  <si>
    <t>5.13.</t>
  </si>
  <si>
    <t>Transfer of inherent CO2 and pure CO2,and transfer of N2O</t>
  </si>
  <si>
    <t>Article 48 and 49 of the MRR allows operators to transfer inherent CO2 and transferred CO2 respectively, but only under strict conditions. Article 50 of the MRR includes requirements on the transfer of N2O. The question seeks an overview of the following types of transfers that occurred in the reporting period:</t>
  </si>
  <si>
    <t xml:space="preserve">• The transfer of inherent CO2
• The transfer of CO2 for carbon capture and storage
• The transfer of CO2 that is used to produce precipitated calcium carbonate in which the CO2 is chemically bound
• The transfer of N2O in accordance with Article 50 of the MRR
</t>
  </si>
  <si>
    <t>For these types of transfer the magnitude of inherent and transferred CO2 as well as transferred N2O must be provided.</t>
  </si>
  <si>
    <t xml:space="preserve">Information on the party transferring and receiving the inherent or transferred CO2 or N2O is essential to assess whether the requirements in Article 48, 49 and 50 of the MRR have been met. Transferred CO2 can only be subtracted if it concerns a transfer to a capture installation, a transport network or to a storage site for the permanent geological storage of CO2, or if it is chemically bound in PCC. Inherent CO2 is related to a fuel and shall be taken into account in the emission factor of that source stream of the EU ETS installation that receives the inherent CO2[*].  The question therefore requests information on the transferring and on the receiving party. </t>
  </si>
  <si>
    <t>Unless the receiving party is not an EU ETS installation. In those cases the transfer of inherent CO2 shall be counted as emissions of the installation where it originates.</t>
  </si>
  <si>
    <t xml:space="preserve">Information on these elements can be extracted from the emission report (section 9 and tab I (summary) and the accounting sheet of the Commission AER template). The information can also be extracted from the ETS reporting tool. </t>
  </si>
  <si>
    <t xml:space="preserve">The emissions of transferred CO2 may only be deducted under certain conditions (please see section 8.3.1,8.3.2 and 8.3.3 of the MRR Guidance Document No. 1  for installations). To assess whether Article 48, 49 and 50 of the MRR have been applied correctly and to cross-check the information provided in the table, the CO2 or N2O transferred and the inherent CO2 received must be completed. </t>
  </si>
  <si>
    <t>Where due to special circumstances involving confidentiality a Member State is unable to reveal the installation identification code, a more anonymous code may be entered to represent the identity of the individual installation involved, as long as the correlation to the actual installation identification code is clearly and accurately indicated to the Commission in a separate written communication.</t>
  </si>
  <si>
    <t>5.14.</t>
  </si>
  <si>
    <t xml:space="preserve">Application of Continuous Emission Monitoring Systems (CEMS) </t>
  </si>
  <si>
    <t>This question seeks data to support an assessment of whether the number of installations applying CEMS is increasing due to the new requirements on CEMS in the MRR. The information is asked for at an installation level to allow for comparison with previous years. This is important in relation to discussions in the international context, i.e. linking with systems that use CEMS as the main methodology for quantifying industrial CO2 emissions, as well as to provide information on how CEMS are being used within Member States.</t>
  </si>
  <si>
    <t>The information requested can be extracted from the emission report (section 9 and the Accounting Sheet of the Commission AER template). The information can also be extracted from the ETS reporting tool.</t>
  </si>
  <si>
    <t>5.15.</t>
  </si>
  <si>
    <t>Biomass</t>
  </si>
  <si>
    <t xml:space="preserve">The MRR contains specific requirements on biomass. It is important for the Commission to assess how these requirements are being applied, and to evaluate how much sustainable and non-sustainable biomass is used in installations covered by the EU ETS. For more guidance on the requirements on biomass, please see the MRR Guidance Document No. 3 (on biomass).
</t>
  </si>
  <si>
    <t xml:space="preserve">The first question containing the table should be answered annually. The second question should be answered for the report due by 30 June 2022. For subsequent reports, the second question only needs to be answered if there have been changes during that reporting period. 
</t>
  </si>
  <si>
    <t xml:space="preserve">The information requested can be extracted from the emission report (the summary tab I and accounting sheet in the Commission AER template). </t>
  </si>
  <si>
    <t xml:space="preserve">Emissions from biomass can be zero-rated if no sustainability criteria or GHG emission savings criteria apply or, if these criteria apply and are complied with. The actual emissions from biomass are automatically reported in the Commission template for emissions reporting (see section 8 and the summary tab I and accounting sheet in the Commission AER template). In short, entry of the preliminary emission factor automatically leads to calculation of actual emissions from zero-rated biomass. This allows Member States to collect the necessary data for completing the fourth column of the table. The emissions should include not only emissions from mixed biomass but also emissions from exclusive (100%) biomass source streams[*] to provide a complete overview of all biomass. If the emissions from exclusive (100%) biomass cannot be provided based on the operator’s emission reports, the competent authority should estimate the emissions from exclusive biomass by for example using a preliminary emission factor. </t>
  </si>
  <si>
    <t>In the fifth column of the table, please provide the emissions from biomass to which sustainability or GHG savings criteria apply but have not been met. These emissions can be extracted from the Commission AER template (see section 8 and the summary tab I and accounting sheet in the Commission AER template).</t>
  </si>
  <si>
    <t>In the sixth column, please specify the total fossil emissions from installations using biomass. This allows a calculation of the % of biomass in the total emissions of installations using biomass. Please fill in emissions that were reported as fossil in the emission report (see section 8 and the summary tab I and accounting sheet in the Commission AER template). This includes emissions from pure fossil fuel or material and emissions from biomass that cannot be zero-rated and is treated as fossil (non-sustainable biomass not meeting the sustainable and GHG savings criteria).</t>
  </si>
  <si>
    <t>Information on the energy content of biomass is important to check the quality of the data. The seventh to ninth columns of the table therefore ask for information on the energy content of the zero-rated and non-zero-rated biomass as well as the fossil energy consumed for those installations.</t>
  </si>
  <si>
    <t>Information on zero-rated and non-zero-rated biomass emissions, fossil emissions  and the energy content (fossil and biomass) can be collected from the summary tab I and the accounting sheet in the Commission AER template. The information can also be extracted from the ETS reporting tool.</t>
  </si>
  <si>
    <t>Please describe in the second part of the question what methods are generally used to demonstrate compliance with sustainability criteria or GHG emissions savings criteria (according to national systems, Commission recognised voluntary schemes  or based on audited evidence and GHG calculations provided by the operators) If national systems are used, please describe the main elements of these systems.</t>
  </si>
  <si>
    <t>Exclusive biomass as referred to in Article 38(1) of the MRR</t>
  </si>
  <si>
    <t>5.16.</t>
  </si>
  <si>
    <t>Total quantity of waste used as fuel or input material per waste type</t>
  </si>
  <si>
    <t xml:space="preserve">The question seeks to collect information on the emissions from waste used as fuel or input material in EU ETS installations. If accurate data cannot be obtained from the emission reports, an estimate of the amount of emissions from waste can be made. </t>
  </si>
  <si>
    <t xml:space="preserve">Only the total emissions from waste have to be provided. The information does not have to be reported per waste type. </t>
  </si>
  <si>
    <t xml:space="preserve">The information requested can be collected from the emission report (section 8 and the Accounting Sheet of the Commission AER template). The information can also be extracted from the ETS reporting tool. </t>
  </si>
  <si>
    <t xml:space="preserve">Not all operators may have filled in the waste catalogue number for waste source streams in section 8 of the Commission AER template. If that is the case, Member States can estimate the emissions from waste used in EU ETS installations The following information sources can help in the estimation of  emissions from waste used by EU ETS installations: </t>
  </si>
  <si>
    <t xml:space="preserve">• The monitoring plan and emission report can indicate when fuel or material streams are waste. Information can be extracted from these documents and from the ETS reporting tool.
• If there are interpretation problems, the Commission’s list of waste classification codes [*] can give an indication which source streams can be regarded as waste [**] under the Waste Framework Directive. 
• Information in the monitoring methodology plans, baseline data reports and annual activity level data can help determine the use of waste in EU ETS.
• E-PRTR and Industrial Emission Directive reports include information on waste in industrial installations. However, the boundaries of installations reporting under E-PRTR or IED Directive can be different from EU ETS installations. </t>
  </si>
  <si>
    <t>Commission Decision of 3 May 2000 replacing Decision 94/3/EC establishing a list of wastes pursuant to Article 1(a) of Council Directive 75/442/EEC on waste and Council Decision 94/904/EC establishing a list of hazardous waste pursuant to Article 1(4) of Council Directive 91/689/EEC on hazardous waste.</t>
  </si>
  <si>
    <t>Any substance or object, which the holder discards or intends or is required to discard.</t>
  </si>
  <si>
    <t>5.17.</t>
  </si>
  <si>
    <t>Simplified monitoring plans and risk assessment</t>
  </si>
  <si>
    <t>Article 13(2) of the MRR requires the competent authority or the operator to carry out a simplified risk assessment before any simplified monitoring plan is approved. This question seeks to understand the number of times that a simplified approach has been allowed under Article 13(2) in your Member State and the principles on which the simplified risk assessment is based. This information can give insight into the functioning of this article, especially in relation to small installations.</t>
  </si>
  <si>
    <t>In the first column of the table, please select what type of risk assessment was carried out. In the second column, please specify the principles on which the risk assessment was based, including: whether the inherent and control risks were assessed, what method and principles were used to assess those risks, to what extent the Commission Guidance on operator’s risk assessment has been used to carry out the risk assessment, or other approaches (please specify).</t>
  </si>
  <si>
    <t>5.C</t>
  </si>
  <si>
    <t>5.18.</t>
  </si>
  <si>
    <t>Fuel consumption by aircraft operators</t>
  </si>
  <si>
    <t>This question seeks an overview of the aircraft operators that are using either Method A, Method B or Method A and B to determine fuel consumption, and also the share that small emitters represent in the total number of aircraft operators applying either method (or both). The aim is to assess which method is used the most by aircraft operators, and to gather information on the number of small emitters applying the normal methodology to determine fuel consumption instead of the simplified methodology allowed under Article 55(2) of the MRR.</t>
  </si>
  <si>
    <t>The share of small emitters should be reported as a percentage (%) of the total number.</t>
  </si>
  <si>
    <t xml:space="preserve">The information can be collected from section 7 of the Commission monitoring plan template for aviation emissions. 
</t>
  </si>
  <si>
    <t>5.19.</t>
  </si>
  <si>
    <t>Aggregated total aviation emissions</t>
  </si>
  <si>
    <t>The scope of EU ETS has changed over the last years because of the introduction of Carbon Offsetting and Reduction Scheme for International Aviation (CORSIA) in the EU and the agreement for linking the Swiss and EU emission trading systems [*]. Section 3.1 of the MRR Guidance 2 on aviation provides further information on the scope of EU ETS and the impact CORSIA and Swiss Linking had on this scope. With the implementation of CORSIA in the EU and Swiss Linking it is important to analyse both the aggregated emissions covered by EU ETS and the emissions covered by CORSIA and the Swiss ETS. This question seeks an overview of:</t>
  </si>
  <si>
    <t>• the total aggregate emissions of all EU ETS flights and domestic EU ETS flights carried out by aircraft operators in the reporting period for which your Member State is the administering Member State. The information is requested on an aggregate level and does not have to be completed per route. 
• the total aggregate emissions of all CORSIA flights carried out by aircraft operators in the reporting period for which your Member State is the administering Member State.
• the total aggregate emissions subject to offset requirements under CORSIA. Only flights between two countries participating in CORSIA are subject to offset requirements.  
• the total aggregated  emissions of all Swiss ETS flights carried out by aircraft operators in the reporting period for which your Member State is the administering Member State.</t>
  </si>
  <si>
    <t>Article 2(3) of Commission Delegated Regulation (EU) 2019/1603 allows aircraft operators to voluntarily report on flights that are carried out between two third countries. The second question asks the number of aircraft operators that reported such flights. This will give insight how Article 2(3) has been implemented by Member States.</t>
  </si>
  <si>
    <t>The linking agreement was ratified in December 2019: https://eur-lex.europa.eu/legal-content/EN/TXT/?uri=CELEX%3A22017A1207%2801%29.</t>
  </si>
  <si>
    <t>Please use the information from the emission reports to aggregate the total emissions of all flights and the emissions for domestic flights (section 8a of the Commission Aviation AER template). Please note that the information on emissions from domestic flights cannot be extracted from the EU ETS support facility.</t>
  </si>
  <si>
    <t>Information on the emissions from CORSIA flights and emissions from flights that fall under the CORSIA offset requirements can be collected from section 12 of the Commission Aviation AER template. Information on emissions subject to Swiss ETS can be collected from section 5 and 8b of the Commission Aviation AER template.</t>
  </si>
  <si>
    <t>5.20.</t>
  </si>
  <si>
    <t>Biofuels</t>
  </si>
  <si>
    <t>The MRR contains specific requirements on biomass, including Article 54 of the MRR. Biofuels are an important issue for the aviation industry, with view to reducing fossil CO2 emissions. It is therefore essential for the Commission and Member States to assess how the requirements on the use of biofuels are being applied, how effective they are, how the situation on the use of biofuels develops over the years, and how much sustainable and non-sustainable biofuels are being used by aircraft operators under EU ETS. For more guidance on the new requirements on biofuels and biomass please see the MRR Guidance Document No.3 on biomass.</t>
  </si>
  <si>
    <t xml:space="preserve">The information requested can be extracted from the emission report (section 5 in the Commission Aviation AER template). </t>
  </si>
  <si>
    <t xml:space="preserve">The emissions from biofuels can be zero-rated if the applicable sustainability or greenhouse savings criteria are complied with. The actual emissions from bio-mass are automatically reported in the Commission AER template for emission reporting (see section 5 in the Commission Aviation AER template). In short, entry of the preliminary emission factor automatically leads to calculation of actual emissions from zero-rated biomass. This allows Member States to collect the necessary data for completing the second column. The emissions should include emissions from mixed biomass as well as emissions from exclusive (100%) biomass source streams to provide a complete overview of all biomass. If the emissions from exclusive (100%) biomass cannot be provided based on the aircraft operator’s emission reports, the competent authority should estimate the emissions from exclusive biomass by for example using a preliminary emission factor. </t>
  </si>
  <si>
    <t>In the third column of the table, please provide the emissions from biofuels where the sustainability or greenhouse savings criteria have not been met. Please include the emissions that are reported in the emission report as emissions from non-sustainable biomass.</t>
  </si>
  <si>
    <t>5.21.</t>
  </si>
  <si>
    <t>Use of the Small Emitters Tool (SET) by aircraft operators</t>
  </si>
  <si>
    <t>The question seeks an overview of the extent to which the SET and the EU ETS Support Facility is used in the monitoring and reporting of aircraft operators’ emissions. Information is requested on:</t>
  </si>
  <si>
    <t xml:space="preserve">• the number of small emitters using the SET tool;
• the number of aircraft operators below 25000 tonnes of CO2 or aircraft operators having total emissions of less than 3000 tonnes of CO2 whose emission reports are generated from the EU ETS support facility independently from any input of the aircraft operator. The emissions of those aircraft operators are considered verified in that case. Section 6 of Guidance Document III on verification of EU ETS aviation provides information on the application of the thresholds and what requirements those aircraft operators have to meet;
• the number of aircraft operators using an alternative method to determine the emissions of missing flights;
• the number of aircraft operators using the small emitters tool to determine the emissions of missing flights in accordance with Article 66(2) of Implementing Regulation (EU) 2018/2066.
</t>
  </si>
  <si>
    <t xml:space="preserve">The information can be collected through the monitoring plan and the emission report (sections 10 and 11 of the Commission Aviation monitoring plan template and sections 6 and 7 of the Commission Aviation AER template). </t>
  </si>
  <si>
    <t>5.22.</t>
  </si>
  <si>
    <t>Improvement reports for aircraft operators</t>
  </si>
  <si>
    <t>The question seeks an overview of the number of times a particular type of improvement report was required in accordance with Article 69 of the MRR, and the number of times such a report was submitted in practice. It enables analysis of how the MRR requirement on improvement reports is applied over time and across EU. The question relates to improvement reports submitted in the previous reporting period.</t>
  </si>
  <si>
    <t xml:space="preserve">The question should be answered annually. As the question relates to the previous reporting period, the Article 21 report due by 30 June of 2022 includes information on improvement reports submitted in 2021. </t>
  </si>
  <si>
    <t>In the two columns, please indicate the number of aircraft operators required to submit an improvement report in accordance with Article 69 of the MRR and the number of aircraft operators that submitted such a report in practice. For more guidance on when an improvement report must be submitted, please see section 6.6 of the MRR Guidance Document No. 2 for aircraft operators.</t>
  </si>
  <si>
    <t xml:space="preserve">Information on whether an improvement report was required in a particular case can be collected from Annex I of the Commission Verification Report Template. The information can also be extracted from the ETS reporting tool. </t>
  </si>
  <si>
    <t>5.23.</t>
  </si>
  <si>
    <t xml:space="preserve">Simplified monitoring plans and risk assessment for aircraft operators </t>
  </si>
  <si>
    <t>Article 13(2) of the MRR requires the competent authority or the aircraft operator to carry out a simplified risk assessment before any simplified monitoring plan is approved. This question seeks to understand the number of times a simplified approach has been allowed under Article 13(2) in your Member State and the principles on which the simplified risk assessment is based. This information can give insight into the functioning of this article especially in relation to small emitters.</t>
  </si>
  <si>
    <t>In the first column of the table, please select what type of risk assessment was carried out. In the second column, please specify the principles on which the risk assessment was based, including: whether inherent and control risks were assessed, what method and principles were used to assess those risks, to what extent the Commission Guidance on aircraft operator’s risk assessment was used to carry out the risk assessment), or other approaches (please specify).</t>
  </si>
  <si>
    <t>6.</t>
  </si>
  <si>
    <t>Arrangements for verification and accreditation</t>
  </si>
  <si>
    <t>6.A</t>
  </si>
  <si>
    <t>6.1.</t>
  </si>
  <si>
    <t>Number of verifiers accredited or certified</t>
  </si>
  <si>
    <t xml:space="preserve">The questions in the first table seek an overview of the total number of verifiers accredited by a national accreditation body in your Member State. If a Member State  applies certification, information has to be provided on the total number of verifiers certified in a Member State. 
</t>
  </si>
  <si>
    <t>To obtain a complete overview on verifier’s capacity the question also aims to collect information on the total number of foreign verifiers operating in your Member State: these are verifiers that are accredited in another Member State but that are carrying out verification in your Member State.</t>
  </si>
  <si>
    <t>In the second table a Member State is asked to provide information on the total number of verifiers against a particular accreditation scope. This allows for an analysis of the availability and capacity of verifiers in each scope. The scopes relevant for installations and aviation are covered under this question.</t>
  </si>
  <si>
    <t>In the first row of the first table please specify the number of verifiers accredited by the national accreditation body in your country. In the third row please indicate the number of verifiers accredited in another Member State but operating in your Member State (foreign verifiers). If the foreign verifiers originate from several Member States, please specify those in the appropriate box.</t>
  </si>
  <si>
    <t xml:space="preserve">The list in the second table provides a summarised description of the different scopes of accreditation; please see Annex I of the AVR for a complete description of the scopes. </t>
  </si>
  <si>
    <t>Please note that verifiers can be accredited or certified against multiple scopes; in those cases the verifier must be included for each scope it is accredited or certified against.</t>
  </si>
  <si>
    <t>6.2.</t>
  </si>
  <si>
    <t>Application of information exchange requirements</t>
  </si>
  <si>
    <t xml:space="preserve">The AVR contains specific information exchange requirements that are both important within a given Member State, as well as being relevant for the information exchange between the competent authority and NABs/NCAs of different Member States. This question aims to provide an overview on how these information exchange requirements are being applied, and what issues consistently arise in practice, e.g. verifier complaints and non-conformities. This includes information on the number of administrative measures imposed on verifiers that are accredited or certified by your Member State. </t>
  </si>
  <si>
    <t xml:space="preserve">Under “administrative measures”, please indicate the number of verifiers that were suspended, whose accreditation certificate was withdrawn or for which the scope of accreditation has been reduced. </t>
  </si>
  <si>
    <t>The rows related to certification only have to be completed by Member States that have set up a certification system in accordance with Article 55(2) of the AVR.</t>
  </si>
  <si>
    <t xml:space="preserve">Please specify the number of complaints made on accredited verifiers and the number of complaints that were resolved. If these resolved complaints originated from the prior reporting period please fill in the number of these resolved complaints in the fourth column. This will allow an analysis on how complaints on verifiers are followed-up. The same approach should be followed for verifier non-conformities. </t>
  </si>
  <si>
    <t>6.B</t>
  </si>
  <si>
    <t>6.3.</t>
  </si>
  <si>
    <t>Conservative estimation of emissions</t>
  </si>
  <si>
    <t>Article 70 of the MRR contains specific requirements on when the competent authority must conservatively estimate emissions. This question seeks to provide an overview of the reasons for conservatively estimating the emissions, taking into account the requirements in Article 27 of the AVR on the type of verification opinion statements. Information on emission reports that are not satisfactory, emission reports that are not submitted, or emission reports that are not in line with the MRR is essential for the proper functioning of the market. Furthermore, information on how the conservative estimation is carried out by the competent authority supports the development of good practice and harmonised approaches on conservative estimation. To give an overview of the total number of negative verification opinion statements and number of emission reports that were not submitted by the required deadline and to enable an analysis of the share receiving conservative estimation the second part of the question requests information on the number of installations that received a negative verification opinion statement or that had not submitted a verified emission report by the required deadline.</t>
  </si>
  <si>
    <t xml:space="preserve">For more guidance on the type of negative verification opinion statements, please see section 3.2.13 of the Commission guidance, i.e. the Explanatory Guidance on Verification and Accreditation (EGD I). </t>
  </si>
  <si>
    <t xml:space="preserve">Only situations that led to a conservative estimation of emissions by the competent authority must be reported under the first part of this question. Positively verified emission reports that have not led to a conservative estimation because the verified data is used, do not have to be listed in this first table. 
</t>
  </si>
  <si>
    <t>Please provide the information as far as it is known at the time the Article 21 report is due. Where a final or complete assessment is not possible, for example concerning the percentage of emissions affected by a conservative estimate, please provide a best estimate.</t>
  </si>
  <si>
    <t xml:space="preserve">In some cases, the total amount of emissions will not (or not entirely) be conservatively estimated by the competent authority. For example, where most of the emission data in the verified emission report are accurate, or where the competent authority has identified a data gap that needs to be corrected while the other data are accurate. For that reason, Member States are required to fill out the share in percentage (%) of the emissions that are conservatively estimated. This percentage does not have to be precise and an estimate will suffice. </t>
  </si>
  <si>
    <t xml:space="preserve">Concerning the method used for conservative estimation, please specify the method in general terms. For example, whether the method is based on estimation by percentage, whether the Commission Guidance on conservative estimation of emissions by the competent authority is used, or another method is used. </t>
  </si>
  <si>
    <t>Please provide the installation identification code (the code recognised in ac-cordance with Regulation (EU) No 2019/1122) for all rows. Where due to special circumstances involving confidentiality a Member State is unable to reveal the installation identification code, a more anonymous code may be entered to represent the identity of the individual installation involved, as long as the correlation to the actual installation identification code is clearly and accurately indicated to the Commission in a separate written communication.</t>
  </si>
  <si>
    <t>Please select in the second part of the question the number of installations which did not submit a verified emission report by  31 March or which received a particular type of negative verification opinion statement (limitation of scope, material misstatement, non-conformities that provide insufficient clarity and prevent the verifier from stating that the emission report is free from material misstatement).</t>
  </si>
  <si>
    <t>Information can be found from the competent authority’s record on submission of reports and in the verification opinion statement of the Commission verification report template. The information can also be extracted from the ETS reporting tool.</t>
  </si>
  <si>
    <t>6.4.</t>
  </si>
  <si>
    <t>Non-material misstatements and non-conformities, non-compliance with the MRR and recommendations for improvements</t>
  </si>
  <si>
    <t>Article 27 of the AVR requires the verifier to report any identified and outstanding non-material misstatements, non-conformities, non-compliance issues and recommendations for improvement in the verification report. This question seeks an over-view of the number of installations for which such issues are reported. It gives insight into the application of Article 27 of the AVR and the share of emission reports that have led to conservative estimations of emissions in the case of non-material misstatements (the application of Article 70(2) of the MRR).</t>
  </si>
  <si>
    <t xml:space="preserve">Please select the relevant type of issue found and list the number of installations for which a type of issue was reported in the verification report as well as the number of issues (non-material misstatements, non-conformities, non-compliance and recommendations of improvements). The non-conformities concern those that do not have a material impact and have not led to a negative verification opinion statement (please see section 3.2.13 EGD I for more information). </t>
  </si>
  <si>
    <t>Only outstanding and unresolved issues listed in the verification report must be reported. Information can be extracted from Annex I and the accounting sheet of the Commission verification report template. The information can also be extracted from the ETS reporting tool.</t>
  </si>
  <si>
    <t>The last column in the table asks for the share of emission reports that have been conservatively estimated by the competent authority, as a result of the issue reported in the verification report. This request is relevant in particular for situations in which non-material misstatements have led to a conservative estimation in accordance with Article 70(2) of the MRR.</t>
  </si>
  <si>
    <t>6.5.</t>
  </si>
  <si>
    <t xml:space="preserve">Checks on emission reports and verification reports </t>
  </si>
  <si>
    <t>The question seeks information on the checks that competent authorities carried out on the emission and verification reports. Checks by the competent authority on the emission reports and verification reports are an additional quality control measure to improve the overall quality of the emission and verification reports. In addition, these checks provide to the competent authority an indication of the quality of specific verifiers.</t>
  </si>
  <si>
    <t xml:space="preserve">If the process for the assessment of emission reports and verification reports has not yet been completed fully for the reporting period, please provide best estimates based on the reports that have been assessed, and on the experiences from the previous year. If the answer is based on an estimate, please indicate this clearly. </t>
  </si>
  <si>
    <t>If a Member State does not perform checks of the emission reports or verification reports, please answer 0% or not applicable.</t>
  </si>
  <si>
    <t>6.6.</t>
  </si>
  <si>
    <t>Waive of site visits for installations</t>
  </si>
  <si>
    <t xml:space="preserve">Article 31 of the AVR allows operators to submit an application to the competent authority to waive a verifier’s site visit during the verification. Waiving a site visit is only possible under strict conditions: a key prerequisite is that the verifier’s risk analysis must allow such a waiver. The first question seeks an overview on the number of times a site visit has been waived under one of the following particular criteria listed in Article 32 of the AVR: </t>
  </si>
  <si>
    <t xml:space="preserve">• Condition I: category A or B installation using one single source stream consisting of natural gas and/ or one or more de-minimis source streams[*] ; 
• Condition II: category A or B installation using one single source stream consisting of fuel without process emissions whereby the fuel is directly combusted in the installation without intermediate storage and involving one or more additional de-minimis source streams that aggregated do not exceed the threshold for de-minimis source streams in accordance with Article 19 of the MRR.[**]
• Condition III: installation with low emissions which fall under condition II. The use of simplified monitoring plan is in that case not required.
• Condition IV: an unmanned site with telemetered data sent directly to another location where all data is collected, processed, managed and stored; and the same person is responsible for all data management and recording for the site [***] ; or 
• Condition V: the site is a remote or inaccessible location and there is a high level of centralisation of data collected from that site and transmitted directly to another location where all this data is processed, managed and stored with good quality assurance. 
</t>
  </si>
  <si>
    <t xml:space="preserve">The second question relates to waiving site visits for installations with low emissions which are not subject to the competent authority’s approval, hence less information is requested to be reported. </t>
  </si>
  <si>
    <t xml:space="preserve">Specific requirements apply for the monitoring methodology used in those installations, i.e. the monitoring of activity data is based on fiscal metering by the gas supplier and the emission factor is a default value. The de-minimis source streams should, when aggregated, not exceed the threshold for de-minimis source streams in accordance with Article 19 of the MRR.
</t>
  </si>
  <si>
    <t xml:space="preserve">Specific requirements apply for the monitoring methodology applied in those installations, i.e. concerning the activity data and emission factors. Another prerequisite is the competent authority having allowed the use of a simplified monitoring plan
</t>
  </si>
  <si>
    <t>Further conditions apply to evidence related to the inspection of meters.</t>
  </si>
  <si>
    <t xml:space="preserve">Please select the applicable condition from the drop down menu. For more guidance on these conditions, please see the Key Guidance note II.5 on site visits. </t>
  </si>
  <si>
    <t xml:space="preserve">The information can be extracted from the Commission verification report template under ‘site verification details’. This also applies to information on site visits waived for installations with low emissions. The information can also be extracted from the ETS reporting tool. </t>
  </si>
  <si>
    <t>6.7.</t>
  </si>
  <si>
    <t>Virtual site visits</t>
  </si>
  <si>
    <t>Article 34a of the AVR allows verifiers to carry out virtual site visits if a force majeure circumstance prevents the verifier from physically visiting the site of the installation. Such virtual site visits are only allowed under certain conditions. KGN II.5 on site visits provides more information. This question aims to collect information on the extent to which Article 34a of the AVR is applied in the verification of installation’s emission reports.</t>
  </si>
  <si>
    <t>Please specify in a few words the type of force majeure for which virtual site visits were allowed: e.g. COVID pandemic.</t>
  </si>
  <si>
    <t xml:space="preserve">If there were different types of force majeure, please fill in separate rows for the different types of force majeure. </t>
  </si>
  <si>
    <t>Please specify in the third column whether the competent authority has approved the operator’s application for virtual site visits or if a generic authorisation under Article 34a (4) of the AVR [*] was provided. If some virtual site visits were subject to an individual approval whilst others were subject to a generic authorisation, please use different rows.</t>
  </si>
  <si>
    <t>The information can be extracted from the Commission verification report template under ‘site verification details’. The information can also be extracted from the ETS reporting tool.</t>
  </si>
  <si>
    <t xml:space="preserve">In the last column please confirm whether conditions of Article 34a of the AVR were met: i.e. whether all required documentation was submitted by the operator, whether conditions for virtual site visits were met [**].  If conditions were met, please respond yes. If conditions were not met for all verifications, please respond no and include the number of verification for which this was the case. Where such information is not yet or only partially available by the time the Article 21 report has to be submitted, please state so. </t>
  </si>
  <si>
    <t>Where a large number of installations are affected by the similar serious, extraordinary and unforeseeable circumstances, outside the control of the operator or aircraft operator, and immediate action is needed because of legally imposed national health reasons.</t>
  </si>
  <si>
    <t xml:space="preserve">Conditions for virtual site visits include: existence of force majeure circumstance, verifier’s decision to carry out virtual site visit is justified by the verifier’s risk analysis, measures have been taken to reduce the verification risk to an acceptable level to obtain reasonable assurance, a physical site visit has been carried out without undue delay, the competent authority has approved the virtual site visit (unless a generic authorisation according to Article 34a (4) of the AVR is provided). </t>
  </si>
  <si>
    <t>6.8.</t>
  </si>
  <si>
    <t>Conservative estimation of emissions for aircraft operators</t>
  </si>
  <si>
    <t>Article 70 of the MRR contains specific requirements on when the competent authority must conservatively estimate emissions. This question aims to provide an overview of the reasons for conservatively estimating emissions, taking into account the requirements in Article 27 of the AVR on the type of verification opinion statements. Information on emission reports that are not satisfactory, emission reports that are not submitted or emission reports that are not in line with the MRR is essential for the proper functioning of the market. In addition, information on how conservative estimation is carried out by the competent authority is considered relevant for developing good practice and harmonising approaches to conservative estimation.</t>
  </si>
  <si>
    <t>The questions should be answered annually</t>
  </si>
  <si>
    <t>See question 6.3</t>
  </si>
  <si>
    <t>6.9.</t>
  </si>
  <si>
    <t>Non-material misstatements, non-conformities, non-compliance with the MRR and recommendations for improvement</t>
  </si>
  <si>
    <t>Article 27 of the AVR requires the verifier to report any identified and outstanding non-material misstatements, non-conformities and recommendations for improvement in the verification report. Both the tables on the data in emission reports and the data in tonne-km reports aim to provide an overview of the number of aircraft operators for which such issues are reported. This information will also enable analysis of issues which arise consistently.</t>
  </si>
  <si>
    <t>The question should be answered annually for emissions. For tonne-km data, the information usually only needs to be completed for a request for free allocation of allowances from the special reserve. Currently no further submissions of tonne-kilometre data are planned because of the introduction of Regulation (EU) 2017/2392 for preparing for ICAO’s global market measure. However, a new amendment of the EU ETS Directive may require the submission of tonne-kilometre data in the future.</t>
  </si>
  <si>
    <t>See question 6.4.</t>
  </si>
  <si>
    <t>6.10.</t>
  </si>
  <si>
    <t>The question seeks information on the checks that competent authorities carried out on emissions and verification reports. Checks by the competent authority on the emissions and verification reports are an additional quality control measure to improve the overall quality of the emission and verification reports. In addition, it provides the competent authority with an indication of the quality of specific verifiers. The same applies for tonne-km reports.</t>
  </si>
  <si>
    <t>The question should be answered annually. For tonne-km data the information only needs to be completed in the case of a request for the free allocation of allowances from the special reserve [*].</t>
  </si>
  <si>
    <t xml:space="preserve">If the process for the assessment of emission and verification reports has not yet been fully completed for the reporting period, please provide best estimates based on the emission reports that have been assessed, and on the experiences from the previous year. If the answer is based on an estimate, please indicate this clearly. </t>
  </si>
  <si>
    <t>If a Member State does not perform checks on emission reports or verifications reports please answer 0% or not applicable.</t>
  </si>
  <si>
    <t>Currently no further submissions of tonne-kilometre data are planned because of the introduction of Regulation (EU) 2017/2392 for preparing for ICAO’s global market measure. However, a new amendment of the EU ETS Directive may require the submission of tonne-kilometre data in the future.</t>
  </si>
  <si>
    <t>6.11.</t>
  </si>
  <si>
    <t>Waive of site visits for aircraft operators</t>
  </si>
  <si>
    <t>Article 32(1) of the AVR allows waive of site visits for verification of a small emitter’s emission report, where the verifier concludes following its risk analysis that all information can be accessed remotely.</t>
  </si>
  <si>
    <t>The answers to this question enable a trend analysis of the number of times a site visit is waived for small emitters</t>
  </si>
  <si>
    <t>The information can be extracted from the Commission’s verification report template under ‘site verification details’. This also applies to information on site visits waived for small emitters as defined in Article 55(1) of the MRR.</t>
  </si>
  <si>
    <t>6.12.</t>
  </si>
  <si>
    <t>Article 34a of the AVR is also applicable to the verification of aircraft operator’s emission report. If it is not possible for a verifier to visit the site of an aircraft operator because of force majeure, a virtual site visit can be carried out provided the conditions in Article 34a of the AVR have been met. KGN II.5 on site visits provides more information on the applicable conditions. This question aims to collect information on the extent to which Article 34a of the AVR is applied in the verification of aircraft operator’s emission reports.</t>
  </si>
  <si>
    <t>Please specify in the third column whether the competent authority has approved the operator’s application for virtual site visits or if a generic authorisation under Article 34a (4) of the AVR[*] was provided. If some virtual site visits were subject to an individual approval whilst others were subject to a generic authorisation, please use different rows.</t>
  </si>
  <si>
    <t xml:space="preserve">The information can be extracted from the Commission verification report template under ‘site verification details’. </t>
  </si>
  <si>
    <t xml:space="preserve">In the last column please confirm whether conditions of Article 34a of the AVR were met: i.e. whether all required documentation was submitted by the operator, whether conditions for virtual site visits were met [**]. If conditions were met, please say yes. If conditions were not met for all verifications, please say no and include the number of verifications for which this was the case. Where such information is not yet or only partially available by the time the Article 21 report has to be submitted, please state so. </t>
  </si>
  <si>
    <t>Where a large number of installations are affected by the similar serious, extraordinary and unforeseeable circumstances, outside the control of the operator or aircraft operator, and immediate action is needed because of legally imposed national health reasons</t>
  </si>
  <si>
    <t xml:space="preserve">Conditions for virtual site visits include: existence of force majeure circumstance, verifier’s decision to carry out virtual site visit is justified by the risk analysis, measures have been taken to reduce the verification risk to an acceptable level to obtain reasonable assurance, a physical site visit has been carried out without undue delay, the competent authority has approved the virtual site visit (unless a generic authorisation according to Article 34a (4) of the AVR is provided). </t>
  </si>
  <si>
    <t>7.</t>
  </si>
  <si>
    <t>Registries</t>
  </si>
  <si>
    <t>7.1.</t>
  </si>
  <si>
    <t>Terms and conditions</t>
  </si>
  <si>
    <t>The Commission needs to know under what legal conditions the registry is made available to Member State account holders. The Commission can then compare these conditions and potentially remove poor practice, as well as share best practice across all Member State’s registry administrators.</t>
  </si>
  <si>
    <t xml:space="preserve">The question should be answered for the report due by 30 June 22. For subsequent reports, the question only needs to be answered if there have been changes during that reporting period. </t>
  </si>
  <si>
    <t>7.2.</t>
  </si>
  <si>
    <t>Surrender of allowances by operators</t>
  </si>
  <si>
    <t xml:space="preserve">Competent authorities might need to close operator accounts in the registry because there was no reasonable prospect of further allowances being surrendered, e.g. if the operator or aircraft operator has been declared bankrupt. Emissions for which no allowances were surrendered prior to the closure of the account indirectly increase the overall cap of the EU ETS. The purpose of this question is for the Commission to assess the magnitude of such closures by competent authorities and of the outstanding emissions. </t>
  </si>
  <si>
    <t>Please complete the table providing the operator and/or installation details. Please also provide the reason why there was no reasonable prospect of allowances being surrendered by the installation or aircraft operator in question.</t>
  </si>
  <si>
    <t>7.3.</t>
  </si>
  <si>
    <t>Use of mandate for small emitters (aircraft operators)</t>
  </si>
  <si>
    <t>Article 15 (3) of the Registry Regulation makes the provision for aircraft operators with emissions of less than 25000 tonnes per year or who operate less than 243 flights per period to mandate a different person or legal entity to open and operate an EU ETS Registry account on their behalf. This question seeks to provide the Commission with an indication of how much the mandate has been used and by whom it was used, so it can judge whether the mandate is useful and whether it should be retained in the legislation.</t>
  </si>
  <si>
    <t>Please provide the number of times the mandate was used in your Member State and which aircraft operators have used it.</t>
  </si>
  <si>
    <t>8.</t>
  </si>
  <si>
    <t>Allocation</t>
  </si>
  <si>
    <t>8.A.</t>
  </si>
  <si>
    <t>8.1.</t>
  </si>
  <si>
    <t>Use of template for the MRV of allocation data</t>
  </si>
  <si>
    <t xml:space="preserve">The Commission has developed templates for the monitoring methodology plans, baseline data reports, annual activity level reports and separate verification reports for the verification of baseline data reports and the verification of annual activity level reports. This question first seeks an overview of Member States that use Commission templates for submission of monitoring methodology plans, baseline data reports, annual activity level reports and verification reports. If such templates are not used or only partially used for certain documents, the second question has to be completed. The second question aims to collect information on whether Member State specific templates or file formats for IT systems have been developed and what additional elements Member States have added to these templates or IT systems. </t>
  </si>
  <si>
    <t xml:space="preserve">The question should be answered for the report due by 30 June 2022. For subsequent reports, the question only needs to be answered if there have been changes during that reporting period. 
</t>
  </si>
  <si>
    <t>If Commission templates are not used and Member State templates or file formats are not applied, please state so.</t>
  </si>
  <si>
    <t>Please indicate under the second column whether your Member State has developed a Member State specific template or a specific file format. A translation of the Commission template should not be regarded as a Member State specific template or file format.</t>
  </si>
  <si>
    <t xml:space="preserve">Please specify under the third column whether your Member State’s specific template is the Commission template with some additional elements, or a different template or specific file format. Please also specify what elements have been added to your Member State’s template or IT system compared to the information contained in the Commission template. </t>
  </si>
  <si>
    <t>8.2.</t>
  </si>
  <si>
    <t>Charge of fees in relation to allocation data</t>
  </si>
  <si>
    <t xml:space="preserve">This question seeks to obtain an overview of the fees and charges to be paid by operators for the approval of the monitoring methodology plan, the approval of significant changes to that plan and other activities related to allocation. It also seeks information on annual subsistence fees.
</t>
  </si>
  <si>
    <t xml:space="preserve">The question should be answered once for the report due by 30 June 2022. For subsequent reports, the question only needs to be answered if there have been changes during that reporting period. </t>
  </si>
  <si>
    <t>Annual subsistence fees should include charges associated with the receipt of annual activity level reports.</t>
  </si>
  <si>
    <t xml:space="preserve">If your Member State has different categories of fees for different types of installations please use different rows or specify under other fees these different types of categories. Such information can also be provided as remarks under question 13.1. </t>
  </si>
  <si>
    <t>8.3.</t>
  </si>
  <si>
    <t>Use of IT system for the management of allocation data</t>
  </si>
  <si>
    <t>This question seeks to collect information from Member States that are using an IT system. Member States are asked to specify whether the IT system also covers the processes related to the submission and approval of monitoring methodology plans, notification of changes to those plans, baseline data reports and annual activity level reports.</t>
  </si>
  <si>
    <t>8.4.</t>
  </si>
  <si>
    <t>Information on renunciation and suspension of allowances as well as the recovery of excess allowances as a result of overallocation</t>
  </si>
  <si>
    <t xml:space="preserve">This question seeks to collect information on the number of installations that </t>
  </si>
  <si>
    <t>• have renounced free allocation for all or certain sub-installations under Article 24 of the FAR; 
• for which the competent authority has suspended the issuance of allowances in accordance with Article 3(3) of the Implementing Regulation (EU) 2019/1842 on annual activity level data;
• for which the competent authority has recovered excess allowances resulting from over-allocation.</t>
  </si>
  <si>
    <t>8.5.</t>
  </si>
  <si>
    <t>Application of Article 6(1) and 6(2) of Implementing Regulation (EU) 2019/1842</t>
  </si>
  <si>
    <t>According to Article 6(1) of Implementing Regulation (EU) 2019/1842 no adjustment of the allocation is made if the operator demonstrates, based on the activity level report and additional data requested by the competent authority, that the decrease of the activity level of a sub-installation, to which the heat or fuel benchmark is applicable,  is not related to a change of production levels of the sub-installation but because the energy efficiency of that sub-installation increased by more than 15% compared to the one based on  the baseline data or the new entrant data report. The first part of the question seeks to collect information on  whether Article 6(1) was applied to installation and, if that was the case, the number of heat and fuel benchmark sub-installations to which Article 6(1) is applied. The second part of the question asks whether the competent authority has rejected an operator’s application under Article 6(1) and, if that is the case, the number of heat and fuel benchmark sub-installations for which this application was rejected.</t>
  </si>
  <si>
    <t>According to Article 6(2) of Implementing Regulation (EU) 2019/1842 no adjust-ment of allocation is made if the operator demonstrates that an increase of the activity level of a sub-installation to which the heat or fuel benchmark is applicable, is not related to a change of production levels of the sub-installation but because the energy efficiency of that sub-installation decreased by more than 15% compared to the one based on the baseline data or the new entrant data report. The third part of the question asks whether Article 6(2) was applied to installation and, if that was the case, the number of heat and fuel benchmark sub-installations to which Article 6(2) is applied.</t>
  </si>
  <si>
    <t>For more guidance on the application of Articles 6(1) and 6(2) please see Guidance Document 7: Guidance on Allocation Level Changes [*].</t>
  </si>
  <si>
    <t xml:space="preserve">https://ec.europa.eu/clima/system/files/2021-09/gd7_activity_level_changes_en.pdf </t>
  </si>
  <si>
    <t>8.6.</t>
  </si>
  <si>
    <t>Reasons for excluding installations from the scope of EU ETS</t>
  </si>
  <si>
    <t xml:space="preserve">Installations can be excluded from the scope of EU ETS for several reasons. This question seeks to collect information on the number of installations that were excluded from the scope of EU ETS because of a particular reason. </t>
  </si>
  <si>
    <t>8.7.</t>
  </si>
  <si>
    <t>Total number of emission allowances issued and total value of investments in relation to Article 10c of the ETS Directive</t>
  </si>
  <si>
    <t xml:space="preserve">The question seeks to inform the Commission on how Article 10c of the EU ETS Directive is being applied. The information is only requested on an aggregate level.
</t>
  </si>
  <si>
    <t>Please provide the number of emission allowances and the total investments [*] in the reporting period.</t>
  </si>
  <si>
    <t xml:space="preserve">The data on investments concern the types of investments eligible under Article 10c of the EU ETS Directive, i.e. retrofitting of infrastructure, upgrading of infrastructure, clean technologies, diversification of energy mix and diversification of sources of supply (see Annex V of Guidance document on the optional application of Article 10c of Directive 2003/87/EC, (2011/C 99/03), OJ 31 March 2011, C 99/9).
</t>
  </si>
  <si>
    <t>8.B.</t>
  </si>
  <si>
    <t>Baseline data reports</t>
  </si>
  <si>
    <t>8.8.</t>
  </si>
  <si>
    <t>Number of installations receiving a negative verification opinion statement</t>
  </si>
  <si>
    <t>The question seeks to collect information on the number of installations receiving a particular type of negative verification opinion statement: limitation of scope, material misstatement or non-conformities that provide insufficient clarity and prevent the verifier from stating with reasonable assurance that the report is free from material misstatement.</t>
  </si>
  <si>
    <t>The question should be answered for the first time in 2024 when the next baseline data report in phase 4 is due. Subsequent information must be provided every 5 years.</t>
  </si>
  <si>
    <t>The information can be collected from the verification report under verification opinion statement.</t>
  </si>
  <si>
    <t>8.9.</t>
  </si>
  <si>
    <t>Outstanding issues in the baseline data reports</t>
  </si>
  <si>
    <t>Article 27 of the AVR requires the verifier to report any identified and outstanding non-material misstatements, non-conformities, non-compliance issues and recommendations for improvement in the verification report. This question seeks an overview of the number of installations for which such issues are reported concerning the verification of baseline data reports. It gives insight into the application of Article 27 of the AVR. The question also seeks to collect information on the extent to which the competent authority has determined historic activity levels because the data gaps leading to the verifier’s opinion were due to exceptional and unforeseeable circumstances that could not have been avoided even if all due care had been exercised.</t>
  </si>
  <si>
    <t>Please select the relevant type of issue found and list the number of installations concerned and number of issues reported in the verification report. Information can be found in Annex I of the Commission’s verification report template.</t>
  </si>
  <si>
    <t>8.C.</t>
  </si>
  <si>
    <t>Annual activity level data</t>
  </si>
  <si>
    <t xml:space="preserve">Questions 8.10, 8.11 and 8.17 need to be answered once for the report due by 30 June 2022. For subsequent reports, the questions only need to be answered if there have been changes during that reporting period. Questions 8.12 to 8.16 need to be answered annually based on information from the latest submitted annual activity level reports and verification reports in relation to the previous year (the reporting period). So for the Article 21 report that is due by 30 June 2022, the questions need to be answered based on the annual activity level reports and corresponding verification reports that are submitted by 31 March 2022 in relation to the 2021 reporting year. </t>
  </si>
  <si>
    <t>8.10.</t>
  </si>
  <si>
    <t>Reporting of additional parameters</t>
  </si>
  <si>
    <t>Article 3(2) of Implementing Regulation (EU) 2019/1842 allows Member States to require operators to report additional parameters in the annual activity level reports. The question seeks to collect information on the type of additional parameters that are required by Member States.</t>
  </si>
  <si>
    <t>8.11.</t>
  </si>
  <si>
    <t>Reporting of preliminary activity level report</t>
  </si>
  <si>
    <t xml:space="preserve">Article 3(2) of Implementing Regulation  (EU) 2019/1842 allows Member States to require operators to submit a preliminary activity level report. The question seeks to collect information on whether such reports are required and if these reports have to be submitted what the deadline for submission is. </t>
  </si>
  <si>
    <t xml:space="preserve">The question should be answered once for the report due by 30 June 2022. For subsequent reports, the question only needs to be answered if there have been changes during that reporting period. 
</t>
  </si>
  <si>
    <t>8.12.</t>
  </si>
  <si>
    <t>Negative verification opinion statement and non-submission of activity level report</t>
  </si>
  <si>
    <t>The question seeks to collect information on the number of installations not submitting a verified activity level report or receiving a particular type of negative verification opinion statement: limitation of scope, material misstatement or non-conformities that provide insufficient clarity and prevent the verifier from stating with reasonable assurance that the report is free from material misstatement. The question also asks for the number of installations for which a conservative estimation of allocation was carried out by the competent authority in accordance with Article 3 (4) of Commission Implementing Regulation (EU) 2019/1842.</t>
  </si>
  <si>
    <t>The information can be collected from Competent Authority’s records and the verification opinion statement in the Commission verification template for the verification of annual activity level data.</t>
  </si>
  <si>
    <t>8.13.</t>
  </si>
  <si>
    <t>Outstanding issues in the verification of annual activity level reports</t>
  </si>
  <si>
    <t>Article 27 of the AVR requires the verifier to report any identified and outstanding non-material misstatements, non-conformities, non-compliance issues and recommendations for improvement in the verification report. This question seeks an overview of the number of installations for which such issues are reported. It gives in-sight into the application of Article 27 of the AVR and the number of installations for which a conservative estimation of emissions is made in the case of non-material misstatements (the application of Article 3(4) of Implementing Regulation 2019/1842).</t>
  </si>
  <si>
    <t>Please select the relevant type of issue found and list the number of installations for which a type of issue was reported in the verification report as well as the number of issues (non-material misstatements, non-conformities, non-compliance and recommendations of improvements). For more information, please see section 8.4 and 8.5 of GD4 on the verification of baseline data reports, annual activity level data and validation of monitoring methodology plan.</t>
  </si>
  <si>
    <t>Only outstanding and unresolved issues listed in the verification report must be reported. The non-conformities concern those that do not have material impact and have not led to a negative verification opinion statement.</t>
  </si>
  <si>
    <t xml:space="preserve">Information can be extracted from Annex I of the Commission verification report template for the verification of annual activity level data. </t>
  </si>
  <si>
    <t>The last column in the table asks for the number of installations for which a conservative estimation is made in accordance with Article 3(4) of Implementing Regulation 2019/1842). This request is relevant in particular for non-material misstatements that have led to a conservative estimation.</t>
  </si>
  <si>
    <t>8.14.</t>
  </si>
  <si>
    <t>Rejection of annual activity level reports</t>
  </si>
  <si>
    <t>This question aims to collect information on the number of annual activity level reports that have been rejected by the competent authority for a particular reason and the action taken as a result of rejection of annual activity level reports and as a result of checks on verified annual activity level reports.</t>
  </si>
  <si>
    <t>8.15.</t>
  </si>
  <si>
    <t xml:space="preserve">Article 31 of the AVR allows operators to submit an application to the competent authority to waive a verifier’s site visit during the verification of annual activity level reports. Waiving a site visit is only possible under strict conditions. A key prerequisite is that the verifier’s risk analysis must allow such a waiver. For more information on the applicable conditions please see section 8 of GD4 on the verification of allocation data. The question seeks an overview on the number of times a site visit has been waived under one of the following particular criteria listed in Article 32 of the AVR: </t>
  </si>
  <si>
    <t xml:space="preserve">• Condition I (Article 32(3a) of the AVR): Same type of installations as outlined under condition I for waive of site visits for AER verification. These installations must have one sub-installation to which a product benchmark is applicable. The relevant production data must have been evaluated as part of an audit for financial accounting purposes.
• Condition II (Article 32(3b) of the AVR): Same type of installations as outlined under condition II for waive of site visits with a maximum of two sub-installations and the second sub-installation contributing less than 5% to the installation’s total final allocation of allowances [*].  
• Condition III (Article 32(3c) of the AVR: simple installations that only have heat benchmark or district heating sub-installations and the verifier has sufficient data[**] available to assess the split of sub-installations if relevant. 
• Unmanned sites (Article 32(4) AVR). The same conditions for telemetered data and meter inspection are applicable as for AER verification. There needs to be evidence to confirm that the meters have been inspected on site in accordance with Article 11 of the FAR (see KGN II.5). 
• Installations located on remote or inaccessible sites, in particular off-shore installations (Article 32(5) AVR). The same conditions for centralisation of data and meter inspection are applicable as for AER verification. There needs to be evidence to confirm that the meters have been inspected on site in accordance with Article 11 of the FAR (see KGN II.5).
</t>
  </si>
  <si>
    <t>Further conditions include the requirement for the verifier to have sufficient data available to assess the split of sub-installation. If the sub-installation contributing 95% or more to the installation’s total final allocation of allowances is a sub-installation to which a product benchmark is applicable, the production data relevant for the product benchmark must have been evaluated as part of an audit for financial accounting purposes. The operator must provide evidence thereof.</t>
  </si>
  <si>
    <t>Where measurement instruments are used to generate the heat data are not working correctly and are not maintained properly by the operator, this may impact the verifier’s risks of waiving site visit and the verifier’s decision to waive site visit.</t>
  </si>
  <si>
    <t xml:space="preserve">Please select the applicable condition. For more guidance on these conditions, please see section 8 of GD 4 on the verification of baseline data reports, annual activity level data and validation of monitoring methodology plan. </t>
  </si>
  <si>
    <t xml:space="preserve">The information can be extracted from the Commission verification report template for the verification of annual activity level data under ‘site verification details’. </t>
  </si>
  <si>
    <t>8.16.</t>
  </si>
  <si>
    <t>Article 34a of the AVR allows verifiers to carry out virtual site visits if a force majeure circumstance prevents the verifier from physically visiting the site of the installation. Such virtual site visits are only allowed under certain conditions. KGN II.5 on site visits provides more information. This question aims to collect information on the extent to which Article 34a of the AVR is applied in the verification of installation’s annual activity level reports.</t>
  </si>
  <si>
    <t>The information can be extracted from the Commission verification report template for the verification of annual activity level data under ‘site verification details’</t>
  </si>
  <si>
    <t xml:space="preserve">In the last column, please confirm whether conditions of Article 34a of the AVR were met: i.e. whether all required documentation was submitted by the operator, whether conditions for virtual site visits were met[**].  If conditions were met, please say yes. If conditions were not met for all verifications, please say no and include the number of verifications for which this was the case. Where such information is not yet or only partially available by the time the Article 21 report has to be submitted, please state so. </t>
  </si>
  <si>
    <t xml:space="preserve">Conditions for virtual site visits include: existence of force majeure circumstance, verifier’s decision to carry out virtual site visit is justified by the verifier’s risk analysis, measures have been taken to reduce the verification risk to an acceptable level to obtain reasonable assurance, a physical site visit has been carried out without undue delay, the competent authority has approved the virtual site visit (unless a generic authorisation according to Article 34a (4) of the AVR is provided. </t>
  </si>
  <si>
    <t>8.17.</t>
  </si>
  <si>
    <t>Infringements and penalties</t>
  </si>
  <si>
    <t>Penalties have to be high enough to act as a deterrent against infringements of legislation. Transparency on these penalties and infringements contributes to the confidence that market actors have in the scheme. The question seeks an overview of what infringements and penalties regarding allocation have been regulated in national law: e.g. failure to submit a monitoring methodology plan, failure to submit an annual activity level report.</t>
  </si>
  <si>
    <t xml:space="preserve">This question should be answered for the report due by 30 June 2022. For subsequent reports, the question only needs to be answered if there have been changes during that reporting period. </t>
  </si>
  <si>
    <t>If your Member State has one fixed fine or imprisonment sanction, please specify your fine in the Maximum column.</t>
  </si>
  <si>
    <t>8.18.</t>
  </si>
  <si>
    <t>Penalties imposed</t>
  </si>
  <si>
    <t>The question seeks an overview of the types of infringements which occurred and the penalties imposed. Increasing transparency in relation to penalties increases confidence in the functioning of market oversight.</t>
  </si>
  <si>
    <t xml:space="preserve">This question should be answered annually. </t>
  </si>
  <si>
    <t>The type of infringement should be selected from the list in question 8.17. A drop down box is included to facilitate the completion of this question. Every imposed penalty should be reported in a separate row.</t>
  </si>
  <si>
    <t xml:space="preserve">If the penalty was enforced in the same reporting period, please answer yes in the last column. Any penalties that were imposed in prior reporting periods, and then enforced in the current reporting period, need to be completed in the second table. Under the second table, you are asked to include those enforced penalties per type of infringement, type of penalty and the reporting year in which the penalty was reported in the Article 21 report. This will provide a consistent way of reporting on actual enforcement and execution of imposed penalties mitigating different interpretations by MS. It will also allow a better analysis of when penalties have become final. </t>
  </si>
  <si>
    <t>9.</t>
  </si>
  <si>
    <t>Fees and charges</t>
  </si>
  <si>
    <t>9.A.</t>
  </si>
  <si>
    <t>9.1.</t>
  </si>
  <si>
    <t>Fees and charges for issuance and update of permits</t>
  </si>
  <si>
    <t>This question seeks to obtain an overview of the fees and charges to be paid by operators for the issue and update of permits as well as the approval of monitoring  plans. It also seeks information on annual subsistence fees.</t>
  </si>
  <si>
    <t>Annual subsistence fees should include charges associated with the receipt of annual emission reports and improvement reports as well as inspection and enforcement.</t>
  </si>
  <si>
    <t>If your Member State has different categories of fees for different types of installations please use different rows or specify under other fees these different types of categories</t>
  </si>
  <si>
    <t>9.B.</t>
  </si>
  <si>
    <t>9.2.</t>
  </si>
  <si>
    <t>Fees and charges for approval and update of monitoring plans</t>
  </si>
  <si>
    <t>This question seeks to obtain an overview of the fees and charges paid by aircraft operators for the approval and update of monitoring plans. It also seeks information on annual subsistence fees.</t>
  </si>
  <si>
    <t xml:space="preserve">If your Member State has different categories of fees for different types of installations please use different rows or specify under other fees these different types of categories. </t>
  </si>
  <si>
    <t>9.C.</t>
  </si>
  <si>
    <t>Installations and aircraft operators</t>
  </si>
  <si>
    <t>9.3.</t>
  </si>
  <si>
    <t>Fees and charges for opening and holding a registry account</t>
  </si>
  <si>
    <t xml:space="preserve">Information obtained by this question will enable the Commission to publish all Member State’s registry fees on the public pages of the EU Registry and then update this information on an annual basis. Registry fee information is difficult to collect without being obtained directly from Member States.
</t>
  </si>
  <si>
    <t>The question should be answered once for the report due by 30 June 2022. For subsequent reports, the question only needs to be answered if there have been changes during that reporting period.</t>
  </si>
  <si>
    <t xml:space="preserve">If your Member State has different categories of fees for different types of aircraft operators please use different rows or specify under other fees these different types of categories. </t>
  </si>
  <si>
    <t>10.</t>
  </si>
  <si>
    <t>Issues related to compliance with Directive 2003/87/EC</t>
  </si>
  <si>
    <t>10.A.</t>
  </si>
  <si>
    <t>10.1.</t>
  </si>
  <si>
    <t>Measures taken to ensure that operators comply with the permit, the MRR and the AVR</t>
  </si>
  <si>
    <t>This question seeks to obtain relevant compliance and enforcement information by asking what measures Member States have taken to ensure operators comply with their permit and the MRR and the AVR.</t>
  </si>
  <si>
    <t>If inspections were carried out by the competent authority please fill in the number of on-site inspections that were carried out under the column Comment.</t>
  </si>
  <si>
    <t xml:space="preserve">Preventive measures to ensure operator’s compliance could include trainings of operators, regular workshops to ensure operators know the rules or other measures. Please indicate briefly what type of preventive measures are taken. </t>
  </si>
  <si>
    <t xml:space="preserve">If any recurrent deficiencies have been identified as a result of preventive measures or inspections please answer yes. You can highlight in general terms the type of deficiencies under the column Comment. </t>
  </si>
  <si>
    <t>10.2.</t>
  </si>
  <si>
    <t>Penalties have to be high enough to act as a deterrent against infringements of legislation. Transparency on these penalties and infringements contributes to the confidence that market actors have in the scheme. The question seeks an overview of what infringements and penalties have been regulated in national law.</t>
  </si>
  <si>
    <t>This question should be answered for the report due by 30 June 2022. For subsequent reports, the question only needs to be answered if there have been changes during that reporting period</t>
  </si>
  <si>
    <t>If your Member State has one fixed fine or imprisonment sanction, please specify your fine in the maximum column.</t>
  </si>
  <si>
    <t>If there are more infringements to which penalties apply please list those (e.g. excess allowances not returned by the operator despite the return being requested by the competent authority).</t>
  </si>
  <si>
    <t>Please list the national law that was used to define infringements and sanctions. If several legal instruments are relevant, please mention those legal instruments.</t>
  </si>
  <si>
    <t>10.3.</t>
  </si>
  <si>
    <t>The type of infringement should be selected from the list in question 10.2. A drop down box is included to facilitate the completion of this question. Every imposed penalty should be reported in a separate row.</t>
  </si>
  <si>
    <t xml:space="preserve">If the penalty was enforced in the same reporting period, please answer yes in the last column. Any penalties that were imposed in prior reporting periods and then enforced in the current reporting period need to be completed in the second table. Under the second table, you are asked to include those enforced penalties per type of infringement, type of penalty and the reporting year in which the penalty was reported in the Article 21 report. This will provide a consistent way of reporting on actual enforcement and execution of imposed penalties mitigating different interpretations by MS. It will also allow a better analysis of when penalties have become final. </t>
  </si>
  <si>
    <t>10.4.</t>
  </si>
  <si>
    <t>Names of operators for which excess emission penalties were imposed</t>
  </si>
  <si>
    <t>According to Article 16(2) of the EU ETS Directive, Member States have to publish the names of operators who are in breach of the requirement to surrender sufficient allowances. Those operators shall be held liable for the payment of excess emission penalties pursuant to Article 16(3) of the EU ETS Directive. This question provides insight into which operators covered by Article 16(2) of the EU ETS Directive have had excess penalties imposed on them in the reporting period. In principle, there should be no difference between non-compliant operators listed in the registry and operators on which excess penalties have been imposed.</t>
  </si>
  <si>
    <t>10.B.</t>
  </si>
  <si>
    <t>10.5.</t>
  </si>
  <si>
    <t>Measures taken to ensure that aircraft operators comply with the MRR and AVR</t>
  </si>
  <si>
    <t>This question seeks to provide an overview of the measures that Member States have taken to ensure aircraft operators comply with the MRR. The information provided will help the Commission to understand compliance and enforcement of the MRR and the AVR within the aviation sector.</t>
  </si>
  <si>
    <t>If inspections were carried out by the competent authority please fill in the number of on-site inspections that were carried out under comments.</t>
  </si>
  <si>
    <t xml:space="preserve">Preventive measures to ensure operator’s compliance could include trainings of operators, regular workshops to ensure aircraft operators know the rules or other measures. Please indicate in a few words what type of measures are taken. </t>
  </si>
  <si>
    <t xml:space="preserve">If any recurrent deficiencies have been identified as a result of preventive measures or inspections please answer yes. You can highlight in general terms the type of deficiencies under comments. </t>
  </si>
  <si>
    <t>10.6.</t>
  </si>
  <si>
    <t>Penalties have to be high enough to act as a deterrent against infringements of the legislative requirements. Transparency on the infringements and penalties that can be imposed contributes to the confidence market actors have in the scheme. The question seeks an overview of what infringements and penalties have been regulated in national law.</t>
  </si>
  <si>
    <t>10.7.</t>
  </si>
  <si>
    <t>This question seeks to assess the types of infringements which occurred and the penalties imposed. Increasing transparency in relation to penalties increases confidence in the functioning of market oversight.</t>
  </si>
  <si>
    <t>The type of infringement should be selected from the list in question 10.6. A drop down box is included to facilitate completion of this question. Every imposed penalty should be reported in a separate row.</t>
  </si>
  <si>
    <t xml:space="preserve">If the penalty was enforced in the same reporting period, please select yes in the last column. Any penalties that were imposed in prior reporting periods and then enforced in the current reporting period need to be completed in the second table. Under the second table, you are asked to include those enforced penalties per type of infringement, type of penalty and the reporting year in which the penalty was reported in the Article 21 report. This will provide a consistent way of reporting on actual enforcement and execution of imposed penalties mitigating different interpretations by MS. It will also allow a better analysis of when penalties have become final. </t>
  </si>
  <si>
    <t>10.8.</t>
  </si>
  <si>
    <t>Names of aircraft operators for which excess emission penalties were imposed</t>
  </si>
  <si>
    <t xml:space="preserve">According to Article 16(2) of the EU ETS Directive, Member States have to publish the names of aircraft operators who are in breach of the requirement to surrender sufficient allowances. Those aircraft operators shall be held liable for the payment of excess emission penalties pursuant to Article 16(3) of the EU ETS Directive. This question provides insight into which aircraft operators covered by Article 16(2) of the EU ETS Directive have had excess emission penalties imposed on them in the reporting period. In principle, there should be no difference between non-compliant aircraft operators listed in the registry and aircraft operators on which excess emission penalties have been imposed. </t>
  </si>
  <si>
    <t>This question should be answered annually.</t>
  </si>
  <si>
    <t>10.9.</t>
  </si>
  <si>
    <t>Operating ban</t>
  </si>
  <si>
    <t>This question seeks to provide insight into the measures that Member States would have taken before they would request the Commission to impose an operating ban on an aircraft operator in accordance with Article 16(10) of the EU ETS Directive.</t>
  </si>
  <si>
    <t>This question should be answered for the report due by 30 June 2022. For subsequent reports, the question only needs to be answered if there have been changes during that reporting period.</t>
  </si>
  <si>
    <t>11.</t>
  </si>
  <si>
    <t>The legal nature of allowances and fiscal treatment</t>
  </si>
  <si>
    <t>11.1.</t>
  </si>
  <si>
    <t>Legal nature of allowance</t>
  </si>
  <si>
    <t xml:space="preserve">This question seeks data regarding the legal nature of an emission allowance in each Member State. </t>
  </si>
  <si>
    <t xml:space="preserve">The question should be answered once and after changes. </t>
  </si>
  <si>
    <t>Please indicate what the legal nature of an allowance is in your Member State and how this is regulated in your national law (e.g. whether it is seen as a property right, under which act it is regulated and what requirements apply to the transfer of allowances).</t>
  </si>
  <si>
    <t>11.2.</t>
  </si>
  <si>
    <t>Financial accounting for emission allowances</t>
  </si>
  <si>
    <t>This question seeks to compare the method of financial accounting for allowances across EU. The question seeks to address the issue of how companies are required to deal with allowances in terms of financial accounting. The treatment of tax is covered under question 11.4.</t>
  </si>
  <si>
    <t>11.3.</t>
  </si>
  <si>
    <t>VAT on issuance and transactions in emission allowances</t>
  </si>
  <si>
    <t>This question seeks to assess whether VAT is due on the issuance of and transactions in emission allowances, and to understand whether use is being made of the reverse-charge mechanism. The reverse-charge mechanism has the potential to act as a valuable tool against fraud and it is important for the Commission to know whether Member States are using this mechanism.</t>
  </si>
  <si>
    <t>If VAT is only due on issuance of allowances and not on transactions or vice versa, please fill in partially and indicate whether the VAT is due on the issuance of allowances or transactions.</t>
  </si>
  <si>
    <t>11.4.</t>
  </si>
  <si>
    <t>Tax on emission allowances</t>
  </si>
  <si>
    <t xml:space="preserve">This question seeks to compare the treatment of tax on emission allowances for corporations across EU. The question does not concern the treatment of tax on allowances for individuals.
</t>
  </si>
  <si>
    <t>12.</t>
  </si>
  <si>
    <t>Fraud</t>
  </si>
  <si>
    <t>12.1.</t>
  </si>
  <si>
    <t>Arrangements for fraudulent activities related to the free allocation of allowances</t>
  </si>
  <si>
    <t>Information on fraud and other activities related to market abuse is pivotal to improve transparency and thereby increase confidence in the market. Reports on market oversight under the MIFID Directive[*] and Market Abuse legislation[**] will provide data on fraud, money laundering and market abuse with respect to the trading of emission allowances. Information on fraud related to auctioning is monitored through the Auction monitor and is available to stakeholders. However, this does not apply to fraudulent activities by operators, aircraft operators, verifiers or others related to the free allocation of emission allowances. This question seeks to gather information concerning good practice on the arrangements Member States have put into place concerning fraudulent activities related to the free allocation of allowances. This includes fraud, the provision of deliberately false information, money laundering or activities concerning market abuse carried out by operators or aircraft operators, verifiers or other parties during the new entrant procedures.</t>
  </si>
  <si>
    <t>Directive 2004/39/EC of the European Parliament and of the Council of 21 April 2004 on markets in financial instruments amending Council Directives 85/611/EEC and 93/6/EEC and Directive 2000/12/EC of the European Parliament and of the Council and repealing Council Directive 93/22/EEC,OJ L 145, 30.4.2004, p. 1.</t>
  </si>
  <si>
    <t xml:space="preserve">See http://ec.europa.eu/internal_market/securities/abuse/index_en.htm (Regulation (EU) [..] of the European Parliament and of the Council on insider dealing and market manipulation (market abuse), [ ..] and Directive (EU) [..] of the European Parliament and of the Council on criminal sanctions for insider dealing and market manipulation [ ..])
</t>
  </si>
  <si>
    <t>In the table, please specify the details of arrangements and procedures your Member State has implemented in national law.</t>
  </si>
  <si>
    <t xml:space="preserve">Under the first row, you are requested to indicate whether there are procedures or processes in place for operators, aircraft operators or third parties to raise concerns over potentially fraudulent activity regarding the free allocation of allowances. This can for example be complaint procedures or special information processes/ channels available for parties to raise concerns to the competent authority for EU ETS or another organisation and/or consultation procedures that allow parties to submit consultations or comments when decisions are taken on fraud. Please describe these processes and indicate how these parties raise concerns and to which organisation. </t>
  </si>
  <si>
    <t>If the same procedures do not apply to the investigation or prosecution of fraud regarding free allocation of allowances as other types of fraud in your Member State, you are requested to provide information on those specific procedures and the role of the EU ETS competent authority in that process: e.g. will the EU ETS competent authority be asked to participate in the investigation or are they only informed of the process, what steps are carried out to investigate or prosecute fraud.</t>
  </si>
  <si>
    <t>12.2.</t>
  </si>
  <si>
    <t>Arrangements on the communication of fraudulent activities</t>
  </si>
  <si>
    <t>This question seeks to gather information concerning good practice on the arrangements and communication procedures Member States have set-up to ensure that competent authorities involved in the implementation of EU ETS are being informed of any fraudulent activities. These activities include fraud, the provision of deliberately false information, money laundering or activities concerning market abuse carried out by operators, verifiers or other parties within the ETS compliance chain. It is not only related to the free allocation of allowances but also to trading, auctioning, monitoring, reporting, verification and other activities. Although this question is about identifying Member State good practice rather than legal obligation, it is important that information on fraudulent activities investigated or brought to court is communicated to the competent authorities involved in EU ETS. The establishment of proper communication channels should ensure that crucial information on EU ETS compliance aspects and the functioning of the market is exchanged with the relevant ETS competent authority or competent authorities: it is the responsibility of those competent authorities to safeguard the proper functioning of ETS. Sharing information should allow the competent authority or competent authorities to take necessary follow-up measures such as updating monitoring plans, adapting inspection strategies. In addition information on fraud committed by verifiers is important information to share with the relevant national accreditation body that has accredited or certified the verifier and that is entitled to impose administrative measures. Information on communication arrangements and procedures is pivotal to improving transparency and thereby increasing market confidence.</t>
  </si>
  <si>
    <t>In the table, please specify the details of the arrangements and procedures your Member State has set-up.</t>
  </si>
  <si>
    <t>12.3.</t>
  </si>
  <si>
    <t>Information on fraudulent activities</t>
  </si>
  <si>
    <t>This question seeks to gather information on the number of investigations being carried out, the number of court cases concerning fraudulent activities, as well as the number of cases that have led to conviction, settlement out of court, or acquittal. The question also seeks indication of the types of fraud or fraudulent activity involved in broad terms including fraud, the provision of deliberately false information, money laundering or activities concerning market abuse carried out by operators, verifiers or other parties within the whole compliance chain. Data on fraudulent activities are not only requested in relation to the free allocation of allowances but also on trading, auctioning, monitoring, reporting, verification and other activities. Actual numbers of fraud and other activities related to market abuse that are being investigated, or have been committed, are pivotal to improving transparency and thereby increasing market confidence.</t>
  </si>
  <si>
    <t>13.</t>
  </si>
  <si>
    <t>Other observations</t>
  </si>
  <si>
    <t>13.1.</t>
  </si>
  <si>
    <t xml:space="preserve">Opportunity to bringing forward other issues </t>
  </si>
  <si>
    <t xml:space="preserve">This question seeks to provide Member States with the opportunity to bring forward general issues or any issues related to previous sections. </t>
  </si>
  <si>
    <t>Please fill out issues related to each section in the relevant boxes.</t>
  </si>
  <si>
    <t>The information in the boxes could relate to issues that you want to bring to the attention to the Commission, issues that you encountered when completing the questionnaire or further explanations of your responses to the questions. For example:</t>
  </si>
  <si>
    <t xml:space="preserve">• Observation that a particular question is not applicable or relevant in your country.
• Explanation how data was collected to a particular question: e.g., collecting data on fuel consumption under question 5.5, estimating emissions from waste for question 5.16.
• Problems you encountered when collecting the data and completing the question.
• Data in question 6.5 is not complete because the review of annual emission report was not yet completed by the time the Article 21 report had to be submitted.
</t>
  </si>
  <si>
    <t>13.2.</t>
  </si>
  <si>
    <t xml:space="preserve">Confirmation of whether changes occurred in the reporting period </t>
  </si>
  <si>
    <t xml:space="preserve">A number of questions need to be answered only once for the report due by 30 June 2022. For subsequent reports, the question needs to be answered only when changes occurred during that reporting period. This question seeks confirmation that no such changes have arisen during the reporting year other than those that have been updated as relevant. </t>
  </si>
  <si>
    <t xml:space="preserve">Please confirm that the one-off questions have been answered for the report submitted by 30 June 2022. </t>
  </si>
  <si>
    <t>For subsequent reports, please confirm that the one-off questions have been updated where relevant.</t>
  </si>
  <si>
    <t xml:space="preserve">Name and department of organisation: </t>
  </si>
  <si>
    <t xml:space="preserve">Name of contact person: </t>
  </si>
  <si>
    <t xml:space="preserve">Job title of contact person: </t>
  </si>
  <si>
    <t xml:space="preserve">Address: </t>
  </si>
  <si>
    <t xml:space="preserve">International telephone number: </t>
  </si>
  <si>
    <t xml:space="preserve">E-mail: </t>
  </si>
  <si>
    <t>Responsible authorities in the emissions trading scheme (EU ETS) and coordination between authorities</t>
  </si>
  <si>
    <t>Questions in this section 2 are to be answered in the report due by 30 June 2022 and in subsequent reports if changes have occurred during the reporting period.</t>
  </si>
  <si>
    <t xml:space="preserve">In the table below, please state the name, abbreviation and contact details of the competent authorities involved in the implementation of EU ETS for installations and aviation in your Member State. Display further rows if necessary. </t>
  </si>
  <si>
    <t>Name</t>
  </si>
  <si>
    <t>Abbreviation</t>
  </si>
  <si>
    <t>Type of competent authority [*]</t>
  </si>
  <si>
    <t>Number [**]</t>
  </si>
  <si>
    <t>Telephone number [***]</t>
  </si>
  <si>
    <t>Email address [***]</t>
  </si>
  <si>
    <t>Website [***]</t>
  </si>
  <si>
    <t>[*] Please select from the drop down box: central competent authority, regional competent authority, local competent authority, other. If the competent authority is a central competent authority, the number of competent authorities does not have to be completed.</t>
  </si>
  <si>
    <t>[**] Please specify the number of competent authorities in the case regional or local competent authorities are selected in the left column.</t>
  </si>
  <si>
    <t>[***] Please provide the telephone number, e-mail address and website address.</t>
  </si>
  <si>
    <t>Are you using the national accreditation body appointed pursuant to Article 4(1) of Regulation (EC) No 765/2008 of the European Parliament and of the Council [*] to accredit verifiers that are carrying out verification of emission reports, baseline data reports, new entrant data reports or annual activity level reports? Yes/ No</t>
  </si>
  <si>
    <t>[*] Regulation (EC) No 765/2008 of the European Parliament and of the Council of 9 July 2008 setting out the requirements for accreditation and repealing Regulation (EEC) No 339/93 (OJ L 218, 13.8.2008, p. 30).</t>
  </si>
  <si>
    <t>If yes, please state the name, abbreviation and contact details of that national accreditation body.</t>
  </si>
  <si>
    <t>Telephone number</t>
  </si>
  <si>
    <t>Email address</t>
  </si>
  <si>
    <t>Website</t>
  </si>
  <si>
    <t>Have you set up a national certification authority to certify verifiers pursuant to Article 55(2) of Commission Implementing Regulation (EU) 2018/2067 [*]?</t>
  </si>
  <si>
    <t>If yes, please state the name, abbreviation and contact details of the national certification authority using the table below.</t>
  </si>
  <si>
    <t>[*] Commission Implementing Regulation (EU) 2018/2067 of 19 December 2018 on the verification of data and on the accreditation of verifiers pursuant to Directive 2003/87/EC of the European Parliament and of the Council (OJ L 334, 31.12.2018, p. 94). That Regulation replaces Commission Regulation (EU) No 600/2012.</t>
  </si>
  <si>
    <t xml:space="preserve">In the table below, please state the name, abbreviation and contact details of the registry administrator in your Member State. </t>
  </si>
  <si>
    <t>In the table below, please indicate which competent authority is responsible for the following tasks. Use their abbreviation separated by commas. Display further rows if necessary.</t>
  </si>
  <si>
    <t>Please note that if a box in the table below is grey, the task is not relevant for either installations or aviation.</t>
  </si>
  <si>
    <t>Competent authority in charge of:</t>
  </si>
  <si>
    <t>Aviation</t>
  </si>
  <si>
    <t>Issuance of permits</t>
  </si>
  <si>
    <t>Approval of the monitoring methodology plan for installations and significant changes to that plan</t>
  </si>
  <si>
    <t>Processing the applications for free allowances pursuant to Article 10a of Directive 2003/87/EC[*] and Commission Delegated Regulation (EU) 2019/331[**]</t>
  </si>
  <si>
    <t>Assessing annual activity level reports and adjustment of allowances under Commission Implementing Regulation (EU) 2019/1842[***]</t>
  </si>
  <si>
    <t>Free allocation pursuant to Articles 3e and 3f of Directive 2003/87/EC</t>
  </si>
  <si>
    <t>Activities related to auctioning (the auctioneer defined in Commission Regulation (EU) No 1031/2010[****])</t>
  </si>
  <si>
    <t>Approval of the monitoring plan and significant changes to the monitoring plan</t>
  </si>
  <si>
    <t>Receiving and assessing verified annual emission reports and verification reports</t>
  </si>
  <si>
    <t>Approval of improvement reports in accordance with Article 69 of Implementing Regulation (EU) 2018/2066</t>
  </si>
  <si>
    <t>Administration of unilateral inclusion of activities and gases under Article 24 of Directive 2003/87/EC [*****]</t>
  </si>
  <si>
    <t>Administration of installations excluded under Articles 27 and 27a of Directive 2003/87/EC [******]</t>
  </si>
  <si>
    <t>Other, please specify:</t>
  </si>
  <si>
    <t>[*] Directive 2003/87/EC of the European Parliament and of the Council of 13 October 2003 establishing a system for greenhouse gas emission allowance trading within the Union and amending Council Directive 96/61/EC (OJ L 275, 25.10.2003, p. 32).</t>
  </si>
  <si>
    <t>[**] Commission Delegated Regulation (EU) 2019/331 of 19 December 2018 determining transitional Union_x0002_wide rules for harmonised free allocation of emission allowances pursuant to Article 10a of Directive 
2003/87/EC of the European Parliament and of the Council, (OJ L 59, 27.2.2019, p. 8).</t>
  </si>
  <si>
    <t>[***] Commission Implementing Regulation (EU) 2019/1842 of 31 October 2019 laying down rules for the application of Directive 2003/87/EC of the European Parliament and of the Council as regards further arrangements for the adjustments to free allocation of emission allowances due to activity level changes (OJ L 282, 4.11.2019, p. 20).</t>
  </si>
  <si>
    <t>[****] Commission Regulation (EU) No 1031/2010 of 12 November 2010 on the timing, administration and other aspects of auctioning of greenhouse gas emission allowances pursuant to Directive 2003/87/EC of the European Parliament and of the Council establishing a system for greenhouse gas emission allowances trading within the Union (OJ L 302 18.11.2010, p. 1).</t>
  </si>
  <si>
    <t>[*****] This box needs only to be completed if the Member State has included activities or gases under Article 24 of Directive 2003/87/ EC.</t>
  </si>
  <si>
    <t>[******] This box needs only to be completed if the Member State has excluded activities or gases under Article 27 and 27a of Directive 2003/87/ EC.</t>
  </si>
  <si>
    <t>If more than one competent authority is designated in your Member State pursuant to Article 18 of Directive 2003/87/EC, which competent authority is your focal point referred to in Article 70(2) of Commission Implementing Regulation (EU) 2018/2067[*] ? Please answer using the relevant abbreviation in the table below.</t>
  </si>
  <si>
    <t>[*] Commission Implementing Regulation (EU) 2018/2067 of 19 December 2018 on the verification of data and on the accreditation of verifiers pursuant to Directive 2003/87/EC of the European Parliament and of the Council (OJ L 334, 31.12.2018, p. 94).</t>
  </si>
  <si>
    <t>Name of the competent authority that is the focal point referred to in Article 70(2) of Implementing Regulation (EU) 2018/2067</t>
  </si>
  <si>
    <t>If more than one competent authority is designated in your Member State to carry out the activities in Implementing Regulation (EU) 2018/2066, what measures have been taken to coordinate the work of those competent authorities in accordance with Article 10 of Implementing Regulation (EU) 2018/2066? Please answer using the table below.</t>
  </si>
  <si>
    <t>Coordination of activities with respect to Article 10 of Implementing Regulation (EU) 2018/2066</t>
  </si>
  <si>
    <t>Yes/No</t>
  </si>
  <si>
    <t>Comments (optional)</t>
  </si>
  <si>
    <t>Does a central competent authority review monitoring plans, annual emission reports and improvement reports in addition to local and regional authorities on a regular basis?</t>
  </si>
  <si>
    <t>Does a central competent authority provide advice or instructions to local and/or regional competent authorities?</t>
  </si>
  <si>
    <t>Are the advice or instructions binding?</t>
  </si>
  <si>
    <t>Is common training organised for all competent authorities to ensure harmonised implementation of requirements?</t>
  </si>
  <si>
    <t>Is a structured working or coordination group established where competent authority staff discusses monitoring and reporting issues and develops common approaches?</t>
  </si>
  <si>
    <t xml:space="preserve">Are there other coordination activities? If yes, please specify: </t>
  </si>
  <si>
    <t>What effective exchange of information and cooperation has been established in accordance with Article 70(1) of Implementing Regulation (EU) 2018/2067 between the national accreditation body or, if relevant, the national certification authority and the competent authority within your Member State? Please answer using the table below.</t>
  </si>
  <si>
    <t>Coordination of activities with respect to Article 70(1) of Implementing Regulation (EU) 2018/2067</t>
  </si>
  <si>
    <t>Are regular meetings organised between the national accreditation body/national certification authority (if relevant) and the competent authority responsible for the coordination?</t>
  </si>
  <si>
    <t>Has a working group been established where the national accreditation body/national certification authority (if relevant), the competent authority and verifiers discuss accreditation and verification issues?</t>
  </si>
  <si>
    <t>Can the competent authority accompany the national accreditation body in accreditation activities as an observer?</t>
  </si>
  <si>
    <t>Coverage of activities, installations and aircraft operators</t>
  </si>
  <si>
    <t>3A.</t>
  </si>
  <si>
    <t>How many installations carry out activities and emit greenhouse gas emissions listed in Annex I to Directive 2003/87/EC? How many of those installations are category A, B and C installations as referred to in Article 19(2) of Implementing Regulation (EU) 2018/2066? How many of the category A installations are installations with low emissions as referred to in Article 47(2) of Implementing Regulation (EU) 2018/2066? Please answer using the table below</t>
  </si>
  <si>
    <t xml:space="preserve">Installations </t>
  </si>
  <si>
    <t>Number</t>
  </si>
  <si>
    <t>Category A installations</t>
  </si>
  <si>
    <t>Category B installations</t>
  </si>
  <si>
    <t>Category C installations</t>
  </si>
  <si>
    <t>How many of the category A installations are installations with low emissions?</t>
  </si>
  <si>
    <t>Which Annex I activities are carried out by installations in your Member State? Please answer using the table below.</t>
  </si>
  <si>
    <t>Annex I activity</t>
  </si>
  <si>
    <t>Combustion activities as specified in Annex I to Directive 2003/87/EC</t>
  </si>
  <si>
    <t>Refining of mineral oil</t>
  </si>
  <si>
    <t xml:space="preserve">Production of coke </t>
  </si>
  <si>
    <t>Metal ore (including sulphide ore) roasting or sintering, including pelletisation</t>
  </si>
  <si>
    <t>Production of pig iron or steel as specified in Annex I to Directive 2003/87/EC</t>
  </si>
  <si>
    <t>Production or processing of ferrous metals as specified in Annex I to Directive 2003/87/EC</t>
  </si>
  <si>
    <t>Production of primary aluminum</t>
  </si>
  <si>
    <t>Production of secondary aluminium as specified in Annex I to Directive 2003/87/EC</t>
  </si>
  <si>
    <t>Production or processing of non-ferrous metals as specified in Annex I to Directive 2003/87/EC</t>
  </si>
  <si>
    <t>Production of cement clinker in rotary kilns as specified in Annex I to Directive 2003/87/ EC</t>
  </si>
  <si>
    <t>Production of lime or calcination of dolomite or magnesite as specified in Annex I to Directive 2003/87/ EC</t>
  </si>
  <si>
    <t>Manufacture of glass as specified in Annex I to Directive 2003/87/EC</t>
  </si>
  <si>
    <t>Manufacture of ceramic products as specified in Annex I to Directive 2003/87/EC</t>
  </si>
  <si>
    <t>Manufacture of mineral wool insulation material using glass, rock or slag as specified in Annex I to Directive 2003/87/EC</t>
  </si>
  <si>
    <t>Drying or calcination of gypsum or production of plaster boards and other gypsum products, as specified in Annex I to Directive 2003/87/EC</t>
  </si>
  <si>
    <t>Production of pulp as specified in Annex I to Directive 2003/87/EC</t>
  </si>
  <si>
    <t xml:space="preserve">Production of paper or cardboard as specified in Annex I to Directive 2003/87/EC </t>
  </si>
  <si>
    <t xml:space="preserve">Production of carbon black as specified in Annex I to Directive 2003/87/EC </t>
  </si>
  <si>
    <t xml:space="preserve">Production of nitric acid </t>
  </si>
  <si>
    <t xml:space="preserve">Production of adipic acid </t>
  </si>
  <si>
    <t xml:space="preserve">Production of glyoxal and glyoxylic acid </t>
  </si>
  <si>
    <t xml:space="preserve">Production of ammonia </t>
  </si>
  <si>
    <t xml:space="preserve">Production of bulk organic chemicals as specified in Annex I to Directive 2003/87/EC </t>
  </si>
  <si>
    <r>
      <t>Production of hydrogen (H</t>
    </r>
    <r>
      <rPr>
        <vertAlign val="subscript"/>
        <sz val="10"/>
        <color rgb="FF004B7F"/>
        <rFont val="Calibri"/>
        <family val="2"/>
        <scheme val="minor"/>
      </rPr>
      <t>2</t>
    </r>
    <r>
      <rPr>
        <sz val="10"/>
        <color rgb="FF004B7F"/>
        <rFont val="Calibri"/>
        <family val="2"/>
        <scheme val="minor"/>
      </rPr>
      <t xml:space="preserve">) and synthesis gas as specified in Annex I to Directive 2003/87/EC </t>
    </r>
  </si>
  <si>
    <r>
      <t>Production of soda ash (Na</t>
    </r>
    <r>
      <rPr>
        <vertAlign val="subscript"/>
        <sz val="10"/>
        <color rgb="FF004B7F"/>
        <rFont val="Calibri"/>
        <family val="2"/>
        <scheme val="minor"/>
      </rPr>
      <t>2</t>
    </r>
    <r>
      <rPr>
        <sz val="10"/>
        <color rgb="FF004B7F"/>
        <rFont val="Calibri"/>
        <family val="2"/>
        <scheme val="minor"/>
      </rPr>
      <t>CO</t>
    </r>
    <r>
      <rPr>
        <vertAlign val="subscript"/>
        <sz val="10"/>
        <color rgb="FF004B7F"/>
        <rFont val="Calibri"/>
        <family val="2"/>
        <scheme val="minor"/>
      </rPr>
      <t>3</t>
    </r>
    <r>
      <rPr>
        <sz val="10"/>
        <color rgb="FF004B7F"/>
        <rFont val="Calibri"/>
        <family val="2"/>
        <scheme val="minor"/>
      </rPr>
      <t>) and sodium bicarbonate (NaHCO</t>
    </r>
    <r>
      <rPr>
        <vertAlign val="subscript"/>
        <sz val="10"/>
        <color rgb="FF004B7F"/>
        <rFont val="Calibri"/>
        <family val="2"/>
        <scheme val="minor"/>
      </rPr>
      <t>3</t>
    </r>
    <r>
      <rPr>
        <sz val="10"/>
        <color rgb="FF004B7F"/>
        <rFont val="Calibri"/>
        <family val="2"/>
        <scheme val="minor"/>
      </rPr>
      <t>) as specified in Annex I to Directive 2003/87/EC</t>
    </r>
  </si>
  <si>
    <t xml:space="preserve">Capture of greenhouse gases from installations as specified in Annex I to Directive 2003/87/EC </t>
  </si>
  <si>
    <t>Transport of greenhouse gases by pipelines for geological storage in a storage site permitted under Directive 2009/31/EC [*]</t>
  </si>
  <si>
    <t>Geological storage of greenhouse gases in a storage site permitted under Directive 2009/31/EC</t>
  </si>
  <si>
    <t>[*] Directive 2009/31/EC of the European Parliament and of the Council of 23 April 2009 on the geological storage of carbon dioxide and amending Council Directive 85/337/EEC, European Parliament and Council Directives 2000/60/EC, 2001/80/EC, 2004/35/EC, 2006/12/EC, 2008/1/EC and Regulation (EC) No 1013/2006 (OJ L 140 5.6.2009, p. 114).</t>
  </si>
  <si>
    <t>Have you excluded installations under Article 27 or 27a of Directive 2003/87/EC? Yes/ No</t>
  </si>
  <si>
    <t>If yes, please complete in the table below:</t>
  </si>
  <si>
    <r>
      <t>The total emissions of installations excluded under Article 27 of Directive 2003/87/EC and the number of installations that have exceeded the threshold of 25 000 tonnes of CO</t>
    </r>
    <r>
      <rPr>
        <vertAlign val="subscript"/>
        <sz val="10"/>
        <color rgb="FF004B7F"/>
        <rFont val="Calibri"/>
        <family val="2"/>
        <scheme val="minor"/>
      </rPr>
      <t>2(e)</t>
    </r>
    <r>
      <rPr>
        <sz val="10"/>
        <color rgb="FF004B7F"/>
        <rFont val="Calibri"/>
        <family val="2"/>
        <scheme val="minor"/>
      </rPr>
      <t xml:space="preserve"> under Article 27 and that need to re-enter the emissions trading system;</t>
    </r>
  </si>
  <si>
    <r>
      <t>The total emissions of installations excluded under Article 27a(1) of Directive 2003/87/EC and the number of installations that have exceeded the threshold of 2 500 tonnes of CO</t>
    </r>
    <r>
      <rPr>
        <vertAlign val="subscript"/>
        <sz val="10"/>
        <color rgb="FF004B7F"/>
        <rFont val="Calibri"/>
        <family val="2"/>
        <scheme val="minor"/>
      </rPr>
      <t>2(e)</t>
    </r>
    <r>
      <rPr>
        <sz val="10"/>
        <color rgb="FF004B7F"/>
        <rFont val="Calibri"/>
        <family val="2"/>
        <scheme val="minor"/>
      </rPr>
      <t xml:space="preserve"> under Article 27a(1) and that need to re-enter the emissions trading system;</t>
    </r>
  </si>
  <si>
    <t>The total emissions of units excluded under Article 27a(3) of Directive 2003/87/EC and the number of units that exceeded the threshold of 300 hours under Article 27a(3) and that need to re-enter the emissions trading system.</t>
  </si>
  <si>
    <t xml:space="preserve">Exclusion under Article 27, 27a(1) or 27a(3) of Directive 2003/87/EC [*] </t>
  </si>
  <si>
    <t>Total emissions of installations excluded</t>
  </si>
  <si>
    <t>Number of installations or units that exceeded the applicable thresholds that need to re-enter the emissions trading scheme</t>
  </si>
  <si>
    <t>[*] Please select Article 27, 27a (1) or 27a (3).</t>
  </si>
  <si>
    <t>How many of the installations excluded under Articles 27 and 27a of Directive 2003/87/EC have closed in the reporting period?</t>
  </si>
  <si>
    <t>Number of installations closed</t>
  </si>
  <si>
    <t>Exclusion under Article 27 of Directive 2003/87/EC</t>
  </si>
  <si>
    <t>Exclusion under Article 27a of Directive 2003/87/EC</t>
  </si>
  <si>
    <t>3B.</t>
  </si>
  <si>
    <t>How many aircraft operators are carrying out activities listed in Annex I to Directive 2003/87/EC for which you are responsible as administering Member State? How many of those aircraft operators are commercial aircraft operators and non-commercial aircraft operators? How many of the total number of aircraft operators are small emitters as referred to in Article 55(1) of Regulation (EU) 2018/2066? Please specify using the table below.</t>
  </si>
  <si>
    <t>Type of aircraft operators</t>
  </si>
  <si>
    <t>Number of commercial aircraft operators</t>
  </si>
  <si>
    <t>Number of non_x0002_commercial aircraft operators</t>
  </si>
  <si>
    <t>Total number</t>
  </si>
  <si>
    <t>Aircraft operators (that are not small emitters)</t>
  </si>
  <si>
    <t xml:space="preserve">Aircraft operators that are small emitters </t>
  </si>
  <si>
    <t>Question 4.1 and the first part of question 4.2 are to be answered in the report due by 30 June 2022 and in subsequent reports if changes have occurred during the reporting period. All other questions are to be answered yearly.</t>
  </si>
  <si>
    <t>Please specify in the table below to what extent there has been integration or coordination between Directives 2003/87/EC and 2010/75/EU[*].</t>
  </si>
  <si>
    <t>[*] Directive 2010/75/EU of the European Parliament and of the Council of 24 November 2010 on industrial emissions (integrated pollution prevention and control) (OJ L 334 17.12.2010, p. 17).</t>
  </si>
  <si>
    <t>Integration and coordination of the greenhouse gas emission permit (ETS permit) and the Industrial Emissions Directive (IED) permit</t>
  </si>
  <si>
    <t>Yes/No/ Partially</t>
  </si>
  <si>
    <t>Is the ETS permit part of the IED permit?</t>
  </si>
  <si>
    <t>If not, are the permitting procedures under the IED Directive and ETS permit integrated?</t>
  </si>
  <si>
    <t>If not, do IED regulators check whether an ETS permit is applicable and, if necessary, inform the competent authority  responsible for the activities under the EU ETS?</t>
  </si>
  <si>
    <t>Are the approval of monitoring plans and assessment of annual emission reports carried out by IED regulators?</t>
  </si>
  <si>
    <t>Is the IED regulator requested to provide advice or instructions on the monitoring, reporting and verification activities carried out by the competent authority under EU ETS?</t>
  </si>
  <si>
    <t>If yes, are that advice or instructions binding?</t>
  </si>
  <si>
    <t>Is the integration or coordination of permitting carried out in another way? If yes, please specify:</t>
  </si>
  <si>
    <t>When does national law require a permit to be updated in accordance with Article 6 and 7 of Directive 2003/87/EC? Please provide details of the provisions in national law in the table below. Display further rows if necessary.</t>
  </si>
  <si>
    <t xml:space="preserve">Details of provisions in national law </t>
  </si>
  <si>
    <t xml:space="preserve">Does a permit expire under national law? If yes, under what circumstances? </t>
  </si>
  <si>
    <t xml:space="preserve">Are there other types of permit updates? If yes, please provide details: </t>
  </si>
  <si>
    <t>Other types of permit updates II</t>
  </si>
  <si>
    <t>Other types of permit updates III</t>
  </si>
  <si>
    <t>Other types of permit updates IV</t>
  </si>
  <si>
    <r>
      <t>&lt;- Click the</t>
    </r>
    <r>
      <rPr>
        <b/>
        <sz val="10"/>
        <color rgb="FF004B7F"/>
        <rFont val="Calibri"/>
        <family val="2"/>
        <scheme val="minor"/>
      </rPr>
      <t xml:space="preserve"> +</t>
    </r>
    <r>
      <rPr>
        <sz val="10"/>
        <color rgb="FF004B7F"/>
        <rFont val="Calibri"/>
        <family val="2"/>
        <scheme val="minor"/>
      </rPr>
      <t xml:space="preserve"> button for additional rows</t>
    </r>
  </si>
  <si>
    <t>What is the total number of permit updates that occurred in the reporting period? Please specify in the table below the number of permit updates as far as this is known to the competent authority.</t>
  </si>
  <si>
    <t>Total number of permits updated in the reporting period</t>
  </si>
  <si>
    <t>Application of the monitoring and reporting regulation</t>
  </si>
  <si>
    <t>5A.</t>
  </si>
  <si>
    <t>Question 5.1 is to be answered in the report due by 30 June 2022 and in subsequent reports if changes have occurred during the reporting period.</t>
  </si>
  <si>
    <t>Is additional national legislation adopted to assist in the implementation of Implementing Regulation (EU) 2018/2066? Yes/No</t>
  </si>
  <si>
    <t>If yes, please specify below for which areas additional national legislation has been implemented.</t>
  </si>
  <si>
    <t>Has additional national guidance been developed to support the understanding of Implementing Regulation (EU) 2018/2066? Yes/No</t>
  </si>
  <si>
    <t>If yes, please specify below for which areas additional national guidance has been developed.</t>
  </si>
  <si>
    <t>Question 5.2 is to be answered in the report due by 30 June 2022, and in subsequent reports if changes have occurred during the reporting period.</t>
  </si>
  <si>
    <t>What measures have been taken to streamline the EU ETS reporting requirements with reporting requirements of other existing reporting mechanisms such as greenhouse gas inventory reporting and European Pollutant Release and Transfer Register (E-PRTR) reporting? Please complete the table below.</t>
  </si>
  <si>
    <t>Measures to streamline reporting requirements</t>
  </si>
  <si>
    <t>EU ETS data is used for compiling the GHG inventory report</t>
  </si>
  <si>
    <t xml:space="preserve">EU ETS emission report is used by authorities responsible for GHG inventories and the statistical office to make comparisons with the national energy balance </t>
  </si>
  <si>
    <t>EU ETS emission reporting is used by authorities responsible for compiling E-PRTR reports for plausibility and/or validation checks</t>
  </si>
  <si>
    <t>EU ETS data is used as validation and quality assurance in GHG inventory reporting</t>
  </si>
  <si>
    <t>An online reporting portal or platform is in place to report for EU ETS, E-PRTR and/or other purposes</t>
  </si>
  <si>
    <t>There is structured coordination between E-PRTR, GHG inventory and EU ETS competent authorities</t>
  </si>
  <si>
    <t>Are there other measures to streamline EU ETS reporting requirements with other reporting requirements? If yes, please specify:</t>
  </si>
  <si>
    <t>Question 5.3 is to be answered in the report due by 30 June 2022, and in subsequent reports if changes have occurred during the reporting period.</t>
  </si>
  <si>
    <t>Are you using the template developed by the Commission for monitoring plans, emission reports, verification reports and/or improvement report? Yes/No</t>
  </si>
  <si>
    <t>If no, please specify in the table below whether your Member State has developed customised electronic templates or specific file formats for monitoring plans, emission reports, verification reports and/or improvement reports and indicate which elements are different compared to the template developed by the Commission.</t>
  </si>
  <si>
    <t xml:space="preserve">Member State specific template or file format [*] </t>
  </si>
  <si>
    <t>Which elements differ from those of the templates and file formats published by the Commission?</t>
  </si>
  <si>
    <r>
      <t xml:space="preserve">Monitoring plan for </t>
    </r>
    <r>
      <rPr>
        <b/>
        <sz val="10"/>
        <color rgb="FF004B7F"/>
        <rFont val="Calibri"/>
        <family val="2"/>
        <scheme val="minor"/>
      </rPr>
      <t>installations</t>
    </r>
  </si>
  <si>
    <r>
      <t>Emissions report for</t>
    </r>
    <r>
      <rPr>
        <b/>
        <sz val="10"/>
        <color rgb="FF004B7F"/>
        <rFont val="Calibri"/>
        <family val="2"/>
        <scheme val="minor"/>
      </rPr>
      <t xml:space="preserve"> </t>
    </r>
    <r>
      <rPr>
        <sz val="10"/>
        <color rgb="FF004B7F"/>
        <rFont val="Calibri"/>
        <family val="2"/>
        <scheme val="minor"/>
      </rPr>
      <t>installations</t>
    </r>
  </si>
  <si>
    <t>Verification report for installations</t>
  </si>
  <si>
    <t>Improvement report for installations</t>
  </si>
  <si>
    <t>[*] Please select Member State specific template or Member State specific file format.</t>
  </si>
  <si>
    <t xml:space="preserve">Member State specific template or file format [**] </t>
  </si>
  <si>
    <r>
      <t>Monitoring plan for</t>
    </r>
    <r>
      <rPr>
        <b/>
        <sz val="10"/>
        <color rgb="FF004B7F"/>
        <rFont val="Calibri"/>
        <family val="2"/>
        <scheme val="minor"/>
      </rPr>
      <t xml:space="preserve"> aircraft operators</t>
    </r>
  </si>
  <si>
    <t>Emissions report for aircraft operators</t>
  </si>
  <si>
    <t>Verification report for aircraft operators</t>
  </si>
  <si>
    <t>Improvement report for aircraft operators</t>
  </si>
  <si>
    <t>[**] Please select Member State specific template or Member State specific file format.</t>
  </si>
  <si>
    <t>What measures have you implemented to comply with the requirements in Article 74(1) and (2) of Implementing Regulation (EU) 2018/2066? Please specify below.</t>
  </si>
  <si>
    <t>Question 5.4 is to be answered in the report due by 30 June 2022, and in subsequent reports if changes have occurred during the reporting period.</t>
  </si>
  <si>
    <t>Are you using an automated system for electronic data exchange between operators or aircraft operators and the competent authority and other parties? Yes/ No</t>
  </si>
  <si>
    <t>If yes, please specify below what provisions you have implemented to comply with the requirements in Article 75(1) and (2) of Implementing Regulation (EU) 2018/2066.</t>
  </si>
  <si>
    <t>5B.</t>
  </si>
  <si>
    <t xml:space="preserve">In the table below, please complete, for the fuels listed, the total fuel consumption and total annual emissions based on data reported in the operator’s emissions reports for the reporting year. </t>
  </si>
  <si>
    <t xml:space="preserve">Total fuel consumption (TJ)
</t>
  </si>
  <si>
    <r>
      <t>Total annual emissions (t CO</t>
    </r>
    <r>
      <rPr>
        <vertAlign val="subscript"/>
        <sz val="10"/>
        <color theme="0"/>
        <rFont val="Calibri"/>
        <family val="2"/>
        <scheme val="minor"/>
      </rPr>
      <t>2</t>
    </r>
    <r>
      <rPr>
        <sz val="10"/>
        <color theme="0"/>
        <rFont val="Calibri"/>
        <family val="2"/>
        <scheme val="minor"/>
      </rPr>
      <t>)</t>
    </r>
  </si>
  <si>
    <t xml:space="preserve">Natural gas </t>
  </si>
  <si>
    <t xml:space="preserve">Coke oven gas </t>
  </si>
  <si>
    <t xml:space="preserve">Blast furnace gas </t>
  </si>
  <si>
    <t>Fuel oil</t>
  </si>
  <si>
    <t>Other fossil fuels [*]</t>
  </si>
  <si>
    <t xml:space="preserve">[*] Please note that this question does not cover biomass (including non-sustainable biofuels, bioliquids, solid biomass). Information concerning combustion of biomass is covered by question 5.15. </t>
  </si>
  <si>
    <t>In the table below, please complete the aggregate total emissions for each reported IPCC Common Reporting Format (CRF) category based on the data provided in the operator’s emission reports in accordance with Article 73 of Implementing Regulation (EU) 2018/2066.</t>
  </si>
  <si>
    <t>CRF Category 1 (Energy)</t>
  </si>
  <si>
    <t>CRF Category 2 (Process emissions)</t>
  </si>
  <si>
    <r>
      <t>Total emissions (t CO</t>
    </r>
    <r>
      <rPr>
        <vertAlign val="subscript"/>
        <sz val="10"/>
        <color theme="0"/>
        <rFont val="Calibri"/>
        <family val="2"/>
        <scheme val="minor"/>
      </rPr>
      <t>2(e)</t>
    </r>
    <r>
      <rPr>
        <sz val="10"/>
        <color theme="0"/>
        <rFont val="Calibri"/>
        <family val="2"/>
        <scheme val="minor"/>
      </rPr>
      <t>)</t>
    </r>
  </si>
  <si>
    <r>
      <t>Total combustion emissions (t CO</t>
    </r>
    <r>
      <rPr>
        <vertAlign val="subscript"/>
        <sz val="10"/>
        <color theme="0"/>
        <rFont val="Calibri"/>
        <family val="2"/>
        <scheme val="minor"/>
      </rPr>
      <t>2(e)</t>
    </r>
    <r>
      <rPr>
        <sz val="10"/>
        <color theme="0"/>
        <rFont val="Calibri"/>
        <family val="2"/>
        <scheme val="minor"/>
      </rPr>
      <t>)</t>
    </r>
  </si>
  <si>
    <r>
      <t>Total process emissions (t CO</t>
    </r>
    <r>
      <rPr>
        <vertAlign val="subscript"/>
        <sz val="10"/>
        <color theme="0"/>
        <rFont val="Calibri"/>
        <family val="2"/>
        <scheme val="minor"/>
      </rPr>
      <t>2(e)</t>
    </r>
    <r>
      <rPr>
        <sz val="10"/>
        <color theme="0"/>
        <rFont val="Calibri"/>
        <family val="2"/>
        <scheme val="minor"/>
      </rPr>
      <t>)</t>
    </r>
  </si>
  <si>
    <t>In the table below, please indicate for each category of installation and for each fuel or material type the number of installations for which the competent authority has approved default values referred to in Article 31(1) of Implementing Regulation (EU) 2018/2066.</t>
  </si>
  <si>
    <t>Category of installation [*]</t>
  </si>
  <si>
    <t>Fuel or material type</t>
  </si>
  <si>
    <t>Number of installations using a default value</t>
  </si>
  <si>
    <t>[*] Please select category A installation, category B installation, category C installation or installation with low emissions.</t>
  </si>
  <si>
    <t xml:space="preserve">In the table below, please indicate the number of installations for which the competent authority has allowed a different frequency for analysis in accordance with Article 35(2), point (b), of Implementing Regulation (EU) 2018/2066 as well as confirmation that the sampling plan in those cases is fully documented and adhered to. </t>
  </si>
  <si>
    <t>Name of fuel or material</t>
  </si>
  <si>
    <t>Number of installations for 
which the competent authority has allowed a different frequency for  analysis</t>
  </si>
  <si>
    <t>Number of major source streams for which a different 
frequency for analysis is applied</t>
  </si>
  <si>
    <t xml:space="preserve">Confirmation that the sampling plan is fully documented and adhered to. Yes/No. 
If no, please specify the reason on the right.
</t>
  </si>
  <si>
    <t xml:space="preserve">If the highest tier approaches for major source streams or major emission sources of category C installations referred to in Article 19(2), point (c), of Implementing Regulation (EU) 2018/2066 are not applied, please indicate in the table below, for each installation for which this situation occurred, the affected source streams or emission source, the affected monitoring parameter, the highest tier required under Implementing Regulation (EU) 2018/2066 and the tier applied. </t>
  </si>
  <si>
    <t>Installation identification code [*]</t>
  </si>
  <si>
    <t>Affected source stream in the calculation based methodology</t>
  </si>
  <si>
    <t>Affected emission source in the measurement based methodology</t>
  </si>
  <si>
    <t>Affected monitoring parameter [**]</t>
  </si>
  <si>
    <t xml:space="preserve">Highest tier required 
under Implementing 
Regulation (EU) 2018/2066 </t>
  </si>
  <si>
    <t>Tier applied in practice</t>
  </si>
  <si>
    <t>[*] Installation identification code recognised in accordance with Commission Delegated Regulation (EU) 2019/1122 of 12 March 2019 supplementing Directive 2003/87/EC of the European Parliament and of the Council as regards the functioning of the Union Registry.</t>
  </si>
  <si>
    <t>[**] Please select under affected monitoring parameter: quantity of fuel, quantity of material, net calorific value, emission factor, preliminary emission factor, oxidation factor, conversion factor, carbon content, biomass fraction, or in the case of a measurement based methodology: the annual average hourly emissions in kg/h from the emission source.</t>
  </si>
  <si>
    <t>In the table below, please indicate the number of category B installations referred to in Article 19(2), point (b), of Implementing Regulation (EU) 2018/2066 that do not apply the highest tier for all major source streams and all major emission sources [*] in accordance with Implementing Regulation (EU) 2018/2066.</t>
  </si>
  <si>
    <t>Monitoring methodology [**]</t>
  </si>
  <si>
    <t>Main Annex I activity</t>
  </si>
  <si>
    <t>Number of installations affected</t>
  </si>
  <si>
    <t>[*] Emission sources which emit more than 5,000 tonnes of CO2(e) per year or which contribute more than 10 % of the total annual emissions of the installation, whichever is higher in terms of absolute emissions.</t>
  </si>
  <si>
    <t>[**] Please select: calculation based methodology or measurement based methodology.</t>
  </si>
  <si>
    <t>Have installations in your Member State applied the fall-back approach in accordance with Article 22 of Implementing Regulation (EU) 2018/2066?</t>
  </si>
  <si>
    <t xml:space="preserve">If yes, please complete the table below. </t>
  </si>
  <si>
    <t>Reason for applying the fall-back approach [**]</t>
  </si>
  <si>
    <t>Parameter, for which at least tier 1 was not reached [***]</t>
  </si>
  <si>
    <t>Estimated emissions affected by this parameter</t>
  </si>
  <si>
    <t>[*] Installation identification code recognised in accordance with Commission Delegated Regulation (EU) 2019/1122.</t>
  </si>
  <si>
    <t>[**]  Please select: 
a) applying tier 1 is technically infeasible or leads to unreasonable costs for one major source stream; 
b) applying tier 1 is technically infeasible or leads to unreasonable costs for one minor source stream; 
c) applying tier 1 is technically infeasible or leads to unreasonable costs for more than one major or minor source stream; or 
d) applying tier 1 in the measurement based methodology is technically infeasible or leads to unreasonable costs as referred to in Article 22 of Implementing Regulation (EU) 2018/2066.</t>
  </si>
  <si>
    <t xml:space="preserve">Please indicate in the table below the number of category A, B and C installations that were required to submit and actually submitted an improvement report in accordance with Article 69 of Implementing Regulation (EU) 2018/2066. The information in the table below relates to the submission of the improvement report in the previous reporting period. </t>
  </si>
  <si>
    <t>Installation category</t>
  </si>
  <si>
    <t>Type of improvement report [*]</t>
  </si>
  <si>
    <t>Number of installations required to submit an improvement report</t>
  </si>
  <si>
    <t>Number of installations that submitted an improvement report in practice</t>
  </si>
  <si>
    <t>[*] Please select: improvement report in accordance with Article 69(1) of Implementing Regulation (EU) 2018/2066, improvement report in accordance with Article 69(3) of that Regulation or improvement report in accordance withArticle 69(4) of that Regulation.</t>
  </si>
  <si>
    <t>Has inherent CO2 in accordance with Article 48, CO2 in accordance with Article 49 or N2O in accordance with Article 50 of Implementing Regulation (EU) 2018/2066 been transferred in your Member State? Yes/ No</t>
  </si>
  <si>
    <t>Type of transfer [*]</t>
  </si>
  <si>
    <t>Installation identification 
code [**] of the transferring 
installation [***]</t>
  </si>
  <si>
    <t>Installation identification 
code [****] of the receiving installation</t>
  </si>
  <si>
    <r>
      <t>Amount of CO</t>
    </r>
    <r>
      <rPr>
        <vertAlign val="subscript"/>
        <sz val="10"/>
        <color theme="0"/>
        <rFont val="Calibri"/>
        <family val="2"/>
        <scheme val="minor"/>
      </rPr>
      <t>2</t>
    </r>
    <r>
      <rPr>
        <sz val="10"/>
        <color theme="0"/>
        <rFont val="Calibri"/>
        <family val="2"/>
        <scheme val="minor"/>
      </rPr>
      <t xml:space="preserve"> or N</t>
    </r>
    <r>
      <rPr>
        <vertAlign val="subscript"/>
        <sz val="10"/>
        <color theme="0"/>
        <rFont val="Calibri"/>
        <family val="2"/>
        <scheme val="minor"/>
      </rPr>
      <t>2</t>
    </r>
    <r>
      <rPr>
        <sz val="10"/>
        <color theme="0"/>
        <rFont val="Calibri"/>
        <family val="2"/>
        <scheme val="minor"/>
      </rPr>
      <t>O 
transferred (t CO</t>
    </r>
    <r>
      <rPr>
        <vertAlign val="subscript"/>
        <sz val="10"/>
        <color theme="0"/>
        <rFont val="Calibri"/>
        <family val="2"/>
        <scheme val="minor"/>
      </rPr>
      <t>2</t>
    </r>
    <r>
      <rPr>
        <sz val="10"/>
        <color theme="0"/>
        <rFont val="Calibri"/>
        <family val="2"/>
        <scheme val="minor"/>
      </rPr>
      <t xml:space="preserve">
or t N</t>
    </r>
    <r>
      <rPr>
        <vertAlign val="subscript"/>
        <sz val="10"/>
        <color theme="0"/>
        <rFont val="Calibri"/>
        <family val="2"/>
        <scheme val="minor"/>
      </rPr>
      <t>2</t>
    </r>
    <r>
      <rPr>
        <sz val="10"/>
        <color theme="0"/>
        <rFont val="Calibri"/>
        <family val="2"/>
        <scheme val="minor"/>
      </rPr>
      <t>O) [*****]</t>
    </r>
  </si>
  <si>
    <r>
      <t>Emissions of inherent CO</t>
    </r>
    <r>
      <rPr>
        <vertAlign val="subscript"/>
        <sz val="10"/>
        <color theme="0"/>
        <rFont val="Calibri"/>
        <family val="2"/>
        <scheme val="minor"/>
      </rPr>
      <t>2</t>
    </r>
    <r>
      <rPr>
        <sz val="10"/>
        <color theme="0"/>
        <rFont val="Calibri"/>
        <family val="2"/>
        <scheme val="minor"/>
      </rPr>
      <t xml:space="preserve">
received (t CO</t>
    </r>
    <r>
      <rPr>
        <vertAlign val="subscript"/>
        <sz val="10"/>
        <color theme="0"/>
        <rFont val="Calibri"/>
        <family val="2"/>
        <scheme val="minor"/>
      </rPr>
      <t>2</t>
    </r>
    <r>
      <rPr>
        <sz val="10"/>
        <color theme="0"/>
        <rFont val="Calibri"/>
        <family val="2"/>
        <scheme val="minor"/>
      </rPr>
      <t>)</t>
    </r>
  </si>
  <si>
    <r>
      <t>Main Annex I activity of the 
receiving installation in the case of transfer of CO</t>
    </r>
    <r>
      <rPr>
        <vertAlign val="subscript"/>
        <sz val="10"/>
        <color theme="0"/>
        <rFont val="Calibri"/>
        <family val="2"/>
        <scheme val="minor"/>
      </rPr>
      <t>2</t>
    </r>
    <r>
      <rPr>
        <sz val="10"/>
        <color theme="0"/>
        <rFont val="Calibri"/>
        <family val="2"/>
        <scheme val="minor"/>
      </rPr>
      <t xml:space="preserve"> (Article 49) or transfer of N</t>
    </r>
    <r>
      <rPr>
        <vertAlign val="subscript"/>
        <sz val="10"/>
        <color theme="0"/>
        <rFont val="Calibri"/>
        <family val="2"/>
        <scheme val="minor"/>
      </rPr>
      <t>2</t>
    </r>
    <r>
      <rPr>
        <sz val="10"/>
        <color theme="0"/>
        <rFont val="Calibri"/>
        <family val="2"/>
        <scheme val="minor"/>
      </rPr>
      <t>O (Article 50)</t>
    </r>
  </si>
  <si>
    <t>Permit number for the storage site (permit under Directive 2009/31/ EC) in the case of transfer to the Carbon Capture Storage site</t>
  </si>
  <si>
    <t>[*] Please select: transfer of inherent CO2 (Article 48), transfer of CO2 to Carbon Capture Storage (Article 49 (1) (a), transfer of CO2 in PCC (Article 49(1) (b)), transfer of N2O (Article 50).</t>
  </si>
  <si>
    <t>[**] Installation identification code recognised in accordance with Delegated Regulation (EU) 2019/1122.</t>
  </si>
  <si>
    <r>
      <t>[***] The installation transferring the inherent CO</t>
    </r>
    <r>
      <rPr>
        <i/>
        <vertAlign val="subscript"/>
        <sz val="10"/>
        <color rgb="FF004B7F"/>
        <rFont val="Calibri"/>
        <family val="2"/>
        <scheme val="minor"/>
      </rPr>
      <t>2</t>
    </r>
    <r>
      <rPr>
        <i/>
        <sz val="10"/>
        <color rgb="FF004B7F"/>
        <rFont val="Calibri"/>
        <family val="2"/>
        <scheme val="minor"/>
      </rPr>
      <t xml:space="preserve"> under Article 48 of Implementing Regulation (EU) 2018/2066, the installation transferring CO</t>
    </r>
    <r>
      <rPr>
        <i/>
        <vertAlign val="subscript"/>
        <sz val="10"/>
        <color rgb="FF004B7F"/>
        <rFont val="Calibri"/>
        <family val="2"/>
        <scheme val="minor"/>
      </rPr>
      <t>2</t>
    </r>
    <r>
      <rPr>
        <i/>
        <sz val="10"/>
        <color rgb="FF004B7F"/>
        <rFont val="Calibri"/>
        <family val="2"/>
        <scheme val="minor"/>
      </rPr>
      <t xml:space="preserve"> under Article 49 of that Regulation, the installation transferring the N</t>
    </r>
    <r>
      <rPr>
        <i/>
        <vertAlign val="subscript"/>
        <sz val="10"/>
        <color rgb="FF004B7F"/>
        <rFont val="Calibri"/>
        <family val="2"/>
        <scheme val="minor"/>
      </rPr>
      <t>2</t>
    </r>
    <r>
      <rPr>
        <i/>
        <sz val="10"/>
        <color rgb="FF004B7F"/>
        <rFont val="Calibri"/>
        <family val="2"/>
        <scheme val="minor"/>
      </rPr>
      <t>O under Article 50 of that Regulation.</t>
    </r>
  </si>
  <si>
    <r>
      <t>[****] Please provide either the installation identification code of the installation receiving the inherent CO</t>
    </r>
    <r>
      <rPr>
        <i/>
        <vertAlign val="subscript"/>
        <sz val="10"/>
        <color rgb="FF004B7F"/>
        <rFont val="Calibri"/>
        <family val="2"/>
        <scheme val="minor"/>
      </rPr>
      <t>2</t>
    </r>
    <r>
      <rPr>
        <i/>
        <sz val="10"/>
        <color rgb="FF004B7F"/>
        <rFont val="Calibri"/>
        <family val="2"/>
        <scheme val="minor"/>
      </rPr>
      <t>, the installation identification code of the installations receiving CO</t>
    </r>
    <r>
      <rPr>
        <i/>
        <vertAlign val="subscript"/>
        <sz val="10"/>
        <color rgb="FF004B7F"/>
        <rFont val="Calibri"/>
        <family val="2"/>
        <scheme val="minor"/>
      </rPr>
      <t xml:space="preserve">2  </t>
    </r>
    <r>
      <rPr>
        <i/>
        <sz val="10"/>
        <color rgb="FF004B7F"/>
        <rFont val="Calibri"/>
        <family val="2"/>
        <scheme val="minor"/>
      </rPr>
      <t>pursuant to Article 49 of Implementing Regulation (EU) 2018/2066 or receiving N</t>
    </r>
    <r>
      <rPr>
        <i/>
        <vertAlign val="subscript"/>
        <sz val="10"/>
        <color rgb="FF004B7F"/>
        <rFont val="Calibri"/>
        <family val="2"/>
        <scheme val="minor"/>
      </rPr>
      <t>2</t>
    </r>
    <r>
      <rPr>
        <i/>
        <sz val="10"/>
        <color rgb="FF004B7F"/>
        <rFont val="Calibri"/>
        <family val="2"/>
        <scheme val="minor"/>
      </rPr>
      <t>O pursuant to Article 50 of that Regulation. If the receiving party is a non EU ETS consumer, please fill in "Non EU ETS consumer".</t>
    </r>
  </si>
  <si>
    <r>
      <t>[*****] Please provide the amount of inherent CO2 or CO2 transferred pursuant to Article 49 of Implementing Regulation (EU) 2018/2066 or the N</t>
    </r>
    <r>
      <rPr>
        <i/>
        <sz val="8"/>
        <color rgb="FF004B7F"/>
        <rFont val="Calibri"/>
        <family val="2"/>
        <scheme val="minor"/>
      </rPr>
      <t>2</t>
    </r>
    <r>
      <rPr>
        <i/>
        <sz val="10"/>
        <color rgb="FF004B7F"/>
        <rFont val="Calibri"/>
        <family val="2"/>
        <scheme val="minor"/>
      </rPr>
      <t>O transferred pursuant to Article 50 of that Implementing Regulation.</t>
    </r>
  </si>
  <si>
    <t xml:space="preserve">Did any installations in your Member State apply continuous emissions measurement in accordance with Article 40 of Implementing Regulation
 (EU) 2018/2066? Yes/ No </t>
  </si>
  <si>
    <t>If yes, please indicate in the table below, the total emissions of each installation, the emissions covered by continuous emission measurement, and whether the measured gas 
contains biomass CO2.</t>
  </si>
  <si>
    <r>
      <t>Installation identification code [*] of installations emitting CO</t>
    </r>
    <r>
      <rPr>
        <vertAlign val="subscript"/>
        <sz val="10"/>
        <color theme="0"/>
        <rFont val="Calibri"/>
        <family val="2"/>
        <scheme val="minor"/>
      </rPr>
      <t>2</t>
    </r>
  </si>
  <si>
    <r>
      <t>Installation identification code [*] of installations emitting N</t>
    </r>
    <r>
      <rPr>
        <vertAlign val="subscript"/>
        <sz val="10"/>
        <color theme="0"/>
        <rFont val="Calibri"/>
        <family val="2"/>
        <scheme val="minor"/>
      </rPr>
      <t>2</t>
    </r>
    <r>
      <rPr>
        <sz val="10"/>
        <color theme="0"/>
        <rFont val="Calibri"/>
        <family val="2"/>
        <scheme val="minor"/>
      </rPr>
      <t>O</t>
    </r>
  </si>
  <si>
    <r>
      <t>Total annual emissions
(t CO</t>
    </r>
    <r>
      <rPr>
        <vertAlign val="subscript"/>
        <sz val="10"/>
        <color theme="0"/>
        <rFont val="Calibri"/>
        <family val="2"/>
        <scheme val="minor"/>
      </rPr>
      <t>2(e)</t>
    </r>
    <r>
      <rPr>
        <sz val="10"/>
        <color theme="0"/>
        <rFont val="Calibri"/>
        <family val="2"/>
        <scheme val="minor"/>
      </rPr>
      <t>)</t>
    </r>
  </si>
  <si>
    <r>
      <t>Emissions covered by continuous measurement 
(t CO</t>
    </r>
    <r>
      <rPr>
        <vertAlign val="subscript"/>
        <sz val="10"/>
        <color theme="0"/>
        <rFont val="Calibri"/>
        <family val="2"/>
        <scheme val="minor"/>
      </rPr>
      <t>2(e)</t>
    </r>
    <r>
      <rPr>
        <sz val="10"/>
        <color theme="0"/>
        <rFont val="Calibri"/>
        <family val="2"/>
        <scheme val="minor"/>
      </rPr>
      <t>)</t>
    </r>
  </si>
  <si>
    <t>Does the measured flue gas contain biomass? Yes/No</t>
  </si>
  <si>
    <t>[*]Installation identification code recognised in accordance with Delegated Regulation (EU) 2019/1122.</t>
  </si>
  <si>
    <t>In the table below, please indicate for each main activity listed in Annex I to Directive 2003/87/EC:</t>
  </si>
  <si>
    <t>the number of category A, B and C installations using biomass;</t>
  </si>
  <si>
    <t xml:space="preserve">the total emissions from biomass which are considered zero rated, i.e. where no sustainability or greenhouse gas emission savings criteria apply or where the sustainability or greenhouse gas emission savings criteria are complied with; </t>
  </si>
  <si>
    <t>the total emissions from biomass which are not considered zero rated, i.e. where sustainability or greenhouse gas emission savings criteria apply but these criteria are not complied with;</t>
  </si>
  <si>
    <t>the total fossil emissions from installations using biomass;</t>
  </si>
  <si>
    <t xml:space="preserve">the energy content of the biomass which is considered zero rated; </t>
  </si>
  <si>
    <t>the energy content of the biomass which is not considered zero rated; and</t>
  </si>
  <si>
    <t>the fossil energy consumed by installations using biomass.</t>
  </si>
  <si>
    <t>Number of Category A, B and C installations using biomass</t>
  </si>
  <si>
    <r>
      <t>Emissions from biomass to which sustainability or greenhouse gas emission savings criteria are applied and satisfied and emissions from biomass to which no sustainability criteria apply (t CO</t>
    </r>
    <r>
      <rPr>
        <vertAlign val="subscript"/>
        <sz val="10"/>
        <color theme="0"/>
        <rFont val="Calibri"/>
        <family val="2"/>
        <scheme val="minor"/>
      </rPr>
      <t>2(e)</t>
    </r>
    <r>
      <rPr>
        <sz val="10"/>
        <color theme="0"/>
        <rFont val="Calibri"/>
        <family val="2"/>
        <scheme val="minor"/>
      </rPr>
      <t>)</t>
    </r>
  </si>
  <si>
    <r>
      <t>Emissions from biomass to which the sustainability or greenhouse gas emission savings criteria apply but were not satisfied (t CO</t>
    </r>
    <r>
      <rPr>
        <vertAlign val="subscript"/>
        <sz val="10"/>
        <color theme="0"/>
        <rFont val="Calibri"/>
        <family val="2"/>
        <scheme val="minor"/>
      </rPr>
      <t>2(e)</t>
    </r>
    <r>
      <rPr>
        <sz val="10"/>
        <color theme="0"/>
        <rFont val="Calibri"/>
        <family val="2"/>
        <scheme val="minor"/>
      </rPr>
      <t>)</t>
    </r>
  </si>
  <si>
    <r>
      <t>Fossil emissions 
(t CO</t>
    </r>
    <r>
      <rPr>
        <vertAlign val="subscript"/>
        <sz val="10"/>
        <color theme="0"/>
        <rFont val="Calibri"/>
        <family val="2"/>
        <scheme val="minor"/>
      </rPr>
      <t>2(e)</t>
    </r>
    <r>
      <rPr>
        <sz val="10"/>
        <color theme="0"/>
        <rFont val="Calibri"/>
        <family val="2"/>
        <scheme val="minor"/>
      </rPr>
      <t xml:space="preserve">) </t>
    </r>
  </si>
  <si>
    <t>Energy content of zero rated biomass (TJ)</t>
  </si>
  <si>
    <t>Energy content of non-zero rated biomass (TJ)</t>
  </si>
  <si>
    <t>Energy content of fossil fuels/materials (TJ)</t>
  </si>
  <si>
    <t>Which of the methods to demonstrate compliance with sustainability or greenhouse gas emission savings criteria are in general applied in our Member State? Please describe below the main elements if national systems are used to demonstrate this compliance.</t>
  </si>
  <si>
    <t>What was the total quantity of fossil CO2 emissions from waste used as fuel or input material? Please answer by using the table below.</t>
  </si>
  <si>
    <r>
      <t>Emissions (t CO</t>
    </r>
    <r>
      <rPr>
        <vertAlign val="subscript"/>
        <sz val="10"/>
        <color theme="0"/>
        <rFont val="Calibri"/>
        <family val="2"/>
        <scheme val="minor"/>
      </rPr>
      <t>2</t>
    </r>
    <r>
      <rPr>
        <sz val="10"/>
        <color theme="0"/>
        <rFont val="Calibri"/>
        <family val="2"/>
        <scheme val="minor"/>
      </rPr>
      <t>)</t>
    </r>
  </si>
  <si>
    <t>Waste used by installations under Annex I to Directive 2003/87/EC</t>
  </si>
  <si>
    <t>Question 5.17 is to be answered in the report due by 30 June 2022, and in subsequent reports if changes have occurred during the reporting period.</t>
  </si>
  <si>
    <t>Has your Member State allowed use of any simplified monitoring plans in accordance with Article 13(2) of Implementing Regulation (EU) 2018/2066? Yes/No</t>
  </si>
  <si>
    <t>If yes, please specify in the table below what sort of risk assessment was carried out and on which principles it was configured.</t>
  </si>
  <si>
    <t>Type of risk assessment [*]</t>
  </si>
  <si>
    <t>General principles of the risk assessment</t>
  </si>
  <si>
    <t>[*] Please select: risk assessment carried out by the competent authority or risk assessment carried out by the operator.</t>
  </si>
  <si>
    <t>5C.</t>
  </si>
  <si>
    <t>How many aircraft operators are using Method A or B to determine the fuel consumption? Please answer using the table below.</t>
  </si>
  <si>
    <t>Method to determine the fuel consumption</t>
  </si>
  <si>
    <t>Number of aircraft operators</t>
  </si>
  <si>
    <t>Share (in %) of small emitters (of the total number of aircraft operators in the second column) determining fuel consumption</t>
  </si>
  <si>
    <t>Method A</t>
  </si>
  <si>
    <t>Method B</t>
  </si>
  <si>
    <t>Method A and B</t>
  </si>
  <si>
    <t>In the table below, please specify:</t>
  </si>
  <si>
    <t>the aggregate total emissions of all flights and domestic flights carried out in the reporting period by aircraft operators for which you are the administering Member State;</t>
  </si>
  <si>
    <t>the aggregate total emissions of CORSIA flights carried out by aircraft operators for which you are the administering Member State;</t>
  </si>
  <si>
    <t>the aggregate total emissions subject to offsetting requirements under CORSIA from aircraft operators for which you are the administering Member State;</t>
  </si>
  <si>
    <t>the aggregate total emissions of flights falling under the Swiss emission trading scheme carried out by aircraft operators for which you are the administering Member State.</t>
  </si>
  <si>
    <r>
      <t>Total emissions (t CO</t>
    </r>
    <r>
      <rPr>
        <vertAlign val="subscript"/>
        <sz val="10"/>
        <color theme="0"/>
        <rFont val="Calibri"/>
        <family val="2"/>
        <scheme val="minor"/>
      </rPr>
      <t>2</t>
    </r>
    <r>
      <rPr>
        <sz val="10"/>
        <color theme="0"/>
        <rFont val="Calibri"/>
        <family val="2"/>
        <scheme val="minor"/>
      </rPr>
      <t>)</t>
    </r>
  </si>
  <si>
    <t xml:space="preserve">Total emissions of flights carried out by aircraft operators for which you are the administering Member State </t>
  </si>
  <si>
    <t>Total emissions of domestic flights carried out by aircraft operators for which you are the administering Member State</t>
  </si>
  <si>
    <t>Total emissions of CORSIA flights carried out by aircraft operators for which you are the administering Member State</t>
  </si>
  <si>
    <t>Total emissions subject to offset requirements under CORSIA carried out by aircraft operators for which you are the administering Member State</t>
  </si>
  <si>
    <t>Total emissions from flights subject to the Swiss emission trading scheme carried out by aircraft operators for which you are the administering Member State</t>
  </si>
  <si>
    <t>How many aircraft operators have reported flights between aerodromes located in two different third countries in accordance with Article 2(3) of Commission Delegated Regulation (EU) 2019/160335?</t>
  </si>
  <si>
    <t>Total number of aircraft operators reporting third country flights in the aircraft operator’s emission report</t>
  </si>
  <si>
    <t>In the table below, please indicate:</t>
  </si>
  <si>
    <t>the number of aircraft operators using biofuels;</t>
  </si>
  <si>
    <t>the total emissions from biofuels which are considered zero rated, i.e. where the sustainability or greenhouse gas emission savings criteria are complied with; and</t>
  </si>
  <si>
    <t>the total emissions from biofuels which are not considered zero rated, i.e. where sustainability or greenhouse gas emission savings criteria apply but these criteria are not complied with.</t>
  </si>
  <si>
    <t>Number of aircraft operators using biofuels</t>
  </si>
  <si>
    <r>
      <t>Emissions from biofuels to which sustainability or greenhouse gas emission savings criteria are applied and satisfied (t CO</t>
    </r>
    <r>
      <rPr>
        <vertAlign val="subscript"/>
        <sz val="10"/>
        <color theme="0"/>
        <rFont val="Calibri"/>
        <family val="2"/>
        <scheme val="minor"/>
      </rPr>
      <t>2</t>
    </r>
    <r>
      <rPr>
        <sz val="10"/>
        <color theme="0"/>
        <rFont val="Calibri"/>
        <family val="2"/>
        <scheme val="minor"/>
      </rPr>
      <t>)</t>
    </r>
  </si>
  <si>
    <r>
      <t>Emissions from biofuels to which the sustainability or greenhouse gas emission savings criteria apply but were not satisfied(t CO</t>
    </r>
    <r>
      <rPr>
        <vertAlign val="subscript"/>
        <sz val="10"/>
        <color theme="0"/>
        <rFont val="Calibri"/>
        <family val="2"/>
        <scheme val="minor"/>
      </rPr>
      <t>2</t>
    </r>
    <r>
      <rPr>
        <sz val="10"/>
        <color theme="0"/>
        <rFont val="Calibri"/>
        <family val="2"/>
        <scheme val="minor"/>
      </rPr>
      <t>)</t>
    </r>
  </si>
  <si>
    <t>the number of small emitters using the small emitters tool (SET) to determine their fuel consumption;</t>
  </si>
  <si>
    <r>
      <t>the number of aircraft operators below 25 000 tonnes of CO</t>
    </r>
    <r>
      <rPr>
        <vertAlign val="subscript"/>
        <sz val="10"/>
        <color rgb="FF004B7F"/>
        <rFont val="Calibri"/>
        <family val="2"/>
        <scheme val="minor"/>
      </rPr>
      <t>2</t>
    </r>
    <r>
      <rPr>
        <sz val="10"/>
        <color rgb="FF004B7F"/>
        <rFont val="Calibri"/>
        <family val="2"/>
        <scheme val="minor"/>
      </rPr>
      <t xml:space="preserve"> or aircraft operators having total emissions of less than 3000 tonnes of CO2 whose emission report generated from the EU ETS support facility independently;
from any input of the aircraft operator;</t>
    </r>
  </si>
  <si>
    <t>the number of aircraft operators using an alternative method to determine the emissions of missing flights; and</t>
  </si>
  <si>
    <t>the number of aircraft operators using the small emitters tool to determine the emissions of missing flights in accordance with Article 66(2) of Implementing Regulation (EU) 2018/2066.</t>
  </si>
  <si>
    <t>The number of small emitters using the small emitters tool (SET) to determine their fuel consumption</t>
  </si>
  <si>
    <r>
      <t>Number of aircraft operators below 25 000 tonnes of CO</t>
    </r>
    <r>
      <rPr>
        <vertAlign val="subscript"/>
        <sz val="10"/>
        <color theme="0"/>
        <rFont val="Calibri"/>
        <family val="2"/>
        <scheme val="minor"/>
      </rPr>
      <t>2</t>
    </r>
    <r>
      <rPr>
        <sz val="10"/>
        <color theme="0"/>
        <rFont val="Calibri"/>
        <family val="2"/>
        <scheme val="minor"/>
      </rPr>
      <t xml:space="preserve"> or aircraft operators having total emissions of less than 3 000 tonnes of CO2 whose emission report generated from the EU ETS support facility independently from any input of the aircraft operator</t>
    </r>
  </si>
  <si>
    <t xml:space="preserve">Number of aircraft operators using an alternative method to determine the emissions of missing flights </t>
  </si>
  <si>
    <t>Number of aircraft operators using the small emitters tool (SET) referred to in Article 66(2) of  Regulation (EU) 2018/2066 to determine the emissions of missing flights</t>
  </si>
  <si>
    <t xml:space="preserve">In the table below, please indicate the number of aircraft operators that were required to submit and actually submitted an improvement report in accordance with Article 69 of Implementing Regulation (EU) 2018/2066. The information requested in the table below relates to the submission of improvement reports in the previous reporting period. </t>
  </si>
  <si>
    <t>Number of aircraft operators required to submit an improvement report</t>
  </si>
  <si>
    <t>Number of aircraft operators that submitted an improvement report in practice</t>
  </si>
  <si>
    <t>Question 5.23 is to be answered in the report due by 30 June 2022 and in subsequent reports if changes have occurred during the reporting period.</t>
  </si>
  <si>
    <t>If yes, please specify in the table below what type of risk assessment was carried out and on which principles it was configured.</t>
  </si>
  <si>
    <t>Arrangements for verification</t>
  </si>
  <si>
    <t>6.A.</t>
  </si>
  <si>
    <t>Please indicate in the table below the total number of verifiers carrying out verification of operator’s or aircraft operator reports [*]. For the total number of verifiers from another Member State, please indicate the Member State in which they were accredited by the national accreditation body.</t>
  </si>
  <si>
    <t>For installations</t>
  </si>
  <si>
    <t>For aviation</t>
  </si>
  <si>
    <t>Member State of accreditation [**]</t>
  </si>
  <si>
    <t>Member State of accreditation</t>
  </si>
  <si>
    <t>Total number of verifiers accredited in your Member State</t>
  </si>
  <si>
    <t>Total number of verifiers certified in your Member State</t>
  </si>
  <si>
    <t>Number of verifiers accredited by a national accreditation body in another Member State that carried out verification in your Member State</t>
  </si>
  <si>
    <t>Number of verifiers certified by a national certification authority in another Member State that carried out verification in your Member State (if relevant)</t>
  </si>
  <si>
    <t>[*] Emission reports, baseline data reports, annual activity level reports, new entrant data reports, tonne-km reports.</t>
  </si>
  <si>
    <t>[**] Please use two-letter codes (e.g. AT, BE, BG). If several, please separate with commas.</t>
  </si>
  <si>
    <t>Please indicate in the table below the number of verifiers accredited for a particular scope of accreditation referred to in Annex I to Implementing Regulation (EU) 2018/2067. If Member States have allowed certification of natural person verifiers pursuant to Article 55(2) of Implementing Regulation (EU) 2018/2067, please indicate also the number of natural person verifiers certified for a particular scope of certification referred to in Annex I to Implementing Regulation (EU) 2018/2067.</t>
  </si>
  <si>
    <t>Scope of accreditation or certification listed in Annex I to Implementing Regulation (EU) 2018/2067</t>
  </si>
  <si>
    <t>Number of verifiers accredited in your Member State</t>
  </si>
  <si>
    <t>Number of verifiers certified in your Member State</t>
  </si>
  <si>
    <r>
      <t xml:space="preserve">&lt;- Click the </t>
    </r>
    <r>
      <rPr>
        <b/>
        <sz val="12"/>
        <color rgb="FF004B7F"/>
        <rFont val="Calibri"/>
        <family val="2"/>
        <scheme val="minor"/>
      </rPr>
      <t>+</t>
    </r>
    <r>
      <rPr>
        <sz val="10"/>
        <color rgb="FF004B7F"/>
        <rFont val="Calibri"/>
        <family val="2"/>
        <scheme val="minor"/>
      </rPr>
      <t xml:space="preserve"> button for additional rows</t>
    </r>
  </si>
  <si>
    <t>In the table below, please provide information on the application of the requirements on information exchange specified in Chapter VI of Implementing Regulation (EU) 2018/2067:</t>
  </si>
  <si>
    <t>Information on the application of information exchange requirements specified in Chapter VI of Implementing Regulation (EU) 2018/2067</t>
  </si>
  <si>
    <t>Have all work programmes in accordance with Article 71(1) of Implementing Regulation (EU) 2018/2067 been submitted?</t>
  </si>
  <si>
    <t>From the national accreditation body of your Member State [*]</t>
  </si>
  <si>
    <t>From the national accreditation body of another Member State [*]</t>
  </si>
  <si>
    <t>Have all management reports in accordance with Article 71(3) of Implementing Regulation (EU) 2018/2067 been submitted?</t>
  </si>
  <si>
    <t>Have all information exchange reports in accordance with Article 73(1) of Implementing Regulation (EU) 2018/2067 been submitted?</t>
  </si>
  <si>
    <t>To the national accreditation body of your Member State [*]</t>
  </si>
  <si>
    <t>To the national accreditation body of another Member State [*]</t>
  </si>
  <si>
    <t>Number of administrative measures imposed on verifiers accredited by your Member State</t>
  </si>
  <si>
    <t>Suspension</t>
  </si>
  <si>
    <t>Withdrawal of accreditation</t>
  </si>
  <si>
    <t>Reduction of scope</t>
  </si>
  <si>
    <t>Number of administrative measures imposed on verifiers certified by your Member State (if relevant)</t>
  </si>
  <si>
    <t>Number of times that the national accreditation body in your Member State has requested the national accreditation body in another Member State to carry out surveillance on its behalf in accordance with Article 50(5) of Implementing Regulation (EU) 2018/2067</t>
  </si>
  <si>
    <t>Number of complaints made about verifiers accredited by your Member State and the number that have been resolved</t>
  </si>
  <si>
    <t>Number of complaints made</t>
  </si>
  <si>
    <t>Number of complaints of the left column resolved</t>
  </si>
  <si>
    <t>Number of complaints from prior reporting period resolved [**]</t>
  </si>
  <si>
    <t>If applicable, the number of complaints made about verifiers certified by your Member State and the number that have been resolved</t>
  </si>
  <si>
    <t>Number of outstanding non-conformities for verifiers reported in the information exchange and the number that have been resolved</t>
  </si>
  <si>
    <t>Number of non-conformities</t>
  </si>
  <si>
    <t>[*] Please complete yes/no/ partly.</t>
  </si>
  <si>
    <t>[**] And not reported as resolved in previous reports.</t>
  </si>
  <si>
    <t>6.B.</t>
  </si>
  <si>
    <t>For which installations did the competent authority make a conservative estimation of emissions in accordance with Article 70(1) of Implementing Regulation (EU) 2018/2066? Please answer using the table below. Display further rows if necessary.</t>
  </si>
  <si>
    <r>
      <t>Total annual emissions of the installation (t CO</t>
    </r>
    <r>
      <rPr>
        <vertAlign val="subscript"/>
        <sz val="10"/>
        <color theme="0"/>
        <rFont val="Calibri"/>
        <family val="2"/>
        <scheme val="minor"/>
      </rPr>
      <t>2(e)</t>
    </r>
    <r>
      <rPr>
        <sz val="10"/>
        <color theme="0"/>
        <rFont val="Calibri"/>
        <family val="2"/>
        <scheme val="minor"/>
      </rPr>
      <t>)</t>
    </r>
  </si>
  <si>
    <t>Reason for making a conservative estimation[**]</t>
  </si>
  <si>
    <t xml:space="preserve">Share (in %) of emissions of the installation conservatively estimated </t>
  </si>
  <si>
    <t>Method used to conservatively estimate the emissions</t>
  </si>
  <si>
    <t>Further action taken or proposed [***]</t>
  </si>
  <si>
    <t>If other action is taken, please specify</t>
  </si>
  <si>
    <t>[*] Installation identification code recognised in accordance with Delegated Regulation (EU) 2019/1122.</t>
  </si>
  <si>
    <t>[**] Please specify: no emission report submitted by 31 March, no positive verification opinion statement was given because of material misstatements, no positive verification opinion statement was given because of limitation of scope (Article 27(1), point (c), of Regulation (EU) 2018/2067), no positive verification opinion statement was given because of Article 27(1), point (d), of that Regulation, emission report rejected because it was not in line with Regulation (EU) 2018/2066, or emission report not verified in line with Regulation (EU) 2018/2067.</t>
  </si>
  <si>
    <t>[***] Please indicate which of the following actions have been carried out or are being proposed: reminder or formal warning on imposing sanctions sent to operators, blocking of the operator holding account, imposition of fines, or other (please specify). A combination of actions is possible.</t>
  </si>
  <si>
    <t>How many installations have received a negative verification opinion statement or have not submitted an emission report by the required deadline?</t>
  </si>
  <si>
    <t>Option</t>
  </si>
  <si>
    <t>No emission report submitted by 31 March</t>
  </si>
  <si>
    <t>No positive verification opinion statement was given because of material misstatements (Article 27(1)(b), of Implementing Regulation (EU) 2018/2067)</t>
  </si>
  <si>
    <t>No positive verification opinion statement was given because of limitation of scope (Article 27(1)(c) of Implementing Regulation (EU) 2018/2067)</t>
  </si>
  <si>
    <t>No positive verification opinion statement was given because of Article 27(1)(d) of Implementing Regulation (EU) 2018/2067</t>
  </si>
  <si>
    <t>Did any verification report include non-material misstatements, non-conformities that did not lead to a negative verification opinion statement, non-compliance with Implementing Regulation (EU) 2018/2066 or recommendations for improvement? Yes/No</t>
  </si>
  <si>
    <t>If yes, please provide information in the table below:</t>
  </si>
  <si>
    <t>Type of issue found [*]</t>
  </si>
  <si>
    <t>Number of installations</t>
  </si>
  <si>
    <t>Number of issues</t>
  </si>
  <si>
    <t>Share (in %) of verified emissions reports that have led to conservative estimation of the emissions by the competent authority</t>
  </si>
  <si>
    <t>[*]Please specify: non-material misstatements, non-conformities not leading to a negative verification opinion statement, non-compliance with Implementing Regulation (EU) 2018/2066, recommendations for improvement.</t>
  </si>
  <si>
    <t>Did the competent authority carry out any checks on verified emissions reports? Yes/ No</t>
  </si>
  <si>
    <t>If yes, please specify what checks were carried out using the table below:</t>
  </si>
  <si>
    <t>Checks on the verified verification reports</t>
  </si>
  <si>
    <t>Share of the emissions reports checked for completeness and internal consistency (%)</t>
  </si>
  <si>
    <t>Share of the emissions reports checked for consistency with the monitoring plan (%)</t>
  </si>
  <si>
    <t>Share of the emissions reports that were cross-checked with allocation data (%)</t>
  </si>
  <si>
    <t>Share of the emissions reports that were cross-checked with other data (%). Please provide information with which other data cross-checks were performed using the third column</t>
  </si>
  <si>
    <t>Share of the emissions reports that were analysed in detail (%). Please select the criteria used for selecting emissions reports for detailed analysis using the third column [*]. If necessary, please use the fourth column to provide further information.</t>
  </si>
  <si>
    <t>Number of verified emissions reports that were rejected because of non-compliance with Regulation (EU) 2018/2066</t>
  </si>
  <si>
    <t>Number of verified emissions reports that were rejected because of other reasons. Please indicate the reasons for rejecting the emissions reports using the third column</t>
  </si>
  <si>
    <t>Action taken as a result of rejection of verified emissions reports</t>
  </si>
  <si>
    <t>Other action taken as a consequence of checks on verified emissions reports</t>
  </si>
  <si>
    <t>[*] Please select risk based assessment, % of installations, all category C installations, random selection, or other (if other please specify in  Column I).</t>
  </si>
  <si>
    <r>
      <t>Have site visits been waived for installations emitting more than 25,000 tonnes CO</t>
    </r>
    <r>
      <rPr>
        <b/>
        <vertAlign val="subscript"/>
        <sz val="12"/>
        <color rgb="FF004B7F"/>
        <rFont val="Calibri"/>
        <family val="2"/>
        <scheme val="minor"/>
      </rPr>
      <t>2(e)</t>
    </r>
    <r>
      <rPr>
        <b/>
        <sz val="12"/>
        <color rgb="FF004B7F"/>
        <rFont val="Calibri"/>
        <family val="2"/>
        <scheme val="minor"/>
      </rPr>
      <t xml:space="preserve"> per year? Yes/No</t>
    </r>
  </si>
  <si>
    <t>If yes, please indicate in the table below the number of installations for which a site visit was waived under a particular condition. Display further rows if necessary.</t>
  </si>
  <si>
    <t>Condition for waiving site visit [*]</t>
  </si>
  <si>
    <t>[*] Please select the condition(s) as mentioned in Article 32 of Implementing Regulation (EU) 2018/2067.</t>
  </si>
  <si>
    <t>Were site visits waived for installations with low emissions referred to in in Article 47(2) of Implementing Regulation (EU) 2018/2066? Yes/ No</t>
  </si>
  <si>
    <t xml:space="preserve">If yes, please indicate in the table below the number of installations for which a site visit was waived. </t>
  </si>
  <si>
    <t>Total number of site visits waived for installations with low emissions</t>
  </si>
  <si>
    <t>Were virtual site visits carried out in accordance with Article 34a of Implementing Regulation (EU) 2018/2067? Yes/No</t>
  </si>
  <si>
    <t>If yes, please indicate in the table below:</t>
  </si>
  <si>
    <t>the type of force majeure and the number of installations for which virtual site visits were carried out,</t>
  </si>
  <si>
    <t>whether a competent authority’s approval was obtained or whether a generic authorisation in accordance with Article 34a(4) of Implementing Regulation (EU) 2018/2067 was applied; and</t>
  </si>
  <si>
    <t>confirmation that conditions for carrying out virtual site visits in accordance with Article 34a of Implementing Regulation (EU) 2018/2067 were met.</t>
  </si>
  <si>
    <t>Type of force majeure</t>
  </si>
  <si>
    <t>Number of installations for which virtual site visits were carried out</t>
  </si>
  <si>
    <t>Approval by competent authority or application of Article 34a(4) [*]</t>
  </si>
  <si>
    <t>Confirmation of Article 34a conditions met</t>
  </si>
  <si>
    <t>[*] Please select approval by competent authority or generic authorisation under Article 34a(4) of Commission Regulation 2018/2067.</t>
  </si>
  <si>
    <t>6.C.</t>
  </si>
  <si>
    <t xml:space="preserve">Aircraft operators </t>
  </si>
  <si>
    <t>For which aircraft operators did the competent authority make a conservative estimation of emissions in accordance with Article 70(1) of Implementing Regulation (EU) 2018/2066? Please answer using the table below. Display further rows if necessary.</t>
  </si>
  <si>
    <t>Aircraft operator identification code [*]</t>
  </si>
  <si>
    <r>
      <t>Total annual emissions of the aircraft operator (t CO</t>
    </r>
    <r>
      <rPr>
        <vertAlign val="subscript"/>
        <sz val="10"/>
        <color theme="0"/>
        <rFont val="Calibri"/>
        <family val="2"/>
        <scheme val="minor"/>
      </rPr>
      <t>2(e)</t>
    </r>
    <r>
      <rPr>
        <sz val="10"/>
        <color theme="0"/>
        <rFont val="Calibri"/>
        <family val="2"/>
        <scheme val="minor"/>
      </rPr>
      <t>)</t>
    </r>
  </si>
  <si>
    <t>Reason for making a conservative estimation [**]</t>
  </si>
  <si>
    <t xml:space="preserve">Share (in %) of emissions of the aircraft operator conservatively estimated </t>
  </si>
  <si>
    <t>If other action or a combination of actions, please specify</t>
  </si>
  <si>
    <t>[*] Aircraft operator identification code recognised in accordance with Delegated Regulation (EU) 2019/1122.</t>
  </si>
  <si>
    <t>[**] Please select: no emission report submitted by 31 March, no positive verification opinion statement was given because of material misstatements, no positive verification opinion statement was given because of limitation of scope (Article 27(1), point (c), of the Regulation 2018/2067), no positive verification opinion statement was given because of Article 27(1), point (d), of that Regulation, emission report rejected because it was not in line with Regulation (EU) 2018/2066, emission report not verified in line with Regulation (EU) 2018/2067).</t>
  </si>
  <si>
    <t>[***] Please indicate which of the following actions have been carried out or are being proposed: reminder or formal warning on imposing sanctions sent to aircraft operators, blocking of the aircraft operator holding account, imposition of fines, or other. If other, or a combination of actions, please specify in column I.</t>
  </si>
  <si>
    <t>How many aircraft operators have received a negative verification opinion statement or have not submitted an emission report by the required deadline?</t>
  </si>
  <si>
    <t>No positive verification opinion statement was given because of material misstatements (Article 27(1)(b) of Implementing Regulation (EU) 2018/2067)</t>
  </si>
  <si>
    <t>Did any verification report include non-material misstatements, non-conformities that did not lead to a negative verification opinion statement, non-compliance with Implementing Regulation (EU) 2018/2066 or recommendations for improvement? Yes/ No</t>
  </si>
  <si>
    <t>If yes, please provide information in the tables below for emissions and tonne-kilometre data respectively.</t>
  </si>
  <si>
    <t>Table for data related to emissions reports</t>
  </si>
  <si>
    <t>[*] Please select: non-material misstatements, non-conformities not leading to a negative verification opinion statement, non-compliance with Implementing Regulation (EU) 2018/2066 or recommendations for improvement.</t>
  </si>
  <si>
    <t>Table for data related to tonne-kilometre reports</t>
  </si>
  <si>
    <t>If yes, please specify what checks were carried out using the tables below for emissions and tonne-kilometre data respectively.</t>
  </si>
  <si>
    <t xml:space="preserve">Table for data related to emissions reports </t>
  </si>
  <si>
    <t xml:space="preserve">Checks on the verified emissions reports </t>
  </si>
  <si>
    <t>Share of the emissions reports that were analysed in detail (%). Please provide information on the criteria used for selecting emissions reports for detailed analysis using the third column [*]. If necessary, please use the fourth column to provide further information.</t>
  </si>
  <si>
    <t>Number of verified emission reports rejected because of non-compliance with Implementing Regulation (EU) 2018/2066</t>
  </si>
  <si>
    <t>Number of verified emissions reports rejected because of other reasons. Please indicate the reasons for rejecting the emissions reports using the third column</t>
  </si>
  <si>
    <t>[*] Please select: risk based assessment, % of aircraft operators, all large aircraft operators, random selection, or other (if other, please specify in column I).</t>
  </si>
  <si>
    <t xml:space="preserve">Table for data related to tonne-kilometre reports </t>
  </si>
  <si>
    <t>Checks on the tonne-kilometre reports</t>
  </si>
  <si>
    <t>Share of the tonne-kilometre reports checked for completeness and internal consistency (%)</t>
  </si>
  <si>
    <t>Share of the tonne kilometre reports checked for consistency with the monitoring plan (%)</t>
  </si>
  <si>
    <t>Share of the tonne kilometre reports that were cross-checked with other data (%). Please provide information with which other data cross-checks were performed using the third column</t>
  </si>
  <si>
    <t>Share of the tonne kilometre reports that were analysed in detail (%). Please provide information on the criteria used for selecting tonne kilometre reports for detailed analysis using the third column [*]. If necessary, please use the fourth column to provide further information.</t>
  </si>
  <si>
    <t>Number of verified tonne kilometre reports rejected because of non-compliance with Regulation (EU) No 2018/2066</t>
  </si>
  <si>
    <t>Number of verified tonne kilometre reports rejected because of other reasons. Please indicate in the reasons for rejecting the tonne-kilometre reports using the third column</t>
  </si>
  <si>
    <t>Action taken as a consequence of checks on verified tonne-kilometre reports</t>
  </si>
  <si>
    <t>[*] Please select: risk based assessment, % of aircraft operators, large aircraft operators, random selection, or other (if other please specify in column I).</t>
  </si>
  <si>
    <t>Were site visits waived for small emitters referred to in Article 55(1) of Implementing Regulation (EU) 2018/2066? Yes/ No</t>
  </si>
  <si>
    <t xml:space="preserve">If yes, please indicate in the table below the number of small emitters for which a site visit was waived. </t>
  </si>
  <si>
    <t>Total number of site visits waived for small emitters</t>
  </si>
  <si>
    <t>the type of force majeure and the number of aircraft operators for which virtual site visits were carried out,</t>
  </si>
  <si>
    <t>Number of aircraft operators for which virtual site visits were carried out</t>
  </si>
  <si>
    <r>
      <t xml:space="preserve">Please attach a copy of your Member State specific terms and conditions required to be signed by account holders. This can be uploaded to the </t>
    </r>
    <r>
      <rPr>
        <b/>
        <i/>
        <sz val="12"/>
        <color rgb="FF004B7F"/>
        <rFont val="Calibri"/>
        <family val="2"/>
        <scheme val="minor"/>
      </rPr>
      <t>Attachments</t>
    </r>
    <r>
      <rPr>
        <b/>
        <sz val="12"/>
        <color rgb="FF004B7F"/>
        <rFont val="Calibri"/>
        <family val="2"/>
        <scheme val="minor"/>
      </rPr>
      <t xml:space="preserve"> section in Reportnet.</t>
    </r>
  </si>
  <si>
    <t>In all cases where an account was closed because there was no reasonable prospect of further allowances being surrendered by an installation or aircraft operator, please describe in the table below why there was no reasonable further prospect and state the amount of outstanding allowances. Display further rows if necessary.</t>
  </si>
  <si>
    <t>Installation/aircraft operator identification code [*]</t>
  </si>
  <si>
    <t>Operator name</t>
  </si>
  <si>
    <t>Installation name</t>
  </si>
  <si>
    <t>Number of allowances outstanding</t>
  </si>
  <si>
    <t>Reason for no reasonable further prospect</t>
  </si>
  <si>
    <t>On how many occasions during the reporting year did aircraft operators use the mandate as provided for in Article 15(3) of Commission Delegated Regulation (EU) 2019/1122 [*]? Please specify below the number of occasions.</t>
  </si>
  <si>
    <t>Number of occasions that the mandate was used during the reporting period</t>
  </si>
  <si>
    <t>[*] Commission Delegated Regulation (EU) 2019/1122 of 12 March 2019 supplementing Directive 2003/87/EC of the European Parliament and of the Council as regards the functioning of the Union Registry (OJ L 177, 2.7.2019, p. 3).</t>
  </si>
  <si>
    <t>Which aircraft operators used a mandate during the reporting period as provided for in Article 15(3) of Delegated Regulation (EU) 2019/1122? Please provide the information by using the table below. Display further rows if necessary.</t>
  </si>
  <si>
    <t>Aircraft operator name</t>
  </si>
  <si>
    <t>[*] Aircraft operator identification code recognised in accordance with Commission Regulation (EU) No 2019/1122</t>
  </si>
  <si>
    <t>Question 8.1 is to be answered in the report due by 30 June 2022 and in subsequent reports if changes have occurred during the reporting period.</t>
  </si>
  <si>
    <t>Are you using the template developed by the Commission for monitoring methodology plans, baseline data reports, annual activity level reports and verification reports? Yes/No</t>
  </si>
  <si>
    <t>If no, please specify in the table below whether you have developed Member State customised electronic templates or specific file formats for monitoring methodology plans, baseline data reports, annual activity level reports and verification reports and indicate what elements are different compared to the template developed by the Commission.</t>
  </si>
  <si>
    <t>Member State specific template or file format [*]</t>
  </si>
  <si>
    <t>What elements of the template or specific file format are Member State specific [**]?</t>
  </si>
  <si>
    <t>Monitoring methodology plan</t>
  </si>
  <si>
    <t>Baseline data report</t>
  </si>
  <si>
    <t>Annual activity level report</t>
  </si>
  <si>
    <t>Verification report</t>
  </si>
  <si>
    <t>[**] Compared to the requirements of the Commission published template and specific file formats.</t>
  </si>
  <si>
    <t>Question 8.2 is to be answered in the report due by 30 June 2022 and in subsequent reports if changes have occurred during the reporting period.</t>
  </si>
  <si>
    <t>Are fees charged to operators in relation to activities pursuant to Delegated Regulation (EU) 2019/331 and Implementing Regulation (EU) 2019/1842? Yes/No</t>
  </si>
  <si>
    <t>If yes, please provide details in the table below regarding these fees:</t>
  </si>
  <si>
    <t>Reason for fee/description</t>
  </si>
  <si>
    <t>Amount in Euros</t>
  </si>
  <si>
    <t>Monitoring methodology plan approval</t>
  </si>
  <si>
    <t>Approval of significant changes to the monitoring methodology plan</t>
  </si>
  <si>
    <t>Other II</t>
  </si>
  <si>
    <t>Other III</t>
  </si>
  <si>
    <t>Other IV</t>
  </si>
  <si>
    <t>Question 8.3 is to be answered in the report due by 30 June 2022 and in subsequent reports if changes have occurred during the reporting period.</t>
  </si>
  <si>
    <t>If Member States are using an IT system, is this system also covering activities pursuant to Delegated Regulation (EU) 2019/331 and Implementing Regulation (EU) 2019/1842? Yes/No</t>
  </si>
  <si>
    <t>Please complete in the table below information on renunciation and suspension of allowances and the recovering of excess allowances as a result from over-allocation:</t>
  </si>
  <si>
    <t>How many installations have renounced free allocation for all or certain sub-installations under Article 24 of Delegated Regulation (EU) 2019/331?</t>
  </si>
  <si>
    <t>For how many installations has the competent authority suspended the issuance of allowances in accordance with Article 3(3) of Implementing Regulation (EU) 2019/1842?</t>
  </si>
  <si>
    <t>For how many installations has the competent authority recovered excess allowances resulting from over-allocation in accordance with Article 3(3) of Implementing Regulation (EU) 2019/1842?</t>
  </si>
  <si>
    <t>Were there sub-installations using the fuel benchmark or heat benchmark for which Article 6(1) of Implementing Regulation (EU) 2019/1842 is applied? Yes/No</t>
  </si>
  <si>
    <t>If yes, please complete in the table below the number of sub-installations concerned:</t>
  </si>
  <si>
    <t>Number of fuel benchmark sub-installations concerned</t>
  </si>
  <si>
    <t>Number of heat benchmark sub-installations concerned</t>
  </si>
  <si>
    <t>Were there sub-installations for which the competent authority rejected the application of Article 6(1) of Implementing Regulation (EU) 2019/1842? Yes/No</t>
  </si>
  <si>
    <t>If yes, please complete in the table below the number of sub-installations:</t>
  </si>
  <si>
    <t>Were there sub-installations using the fuel benchmark or heat benchmark for which Article 6(2) of Implementing Regulation (EU) 2019/1842 was applied? Yes/No</t>
  </si>
  <si>
    <t>Please specify the number of installations that were excluded from the scope of EU ETS:</t>
  </si>
  <si>
    <t>Reason</t>
  </si>
  <si>
    <t>Cessation</t>
  </si>
  <si>
    <t>Reduction of capacity which brings the installation carrying out combustion activities below 20 MW</t>
  </si>
  <si>
    <t>Reduction of capacity which brings the installation below a production capacity threshold listed in Annex I to Directive 2003/87/EC</t>
  </si>
  <si>
    <t>Sale or transfer of part of the installation to another legal entity, which brings the installation below a threshold listed in Annex I to Directive 2003/87/EC</t>
  </si>
  <si>
    <t>Change in installation boundaries or permit, which brings the installation below a threshold listed in Annex I to Directive 2003/87/EC</t>
  </si>
  <si>
    <t>Other reasons, please specify</t>
  </si>
  <si>
    <t>Other reasons II, please specify</t>
  </si>
  <si>
    <t>Other reasons III, please specify</t>
  </si>
  <si>
    <t>Other reasons IV, please specify</t>
  </si>
  <si>
    <t>Have you applied Article 10c of Directive 2003/87/EC? Yes/ No</t>
  </si>
  <si>
    <t>If yes, please provide in the table below the total number of emission allowances issued and the total value of investments made in the reporting period.</t>
  </si>
  <si>
    <t>Within the reporting period</t>
  </si>
  <si>
    <t>Total number of emission allowances issued under Article 10c of Directive 2003/87/EC</t>
  </si>
  <si>
    <t xml:space="preserve">Baseline data reports </t>
  </si>
  <si>
    <t>Question 8.8 is to be answered for the first time in 2024 when the next baseline data report is due, and evey 5 years thereafter.</t>
  </si>
  <si>
    <t>How many installations received a negative verification opinion statement for the baseline data reports?</t>
  </si>
  <si>
    <t>Options</t>
  </si>
  <si>
    <t>No positive verification opinion statement because of material misstatements (Article 27(1)(b) of Implementing Regulation (EU) 2018/2067)</t>
  </si>
  <si>
    <t>No positive verification opinion statement because of limitation of scope (Article 27(1)(c) of Implementing Regulation (EU) 2018/2067)</t>
  </si>
  <si>
    <t>No positive verification opinion statement because of Article 27(1)(d) of Implementing Regulation (EU) 2018/2067</t>
  </si>
  <si>
    <t>Question 8.9 is to be answered for the first time in 2024 when the next baseline data report is due, and evey 5 years thereafter.</t>
  </si>
  <si>
    <t>Did any verification report include non-material misstatements, non-conformities that did not lead to a negative verification opinion statement, non-compliance with Delegated Regulation (EU) 2019/331 or recommendations for improvement? Yes/No</t>
  </si>
  <si>
    <t>The number of installations for which the competent authority has determined the historic activity levels in accordance with Article 15(2) of Delegated Regulation (EU) 2019/331 because the data gaps leading to the verifier’s opinion were due to exceptional and unforeseeable circumstances that could not have been avoided even if all due care had been exercised.</t>
  </si>
  <si>
    <t>[*] Please specify: non-material misstatements, non-conformities not leading to a negative verification opinion statement, non-compliance with Delegated Regulation (EU) 2019/331, recommendations for improvement.</t>
  </si>
  <si>
    <t>Question 8.10 is to be answered in the report due by 30 June 2022 and in subsequent reports if changes have occurred during the reporting period.</t>
  </si>
  <si>
    <t>Did the competent authority require operators to report additional parameters included in Annex IV to Delegated Regulation (EU) 2019/331 in accordance with Article 3(2) of Implementing Regulation (EU) 2019/1842? Yes/No</t>
  </si>
  <si>
    <t>If yes, please specify the type of additional parameters:</t>
  </si>
  <si>
    <t>Type of additional parameters</t>
  </si>
  <si>
    <t>Did the competent authority require submission of preliminary activity level report? Yes/ No</t>
  </si>
  <si>
    <t>If yes, what timeline applies for submitting the preliminary activity level report?</t>
  </si>
  <si>
    <t>Timeline for submitting the preliminary activity level report</t>
  </si>
  <si>
    <t>How many installations have received a negative verification opinion statement for an annual activity level report or have not submitted an annual activity level report by the required deadline?</t>
  </si>
  <si>
    <t>Number of installations for which conservative estimation of allocation data by the competent authority was carried out</t>
  </si>
  <si>
    <t>No annual activity level report submitted by 31 March</t>
  </si>
  <si>
    <t>No positive verification opinion statement because of material misstatement (Article 27(1), point (b), of Implementing Regulation (EU) No 2018/2067)</t>
  </si>
  <si>
    <t>No positive verification opinion statement because of limitation of scope (Article 27(1), point (c), of Regulation (EU) 2018/2067)</t>
  </si>
  <si>
    <t>No positive verification opinion statement because of Article 27(1), point (d), of  Regulation (EU) 2018/2067</t>
  </si>
  <si>
    <t>Did any verification report include non-material misstatements, non-conformities that did not lead to a negative verification opinion statement, non-compliance with Delegated Regulation (EU) 2019/331 and Implementing Regulation (EU) 2019/1842 or recommendations for improvement? Yes/No</t>
  </si>
  <si>
    <t>[*] Please specify: non-material misstatements, non-conformities not leading to a negative verification opinion statement, non-compliance with Delegated Regulation (EU) 2019/331 and Implementing Regulation (EU) 2019/1842, recommendations for improvement.</t>
  </si>
  <si>
    <t>Did the competent authority reject annual activity level reports? Yes/ No</t>
  </si>
  <si>
    <t>If yes, please fill in the table:</t>
  </si>
  <si>
    <t>Number of verified annual activity level reports that were rejected because of non-compliance with Delegated Regulation (EU) 2019/331 and Implementing Regulation (EU) 2019/1842</t>
  </si>
  <si>
    <t>Number of verified annual activity level reports that were rejected because of other reasons. Please indicate the reasons for rejecting the annual activity level reports using the third column</t>
  </si>
  <si>
    <t>Action taken as a result of rejection of verified annual activity level reports</t>
  </si>
  <si>
    <t>Other action taken as a consequence of checks on verified annual activity level reports</t>
  </si>
  <si>
    <t>Have site visits been waived during the verification of annual activity level reports? Yes/No</t>
  </si>
  <si>
    <t>If yes, please indicate in the table below the number of installations for which a site visit was waived under a particular condition.</t>
  </si>
  <si>
    <t>Criteria for waiving site visit [*]</t>
  </si>
  <si>
    <t>[*] Please fill the criteria as mentioned in Article 32 of Implementing Regulation (EU) 2018/2067.</t>
  </si>
  <si>
    <t>Have virtual site visits been carried out in accordance with Article 34a of Implementing Regulation (EU) 2018/2067 during the verification of annual activity level reports? Yes/No</t>
  </si>
  <si>
    <t>the type of force majeure and the number of installations for which virtual site visits was carried out,</t>
  </si>
  <si>
    <t>whether competent authority’s approval was obtained or whether a generic authorisation in accordance with Article 34a(4) of Implementing Regulation (EU) 2018/2067 was applied; and</t>
  </si>
  <si>
    <t>Approval by competent authority or application of Article 34a(4)  [*]</t>
  </si>
  <si>
    <t>Confirmation that Article 34a conditions are met</t>
  </si>
  <si>
    <t>[*] Please select approval by competent authority or generic authorisation under Article 34a of Implementing Regulation (EU) 2018/2067.</t>
  </si>
  <si>
    <t>Question 8.17 is to be answered in the report due by 30 June 2022 and in subsequent reports if changes have occurred during the reporting period.</t>
  </si>
  <si>
    <t>Which penalties apply to infringements of Delegated Regulation (EU) 2019/331 and Implementing Regulation (EU) 2019/1842 and national law pursuant to Article 16(1) of Directive 2003/87/EC? Please complete the table and Display further rows if necessary.</t>
  </si>
  <si>
    <t>Type of infringement</t>
  </si>
  <si>
    <t>Fines in Euros</t>
  </si>
  <si>
    <t>Imprisonment in months</t>
  </si>
  <si>
    <t>Other</t>
  </si>
  <si>
    <t>Min</t>
  </si>
  <si>
    <t>Max</t>
  </si>
  <si>
    <t>Failure to hold a monitoring methodology plan approved by the competent authority</t>
  </si>
  <si>
    <t>Failure to monitor and implement procedures in accordance with the approved monitoring methodology plan and Delegated Regulation (EU) 2019/331 and Implementing Regulation (EU) 2019/1842</t>
  </si>
  <si>
    <t>Failure to notify changes to the monitoring methodology plan and to update the monitoring methodology plan in accordance with Article 9 of Delegated Regulation (EU) 2019/331</t>
  </si>
  <si>
    <t>Failure to submit an annual activity level report by the required deadline</t>
  </si>
  <si>
    <t>Other, please specify</t>
  </si>
  <si>
    <t>Other II, please specify</t>
  </si>
  <si>
    <t>Other III, please specify</t>
  </si>
  <si>
    <t>Other IV, please specify</t>
  </si>
  <si>
    <t>Which infringements were incurred and which penalties were imposed during the reporting period pursuant to Article 16(1) of Directive 2003/87/EC? Please complete the table and Display further rows if necessary.</t>
  </si>
  <si>
    <t>Type of infringement [*]</t>
  </si>
  <si>
    <t>Actual penalties imposed in the reporting period</t>
  </si>
  <si>
    <t>Are there on-going proceedings related to the imposition of the penalty?
Yes/No</t>
  </si>
  <si>
    <t>Was the penalty enforced in the same reporting period ?
Yes/ No</t>
  </si>
  <si>
    <t>[*] Type of infringement should be selected from the list in question 8.17. Every imposed penalty should be reported in a separate line.</t>
  </si>
  <si>
    <t>Were penalties imposed in prior reporting periods enforced in the current reporting period?</t>
  </si>
  <si>
    <t>If yes, please complete the table:</t>
  </si>
  <si>
    <t>Type of penalty [*]</t>
  </si>
  <si>
    <t>Reporting year in which penalty was reported</t>
  </si>
  <si>
    <t>[*] Please select fines, imprisonment or other.</t>
  </si>
  <si>
    <t>Question 9.1 is to be answered in the report due by 30 June 2022 and in subsequent reports if changes have occurred during the reporting period.</t>
  </si>
  <si>
    <t>Are fees charged to operators? Yes/No</t>
  </si>
  <si>
    <t>If yes, please provide details in the table below regarding fees charged for the issuance and update of permits and approval and update of monitoring plans.</t>
  </si>
  <si>
    <t>Permit issuance/ monitoring plan approval</t>
  </si>
  <si>
    <t>Permit update</t>
  </si>
  <si>
    <t>Permit transfer</t>
  </si>
  <si>
    <t>Permit surrender</t>
  </si>
  <si>
    <t>New entrant reserve application</t>
  </si>
  <si>
    <t>Other II, please specify:</t>
  </si>
  <si>
    <t>Other III, please specify:</t>
  </si>
  <si>
    <t>Other IV, please specify:</t>
  </si>
  <si>
    <t>If yes, please provide details for the annual subsistence fees using the following table.</t>
  </si>
  <si>
    <t>Annual subsistence charge</t>
  </si>
  <si>
    <t>Question 9.2 is to be answered in the report due by 30 June 2022 and in subsequent reports if changes have occurred during the reporting period.</t>
  </si>
  <si>
    <t>Are fees charged to aircraft operators? Yes/No</t>
  </si>
  <si>
    <t>If yes, please provide details in the table below regarding fees charged for the approval and update of monitoring plans.</t>
  </si>
  <si>
    <t>Approval of monitoring plan for emissions</t>
  </si>
  <si>
    <t>Approval of change to monitoring plan for emissions</t>
  </si>
  <si>
    <t>Approval of monitoring plan for tonne-kilometre data</t>
  </si>
  <si>
    <t>Approval of change to monitoring plan for tonne-kilometre data</t>
  </si>
  <si>
    <t>Transfer of monitoring plan</t>
  </si>
  <si>
    <t>Surrender of monitoring plan</t>
  </si>
  <si>
    <t>If yes, please provide in the table below details for the annual subsistence fees.</t>
  </si>
  <si>
    <t>Question 9.3 is to be answered in the report due by 30 June 2022 and in subsequent reports if changes have occurred during the reporting period.</t>
  </si>
  <si>
    <t>In the tables below, please specify the one-off and annual fees that are charged to operators and aircraft operators in relation to registry accounts.</t>
  </si>
  <si>
    <t>Table for one-off fees</t>
  </si>
  <si>
    <t>Table for annual fees</t>
  </si>
  <si>
    <t>Issues related to compliance with the ETS Directive</t>
  </si>
  <si>
    <t>10A.</t>
  </si>
  <si>
    <t>In the table below, please specify what measures were taken to ensure that operators complied with the permit and Implementing Regulation (EU) 2018/2066 and with Regulation (EU) No 2018/2067. Display further rows if necessary.</t>
  </si>
  <si>
    <t>Measures taken to ensure compliance</t>
  </si>
  <si>
    <t>Comment</t>
  </si>
  <si>
    <t>Were inspections on installations carried out by the competent authority? Please specify the number of on-site inspections under comments.</t>
  </si>
  <si>
    <t>Was the selling of emission allowances prohibited in the case of irregularities?</t>
  </si>
  <si>
    <t>Have preventive measures been taken to ensure operator’s compliance? If yes, please specify in the comment box the type of measures</t>
  </si>
  <si>
    <t>Have any recurrent deficiencies been identified as a result of preventive measures and inspection?</t>
  </si>
  <si>
    <t>Question 10.2 is to be answered in the report due by 30 June 2022 and in subsequent reports if changes have occurred during the reporting period.</t>
  </si>
  <si>
    <t>Which penalties apply to infringements of Implementing Regulation (EU) 2018/2066, Implementing Regulation (EU) 2018/2067 and national law pursuant to Article 16(1) of Directive 2003/87/EC? Please complete the table and Display further rows if necessary.</t>
  </si>
  <si>
    <t>Operation without a permit</t>
  </si>
  <si>
    <t>Failure to comply with the conditions of the permit</t>
  </si>
  <si>
    <t>Failure to hold a monitoring plan approved by the competent authority</t>
  </si>
  <si>
    <t>Failure to submit supporting documentation in accordance with Article 12(1) of Implementing Regulation (EU) 2018/2066</t>
  </si>
  <si>
    <t>Failure to hold a required sampling plan(s) approved by the competent authority</t>
  </si>
  <si>
    <t>Failure to monitor and implement procedures in accordance with the approved monitoring plan and Implementing Regulation (EU) 2018/2066</t>
  </si>
  <si>
    <t>Failure to notify changes to the monitoring plan and to update the monitoring plan in accordance with Articles 14, 15 and 16 of Implementing Regulation (EU) 2018/2066</t>
  </si>
  <si>
    <t>Failure to submit a verified emission report by 31 March or earlier if the competent authority set an earlier deadline</t>
  </si>
  <si>
    <t>Failure to submit an improvement report(s) in accordance with Article 69 of Implementing Regulation (EU) 2018/2066</t>
  </si>
  <si>
    <t>Failure to provide to the verifier information in accordance with Article 10 of Implementing Regulation (EU) 2018/2067</t>
  </si>
  <si>
    <t>The verified emission report is found not to be in line with Implementing Regulation (EU) 2018/2066</t>
  </si>
  <si>
    <t>In which national law were infringements and penalties defined?</t>
  </si>
  <si>
    <t xml:space="preserve">Type of infringement should be selected from the list in question 10.2. Every imposed penalty should be reported in a separate line. </t>
  </si>
  <si>
    <t>Are there on-going proceedings related to the imposition of the penalty? Yes/ No</t>
  </si>
  <si>
    <t>In the table below, please provide the names of operators for which excess emission penalties were imposed during the reporting period pursuant to Article 16(3) of Directive 2003/87/EC.</t>
  </si>
  <si>
    <t>Name of operator</t>
  </si>
  <si>
    <t>10B.</t>
  </si>
  <si>
    <t>In the table below, please specify what measures were taken to ensure that aircraft operators complied with Regulation (EU) No 2018/2066 and with Implementing Regulation (EU) 2018/2067. Display further rows if necessary.</t>
  </si>
  <si>
    <t>Measures taken</t>
  </si>
  <si>
    <t>Comments</t>
  </si>
  <si>
    <t>Were inspections on aircraft operators carried out by the competent authority? Please specify the number of site inspections under comments.</t>
  </si>
  <si>
    <t>Were preventive measures taken to ensure aircraft operator’s compliance? If yes, please specify in the comment box the type of measures.</t>
  </si>
  <si>
    <t>Were any recurrent deficiencies identified as a result of preventive measures and inspection?</t>
  </si>
  <si>
    <t>Question 11.6 is to be answered in the report due by 30 June 2022, and in subsequent reports if changes have occurred during the reporting period</t>
  </si>
  <si>
    <t xml:space="preserve">Min </t>
  </si>
  <si>
    <t>Failure to monitor and implement procedures in accordance with the approved monitoring plan and Commission Implementing Regulation (EU) 2018/2066</t>
  </si>
  <si>
    <t>Failure to correct discrepancies in reporting the completeness of flights</t>
  </si>
  <si>
    <t>The verified tonne-kilometre report is found not to be in line with Implementing Regulation (EU) 2018/2066</t>
  </si>
  <si>
    <t>Excess allowances not returned by the aircraft operator despite the return being requested by the competent authority</t>
  </si>
  <si>
    <t>Which infringements were found and which penalties were imposed during the reporting period pursuant to Article 16(1) of Directive 2003/87/EC? Please complete the
table and display further rows if necessary.</t>
  </si>
  <si>
    <t xml:space="preserve">Type of infringement should be selected from the list in question 11.6. Every imposed penalty should be reported in a separate line. </t>
  </si>
  <si>
    <t>Was the penalty enforced in the same reporting period? Yes/ No</t>
  </si>
  <si>
    <t>In the table below, please provide the names of aircraft operators for which excess emission penalties were imposed during the reporting period pursuant to Article 16(3) of Directive 2003/87/EC.</t>
  </si>
  <si>
    <t>Name of aircraft operator</t>
  </si>
  <si>
    <t>Question 10.9 is to be answered in the report due by 30 June 2022, and in subsequent reports if changes have occurred during the reporting period</t>
  </si>
  <si>
    <t>What measures would have to be taken in your Member State before requesting an operating ban from the Commission in accordance with Article 16(10) of Directive 2003/87/EC? Please specify below the types of measures.</t>
  </si>
  <si>
    <t>Questions 11.1, 11.2, 11.3 and 11.4 are to be answered in the report due by 30 June 2022 and in subsequent reports if changes have occurred during the reporting period.</t>
  </si>
  <si>
    <t>What is the legal nature of an allowance in your Member State?</t>
  </si>
  <si>
    <t>What is the financial accounting treatment of emission allowances in your Member State?</t>
  </si>
  <si>
    <t>Is VAT due on the issuance of and transactions in emission allowances? Yes/No</t>
  </si>
  <si>
    <t>If yes, does your Member State apply the reverse-charge mechanism? Yes/ No</t>
  </si>
  <si>
    <t>Are emission allowances taxed? Yes/No</t>
  </si>
  <si>
    <t xml:space="preserve">If yes, please indicate in the table below the type of tax and tax rates that apply. Display further rows if necessary. </t>
  </si>
  <si>
    <t>Type of tax</t>
  </si>
  <si>
    <t>Tax rate applied</t>
  </si>
  <si>
    <t>Question 12.1 is to be answered in the report due by 30 June 2022, and in subsequent reports if changes have occurred during the reporting period.</t>
  </si>
  <si>
    <t>In the table below, please specify what arrangements are in place concerning fraudulent activities related to the free allocation of allowances.</t>
  </si>
  <si>
    <t>Arrangements concerning fraudulent activities</t>
  </si>
  <si>
    <t>Details of arrangements and procedures in national law</t>
  </si>
  <si>
    <t>Are procedures or processes in place for operators, aircraft operators or third parties to raise concerns over potentially fraudulent activity regarding the free allocation of allowances? If yes, please specify what procedures.</t>
  </si>
  <si>
    <t>Does the same legislation regulate fraudulent activities related to free allocation of allowances as other types of fraud? 
If no, please indicate the relevant legislation.</t>
  </si>
  <si>
    <t>What authorities are responsible for the investigation of fraud regarding free allocation of allowances?</t>
  </si>
  <si>
    <t>Do the same procedures apply to the investigation of fraud regarding free allocation of allowances in EU ETS as other types of fraud in your Member State? Yes/No.
If no, please describe the procedures and the role of the EU ETS competent authority in those procedures.</t>
  </si>
  <si>
    <t>Do the same procedures apply to the prosecution of fraud regarding free allocation of allowances in EU ETS as other types of fraud in your Member State? Yes/No.
If no, please describe the procedures and the role of the EU ETS competent authority in those procedures.</t>
  </si>
  <si>
    <t>In the event of prosecution for fraudulent activities, what are the maximum penalties? Please describe fines and imprisonment terms.</t>
  </si>
  <si>
    <t>Question 12.2 is to be answered in the report due by 30 June 2022, and in subsequent reports if changes have occurred during the reporting period.</t>
  </si>
  <si>
    <t>In the table below, please specify what arrangements are in place to ensure that competent authorities involved in the implementation of EU ETS are made aware of fraudulent activities.</t>
  </si>
  <si>
    <t>Arrangements concerning the communication of fraudulent activities to the competent authority</t>
  </si>
  <si>
    <t>Details of arrangements and procedures</t>
  </si>
  <si>
    <t>Is the competent authority under EU ETS informed when authorities responsible for the investigation and prosecution of fraud carried out an investigation on fraudulent activities of an operator or aircraft operator under EU ETS?
If yes, please specify how.</t>
  </si>
  <si>
    <t>Is the competent authority informed of cases on fraudulent activities brought to court?
If yes, please specify how.</t>
  </si>
  <si>
    <t>Is the competent authority informed of cases on fraudulent activities settled out of court?
If yes, please specify how.</t>
  </si>
  <si>
    <t>Is the competent authority informed the verdict of the court cases on fraudulent activities?
 If yes, please specify how.</t>
  </si>
  <si>
    <t>In the table below, please indicate the following information on fraudulent activities as far as it is known to the competent authority involved in the implementation of EU ETS in your Member State:</t>
  </si>
  <si>
    <t>the number of investigations carried out in the reporting period (including on-going);</t>
  </si>
  <si>
    <t xml:space="preserve">the number of cases brought to court in the reporting period; </t>
  </si>
  <si>
    <t>the number of cases settled out of court without conviction and the number of cases leading to acquittal in the reporting period; and</t>
  </si>
  <si>
    <t xml:space="preserve">the number of cases in the reporting period leading to a conviction that a fraudulent activity was committed. </t>
  </si>
  <si>
    <t xml:space="preserve">Information concerning fraudulent activities </t>
  </si>
  <si>
    <t xml:space="preserve">Number of investigations carried out </t>
  </si>
  <si>
    <t xml:space="preserve">Number of cases brought to court </t>
  </si>
  <si>
    <t>Number of cases settled out of court without conviction and the number of cases leading to acquittal</t>
  </si>
  <si>
    <t>Number of cases leading to a conviction that a fraudulent activity has been committed</t>
  </si>
  <si>
    <t>In the table below, please provide details of any other issues that give rise to concerns in your Member State, or any other relevant information you would like to provide.</t>
  </si>
  <si>
    <r>
      <t xml:space="preserve">&lt;- Click the </t>
    </r>
    <r>
      <rPr>
        <b/>
        <sz val="12"/>
        <color rgb="FF004B7F"/>
        <rFont val="Calibri"/>
        <family val="2"/>
        <scheme val="minor"/>
      </rPr>
      <t>+</t>
    </r>
    <r>
      <rPr>
        <sz val="10"/>
        <color rgb="FF004B7F"/>
        <rFont val="Calibri"/>
        <family val="2"/>
        <scheme val="minor"/>
      </rPr>
      <t xml:space="preserve"> buttons on the left for additional rows for each section</t>
    </r>
  </si>
  <si>
    <t>Section</t>
  </si>
  <si>
    <t>Sub-question</t>
  </si>
  <si>
    <t xml:space="preserve">Other information or issues of concern </t>
  </si>
  <si>
    <t>Section 1</t>
  </si>
  <si>
    <t>Section 2</t>
  </si>
  <si>
    <t>Section 3</t>
  </si>
  <si>
    <t>Section 4</t>
  </si>
  <si>
    <t>Section 5</t>
  </si>
  <si>
    <t>Section 6</t>
  </si>
  <si>
    <t>Section 7</t>
  </si>
  <si>
    <t>Section 8</t>
  </si>
  <si>
    <t>Section 9</t>
  </si>
  <si>
    <t>Section 10</t>
  </si>
  <si>
    <t>Section 11</t>
  </si>
  <si>
    <t>Section 12</t>
  </si>
  <si>
    <t>Have you addressed all one-off questions in this questionnaire and updated the responses to those questions where relevant? Yes/ No</t>
  </si>
  <si>
    <t xml:space="preserve">If no, please return to the question concerned. </t>
  </si>
  <si>
    <t>Yes/No/Partially</t>
  </si>
  <si>
    <t>Annex_I</t>
  </si>
  <si>
    <t>Penalty_type</t>
  </si>
  <si>
    <t>2.1_col3</t>
  </si>
  <si>
    <t>2.2_col2_dyn</t>
  </si>
  <si>
    <t>3.2_col1</t>
  </si>
  <si>
    <t>5.3_col2</t>
  </si>
  <si>
    <t>5.6 col1</t>
  </si>
  <si>
    <t xml:space="preserve">5.6 col2 </t>
  </si>
  <si>
    <t>5.7_col1</t>
  </si>
  <si>
    <t>5.09_col4</t>
  </si>
  <si>
    <t>5.09_col5</t>
  </si>
  <si>
    <t>5.10_col1</t>
  </si>
  <si>
    <t>5.11_col2</t>
  </si>
  <si>
    <t>5.11_col3</t>
  </si>
  <si>
    <t>5.12_col1</t>
  </si>
  <si>
    <t>5.12_col3</t>
  </si>
  <si>
    <t>5.13_col1</t>
  </si>
  <si>
    <t>5.17_col1</t>
  </si>
  <si>
    <t>5.23_col1</t>
  </si>
  <si>
    <t>6.1b_col1</t>
  </si>
  <si>
    <t>6.3_col3</t>
  </si>
  <si>
    <t>6.3_col6</t>
  </si>
  <si>
    <t>6.4_col2</t>
  </si>
  <si>
    <t>6.5_col3_r5</t>
  </si>
  <si>
    <t>6.6_col1</t>
  </si>
  <si>
    <t>6.7_col3</t>
  </si>
  <si>
    <t>6.8_col3</t>
  </si>
  <si>
    <t>6.8_col6</t>
  </si>
  <si>
    <t>6.9_col1</t>
  </si>
  <si>
    <t>6.10_col4_r3</t>
  </si>
  <si>
    <t>8.9_col2</t>
  </si>
  <si>
    <t>8.13_col2</t>
  </si>
  <si>
    <t>8.16_col3</t>
  </si>
  <si>
    <t>8.18a_col1_dyn</t>
  </si>
  <si>
    <t>10.3a_col1_dyn</t>
  </si>
  <si>
    <t>10.7a_col1_dyn</t>
  </si>
  <si>
    <t>13.1_col2</t>
  </si>
  <si>
    <t>Version</t>
  </si>
  <si>
    <t>Date</t>
  </si>
  <si>
    <t>Yes</t>
  </si>
  <si>
    <t>20 - Combustion of fuels as specified in Annex I of Directive 2003/87/EC</t>
  </si>
  <si>
    <t>Fines</t>
  </si>
  <si>
    <t>Central competent authority</t>
  </si>
  <si>
    <t>Article 27</t>
  </si>
  <si>
    <t>Member State specific template</t>
  </si>
  <si>
    <t>1A1 - Energy - Energy Industries</t>
  </si>
  <si>
    <t>2A1 - Process - Cement Production</t>
  </si>
  <si>
    <t>Category A installation</t>
  </si>
  <si>
    <t>Quantity of fuel</t>
  </si>
  <si>
    <t>No tier</t>
  </si>
  <si>
    <t>Calculation based methodology</t>
  </si>
  <si>
    <t>Applying tier 1 is technically infeasible or leads to unreasonable costs for one major source stream</t>
  </si>
  <si>
    <t>Category A</t>
  </si>
  <si>
    <t>Improvement report in accordance with Article 69(1)</t>
  </si>
  <si>
    <t>Transfer of inherent CO2 (Article 48)</t>
  </si>
  <si>
    <t>Risk assessment carried out by the competent authority</t>
  </si>
  <si>
    <t>1a - Combustion of fuels in installations, where only commercial standard fuels as defined in Commission Implementing Regulation (EU) 2018/2066 are used, or where natural gas is used in category A or B installations.</t>
  </si>
  <si>
    <t>No emission report submitted by the 31st of March</t>
  </si>
  <si>
    <t>Reminder or formal warnings on sanctions sent to operator</t>
  </si>
  <si>
    <t>Non-material misstatements</t>
  </si>
  <si>
    <t>Risk based assessment</t>
  </si>
  <si>
    <t>Condition I</t>
  </si>
  <si>
    <t>Approval by competent authority</t>
  </si>
  <si>
    <t>Reminder or formal warnings on sanctions sent to aircraft operator</t>
  </si>
  <si>
    <t>Question 2.1</t>
  </si>
  <si>
    <t>v0.1</t>
  </si>
  <si>
    <t>First full template</t>
  </si>
  <si>
    <t>No</t>
  </si>
  <si>
    <t>21 - Refining of mineral oil</t>
  </si>
  <si>
    <t>Imprisonment</t>
  </si>
  <si>
    <t>Regional competent authority</t>
  </si>
  <si>
    <t>Article 27a (1)</t>
  </si>
  <si>
    <t>Member State specific file format</t>
  </si>
  <si>
    <t>1A1a - Energy - Public Electricity and Heat Production</t>
  </si>
  <si>
    <t>2A2 - Process - Lime Production</t>
  </si>
  <si>
    <t>Category B installation</t>
  </si>
  <si>
    <t>Quantity of material</t>
  </si>
  <si>
    <t>Tier 1</t>
  </si>
  <si>
    <t>Measurement based methodology</t>
  </si>
  <si>
    <t>Applying tier 1 is technically infeasible or leads to unreasonable costs for one minor source stream</t>
  </si>
  <si>
    <t>Category B</t>
  </si>
  <si>
    <t>Improvement report in accordance with Article 69(3)</t>
  </si>
  <si>
    <t>Transfer of CO2 to Carbon Capture Storage (Article 49 (1) (a))</t>
  </si>
  <si>
    <t>Risk assessment carried out by the operator</t>
  </si>
  <si>
    <t>Risk assessment carried out by the aircraft operator</t>
  </si>
  <si>
    <t>1b - Combustion of fuels in installations, without restrictions</t>
  </si>
  <si>
    <t>Blocking of operater's holding account</t>
  </si>
  <si>
    <t>Non-conformities not leading to a negative verification opinion statement</t>
  </si>
  <si>
    <t>% of installations</t>
  </si>
  <si>
    <t>Condition II</t>
  </si>
  <si>
    <t>Generic authorisation under Article 34a(4) of Commission Regulation 2018/2067</t>
  </si>
  <si>
    <t>Blocking of aircraft operater's holding account</t>
  </si>
  <si>
    <t>% of aircraft operators</t>
  </si>
  <si>
    <t>Generic authorisation under Article 34a of Implementing Regulation (EU) 2018/2067</t>
  </si>
  <si>
    <t>Question 2.2</t>
  </si>
  <si>
    <t>v0.2</t>
  </si>
  <si>
    <t>Drop-downs added</t>
  </si>
  <si>
    <t>Partially</t>
  </si>
  <si>
    <t xml:space="preserve">22 - Production of coke </t>
  </si>
  <si>
    <t>Local competent authority</t>
  </si>
  <si>
    <t>Article 27a (3)</t>
  </si>
  <si>
    <t>1A1b - Energy - Petroleum Refining</t>
  </si>
  <si>
    <t>2A3 - Process - Glass production</t>
  </si>
  <si>
    <t>Category C installation</t>
  </si>
  <si>
    <t>Net calorific value</t>
  </si>
  <si>
    <t>Tier 2</t>
  </si>
  <si>
    <t>Applying tier 1 is technically infeasible or leads to unreasonable costs for more than one major or minor source streams</t>
  </si>
  <si>
    <t>Category C</t>
  </si>
  <si>
    <t>Improvement report according to Article 69(4)</t>
  </si>
  <si>
    <t>Transfer of CO2 in PCC (Article 49(1) (b))</t>
  </si>
  <si>
    <t>2 - Refining of mineral oil</t>
  </si>
  <si>
    <t>Imposition of fines</t>
  </si>
  <si>
    <t>Non-compliance with Implementing Regulation (EU) 2018/2066</t>
  </si>
  <si>
    <t>All category C installations</t>
  </si>
  <si>
    <t>Condition III</t>
  </si>
  <si>
    <t>All large aircraft operators</t>
  </si>
  <si>
    <t>Non-compliance with Delegated Regulation (EU) 2019/331</t>
  </si>
  <si>
    <t>Non-compliance with Delegated Regulation 2019/331 and Implementing Regulation 2019/1842</t>
  </si>
  <si>
    <t>Failure to monitor and implement in accordance with the approved monitoring methodology plan and Delegated Regulation (EU) 2019/331 and Implementing Regulation (EU) 2019/1842</t>
  </si>
  <si>
    <t>Question 2.3</t>
  </si>
  <si>
    <t>v0.3</t>
  </si>
  <si>
    <t>Reviewed by ETC except Q6. Extra fields added until Q5.6. Shared with PL on 26/05/21</t>
  </si>
  <si>
    <t>23 - Metal ore (including sulphide ore) roasting or sintering, including pelletisation</t>
  </si>
  <si>
    <t>1A1c - Energy - Manufacture of Solid Fuels and Other Energy Industries</t>
  </si>
  <si>
    <t>2A4 - Process - Other Process Uses of Carbonates</t>
  </si>
  <si>
    <t>Installation with low emissions</t>
  </si>
  <si>
    <t>Emission factor</t>
  </si>
  <si>
    <t>Tier 2a</t>
  </si>
  <si>
    <t>Applying tier 1 in the measurement based methodology is technically infeasible or leads to unreasonable costs as referred to in Article 22 of Implementing Regulation (EU) 2018/2066</t>
  </si>
  <si>
    <t>Transfer of N2O (Article 50)</t>
  </si>
  <si>
    <t xml:space="preserve">3 - Production of coke </t>
  </si>
  <si>
    <t>Combination of the above</t>
  </si>
  <si>
    <t>Recommendations for improvement</t>
  </si>
  <si>
    <t>Random selection</t>
  </si>
  <si>
    <t>Condition IV</t>
  </si>
  <si>
    <t>Question 2.4</t>
  </si>
  <si>
    <t>v0.4</t>
  </si>
  <si>
    <t>Full review ETC. All extra rows added. General review EEA. Shared with MS</t>
  </si>
  <si>
    <t>24 - Production of pig iron or steel as specified in Annex I of Directive 2003/87/EC</t>
  </si>
  <si>
    <t>1A2 - Energy - Manufacturing Industries and Construction</t>
  </si>
  <si>
    <t>2B1 - Process - Ammonia Production</t>
  </si>
  <si>
    <t>Preliminary EF</t>
  </si>
  <si>
    <t>Tier 2b</t>
  </si>
  <si>
    <t xml:space="preserve">3 - Metal ore (including sulphide ore) roasting or sintering, including pelletisation </t>
  </si>
  <si>
    <t>Emission report rejected because it was not in line with Regulation (EU) 2018/2066</t>
  </si>
  <si>
    <t>Other, please specify in the column on the right</t>
  </si>
  <si>
    <t>Condition V</t>
  </si>
  <si>
    <t>Other please specify</t>
  </si>
  <si>
    <t>v0.4.2</t>
  </si>
  <si>
    <t>Review Machtelt O. + comments FR, NO, SI. Shared with JL and ETC for testing</t>
  </si>
  <si>
    <t>25 - Production or processing of ferrous metals as specified in Annex I of Directive 2003/87/EC</t>
  </si>
  <si>
    <t>1A2a - Energy - Iron and Steel</t>
  </si>
  <si>
    <t xml:space="preserve">2B2 - Process - Nitric Acid Production </t>
  </si>
  <si>
    <t>Oxidation factor</t>
  </si>
  <si>
    <t>Tier 3</t>
  </si>
  <si>
    <t>3 - Production of pig iron or steel (primary or secondary fusion) including continuous casting</t>
  </si>
  <si>
    <t>Emission report not verified in line with Regulation (EU) 2018/2067</t>
  </si>
  <si>
    <t>Question 3.1</t>
  </si>
  <si>
    <t>v0.4.3</t>
  </si>
  <si>
    <t>Raw output sheet added</t>
  </si>
  <si>
    <t>26 - Production of primary aluminium</t>
  </si>
  <si>
    <t>1A2b - Energy - Non-Ferrous Metals</t>
  </si>
  <si>
    <t>2B3 - Process - Adipic Acid Production</t>
  </si>
  <si>
    <t>Conversion factor</t>
  </si>
  <si>
    <t>Tier 4</t>
  </si>
  <si>
    <t xml:space="preserve">4 - Production or processing of ferrous metals (including ferro-alloys) </t>
  </si>
  <si>
    <t>Question 3.2</t>
  </si>
  <si>
    <t>v0.5</t>
  </si>
  <si>
    <t>Final output sheet added. Full compatibility with Reportnet</t>
  </si>
  <si>
    <t>27 - Production of secondary aluminium as specific in Annex I of Directive 2003/87/EC</t>
  </si>
  <si>
    <t>1A2c - Energy - Chemicals</t>
  </si>
  <si>
    <t xml:space="preserve">2B4 - Process - Caprolactam, Glyoxal and Glyoxylic Acid Production </t>
  </si>
  <si>
    <t>Carbon content</t>
  </si>
  <si>
    <t xml:space="preserve">4 - Production of secondary aluminium </t>
  </si>
  <si>
    <t>Question 3.3</t>
  </si>
  <si>
    <t>v0.6</t>
  </si>
  <si>
    <t>Comments from PL. ETC &amp; JL testing results added</t>
  </si>
  <si>
    <t>28 - Production or processing of non-ferrous metals as specified in Annex I of Directive 2003/87/EC</t>
  </si>
  <si>
    <t>1A2d - Energy - Pulp, Paper and Print</t>
  </si>
  <si>
    <t xml:space="preserve">2B5 - Process - Carbide Production </t>
  </si>
  <si>
    <t>Biomass fraction</t>
  </si>
  <si>
    <t xml:space="preserve">4 - Production or processing of non-ferrous metals, including production of alloys </t>
  </si>
  <si>
    <t>29 - Production of cement clinker in rotary kilns as specified in Annex I of Directive 2003/87/ EC</t>
  </si>
  <si>
    <t>1A2e - Energy - Food Processing, Beverages and Tobacco</t>
  </si>
  <si>
    <t>2B6 - Process - Titanium Dioxide Production</t>
  </si>
  <si>
    <t>Annual average hourly emissions in kg/h from the source</t>
  </si>
  <si>
    <t xml:space="preserve">5 - Production of primary aluminium (CO2 and PFC emissions) 6 </t>
  </si>
  <si>
    <t>Question 4.1</t>
  </si>
  <si>
    <t>30 - Production of lime or calcination of dolomite or magnesite as specified in Annex I of Directive 2003/87/ EC</t>
  </si>
  <si>
    <t>1A2f - Energy - Non-metallic minerals</t>
  </si>
  <si>
    <t xml:space="preserve">2B7 - Process - Soda Ash Production </t>
  </si>
  <si>
    <t xml:space="preserve">6 - Production of cement clinker </t>
  </si>
  <si>
    <t>Question 4.2</t>
  </si>
  <si>
    <t>31 - Manufacture of glass as specified in Annex I of Directive 2003/87/EC</t>
  </si>
  <si>
    <t>1A2g - Energy - Other Manufacturing Industries and Construction</t>
  </si>
  <si>
    <t>2B8 - Process - Petrochemical and Carbon Black Production</t>
  </si>
  <si>
    <t xml:space="preserve">6 - Production of lime or calcination of dolomite or magnesite </t>
  </si>
  <si>
    <t>32 - Manufacture of ceramic products as specified in Annex I of Directive 2003/87/EC</t>
  </si>
  <si>
    <t>1A3 - Energy - Transport</t>
  </si>
  <si>
    <t>2B9 - Process - Fluorochemical Production</t>
  </si>
  <si>
    <t xml:space="preserve">6 - Manufacture of glass including glass fibre </t>
  </si>
  <si>
    <t>Question 5.1</t>
  </si>
  <si>
    <t>33 - Manufacture of mineral wool insulation material using glass, rock or slag as specified in Annex I of Directive 2003/87/EC</t>
  </si>
  <si>
    <t>1A3e - Energy - Other Transportation (pipeline transport)</t>
  </si>
  <si>
    <t>2B10 - Process - Other Chemical Industry</t>
  </si>
  <si>
    <t xml:space="preserve">6 - Manufacture of ceramic products by firing </t>
  </si>
  <si>
    <t>Question 5.2</t>
  </si>
  <si>
    <t>34 - Drying or calcination of gypsum or production of plaster boards and other gypsum products, as specified in Annex I of Directive 2003/87/EC</t>
  </si>
  <si>
    <t>1A4 - Energy - Other Sectors</t>
  </si>
  <si>
    <t>2C1 - Process - Iron and Steel Production</t>
  </si>
  <si>
    <t xml:space="preserve">6 - Manufacture of mineral wool insulation material </t>
  </si>
  <si>
    <t>Question 5.3</t>
  </si>
  <si>
    <t>35 - Production of pulp as specified in Annex I of Directive 2003/87/EC</t>
  </si>
  <si>
    <t>1A4a - Energy - Commercial/Institutional</t>
  </si>
  <si>
    <t>2C2 - Process - Ferroalloys Production</t>
  </si>
  <si>
    <t>6 - Drying or calcination of gypsum or production of plaster boards and other gypsum products</t>
  </si>
  <si>
    <t>Question 5.4</t>
  </si>
  <si>
    <t xml:space="preserve">36 - Production of paper or cardboard as specified in Annex I of Directive 2003/87/EC </t>
  </si>
  <si>
    <t>1A4b - Energy - Residential</t>
  </si>
  <si>
    <t>2C3 - Process - Aluminium Production</t>
  </si>
  <si>
    <t xml:space="preserve">7 - Production of pulp from timber or other fibrous materials </t>
  </si>
  <si>
    <t>Question 5.5</t>
  </si>
  <si>
    <t xml:space="preserve">37 - Production of carbon black as specified in Annex I of Directive 2003/87/EC </t>
  </si>
  <si>
    <t>1A4c - Energy - Agriculture/Forestry/Fishing</t>
  </si>
  <si>
    <t>2C4 - Process - Magnesium Production</t>
  </si>
  <si>
    <t>7 - Production of paper or cardboard</t>
  </si>
  <si>
    <t>Question 5.6</t>
  </si>
  <si>
    <t xml:space="preserve">38 - Production of nitric acid </t>
  </si>
  <si>
    <t>1A5a - Energy - Other Stationary</t>
  </si>
  <si>
    <t>2C5 - Process - Lead Production</t>
  </si>
  <si>
    <t xml:space="preserve">8 - Production of carbon black </t>
  </si>
  <si>
    <t>Question 5.7</t>
  </si>
  <si>
    <t xml:space="preserve">39 - Production of adipic acid </t>
  </si>
  <si>
    <t>1A5b - Energy - Other Mobile</t>
  </si>
  <si>
    <t xml:space="preserve">2C6 - Process - Zinc Production </t>
  </si>
  <si>
    <t xml:space="preserve">8 - Production of ammonia </t>
  </si>
  <si>
    <t>Question 5.8</t>
  </si>
  <si>
    <t xml:space="preserve">40 - Production of glyoxal and glyoxylic acid </t>
  </si>
  <si>
    <t>1B1a - Energy - Fugitive - Coal Mining and Handling</t>
  </si>
  <si>
    <t>2C7 - Process - Other Metal Industry</t>
  </si>
  <si>
    <t xml:space="preserve">8 - Production of bulk organic chemicals by cracking, reforming, partial or full oxidation or by similar processes </t>
  </si>
  <si>
    <t>Question 5.9</t>
  </si>
  <si>
    <t xml:space="preserve">41 - Production of ammonia </t>
  </si>
  <si>
    <t>1B1b - Energy - Fugitive - Solid Fuel Transformation</t>
  </si>
  <si>
    <t>2D1 - Process - Lubricant use</t>
  </si>
  <si>
    <t xml:space="preserve">8 - Production of hydrogen (H2) and synthesis gas by reforming or partial oxidation </t>
  </si>
  <si>
    <t xml:space="preserve">42 - Production of bulk organic chemicals as specified in Annex I of Directive 2003/87/EC </t>
  </si>
  <si>
    <t>1B1c - Energy - Fugitive - Other solid</t>
  </si>
  <si>
    <t>2D2 - Process - Paraffin wax use</t>
  </si>
  <si>
    <t>8 - Production of soda ash (Na2CO3) and sodium bicarbonate (NaHCO3)</t>
  </si>
  <si>
    <t>Question 5.11</t>
  </si>
  <si>
    <t xml:space="preserve">43 - Production of hydrogen (H2) and synthesis gas as specified in Annex I of Directive 2003/87/EC </t>
  </si>
  <si>
    <t>1B2a - Energy - Fugitive - Oil</t>
  </si>
  <si>
    <t>2E1 - Process - Integrated Circuit or Semiconductor</t>
  </si>
  <si>
    <t xml:space="preserve">9 - Production of nitric acid (CO2 and N2O emissions) </t>
  </si>
  <si>
    <t>Question 5.12</t>
  </si>
  <si>
    <t>44 - Production of soda ash (Na2CO3) and sodium bicarbonate (NaHCO3) as specified in Annex I of Directive 2003/87/EC</t>
  </si>
  <si>
    <t>1B2b - Energy - Fugitive - Natural Gas</t>
  </si>
  <si>
    <t>2E2 - Process - TFT Flat Panel Display</t>
  </si>
  <si>
    <t xml:space="preserve">9 - Production of adipic acid (CO2 and N2O emissions) </t>
  </si>
  <si>
    <t>Question 5.13</t>
  </si>
  <si>
    <t xml:space="preserve">45 - Capture of greenhouse gases from installations as specified in Annex I of Directive 2003/87/EC </t>
  </si>
  <si>
    <t>1B2c - Energy - Fugitive - Venting and Flaring</t>
  </si>
  <si>
    <t>2E3 - Process - Photovoltaics</t>
  </si>
  <si>
    <t>9 - Production of glyoxal and glyoxylic acid (CO2 and N2O emissions)</t>
  </si>
  <si>
    <t>Question 5.14</t>
  </si>
  <si>
    <t>46 - Transport of greenhouse gases by pipelines for geological storage in a storage site permitted under Directive 2009/31/EC</t>
  </si>
  <si>
    <t>1B2d - Energy - Fugitive - Other liq. or gas.</t>
  </si>
  <si>
    <t>2E4 - Process - Heat Transfer Fluid</t>
  </si>
  <si>
    <t xml:space="preserve">10 - Capture of greenhouse gases from installations covered by Directive 2003/87/EC for the purpose of transport and geological storage in a storage site permitted under Directive 2009/31/EC </t>
  </si>
  <si>
    <t>Question 5.15</t>
  </si>
  <si>
    <t>47 - Geological storage of greenhouse gases in a storage site permitted under Directive 2009/31/EC</t>
  </si>
  <si>
    <t>1C1 - Energy - Transport of CO2</t>
  </si>
  <si>
    <t>2E5 - Process - Other electronics industry</t>
  </si>
  <si>
    <t>10 - Transport of greenhouse gases by pipelines for geological storage in a storage site permitted under Directive 2009/31/EC</t>
  </si>
  <si>
    <t>Question 5.16</t>
  </si>
  <si>
    <t>10 - Aircraft operator</t>
  </si>
  <si>
    <t>1C2 - Energy - Injection and storage</t>
  </si>
  <si>
    <t>2F1 - Process - Refrigeration and Air conditioning</t>
  </si>
  <si>
    <t>11 - Geological storage of greenhouse gases in a storage site permitted under Directive 2009/31/EC</t>
  </si>
  <si>
    <t>Question 5.17</t>
  </si>
  <si>
    <t>1C3 - Energy - Other emissions from CCS</t>
  </si>
  <si>
    <t>2F2 - Process - Foam Blowing Agents</t>
  </si>
  <si>
    <t>12 - Aviation activities (emissions and tonne-kilometre data)</t>
  </si>
  <si>
    <t>Question 5.18</t>
  </si>
  <si>
    <t>2F3 - Process - Fire Protection</t>
  </si>
  <si>
    <t>98 - Other activities pursuant to Article 10a of Directive 2003/87/EC</t>
  </si>
  <si>
    <t>Question 5.19</t>
  </si>
  <si>
    <t>2F4 - Process - Aerosols</t>
  </si>
  <si>
    <t>99 - Other activities, included by a Member State pursuant to Article 24 of Directive 2003/87/EC, to be specified in detail in the accreditation certificate</t>
  </si>
  <si>
    <t>Question 5.20</t>
  </si>
  <si>
    <t>2F5 - Process - Solvents</t>
  </si>
  <si>
    <t>Question 5.21</t>
  </si>
  <si>
    <t>Question 5.22</t>
  </si>
  <si>
    <t>2G - Process - Other Product Manufacture and Use</t>
  </si>
  <si>
    <t>Question 5.23</t>
  </si>
  <si>
    <t>2H - Process - Other Industrial Process and Product Use</t>
  </si>
  <si>
    <t>Question 6.1</t>
  </si>
  <si>
    <t>Question 6.2</t>
  </si>
  <si>
    <t>Question 6.3</t>
  </si>
  <si>
    <t>Question 6.4</t>
  </si>
  <si>
    <t>Question 6.5</t>
  </si>
  <si>
    <t>Question 6.6</t>
  </si>
  <si>
    <t>Question 6.7</t>
  </si>
  <si>
    <t>Question 6.8</t>
  </si>
  <si>
    <t>Question 6.9</t>
  </si>
  <si>
    <t>Question 6.11</t>
  </si>
  <si>
    <t>Question 6.12</t>
  </si>
  <si>
    <t>Question 7.1</t>
  </si>
  <si>
    <t>Question 7.2</t>
  </si>
  <si>
    <t>Question 7.3</t>
  </si>
  <si>
    <t>Question 8.1</t>
  </si>
  <si>
    <t>Question 8.2</t>
  </si>
  <si>
    <t>Question 8.3</t>
  </si>
  <si>
    <t>Question 8.4</t>
  </si>
  <si>
    <t>Question 8.5</t>
  </si>
  <si>
    <t>Question 8.6</t>
  </si>
  <si>
    <t>Question 8.7</t>
  </si>
  <si>
    <t>Question 8.8</t>
  </si>
  <si>
    <t>Question 8.9</t>
  </si>
  <si>
    <t>Question 8.11</t>
  </si>
  <si>
    <t>Question 8.12</t>
  </si>
  <si>
    <t>Question 8.13</t>
  </si>
  <si>
    <t>Question 8.14</t>
  </si>
  <si>
    <t>Question 8.15</t>
  </si>
  <si>
    <t>Question 8.16</t>
  </si>
  <si>
    <t>Question 8.17</t>
  </si>
  <si>
    <t>Question 8.18</t>
  </si>
  <si>
    <t>Question 9.1</t>
  </si>
  <si>
    <t>Question 9.2</t>
  </si>
  <si>
    <t>Question 9.3</t>
  </si>
  <si>
    <t>Question 10.1</t>
  </si>
  <si>
    <t>Question 10.2</t>
  </si>
  <si>
    <t>Question 10.3</t>
  </si>
  <si>
    <t>Question 10.4</t>
  </si>
  <si>
    <t>Question 10.5</t>
  </si>
  <si>
    <t>Question 10.6</t>
  </si>
  <si>
    <t>Question 10.7</t>
  </si>
  <si>
    <t>Question 10.8</t>
  </si>
  <si>
    <t>Question 10.9</t>
  </si>
  <si>
    <t>Question 11.1</t>
  </si>
  <si>
    <t>Question 11.2</t>
  </si>
  <si>
    <t>Question 11.3</t>
  </si>
  <si>
    <t>Question 11.4</t>
  </si>
  <si>
    <t>Question 12.1</t>
  </si>
  <si>
    <t>Question 12.2</t>
  </si>
  <si>
    <t>Question 12.3</t>
  </si>
  <si>
    <t>question</t>
  </si>
  <si>
    <t>sub_question</t>
  </si>
  <si>
    <t>row_id</t>
  </si>
  <si>
    <t>row_other</t>
  </si>
  <si>
    <t>field_name</t>
  </si>
  <si>
    <t>datatype</t>
  </si>
  <si>
    <t>value_text</t>
  </si>
  <si>
    <t>value_int</t>
  </si>
  <si>
    <t>value_decimal</t>
  </si>
  <si>
    <t>value_memo</t>
  </si>
  <si>
    <t>codelist</t>
  </si>
  <si>
    <t>v0.7</t>
  </si>
  <si>
    <t>Added: Explanatory notes + hyperlinks, data validation for numeric cells, answer counter. Final review and cosmetic touches.</t>
  </si>
  <si>
    <t>Please indicate, for the party receiving the inherent or transferred CO2, the installation identification code of that ETS installation. CO2 (inherent or pure) or N2O that is transferred to a non-ETS consumer cannot be deducted. In those cases "non ETS consumer" should be filled in column E, and no category should be selected in column H.</t>
  </si>
  <si>
    <t>●
●</t>
  </si>
  <si>
    <t xml:space="preserve">The copy of your Member State specific terms and conditions can be provided in your national language if it is not available in English.
Please upload the document (or group of documents) to Reportnet 3 under the section "Attachments". </t>
  </si>
  <si>
    <t>Total value of investments under Article 10c of Directive 2003/87/EC (in EUR)</t>
  </si>
  <si>
    <t>Condition I - Article 32(3a) of Implementing Regulation (EU) 2018/2067</t>
  </si>
  <si>
    <t>Condition II - Article 32(3b) of Implementing Regulation (EU) 2018/2067</t>
  </si>
  <si>
    <t>Condition III - Article 32(3c) of Implementing Regulation (EU) 2018/2067</t>
  </si>
  <si>
    <t>Unmanned sites - Article 32(4) of Implementing Regulation (EU) 2018/2067</t>
  </si>
  <si>
    <t>Remote sites - Article 32(5) of Implementing Regulation (EU) 2018/2067</t>
  </si>
  <si>
    <t>6.C</t>
  </si>
  <si>
    <t>v1.0</t>
  </si>
  <si>
    <t>Released for reporting</t>
  </si>
  <si>
    <t>ETS Article 21 - Reporting template (Phase IV)</t>
  </si>
  <si>
    <t>v1.1</t>
  </si>
  <si>
    <t>v1.2</t>
  </si>
  <si>
    <t>NA</t>
  </si>
  <si>
    <t>Not applicable</t>
  </si>
  <si>
    <t>extra_field</t>
  </si>
  <si>
    <t>source</t>
  </si>
  <si>
    <t>Country Code</t>
  </si>
  <si>
    <t>ConcatAnswer</t>
  </si>
  <si>
    <t>AnswerCode</t>
  </si>
  <si>
    <t>[***] Please select: quantity of fuel, quantity of material, net calorific value, emission factor, preliminary emission factor, oxidation factor, conversion factor, carbon content, biomass fraction or, in the case of a measurement based methodology, the annual average hourly emissions in kg/h from the emission source. If several parameters apply to a single installations, please use multiple rows, one for each parameter.</t>
  </si>
  <si>
    <t>Downloaded on 01/05/2023</t>
  </si>
  <si>
    <t>v2.0</t>
  </si>
  <si>
    <t>Fixed bugs in conditional formatting and applied improvements as reported by reporters. Rows added to accommodate all reports.</t>
  </si>
  <si>
    <r>
      <t xml:space="preserve">Reporting year </t>
    </r>
    <r>
      <rPr>
        <i/>
        <sz val="10"/>
        <color rgb="FF004B7F"/>
        <rFont val="Calibri"/>
        <family val="2"/>
        <scheme val="minor"/>
      </rPr>
      <t>(the year covered by this submission)</t>
    </r>
  </si>
  <si>
    <t>eu-etsart21@eea.europa.eu</t>
  </si>
  <si>
    <t>Release:</t>
  </si>
  <si>
    <t>FME:</t>
  </si>
  <si>
    <t>FME Version log</t>
  </si>
  <si>
    <t>Latest FME version:</t>
  </si>
  <si>
    <t>v1</t>
  </si>
  <si>
    <t xml:space="preserve">First FME </t>
  </si>
  <si>
    <t>v2</t>
  </si>
  <si>
    <t>FME version control</t>
  </si>
  <si>
    <t>Template Version log</t>
  </si>
  <si>
    <t>Latest version:</t>
  </si>
  <si>
    <t>10 extra rows added in Q6.1b / Data validation fixed in Q5 row 1440.</t>
  </si>
  <si>
    <t>Data validation fixed in Q6 rows 10 and 11.</t>
  </si>
  <si>
    <t>2D3 - Process - Other non-energy products from fuels and solvents</t>
  </si>
  <si>
    <t>2F6 - Process - Other Applications of substitutes for ODS</t>
  </si>
  <si>
    <t>Copy and paste columns A to N to the Sumbission sheet in this file</t>
  </si>
  <si>
    <t>Download the submission for the relevant country in Reportnet:</t>
  </si>
  <si>
    <t>https://reportnet.europa.eu/public/dataflow/539</t>
  </si>
  <si>
    <t>You can now explore the submission in tabs Q1 to Q13</t>
  </si>
  <si>
    <t>If the sheets do not populate automatically, please click on Formulas -&gt; Calculate now</t>
  </si>
  <si>
    <t>File version:</t>
  </si>
  <si>
    <t>0.9 (beta)</t>
  </si>
  <si>
    <t>For questions or feedback, please contact us at:</t>
  </si>
  <si>
    <t>ETS Article 21 - Data Download</t>
  </si>
  <si>
    <t>Copy in the "XX-Reporting data" dataset</t>
  </si>
  <si>
    <t>ETS Article 21 - Downloaded data</t>
  </si>
  <si>
    <t>HR</t>
  </si>
  <si>
    <t>Q_1_1</t>
  </si>
  <si>
    <t>S01_InstitutionDetails</t>
  </si>
  <si>
    <t>NameAndDepartment</t>
  </si>
  <si>
    <t>text</t>
  </si>
  <si>
    <t>Ministry of Economy and Sustainable Development, Institute for Environment and Nature</t>
  </si>
  <si>
    <t/>
  </si>
  <si>
    <t>ContactPersonName</t>
  </si>
  <si>
    <t>Vana Mitrović Vudrić</t>
  </si>
  <si>
    <t>ContactPersonJobTitle</t>
  </si>
  <si>
    <t>Head of Climate Activity Department</t>
  </si>
  <si>
    <t>Address</t>
  </si>
  <si>
    <t>Radnička cesta 80, 10000 Zagreb</t>
  </si>
  <si>
    <t>InternationalTelephoneNumber</t>
  </si>
  <si>
    <t>38514886849</t>
  </si>
  <si>
    <t>EMail</t>
  </si>
  <si>
    <t>vana.mitrovicvudric@mingor.hr</t>
  </si>
  <si>
    <t>ReportingYear</t>
  </si>
  <si>
    <t>integer</t>
  </si>
  <si>
    <t>Q_2_1</t>
  </si>
  <si>
    <t>S02_CompetentAuthority</t>
  </si>
  <si>
    <t>CAName</t>
  </si>
  <si>
    <t xml:space="preserve">Ministry of Economy and Sustainable Development </t>
  </si>
  <si>
    <t>State Inspectorate of the Republic of Croatia</t>
  </si>
  <si>
    <t>Environmental Protection and Energy Efficiency Fund</t>
  </si>
  <si>
    <t>CAAbbreviation</t>
  </si>
  <si>
    <t>MINGOR</t>
  </si>
  <si>
    <t>DIRH</t>
  </si>
  <si>
    <t>FZOEU</t>
  </si>
  <si>
    <t>CAType</t>
  </si>
  <si>
    <t>CATelephone</t>
  </si>
  <si>
    <t xml:space="preserve">00385 1 3717909 </t>
  </si>
  <si>
    <t>00385 1 2375100</t>
  </si>
  <si>
    <t>00385 1 5391800</t>
  </si>
  <si>
    <t>CAEmail</t>
  </si>
  <si>
    <t>ets-postrojenja@mingor.hr</t>
  </si>
  <si>
    <t>pisarnica.dirh@dirh.hr</t>
  </si>
  <si>
    <t>kontakt@fzoeu.hr</t>
  </si>
  <si>
    <t>CAWebsite</t>
  </si>
  <si>
    <t>https://mingor.gov.hr/</t>
  </si>
  <si>
    <t>https://dirh.gov.hr/</t>
  </si>
  <si>
    <t>https://www.fzoeu.hr/</t>
  </si>
  <si>
    <t>S02_AccreditationBodyYesNo</t>
  </si>
  <si>
    <t>yesno</t>
  </si>
  <si>
    <t>S02_AccreditationBody</t>
  </si>
  <si>
    <t>AccBodyName</t>
  </si>
  <si>
    <t xml:space="preserve">Croatian Accreditation Agency </t>
  </si>
  <si>
    <t>AccBodyAbbreviation</t>
  </si>
  <si>
    <t>HAA</t>
  </si>
  <si>
    <t>AccBodyTelephone</t>
  </si>
  <si>
    <t>38516106322</t>
  </si>
  <si>
    <t>AccBodyEmail</t>
  </si>
  <si>
    <t>pisarnica@akreditacija.hr</t>
  </si>
  <si>
    <t>AccBodyWebsite</t>
  </si>
  <si>
    <t>https://akreditacija.hr/</t>
  </si>
  <si>
    <t>CertificationBodySetUp</t>
  </si>
  <si>
    <t>S02_RegistryAdministrator</t>
  </si>
  <si>
    <t>RegAdminName</t>
  </si>
  <si>
    <t>Tomislav Glušac</t>
  </si>
  <si>
    <t>RegAdminTelephone</t>
  </si>
  <si>
    <t>00385 1 5581660</t>
  </si>
  <si>
    <t>RegAdminEmail</t>
  </si>
  <si>
    <t>ghgregistry.admin@mingor.hr</t>
  </si>
  <si>
    <t>RegAdminWebsite</t>
  </si>
  <si>
    <t>https://www.haop.hr/hr/baze-i-portali/registar-unije-hrvatski-dio</t>
  </si>
  <si>
    <t>Q_2_2</t>
  </si>
  <si>
    <t>S02_CompetentAuthorityRoles</t>
  </si>
  <si>
    <t>CAForInstallationTask</t>
  </si>
  <si>
    <t>CAForAviationTask</t>
  </si>
  <si>
    <t>Q_2_3</t>
  </si>
  <si>
    <t>S02_CAFocalPoint</t>
  </si>
  <si>
    <t>CAArt70</t>
  </si>
  <si>
    <t>CAArt70Abbrev</t>
  </si>
  <si>
    <t>S02_CompetentAuthorityCoordination</t>
  </si>
  <si>
    <t>CACoordinationYesNo</t>
  </si>
  <si>
    <t>OtherDescription</t>
  </si>
  <si>
    <t>CACoordinationComment</t>
  </si>
  <si>
    <t>memo</t>
  </si>
  <si>
    <t>There is only one compentent autority for implementing Regulation (EU) 2018/2066 - Ministry of Economy and Sustainable Development.</t>
  </si>
  <si>
    <t>n/a</t>
  </si>
  <si>
    <t>National Expert committee for technical issues within the framework of the EU ETS</t>
  </si>
  <si>
    <t>Q_2_4</t>
  </si>
  <si>
    <t>S02_InformationExchangeAccBodyAndCA</t>
  </si>
  <si>
    <t>InfoExchangeYesNo</t>
  </si>
  <si>
    <t>InfoExchangeComment</t>
  </si>
  <si>
    <t>GHG working group organized by HAA.</t>
  </si>
  <si>
    <t>Q_3_1</t>
  </si>
  <si>
    <t>S03_EmittingInstallations</t>
  </si>
  <si>
    <t>NumberOfInstallations</t>
  </si>
  <si>
    <t>S03_ActivityPermits</t>
  </si>
  <si>
    <t>ActivityPermitsIssued</t>
  </si>
  <si>
    <t>Q_3_2</t>
  </si>
  <si>
    <t>InstallationsExcludedArt27</t>
  </si>
  <si>
    <t>S03_InstallationsExcludedArt27Detail</t>
  </si>
  <si>
    <t>ExclusionArticle</t>
  </si>
  <si>
    <t>InstallationsExcludedEmissions</t>
  </si>
  <si>
    <t>decimal</t>
  </si>
  <si>
    <t>InstallationsExceededThreshold</t>
  </si>
  <si>
    <t>S03_InstallationsExcludedClosed</t>
  </si>
  <si>
    <t>ClosedArt27</t>
  </si>
  <si>
    <t>ClosedArt27a</t>
  </si>
  <si>
    <t>Q_3_3</t>
  </si>
  <si>
    <t>S03_AircraftAnnex1Activities</t>
  </si>
  <si>
    <t>NumberCommercialOperators</t>
  </si>
  <si>
    <t>NumberNonCommercialOperators</t>
  </si>
  <si>
    <t>NumberTotalOperators</t>
  </si>
  <si>
    <t>Q_4_1</t>
  </si>
  <si>
    <t>S04_IEDProcedureRequirementsIntegratedYes</t>
  </si>
  <si>
    <t>IntegrationYesNo</t>
  </si>
  <si>
    <t>Q_4_2</t>
  </si>
  <si>
    <t>S04_NationalLawPermitUpdate</t>
  </si>
  <si>
    <t>PermitUpdateNationalLawDetail</t>
  </si>
  <si>
    <t xml:space="preserve">Yes, according to Art 33(2) Law on Climate Change and Protection of the Ozone Layer (OG 127/19) </t>
  </si>
  <si>
    <t>Law on Climate Change and Protection of the Ozone Layer
(OG 127/19) Art. 30(2) MP is an integral part of the permit. In case of capacity increase, the MP needs to be changed (Art 32) and then the permit is changed (Art 32(8)</t>
  </si>
  <si>
    <t xml:space="preserve">In case of a change of the operator/ownership of the installation according to Art 32(8) Law on Climate Change and Protection of the Ozone Layer (OG 127/19) </t>
  </si>
  <si>
    <t>PermitUpdateTotalNumber</t>
  </si>
  <si>
    <t>Q_5_1</t>
  </si>
  <si>
    <t>AdditionalNationalLegislation</t>
  </si>
  <si>
    <t>AdditionalNationalGuidance</t>
  </si>
  <si>
    <t>Q_5_2</t>
  </si>
  <si>
    <t>MeasuresStreamline</t>
  </si>
  <si>
    <t>MeasuresStreamlineYesNo</t>
  </si>
  <si>
    <t>MeasuresStreamlineComments</t>
  </si>
  <si>
    <t>Ordinance on the environmental pollution register (OG 3/22) Article 10.
Entities in the EU ETS that are also obliged to report to PRTR report their emissions in accordance with the Act on Climate Change and Ozone Layer Protection</t>
  </si>
  <si>
    <t>Q_5_3</t>
  </si>
  <si>
    <t>CommissionTemplatesMRR</t>
  </si>
  <si>
    <t>Q_5_4</t>
  </si>
  <si>
    <t>AutomatedSystemInformationExchange</t>
  </si>
  <si>
    <t>Q_5_5</t>
  </si>
  <si>
    <t>S05_InstallationFuelConsEmissions</t>
  </si>
  <si>
    <t>FuelConsumption</t>
  </si>
  <si>
    <t>Q_5_6</t>
  </si>
  <si>
    <t>Q_5_7</t>
  </si>
  <si>
    <t>FuelAnnualEmissions</t>
  </si>
  <si>
    <t>S05_AggregateTotalEmissionsByCRF</t>
  </si>
  <si>
    <t>CRFCategory1</t>
  </si>
  <si>
    <t>CRFCategory2</t>
  </si>
  <si>
    <t>TotalEmissionsTCo2e</t>
  </si>
  <si>
    <t>TotalCombustionEmissionsTCo2e</t>
  </si>
  <si>
    <t>TotalProcessEmissionsTCo2e</t>
  </si>
  <si>
    <t>S05_DefaultValues</t>
  </si>
  <si>
    <t>InstallationCategory</t>
  </si>
  <si>
    <t>FuelMaterialType</t>
  </si>
  <si>
    <t>Other solid biomass</t>
  </si>
  <si>
    <t>Solid wood</t>
  </si>
  <si>
    <t>CKD - dust</t>
  </si>
  <si>
    <t>Limestone</t>
  </si>
  <si>
    <t>Acetylene</t>
  </si>
  <si>
    <t>Refinery gas</t>
  </si>
  <si>
    <t>Waste tires</t>
  </si>
  <si>
    <t>Waste oils</t>
  </si>
  <si>
    <t>Urea</t>
  </si>
  <si>
    <t>Mixture of hydrocarbons</t>
  </si>
  <si>
    <t>Dolomite</t>
  </si>
  <si>
    <t>Waste  wood</t>
  </si>
  <si>
    <t>Other solid fuels</t>
  </si>
  <si>
    <t>Biogas</t>
  </si>
  <si>
    <t>tetrahydrothiophene</t>
  </si>
  <si>
    <t>sewage sludge</t>
  </si>
  <si>
    <t>Mixed biomass/Wood biomass</t>
  </si>
  <si>
    <t>InstallationNumber</t>
  </si>
  <si>
    <t>Q_5_8</t>
  </si>
  <si>
    <t>S05_InstallationDifferentSamplingFrequency</t>
  </si>
  <si>
    <t>SamplingFuelMaterial</t>
  </si>
  <si>
    <t>Prirodni plin izvan standardne kvalitete (co-produced natural gas)</t>
  </si>
  <si>
    <t>Kaptažni plin</t>
  </si>
  <si>
    <t>CountInstallationsDiffFrequency</t>
  </si>
  <si>
    <t>MajorSourceStreams</t>
  </si>
  <si>
    <t>SamplingPlanDocumented</t>
  </si>
  <si>
    <t>Q_5_9</t>
  </si>
  <si>
    <t>S05_CategoryCHighestTierNotApplied</t>
  </si>
  <si>
    <t>InstallationID</t>
  </si>
  <si>
    <t>205194</t>
  </si>
  <si>
    <t>SourceStreamAffected</t>
  </si>
  <si>
    <t>Flue gas</t>
  </si>
  <si>
    <t>Fuel gas 5</t>
  </si>
  <si>
    <t>MonitoringParameterAffected</t>
  </si>
  <si>
    <t>HighestTierRequired</t>
  </si>
  <si>
    <t>TierInPractice</t>
  </si>
  <si>
    <t>Q_5_10</t>
  </si>
  <si>
    <t>S05_CategoryBHighestTierNotApplied</t>
  </si>
  <si>
    <t>MonitoringMethodology</t>
  </si>
  <si>
    <t>CategoryBMainActivity</t>
  </si>
  <si>
    <t>CategoryBInstallationsAffected</t>
  </si>
  <si>
    <t>Q_5_11</t>
  </si>
  <si>
    <t>FallBackApproachApplied</t>
  </si>
  <si>
    <t>Q_5_12</t>
  </si>
  <si>
    <t>S05_ImprovementReportArt69</t>
  </si>
  <si>
    <t>Annex1Activity</t>
  </si>
  <si>
    <t>ImprovementReportType</t>
  </si>
  <si>
    <t>ImprovementReportRequired</t>
  </si>
  <si>
    <t>ImprovementReportSubmitted</t>
  </si>
  <si>
    <t>Q_5_13</t>
  </si>
  <si>
    <t>InherentCarbonTransferred</t>
  </si>
  <si>
    <t>Q_5_14</t>
  </si>
  <si>
    <t>ContinuousEmissionsMeasurement</t>
  </si>
  <si>
    <t>S05_ContinuousEmissionsMeasurementDetail</t>
  </si>
  <si>
    <t>InstallationIDCO2</t>
  </si>
  <si>
    <t>/</t>
  </si>
  <si>
    <t>InstallationIDN2O</t>
  </si>
  <si>
    <t>204107</t>
  </si>
  <si>
    <t>TotalEmissionsCO2E</t>
  </si>
  <si>
    <t>ContinuousMeasurementTotalEmissions</t>
  </si>
  <si>
    <t>FlueGasContainBiomass</t>
  </si>
  <si>
    <t>Q_5_15</t>
  </si>
  <si>
    <t>SustainabilityComplianceDemonstrate</t>
  </si>
  <si>
    <t>Methods to demonstrate compliance with sustainability criteria and GHG emission savings criteria are not applied.</t>
  </si>
  <si>
    <t>S05_BiomassInstallations</t>
  </si>
  <si>
    <t>BiomassInstallationCategory</t>
  </si>
  <si>
    <t>NumberUsingBiomass</t>
  </si>
  <si>
    <t>EmissionsBiomassSustainabilitySatisfied</t>
  </si>
  <si>
    <t>EmissionsBiomassSustainabilityNotSatisfied</t>
  </si>
  <si>
    <t>EmissionsFossil</t>
  </si>
  <si>
    <t>EnergyZeroRatedBiomass</t>
  </si>
  <si>
    <t>EnergyNonZeroRatedBiomass</t>
  </si>
  <si>
    <t>EnergyFossil</t>
  </si>
  <si>
    <t>Q_5_16</t>
  </si>
  <si>
    <t>WasteFuelFossilCO2</t>
  </si>
  <si>
    <t>Q_5_17</t>
  </si>
  <si>
    <t>SimplifiedMonitoringArt13</t>
  </si>
  <si>
    <t>S05_SimplifiedMonitoringArt13Detail</t>
  </si>
  <si>
    <t>Art13RiskAssessmentType</t>
  </si>
  <si>
    <t>Art13RiskAssessmentPrinciples</t>
  </si>
  <si>
    <t>The guidelines and instructions of the European Commission are used</t>
  </si>
  <si>
    <t>Q_5_18</t>
  </si>
  <si>
    <t>S05_AircraftMethodFuelConsumption</t>
  </si>
  <si>
    <t>CountAircraftOperators</t>
  </si>
  <si>
    <t>SmallEmittersShare</t>
  </si>
  <si>
    <t>Q_5_19</t>
  </si>
  <si>
    <t>S05_TotalFlightEmissions</t>
  </si>
  <si>
    <t>TotalFlightEmissions</t>
  </si>
  <si>
    <t>CountOperatorsThirdCountries</t>
  </si>
  <si>
    <t>Q_5_20</t>
  </si>
  <si>
    <t>CountOperatorsUsingBiofuels</t>
  </si>
  <si>
    <t>EmissionsBiofuelsSustainabilitySatisfied</t>
  </si>
  <si>
    <t>EmissionsBiofuelsSustainabilityNotSatisfied</t>
  </si>
  <si>
    <t>Q_5_21</t>
  </si>
  <si>
    <t>S05_SmallEmittersTool</t>
  </si>
  <si>
    <t>CountSmallEmitters</t>
  </si>
  <si>
    <t>Q_5_23</t>
  </si>
  <si>
    <t>AircraftSimplifiedMonitoringArt13</t>
  </si>
  <si>
    <t>Q_6_1</t>
  </si>
  <si>
    <t>S06_TotalVerifiers</t>
  </si>
  <si>
    <t>CountVerifiersInstallations</t>
  </si>
  <si>
    <t>CountVerifiersAviation</t>
  </si>
  <si>
    <t>S06_AccredCertVerifiersAnnexI</t>
  </si>
  <si>
    <t>AccredCertScope</t>
  </si>
  <si>
    <t>NumberAccredited</t>
  </si>
  <si>
    <t>NumberCertified</t>
  </si>
  <si>
    <t>Q_6_2</t>
  </si>
  <si>
    <t>S06_ApplicationInformationExchangeRequirements1</t>
  </si>
  <si>
    <t>FromOwnMS</t>
  </si>
  <si>
    <t>FromOtherMS</t>
  </si>
  <si>
    <t>S06_ApplicationInformationExchangeRequirements2</t>
  </si>
  <si>
    <t>NumberImposedOnVerifiersSuspension</t>
  </si>
  <si>
    <t>NumberImposedOnVerifiersWithdrawal</t>
  </si>
  <si>
    <t>NumberImposedOnVerifiersReductionOfScope</t>
  </si>
  <si>
    <t>S06_ApplicationInformationExchangeRequirements3</t>
  </si>
  <si>
    <t>TimesSurveillanceRequested</t>
  </si>
  <si>
    <t>S06_ApplicationInformationExchangeRequirements4</t>
  </si>
  <si>
    <t>NumberOfIssues</t>
  </si>
  <si>
    <t>NumberOfIssuesResolved</t>
  </si>
  <si>
    <t>NumberOfPriorIssuesResolved</t>
  </si>
  <si>
    <t>Q_6_3</t>
  </si>
  <si>
    <t>S06_InstallationsConservativeEstimates</t>
  </si>
  <si>
    <t>204321</t>
  </si>
  <si>
    <t>InstallationAnnualEmissionstCO2e</t>
  </si>
  <si>
    <t>ReasonConservativeEstimate</t>
  </si>
  <si>
    <t>InstallationConservativeShare</t>
  </si>
  <si>
    <t>ConservativeMethod</t>
  </si>
  <si>
    <t>According to the inspection report and other information and knowledge, it is clear that there were no business activities in the plant and that the technological process did not take place in 2021.</t>
  </si>
  <si>
    <t>FurtherAction</t>
  </si>
  <si>
    <t>S06_NegativeOpinionInstallations</t>
  </si>
  <si>
    <t>CountNegativeOpinions</t>
  </si>
  <si>
    <t>Q_6_4</t>
  </si>
  <si>
    <t>InstallationsVerificationReportIssues</t>
  </si>
  <si>
    <t>S06_InstallationsVerificationReportsIssueDetail</t>
  </si>
  <si>
    <t>AnnexIActivity</t>
  </si>
  <si>
    <t>TypeOfIssue</t>
  </si>
  <si>
    <t>ShareOfReportsConservativeEstimate</t>
  </si>
  <si>
    <t>Q_6_5</t>
  </si>
  <si>
    <t>InstallationsVerificationReportChecks</t>
  </si>
  <si>
    <t>S06_InstallationsVerificationReportChecksDetail1</t>
  </si>
  <si>
    <t>PercentageShare</t>
  </si>
  <si>
    <t>FurtherInformation</t>
  </si>
  <si>
    <t>Cross-checks with annual emissions reports for previous years in the 3rd trading period, and comparisons with historical emissions data.</t>
  </si>
  <si>
    <t>S06_InstallationsVerificationReportChecksDetail2</t>
  </si>
  <si>
    <t>NumberOfReports</t>
  </si>
  <si>
    <t>S06_InstallationsVerificationReportChecksDetail3</t>
  </si>
  <si>
    <t>ActionsTaken</t>
  </si>
  <si>
    <t>Q_6_6</t>
  </si>
  <si>
    <t>InstallationVisitsWaivedHighEmitters</t>
  </si>
  <si>
    <t>InstallationsVisitsWaivedLowEmitters</t>
  </si>
  <si>
    <t>Q_6_7</t>
  </si>
  <si>
    <t>VirtualVisitsInstallations</t>
  </si>
  <si>
    <t>Q_6_8</t>
  </si>
  <si>
    <t>S06_AircraftOperatorsConservativeEstimates</t>
  </si>
  <si>
    <t>AircraftOperatorID</t>
  </si>
  <si>
    <t>S06_NegativeOpinionAircraft</t>
  </si>
  <si>
    <t>Q_6_9</t>
  </si>
  <si>
    <t>AircraftOperatorsVerificationReportIssues</t>
  </si>
  <si>
    <t>S06_AircraftOperatorsVerificationReportIssuesEmissions</t>
  </si>
  <si>
    <t>NumberOfAircraftOperators</t>
  </si>
  <si>
    <t>Q_6_10</t>
  </si>
  <si>
    <t>S06_AircraftOperatorsVerificationEmissionReportChecks1</t>
  </si>
  <si>
    <t>Data from EUROCONTROL, ETS Support Facility data, comparison with annual emissions reports for previous years.</t>
  </si>
  <si>
    <t>S06_AircraftOperatorsVerificationEmissionReportChecks2</t>
  </si>
  <si>
    <t>S06_AircraftOperatorsVerificationEmissionReportChecks3</t>
  </si>
  <si>
    <t>S06_AircraftOperatorsVerificationTKMReportChecks1</t>
  </si>
  <si>
    <t>S06_AircraftOperatorsVerificationTKMReportChecks2</t>
  </si>
  <si>
    <t>S06_AircraftOperatorsVerificationTKMReportChecks3</t>
  </si>
  <si>
    <t>Q_6_11</t>
  </si>
  <si>
    <t>AircraftOperatorsVisitsWaivedLowEmitters</t>
  </si>
  <si>
    <t>AircraftOperatorsVisitsWaivedLowEmittersDetail</t>
  </si>
  <si>
    <t>Q_6_12</t>
  </si>
  <si>
    <t>VirtualVisitsAircraft</t>
  </si>
  <si>
    <t>Q_7_2</t>
  </si>
  <si>
    <t>S07_NoFurtherAllowancesSurrendered</t>
  </si>
  <si>
    <t>InstallationIDCode</t>
  </si>
  <si>
    <t>OperatorName</t>
  </si>
  <si>
    <t>InstallationName</t>
  </si>
  <si>
    <t>OutstandingAllowances</t>
  </si>
  <si>
    <t>ReasonNoFurtherAllowancesSurrendered</t>
  </si>
  <si>
    <t>Q_7_3</t>
  </si>
  <si>
    <t>AircraftOperatorsMandateArt15UseNumber</t>
  </si>
  <si>
    <t>S07_AircraftOperatorsUseArt15MandateDetail</t>
  </si>
  <si>
    <t>AircraftOperatorName</t>
  </si>
  <si>
    <t>Q_8_1</t>
  </si>
  <si>
    <t>CommissionTemplatesAllocation</t>
  </si>
  <si>
    <t>Q_8_2</t>
  </si>
  <si>
    <t>FeesAllocation</t>
  </si>
  <si>
    <t>S08_FeesAllocationDetail</t>
  </si>
  <si>
    <t>FeeAmount</t>
  </si>
  <si>
    <t>FeeOther</t>
  </si>
  <si>
    <t>submission of an application for free allocation</t>
  </si>
  <si>
    <t>Q_8_4</t>
  </si>
  <si>
    <t>S08_RenunciationSuspensionAllowances</t>
  </si>
  <si>
    <t>Q_8_5</t>
  </si>
  <si>
    <t>SubInstallationBenchmark61</t>
  </si>
  <si>
    <t>S08_SubInstallationBenchmark61Detail</t>
  </si>
  <si>
    <t>FuelBenchmark</t>
  </si>
  <si>
    <t>HeatBenchmark</t>
  </si>
  <si>
    <t>SubInstallationBenchmark61Reject</t>
  </si>
  <si>
    <t>S08_SubInstallationBenchmark61RejectDetail</t>
  </si>
  <si>
    <t>SubInstallationBenchmark62</t>
  </si>
  <si>
    <t>S08_SubInstallationBenchmark62Detail</t>
  </si>
  <si>
    <t>Q_8_6</t>
  </si>
  <si>
    <t>S08_ScopeExclusion</t>
  </si>
  <si>
    <t>Q_8_7</t>
  </si>
  <si>
    <t>Article10cApplied</t>
  </si>
  <si>
    <t>Q_8_10</t>
  </si>
  <si>
    <t>AdditionalParametersRequired</t>
  </si>
  <si>
    <t>Q_8_11</t>
  </si>
  <si>
    <t>PreliminaryActivityRequired</t>
  </si>
  <si>
    <t>Q_8_12</t>
  </si>
  <si>
    <t>S08_NegativeOpinionActivityData</t>
  </si>
  <si>
    <t>NumberOfInstallationsConEst</t>
  </si>
  <si>
    <t>Q_8_13</t>
  </si>
  <si>
    <t>S08_ActivityDataIssuesDetail</t>
  </si>
  <si>
    <t>Q_8_14</t>
  </si>
  <si>
    <t>ActivityReportRejected</t>
  </si>
  <si>
    <t>S08_ActivityReportRejectedDetail</t>
  </si>
  <si>
    <t>NumberActivityReportRejected</t>
  </si>
  <si>
    <t>For some ALC reports, the competent authority requested corrections and additions from the operator.</t>
  </si>
  <si>
    <t>Q_8_15</t>
  </si>
  <si>
    <t>ActivityLevelVisitsWaived</t>
  </si>
  <si>
    <t>Q_8_16</t>
  </si>
  <si>
    <t>VirtualVisitsActivityLevel</t>
  </si>
  <si>
    <t>Q_8_17</t>
  </si>
  <si>
    <t>S08_PenaltiesAllocation</t>
  </si>
  <si>
    <t>MinFine</t>
  </si>
  <si>
    <t>MaxFine</t>
  </si>
  <si>
    <t>PrisonMin</t>
  </si>
  <si>
    <t>PrisonMax</t>
  </si>
  <si>
    <t>Q_8_18</t>
  </si>
  <si>
    <t>S08_InfringementsIncurredAllocation</t>
  </si>
  <si>
    <t>ActualFines</t>
  </si>
  <si>
    <t>ActualImprisonment</t>
  </si>
  <si>
    <t>Q_9_1</t>
  </si>
  <si>
    <t>InstallationOperatorFees</t>
  </si>
  <si>
    <t>S09_InstallationOperatorFeesPermits</t>
  </si>
  <si>
    <t>FeesAmount</t>
  </si>
  <si>
    <t>S09_InstallationOperatorFeesSubsistence</t>
  </si>
  <si>
    <t>Q_9_2</t>
  </si>
  <si>
    <t>AircraftOperatorFees</t>
  </si>
  <si>
    <t>S09_AircraftOperatorFeesMonitoringPlans</t>
  </si>
  <si>
    <t>S09_AircraftOperatorFeesSubsistence</t>
  </si>
  <si>
    <t>S09_RegistryAccountOneOffFees</t>
  </si>
  <si>
    <t>OneOffFeeReason</t>
  </si>
  <si>
    <t xml:space="preserve">There is no fee for registry accounts </t>
  </si>
  <si>
    <t>OneOffFeeAmount</t>
  </si>
  <si>
    <t>S09_RegistryAccountAnnualFees</t>
  </si>
  <si>
    <t>AnnualFeeReason</t>
  </si>
  <si>
    <t>AnnualFeeAmount</t>
  </si>
  <si>
    <t>Q_10_1</t>
  </si>
  <si>
    <t>S10_InstallationsComplianceMeasures</t>
  </si>
  <si>
    <t>ComplianceMeasuresYesNo</t>
  </si>
  <si>
    <t>ComplianceMeasuresComment</t>
  </si>
  <si>
    <t>25</t>
  </si>
  <si>
    <t>no irregularities were found</t>
  </si>
  <si>
    <t>sending a notice as a reminder about the deadlines for performance of the operator's obligations and fines in case of non-performance</t>
  </si>
  <si>
    <t>Q_10_2</t>
  </si>
  <si>
    <t>S10_InstallationsInfringementPenalties</t>
  </si>
  <si>
    <t>InstallationsNationalLaw</t>
  </si>
  <si>
    <t>Zakon o klimatskim promjenama i zaštiti ozonskog sloja - („Narodne novine“ broj 127/19) -  Law on Climate Change and Protection of the Ozone Layer (OG 127/2019)</t>
  </si>
  <si>
    <t>Q_10_4</t>
  </si>
  <si>
    <t>S10_InstallationPenalties</t>
  </si>
  <si>
    <t>214880</t>
  </si>
  <si>
    <t>EUROKAMEN d.o.o.</t>
  </si>
  <si>
    <t>Q_10_5</t>
  </si>
  <si>
    <t>S10_AircraftComplianceMeasures</t>
  </si>
  <si>
    <t>sending a notice as a reminder about the deadlines for performance of the aircraft operator's obligations and fines in case of non-performance</t>
  </si>
  <si>
    <t>Q_10_6</t>
  </si>
  <si>
    <t>S10_AircraftInfringementPenalties</t>
  </si>
  <si>
    <t>AircraftNationalLaw</t>
  </si>
  <si>
    <t>Q_11_1</t>
  </si>
  <si>
    <t>LegalNatureOfEmissionAllowance</t>
  </si>
  <si>
    <t>The emission unit is a financial instrument in accordance with the Capital Market Act (Official Gazette No. 65/18, 17/20, 83/21)</t>
  </si>
  <si>
    <t>Q_11_2</t>
  </si>
  <si>
    <t>AccountingTreatmentOfEmissionAllowances</t>
  </si>
  <si>
    <t>The emission unit is treated as a commodity in stock.</t>
  </si>
  <si>
    <t>Q_11_3</t>
  </si>
  <si>
    <t>VATdueEmissionAllowancesIssuance</t>
  </si>
  <si>
    <t>ReverseChargeMechanismEmissionAllowances</t>
  </si>
  <si>
    <t>Q_11_4</t>
  </si>
  <si>
    <t>EmissionAllowancesTaxed</t>
  </si>
  <si>
    <t>S11_TypeOfTaxRatesApplied</t>
  </si>
  <si>
    <t>TypeOfTax</t>
  </si>
  <si>
    <t>VAT</t>
  </si>
  <si>
    <t>TaxRateApplied</t>
  </si>
  <si>
    <t>Q_12_1</t>
  </si>
  <si>
    <t>S12_FraudFreeAllocationOfAllowances</t>
  </si>
  <si>
    <t>DetailsOfProceduresInNationalLaw</t>
  </si>
  <si>
    <t>There are no special mechanisms. Fraud is punishable under the Capital Market Act (Official Gazette No. 65/18, 17/20, 83/21)</t>
  </si>
  <si>
    <t>Ministry of Finance</t>
  </si>
  <si>
    <t>prison sentence of 6 months to 8 years</t>
  </si>
  <si>
    <t>Q_12_2</t>
  </si>
  <si>
    <t>S12_CompetentAuthoritiesAwareOfFraud</t>
  </si>
  <si>
    <t>DetailsOfArrangementsAndProcedures</t>
  </si>
  <si>
    <t>Yes. There have been no such cases so far.</t>
  </si>
  <si>
    <t>Q_12_3</t>
  </si>
  <si>
    <t>S12_InformationOnFraudActivities</t>
  </si>
  <si>
    <t>NumberOfActivities</t>
  </si>
  <si>
    <t>Q_13_1</t>
  </si>
  <si>
    <t>S13_AnyOtherIssues</t>
  </si>
  <si>
    <t>OtherInformationOrIssues</t>
  </si>
  <si>
    <t>Template doesn`t allow to enter zero "0". The cells where sholud be enter "0" have been left empty.</t>
  </si>
  <si>
    <t>The second part of the question is not very clear, if this concerns complete rejection of application of Article 6(1) or concerns CA rejection for adjustment of free allocation. We have answered that there were 2 cases of CA rejection for adjustment of free allocation.</t>
  </si>
  <si>
    <t>QuestionnaireSubQuestion</t>
  </si>
  <si>
    <t>Q_13_2</t>
  </si>
  <si>
    <t>QuestionnaireFilledConfirmation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</si>
</sst>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0_ ;\-#,##0\ "/>
    <numFmt numFmtId="165" formatCode="\+0"/>
    <numFmt numFmtId="166" formatCode="0.0%"/>
    <numFmt numFmtId="167" formatCode="#,##0.0_ ;\-#,##0.0\ "/>
    <numFmt numFmtId="168" formatCode="#,##0.00_ ;\-#,##0.00\ "/>
  </numFmts>
  <fonts count="71" x14ac:knownFonts="1">
    <font>
      <sz val="11"/>
      <color theme="1"/>
      <name val="Calibri"/>
      <family val="2"/>
      <scheme val="minor"/>
    </font>
    <font>
      <sz val="10"/>
      <name val="Arial"/>
      <family val="2"/>
    </font>
    <font>
      <u/>
      <sz val="10"/>
      <color indexed="12"/>
      <name val="Arial"/>
      <family val="2"/>
    </font>
    <font>
      <sz val="11"/>
      <color indexed="8"/>
      <name val="Calibri"/>
      <family val="2"/>
    </font>
    <font>
      <sz val="11"/>
      <color indexed="9"/>
      <name val="Calibri"/>
      <family val="2"/>
    </font>
    <font>
      <b/>
      <sz val="11"/>
      <color indexed="63"/>
      <name val="Calibri"/>
      <family val="2"/>
    </font>
    <font>
      <sz val="11"/>
      <color indexed="20"/>
      <name val="Calibri"/>
      <family val="2"/>
    </font>
    <font>
      <b/>
      <sz val="11"/>
      <color indexed="52"/>
      <name val="Calibri"/>
      <family val="2"/>
    </font>
    <font>
      <b/>
      <sz val="11"/>
      <color indexed="9"/>
      <name val="Calibri"/>
      <family val="2"/>
    </font>
    <font>
      <sz val="11"/>
      <color indexed="62"/>
      <name val="Calibri"/>
      <family val="2"/>
    </font>
    <font>
      <b/>
      <sz val="11"/>
      <color indexed="8"/>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12.5"/>
      <color theme="10"/>
      <name val="Arial"/>
      <family val="2"/>
    </font>
    <font>
      <sz val="11"/>
      <color indexed="52"/>
      <name val="Calibri"/>
      <family val="2"/>
    </font>
    <font>
      <sz val="11"/>
      <color indexed="60"/>
      <name val="Calibri"/>
      <family val="2"/>
    </font>
    <font>
      <b/>
      <sz val="18"/>
      <color indexed="56"/>
      <name val="Cambria"/>
      <family val="2"/>
    </font>
    <font>
      <sz val="11"/>
      <color indexed="10"/>
      <name val="Calibri"/>
      <family val="2"/>
    </font>
    <font>
      <sz val="9"/>
      <name val="Times New Roman"/>
      <family val="1"/>
    </font>
    <font>
      <sz val="12"/>
      <color theme="1"/>
      <name val="Calibri"/>
      <family val="2"/>
      <scheme val="minor"/>
    </font>
    <font>
      <sz val="11"/>
      <color theme="1"/>
      <name val="Calibri"/>
      <family val="2"/>
      <scheme val="minor"/>
    </font>
    <font>
      <b/>
      <sz val="14"/>
      <color rgb="FF1F497D"/>
      <name val="Calibri"/>
      <family val="2"/>
      <scheme val="minor"/>
    </font>
    <font>
      <b/>
      <sz val="12"/>
      <color indexed="9"/>
      <name val="Calibri"/>
      <family val="2"/>
      <scheme val="minor"/>
    </font>
    <font>
      <b/>
      <sz val="14"/>
      <color indexed="9"/>
      <name val="Calibri"/>
      <family val="2"/>
      <scheme val="minor"/>
    </font>
    <font>
      <sz val="10"/>
      <color theme="1"/>
      <name val="Calibri"/>
      <family val="2"/>
      <scheme val="minor"/>
    </font>
    <font>
      <b/>
      <sz val="10"/>
      <color theme="1"/>
      <name val="Calibri"/>
      <family val="2"/>
      <scheme val="minor"/>
    </font>
    <font>
      <b/>
      <sz val="10"/>
      <color rgb="FF1F497D"/>
      <name val="Calibri"/>
      <family val="2"/>
      <scheme val="minor"/>
    </font>
    <font>
      <i/>
      <sz val="10"/>
      <color theme="1"/>
      <name val="Calibri"/>
      <family val="2"/>
      <scheme val="minor"/>
    </font>
    <font>
      <sz val="10"/>
      <name val="Calibri"/>
      <family val="2"/>
      <scheme val="minor"/>
    </font>
    <font>
      <b/>
      <sz val="10"/>
      <name val="Calibri"/>
      <family val="2"/>
      <scheme val="minor"/>
    </font>
    <font>
      <u/>
      <sz val="10"/>
      <name val="Calibri"/>
      <family val="2"/>
      <scheme val="minor"/>
    </font>
    <font>
      <sz val="10"/>
      <color rgb="FF1F497D"/>
      <name val="Calibri"/>
      <family val="2"/>
      <scheme val="minor"/>
    </font>
    <font>
      <u/>
      <sz val="11"/>
      <color theme="10"/>
      <name val="Calibri"/>
      <family val="2"/>
      <scheme val="minor"/>
    </font>
    <font>
      <sz val="11"/>
      <color theme="0"/>
      <name val="Calibri"/>
      <family val="2"/>
      <scheme val="minor"/>
    </font>
    <font>
      <sz val="11"/>
      <color rgb="FF004B7F"/>
      <name val="Calibri"/>
      <family val="2"/>
      <scheme val="minor"/>
    </font>
    <font>
      <b/>
      <sz val="12"/>
      <color rgb="FF004B7F"/>
      <name val="Calibri"/>
      <family val="2"/>
      <scheme val="minor"/>
    </font>
    <font>
      <b/>
      <sz val="14"/>
      <color rgb="FF004B7F"/>
      <name val="Calibri"/>
      <family val="2"/>
      <scheme val="minor"/>
    </font>
    <font>
      <b/>
      <sz val="11"/>
      <color rgb="FF004B7F"/>
      <name val="Calibri"/>
      <family val="2"/>
      <scheme val="minor"/>
    </font>
    <font>
      <sz val="10"/>
      <color rgb="FF004B7F"/>
      <name val="Calibri"/>
      <family val="2"/>
      <scheme val="minor"/>
    </font>
    <font>
      <sz val="12"/>
      <color rgb="FF004B7F"/>
      <name val="Calibri"/>
      <family val="2"/>
      <scheme val="minor"/>
    </font>
    <font>
      <i/>
      <sz val="9"/>
      <color rgb="FF004B7F"/>
      <name val="Calibri"/>
      <family val="2"/>
      <scheme val="minor"/>
    </font>
    <font>
      <i/>
      <sz val="10"/>
      <color rgb="FF004B7F"/>
      <name val="Calibri"/>
      <family val="2"/>
      <scheme val="minor"/>
    </font>
    <font>
      <b/>
      <sz val="10"/>
      <color rgb="FF004B7F"/>
      <name val="Calibri"/>
      <family val="2"/>
      <scheme val="minor"/>
    </font>
    <font>
      <b/>
      <i/>
      <sz val="12"/>
      <color rgb="FF004B7F"/>
      <name val="Calibri"/>
      <family val="2"/>
      <scheme val="minor"/>
    </font>
    <font>
      <vertAlign val="subscript"/>
      <sz val="10"/>
      <color rgb="FF004B7F"/>
      <name val="Calibri"/>
      <family val="2"/>
      <scheme val="minor"/>
    </font>
    <font>
      <b/>
      <vertAlign val="subscript"/>
      <sz val="12"/>
      <color rgb="FF004B7F"/>
      <name val="Calibri"/>
      <family val="2"/>
      <scheme val="minor"/>
    </font>
    <font>
      <b/>
      <sz val="12"/>
      <color theme="0"/>
      <name val="Calibri"/>
      <family val="2"/>
      <scheme val="minor"/>
    </font>
    <font>
      <b/>
      <sz val="14"/>
      <color theme="0"/>
      <name val="Calibri"/>
      <family val="2"/>
      <scheme val="minor"/>
    </font>
    <font>
      <b/>
      <sz val="16"/>
      <color rgb="FF004B7F"/>
      <name val="Calibri"/>
      <family val="2"/>
      <scheme val="minor"/>
    </font>
    <font>
      <sz val="10"/>
      <color theme="0"/>
      <name val="Calibri"/>
      <family val="2"/>
      <scheme val="minor"/>
    </font>
    <font>
      <vertAlign val="subscript"/>
      <sz val="10"/>
      <color theme="0"/>
      <name val="Calibri"/>
      <family val="2"/>
      <scheme val="minor"/>
    </font>
    <font>
      <sz val="8"/>
      <color rgb="FF004B7F"/>
      <name val="Calibri"/>
      <family val="2"/>
      <scheme val="minor"/>
    </font>
    <font>
      <i/>
      <sz val="12"/>
      <color rgb="FF004B7F"/>
      <name val="Calibri"/>
      <family val="2"/>
      <scheme val="minor"/>
    </font>
    <font>
      <sz val="8"/>
      <name val="Calibri"/>
      <family val="2"/>
      <scheme val="minor"/>
    </font>
    <font>
      <i/>
      <sz val="11"/>
      <color rgb="FF004B7F"/>
      <name val="Calibri"/>
      <family val="2"/>
      <scheme val="minor"/>
    </font>
    <font>
      <u/>
      <sz val="10"/>
      <color theme="10"/>
      <name val="Calibri"/>
      <family val="2"/>
      <scheme val="minor"/>
    </font>
    <font>
      <u/>
      <sz val="10"/>
      <color rgb="FF004B7F"/>
      <name val="Calibri"/>
      <family val="2"/>
      <scheme val="minor"/>
    </font>
    <font>
      <sz val="14"/>
      <color rgb="FF004B7F"/>
      <name val="Calibri"/>
      <family val="2"/>
      <scheme val="minor"/>
    </font>
    <font>
      <i/>
      <vertAlign val="subscript"/>
      <sz val="10"/>
      <color rgb="FF004B7F"/>
      <name val="Calibri"/>
      <family val="2"/>
      <scheme val="minor"/>
    </font>
    <font>
      <sz val="9"/>
      <color rgb="FF004B7F"/>
      <name val="Calibri"/>
      <family val="2"/>
      <scheme val="minor"/>
    </font>
    <font>
      <b/>
      <sz val="14"/>
      <color rgb="FFFF0000"/>
      <name val="Calibri"/>
      <family val="2"/>
      <scheme val="minor"/>
    </font>
    <font>
      <i/>
      <sz val="8"/>
      <color rgb="FF004B7F"/>
      <name val="Calibri"/>
      <family val="2"/>
      <scheme val="minor"/>
    </font>
    <font>
      <i/>
      <sz val="11"/>
      <color theme="1"/>
      <name val="Calibri"/>
      <family val="2"/>
      <scheme val="minor"/>
    </font>
    <font>
      <b/>
      <sz val="10"/>
      <color theme="3"/>
      <name val="Calibri"/>
      <family val="2"/>
      <scheme val="minor"/>
    </font>
    <font>
      <i/>
      <u/>
      <sz val="10"/>
      <color theme="10"/>
      <name val="Calibri"/>
      <family val="2"/>
      <scheme val="minor"/>
    </font>
    <font>
      <sz val="9"/>
      <color theme="1"/>
      <name val="Calibri"/>
      <family val="2"/>
      <scheme val="minor"/>
    </font>
    <font>
      <sz val="11"/>
      <color indexed="8"/>
      <name val="Calibri"/>
      <family val="2"/>
      <scheme val="minor"/>
    </font>
    <font>
      <sz val="8"/>
      <color theme="0" tint="-0.499984740745262"/>
      <name val="Calibri"/>
      <family val="2"/>
      <scheme val="minor"/>
    </font>
  </fonts>
  <fills count="36">
    <fill>
      <patternFill patternType="none"/>
    </fill>
    <fill>
      <patternFill patternType="gray125"/>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rgb="FFFFC000"/>
        <bgColor indexed="64"/>
      </patternFill>
    </fill>
    <fill>
      <patternFill patternType="solid">
        <fgColor theme="0"/>
        <bgColor indexed="64"/>
      </patternFill>
    </fill>
    <fill>
      <patternFill patternType="solid">
        <fgColor rgb="FFA6A6A6"/>
        <bgColor indexed="64"/>
      </patternFill>
    </fill>
    <fill>
      <patternFill patternType="solid">
        <fgColor rgb="FFFFFF00"/>
        <bgColor indexed="64"/>
      </patternFill>
    </fill>
    <fill>
      <patternFill patternType="solid">
        <fgColor rgb="FF92D050"/>
        <bgColor indexed="64"/>
      </patternFill>
    </fill>
    <fill>
      <patternFill patternType="solid">
        <fgColor theme="0" tint="-0.14999847407452621"/>
        <bgColor indexed="64"/>
      </patternFill>
    </fill>
    <fill>
      <patternFill patternType="solid">
        <fgColor rgb="FF004B7F"/>
        <bgColor indexed="64"/>
      </patternFill>
    </fill>
    <fill>
      <patternFill patternType="solid">
        <fgColor rgb="FFFEE9BA"/>
        <bgColor indexed="64"/>
      </patternFill>
    </fill>
    <fill>
      <patternFill patternType="solid">
        <fgColor theme="9" tint="0.79998168889431442"/>
        <bgColor indexed="64"/>
      </patternFill>
    </fill>
    <fill>
      <patternFill patternType="solid">
        <fgColor theme="0" tint="-0.34998626667073579"/>
        <bgColor indexed="64"/>
      </patternFill>
    </fill>
    <fill>
      <patternFill patternType="solid">
        <fgColor theme="4"/>
      </patternFill>
    </fill>
  </fills>
  <borders count="34">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thin">
        <color indexed="62"/>
      </top>
      <bottom style="double">
        <color indexed="6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rgb="FF1F497D"/>
      </left>
      <right/>
      <top style="thin">
        <color rgb="FF1F497D"/>
      </top>
      <bottom style="thin">
        <color rgb="FF1F497D"/>
      </bottom>
      <diagonal/>
    </border>
    <border>
      <left/>
      <right/>
      <top style="thin">
        <color rgb="FF1F497D"/>
      </top>
      <bottom style="thin">
        <color rgb="FF1F497D"/>
      </bottom>
      <diagonal/>
    </border>
    <border>
      <left/>
      <right style="thin">
        <color rgb="FF1F497D"/>
      </right>
      <top style="thin">
        <color rgb="FF1F497D"/>
      </top>
      <bottom style="thin">
        <color rgb="FF1F497D"/>
      </bottom>
      <diagonal/>
    </border>
    <border>
      <left/>
      <right/>
      <top style="thin">
        <color rgb="FF1F497D"/>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rgb="FF0000FF"/>
      </top>
      <bottom/>
      <diagonal/>
    </border>
    <border>
      <left/>
      <right/>
      <top/>
      <bottom style="thin">
        <color rgb="FF1F497D"/>
      </bottom>
      <diagonal/>
    </border>
    <border>
      <left/>
      <right/>
      <top style="thin">
        <color rgb="FF1F497D"/>
      </top>
      <bottom style="thin">
        <color rgb="FF004B7F"/>
      </bottom>
      <diagonal/>
    </border>
    <border>
      <left/>
      <right style="thin">
        <color rgb="FF1F497D"/>
      </right>
      <top style="thin">
        <color rgb="FF1F497D"/>
      </top>
      <bottom style="thin">
        <color rgb="FF004B7F"/>
      </bottom>
      <diagonal/>
    </border>
    <border>
      <left style="thin">
        <color rgb="FF1F497D"/>
      </left>
      <right/>
      <top style="thin">
        <color rgb="FF1F497D"/>
      </top>
      <bottom style="thin">
        <color rgb="FF004B7F"/>
      </bottom>
      <diagonal/>
    </border>
    <border>
      <left style="thin">
        <color indexed="64"/>
      </left>
      <right style="thin">
        <color indexed="64"/>
      </right>
      <top/>
      <bottom/>
      <diagonal/>
    </border>
  </borders>
  <cellStyleXfs count="94">
    <xf numFmtId="0" fontId="0" fillId="0" borderId="0"/>
    <xf numFmtId="0" fontId="1" fillId="0" borderId="0"/>
    <xf numFmtId="0" fontId="2" fillId="0" borderId="0" applyNumberFormat="0" applyFill="0" applyBorder="0" applyAlignment="0" applyProtection="0">
      <alignment vertical="top"/>
      <protection locked="0"/>
    </xf>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9"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9" borderId="0" applyNumberFormat="0" applyBorder="0" applyAlignment="0" applyProtection="0"/>
    <xf numFmtId="0" fontId="3" fillId="12"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20"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20" borderId="0" applyNumberFormat="0" applyBorder="0" applyAlignment="0" applyProtection="0"/>
    <xf numFmtId="0" fontId="5" fillId="21" borderId="3" applyNumberFormat="0" applyAlignment="0" applyProtection="0"/>
    <xf numFmtId="0" fontId="6" fillId="4" borderId="0" applyNumberFormat="0" applyBorder="0" applyAlignment="0" applyProtection="0"/>
    <xf numFmtId="0" fontId="7" fillId="21" borderId="4" applyNumberFormat="0" applyAlignment="0" applyProtection="0"/>
    <xf numFmtId="0" fontId="7" fillId="21" borderId="4" applyNumberFormat="0" applyAlignment="0" applyProtection="0"/>
    <xf numFmtId="0" fontId="8" fillId="22" borderId="5" applyNumberFormat="0" applyAlignment="0" applyProtection="0"/>
    <xf numFmtId="0" fontId="9" fillId="8" borderId="4" applyNumberFormat="0" applyAlignment="0" applyProtection="0"/>
    <xf numFmtId="0" fontId="10" fillId="0" borderId="6" applyNumberFormat="0" applyFill="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2" fillId="5" borderId="0" applyNumberFormat="0" applyBorder="0" applyAlignment="0" applyProtection="0"/>
    <xf numFmtId="0" fontId="12" fillId="5" borderId="0" applyNumberFormat="0" applyBorder="0" applyAlignment="0" applyProtection="0"/>
    <xf numFmtId="0" fontId="13" fillId="0" borderId="7" applyNumberFormat="0" applyFill="0" applyAlignment="0" applyProtection="0"/>
    <xf numFmtId="0" fontId="14" fillId="0" borderId="8" applyNumberFormat="0" applyFill="0" applyAlignment="0" applyProtection="0"/>
    <xf numFmtId="0" fontId="15" fillId="0" borderId="9" applyNumberFormat="0" applyFill="0" applyAlignment="0" applyProtection="0"/>
    <xf numFmtId="0" fontId="15" fillId="0" borderId="0" applyNumberFormat="0" applyFill="0" applyBorder="0" applyAlignment="0" applyProtection="0"/>
    <xf numFmtId="0" fontId="16" fillId="0" borderId="0" applyNumberFormat="0" applyFill="0" applyBorder="0" applyAlignment="0" applyProtection="0">
      <alignment vertical="top"/>
      <protection locked="0"/>
    </xf>
    <xf numFmtId="0" fontId="9" fillId="8" borderId="4" applyNumberFormat="0" applyAlignment="0" applyProtection="0"/>
    <xf numFmtId="0" fontId="17" fillId="0" borderId="10" applyNumberFormat="0" applyFill="0" applyAlignment="0" applyProtection="0"/>
    <xf numFmtId="0" fontId="18" fillId="23" borderId="0" applyNumberFormat="0" applyBorder="0" applyAlignment="0" applyProtection="0"/>
    <xf numFmtId="0" fontId="1" fillId="24" borderId="11" applyNumberFormat="0" applyFont="0" applyAlignment="0" applyProtection="0"/>
    <xf numFmtId="0" fontId="3" fillId="24" borderId="11" applyNumberFormat="0" applyFont="0" applyAlignment="0" applyProtection="0"/>
    <xf numFmtId="0" fontId="5" fillId="21" borderId="3" applyNumberFormat="0" applyAlignment="0" applyProtection="0"/>
    <xf numFmtId="9" fontId="1" fillId="0" borderId="0" applyFont="0" applyFill="0" applyBorder="0" applyAlignment="0" applyProtection="0"/>
    <xf numFmtId="0" fontId="6" fillId="4" borderId="0" applyNumberFormat="0" applyBorder="0" applyAlignment="0" applyProtection="0"/>
    <xf numFmtId="0" fontId="19" fillId="0" borderId="0" applyNumberFormat="0" applyFill="0" applyBorder="0" applyAlignment="0" applyProtection="0"/>
    <xf numFmtId="0" fontId="10" fillId="0" borderId="6" applyNumberFormat="0" applyFill="0" applyAlignment="0" applyProtection="0"/>
    <xf numFmtId="0" fontId="19" fillId="0" borderId="0" applyNumberFormat="0" applyFill="0" applyBorder="0" applyAlignment="0" applyProtection="0"/>
    <xf numFmtId="0" fontId="13" fillId="0" borderId="7" applyNumberFormat="0" applyFill="0" applyAlignment="0" applyProtection="0"/>
    <xf numFmtId="0" fontId="14" fillId="0" borderId="8" applyNumberFormat="0" applyFill="0" applyAlignment="0" applyProtection="0"/>
    <xf numFmtId="0" fontId="15" fillId="0" borderId="9" applyNumberFormat="0" applyFill="0" applyAlignment="0" applyProtection="0"/>
    <xf numFmtId="0" fontId="15" fillId="0" borderId="0" applyNumberFormat="0" applyFill="0" applyBorder="0" applyAlignment="0" applyProtection="0"/>
    <xf numFmtId="0" fontId="17" fillId="0" borderId="10" applyNumberFormat="0" applyFill="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8" fillId="22" borderId="5" applyNumberFormat="0" applyAlignment="0" applyProtection="0"/>
    <xf numFmtId="0" fontId="1" fillId="0" borderId="0"/>
    <xf numFmtId="0" fontId="1" fillId="0" borderId="0" applyNumberFormat="0" applyFont="0" applyFill="0" applyBorder="0" applyProtection="0">
      <alignment horizontal="left" vertical="center" indent="5"/>
    </xf>
    <xf numFmtId="4" fontId="21" fillId="0" borderId="0"/>
    <xf numFmtId="9" fontId="23" fillId="0" borderId="0" applyFont="0" applyFill="0" applyBorder="0" applyAlignment="0" applyProtection="0"/>
    <xf numFmtId="0" fontId="35" fillId="0" borderId="0" applyNumberFormat="0" applyFill="0" applyBorder="0" applyAlignment="0" applyProtection="0"/>
    <xf numFmtId="43" fontId="23" fillId="0" borderId="0" applyFont="0" applyFill="0" applyBorder="0" applyAlignment="0" applyProtection="0"/>
    <xf numFmtId="0" fontId="36" fillId="35" borderId="0" applyNumberFormat="0" applyBorder="0" applyAlignment="0" applyProtection="0"/>
    <xf numFmtId="0" fontId="69" fillId="0" borderId="0"/>
  </cellStyleXfs>
  <cellXfs count="562">
    <xf numFmtId="0" fontId="0" fillId="0" borderId="0" xfId="0"/>
    <xf numFmtId="0" fontId="22" fillId="0" borderId="0" xfId="0" applyFont="1"/>
    <xf numFmtId="0" fontId="27" fillId="0" borderId="0" xfId="0" applyFont="1" applyAlignment="1">
      <alignment horizontal="justify" vertical="top"/>
    </xf>
    <xf numFmtId="0" fontId="29" fillId="0" borderId="0" xfId="0" applyFont="1" applyAlignment="1">
      <alignment vertical="top" wrapText="1"/>
    </xf>
    <xf numFmtId="0" fontId="0" fillId="25" borderId="0" xfId="0" applyFill="1"/>
    <xf numFmtId="0" fontId="0" fillId="0" borderId="0" xfId="0" applyAlignment="1">
      <alignment horizontal="left" vertical="top"/>
    </xf>
    <xf numFmtId="0" fontId="0" fillId="29" borderId="0" xfId="0" applyFill="1"/>
    <xf numFmtId="0" fontId="37" fillId="0" borderId="0" xfId="0" applyFont="1" applyAlignment="1">
      <alignment horizontal="justify" vertical="top"/>
    </xf>
    <xf numFmtId="49" fontId="37" fillId="0" borderId="0" xfId="0" applyNumberFormat="1" applyFont="1" applyAlignment="1">
      <alignment horizontal="justify" vertical="top"/>
    </xf>
    <xf numFmtId="49" fontId="41" fillId="0" borderId="0" xfId="0" applyNumberFormat="1" applyFont="1" applyAlignment="1">
      <alignment horizontal="justify" vertical="top"/>
    </xf>
    <xf numFmtId="0" fontId="41" fillId="0" borderId="0" xfId="0" applyFont="1" applyAlignment="1">
      <alignment horizontal="justify" vertical="top"/>
    </xf>
    <xf numFmtId="0" fontId="37" fillId="0" borderId="0" xfId="0" applyFont="1"/>
    <xf numFmtId="49" fontId="38" fillId="0" borderId="0" xfId="0" applyNumberFormat="1" applyFont="1" applyAlignment="1">
      <alignment horizontal="justify" vertical="top"/>
    </xf>
    <xf numFmtId="0" fontId="42" fillId="0" borderId="0" xfId="0" applyFont="1" applyAlignment="1">
      <alignment horizontal="justify" vertical="top"/>
    </xf>
    <xf numFmtId="49" fontId="42" fillId="0" borderId="0" xfId="0" applyNumberFormat="1" applyFont="1" applyAlignment="1">
      <alignment horizontal="justify" vertical="top"/>
    </xf>
    <xf numFmtId="0" fontId="41" fillId="0" borderId="0" xfId="0" applyFont="1" applyAlignment="1">
      <alignment horizontal="right" vertical="top" wrapText="1"/>
    </xf>
    <xf numFmtId="0" fontId="42" fillId="0" borderId="0" xfId="0" quotePrefix="1" applyFont="1" applyAlignment="1">
      <alignment horizontal="left" vertical="top"/>
    </xf>
    <xf numFmtId="49" fontId="38" fillId="0" borderId="0" xfId="0" applyNumberFormat="1" applyFont="1" applyAlignment="1">
      <alignment horizontal="justify" vertical="center"/>
    </xf>
    <xf numFmtId="0" fontId="38" fillId="2" borderId="0" xfId="0" applyFont="1" applyFill="1" applyAlignment="1">
      <alignment horizontal="justify" vertical="top" wrapText="1"/>
    </xf>
    <xf numFmtId="0" fontId="41" fillId="0" borderId="0" xfId="0" applyFont="1" applyAlignment="1">
      <alignment horizontal="justify" vertical="top" wrapText="1"/>
    </xf>
    <xf numFmtId="0" fontId="41" fillId="0" borderId="0" xfId="0" applyFont="1" applyAlignment="1">
      <alignment horizontal="left" vertical="top" wrapText="1"/>
    </xf>
    <xf numFmtId="0" fontId="41" fillId="0" borderId="0" xfId="0" applyFont="1" applyAlignment="1">
      <alignment horizontal="left" vertical="top"/>
    </xf>
    <xf numFmtId="0" fontId="38" fillId="0" borderId="0" xfId="0" applyFont="1" applyAlignment="1">
      <alignment horizontal="left" vertical="top" wrapText="1"/>
    </xf>
    <xf numFmtId="0" fontId="45" fillId="0" borderId="0" xfId="0" applyFont="1" applyAlignment="1">
      <alignment vertical="top"/>
    </xf>
    <xf numFmtId="0" fontId="37" fillId="0" borderId="0" xfId="0" applyFont="1" applyAlignment="1">
      <alignment horizontal="left" vertical="top" wrapText="1"/>
    </xf>
    <xf numFmtId="0" fontId="44" fillId="0" borderId="0" xfId="0" applyFont="1" applyAlignment="1">
      <alignment horizontal="justify" vertical="top"/>
    </xf>
    <xf numFmtId="0" fontId="41" fillId="0" borderId="0" xfId="0" quotePrefix="1" applyFont="1" applyAlignment="1">
      <alignment horizontal="left" vertical="top"/>
    </xf>
    <xf numFmtId="0" fontId="42" fillId="0" borderId="0" xfId="0" applyFont="1" applyAlignment="1">
      <alignment horizontal="left" vertical="top"/>
    </xf>
    <xf numFmtId="0" fontId="41" fillId="0" borderId="0" xfId="1" applyFont="1" applyAlignment="1">
      <alignment horizontal="justify" vertical="center"/>
    </xf>
    <xf numFmtId="0" fontId="41" fillId="0" borderId="0" xfId="0" applyFont="1" applyAlignment="1">
      <alignment vertical="top"/>
    </xf>
    <xf numFmtId="0" fontId="38" fillId="0" borderId="0" xfId="1" applyFont="1" applyAlignment="1">
      <alignment horizontal="left"/>
    </xf>
    <xf numFmtId="0" fontId="37" fillId="0" borderId="0" xfId="0" applyFont="1" applyAlignment="1">
      <alignment horizontal="justify" vertical="top" wrapText="1"/>
    </xf>
    <xf numFmtId="0" fontId="42" fillId="0" borderId="0" xfId="0" applyFont="1" applyAlignment="1">
      <alignment horizontal="center" vertical="top"/>
    </xf>
    <xf numFmtId="0" fontId="41" fillId="26" borderId="0" xfId="0" applyFont="1" applyFill="1" applyAlignment="1">
      <alignment horizontal="justify" vertical="top" wrapText="1"/>
    </xf>
    <xf numFmtId="0" fontId="41" fillId="0" borderId="0" xfId="0" applyFont="1" applyAlignment="1">
      <alignment horizontal="center" vertical="center" wrapText="1"/>
    </xf>
    <xf numFmtId="0" fontId="41" fillId="26" borderId="0" xfId="1" applyFont="1" applyFill="1" applyAlignment="1">
      <alignment horizontal="justify" vertical="center"/>
    </xf>
    <xf numFmtId="0" fontId="40" fillId="0" borderId="0" xfId="0" applyFont="1" applyAlignment="1">
      <alignment horizontal="right" vertical="top" wrapText="1"/>
    </xf>
    <xf numFmtId="0" fontId="37" fillId="0" borderId="0" xfId="0" applyFont="1" applyAlignment="1">
      <alignment wrapText="1"/>
    </xf>
    <xf numFmtId="0" fontId="37" fillId="26" borderId="0" xfId="0" applyFont="1" applyFill="1" applyAlignment="1">
      <alignment horizontal="justify" vertical="top"/>
    </xf>
    <xf numFmtId="49" fontId="37" fillId="26" borderId="0" xfId="0" applyNumberFormat="1" applyFont="1" applyFill="1" applyAlignment="1">
      <alignment horizontal="justify" vertical="top"/>
    </xf>
    <xf numFmtId="0" fontId="43" fillId="0" borderId="0" xfId="1" applyFont="1" applyAlignment="1">
      <alignment horizontal="left" vertical="top" wrapText="1"/>
    </xf>
    <xf numFmtId="0" fontId="41" fillId="32" borderId="1" xfId="1" applyFont="1" applyFill="1" applyBorder="1" applyAlignment="1">
      <alignment horizontal="center" vertical="center" wrapText="1"/>
    </xf>
    <xf numFmtId="0" fontId="52" fillId="31" borderId="1" xfId="0" applyFont="1" applyFill="1" applyBorder="1" applyAlignment="1">
      <alignment horizontal="left" vertical="top" wrapText="1"/>
    </xf>
    <xf numFmtId="0" fontId="52" fillId="31" borderId="1" xfId="0" applyFont="1" applyFill="1" applyBorder="1" applyAlignment="1">
      <alignment horizontal="left" vertical="top"/>
    </xf>
    <xf numFmtId="0" fontId="52" fillId="31" borderId="1" xfId="1" applyFont="1" applyFill="1" applyBorder="1" applyAlignment="1">
      <alignment horizontal="left" vertical="center"/>
    </xf>
    <xf numFmtId="0" fontId="52" fillId="31" borderId="15" xfId="0" applyFont="1" applyFill="1" applyBorder="1" applyAlignment="1">
      <alignment vertical="top" wrapText="1"/>
    </xf>
    <xf numFmtId="0" fontId="52" fillId="31" borderId="1" xfId="0" applyFont="1" applyFill="1" applyBorder="1" applyAlignment="1">
      <alignment vertical="top" wrapText="1"/>
    </xf>
    <xf numFmtId="0" fontId="41" fillId="32" borderId="1" xfId="1" applyFont="1" applyFill="1" applyBorder="1" applyAlignment="1">
      <alignment horizontal="left" vertical="center" wrapText="1"/>
    </xf>
    <xf numFmtId="0" fontId="49" fillId="31" borderId="16" xfId="1" applyFont="1" applyFill="1" applyBorder="1" applyAlignment="1">
      <alignment horizontal="left"/>
    </xf>
    <xf numFmtId="0" fontId="52" fillId="31" borderId="1" xfId="1" applyFont="1" applyFill="1" applyBorder="1" applyAlignment="1">
      <alignment horizontal="left" vertical="top"/>
    </xf>
    <xf numFmtId="0" fontId="52" fillId="31" borderId="1" xfId="1" applyFont="1" applyFill="1" applyBorder="1" applyAlignment="1">
      <alignment horizontal="left" vertical="top" wrapText="1"/>
    </xf>
    <xf numFmtId="0" fontId="52" fillId="31" borderId="1" xfId="0" applyFont="1" applyFill="1" applyBorder="1" applyAlignment="1">
      <alignment vertical="top"/>
    </xf>
    <xf numFmtId="0" fontId="52" fillId="31" borderId="1" xfId="0" applyFont="1" applyFill="1" applyBorder="1" applyAlignment="1">
      <alignment horizontal="justify" vertical="top" wrapText="1"/>
    </xf>
    <xf numFmtId="0" fontId="52" fillId="31" borderId="1" xfId="0" applyFont="1" applyFill="1" applyBorder="1" applyAlignment="1">
      <alignment horizontal="left" vertical="center" wrapText="1"/>
    </xf>
    <xf numFmtId="0" fontId="36" fillId="31" borderId="1" xfId="0" applyFont="1" applyFill="1" applyBorder="1" applyAlignment="1">
      <alignment horizontal="left" vertical="center" wrapText="1"/>
    </xf>
    <xf numFmtId="0" fontId="38" fillId="0" borderId="0" xfId="0" applyFont="1" applyAlignment="1">
      <alignment vertical="top"/>
    </xf>
    <xf numFmtId="0" fontId="0" fillId="0" borderId="0" xfId="0" applyAlignment="1">
      <alignment vertical="top" wrapText="1"/>
    </xf>
    <xf numFmtId="49" fontId="38" fillId="0" borderId="0" xfId="0" applyNumberFormat="1" applyFont="1" applyAlignment="1">
      <alignment horizontal="left" vertical="center"/>
    </xf>
    <xf numFmtId="0" fontId="42" fillId="0" borderId="0" xfId="0" applyFont="1" applyAlignment="1">
      <alignment horizontal="left" vertical="center"/>
    </xf>
    <xf numFmtId="0" fontId="54" fillId="0" borderId="0" xfId="0" applyFont="1" applyAlignment="1">
      <alignment horizontal="right" vertical="top" wrapText="1"/>
    </xf>
    <xf numFmtId="0" fontId="27" fillId="0" borderId="0" xfId="0" applyFont="1" applyAlignment="1">
      <alignment vertical="top" wrapText="1"/>
    </xf>
    <xf numFmtId="0" fontId="0" fillId="0" borderId="0" xfId="0" applyAlignment="1">
      <alignment wrapText="1"/>
    </xf>
    <xf numFmtId="0" fontId="50" fillId="31" borderId="0" xfId="1" applyFont="1" applyFill="1" applyAlignment="1">
      <alignment horizontal="left"/>
    </xf>
    <xf numFmtId="0" fontId="41" fillId="32" borderId="15" xfId="1" applyFont="1" applyFill="1" applyBorder="1" applyAlignment="1">
      <alignment horizontal="left" vertical="center"/>
    </xf>
    <xf numFmtId="0" fontId="41" fillId="32" borderId="15" xfId="1" applyFont="1" applyFill="1" applyBorder="1" applyAlignment="1">
      <alignment horizontal="left" vertical="center" wrapText="1"/>
    </xf>
    <xf numFmtId="0" fontId="38" fillId="0" borderId="0" xfId="0" applyFont="1" applyAlignment="1">
      <alignment horizontal="left" vertical="center" wrapText="1"/>
    </xf>
    <xf numFmtId="0" fontId="37" fillId="0" borderId="0" xfId="0" applyFont="1" applyAlignment="1">
      <alignment horizontal="left" vertical="center" wrapText="1"/>
    </xf>
    <xf numFmtId="0" fontId="52" fillId="31" borderId="15" xfId="0" applyFont="1" applyFill="1" applyBorder="1" applyAlignment="1">
      <alignment horizontal="left" vertical="center" wrapText="1"/>
    </xf>
    <xf numFmtId="49" fontId="37" fillId="0" borderId="0" xfId="0" applyNumberFormat="1" applyFont="1" applyAlignment="1">
      <alignment horizontal="left" vertical="center"/>
    </xf>
    <xf numFmtId="0" fontId="37" fillId="0" borderId="0" xfId="0" applyFont="1" applyAlignment="1">
      <alignment horizontal="left" vertical="center"/>
    </xf>
    <xf numFmtId="0" fontId="52" fillId="31" borderId="1" xfId="0" applyFont="1" applyFill="1" applyBorder="1" applyAlignment="1">
      <alignment horizontal="left" vertical="center"/>
    </xf>
    <xf numFmtId="0" fontId="41" fillId="32" borderId="15" xfId="0" applyFont="1" applyFill="1" applyBorder="1" applyAlignment="1">
      <alignment horizontal="left" vertical="center" wrapText="1"/>
    </xf>
    <xf numFmtId="0" fontId="41" fillId="32" borderId="1" xfId="0" applyFont="1" applyFill="1" applyBorder="1" applyAlignment="1">
      <alignment horizontal="left" vertical="center" wrapText="1"/>
    </xf>
    <xf numFmtId="0" fontId="42" fillId="0" borderId="0" xfId="0" quotePrefix="1" applyFont="1" applyAlignment="1">
      <alignment horizontal="left" vertical="center"/>
    </xf>
    <xf numFmtId="0" fontId="41" fillId="0" borderId="0" xfId="0" applyFont="1" applyAlignment="1">
      <alignment horizontal="left" vertical="center" wrapText="1"/>
    </xf>
    <xf numFmtId="49" fontId="42" fillId="0" borderId="0" xfId="0" applyNumberFormat="1" applyFont="1" applyAlignment="1">
      <alignment horizontal="left" vertical="center"/>
    </xf>
    <xf numFmtId="0" fontId="38" fillId="2" borderId="0" xfId="0" applyFont="1" applyFill="1" applyAlignment="1">
      <alignment horizontal="left" vertical="center" wrapText="1"/>
    </xf>
    <xf numFmtId="0" fontId="35" fillId="32" borderId="1" xfId="90" applyFill="1" applyBorder="1" applyAlignment="1">
      <alignment horizontal="left" vertical="center" wrapText="1"/>
    </xf>
    <xf numFmtId="49" fontId="41" fillId="0" borderId="0" xfId="0" applyNumberFormat="1" applyFont="1" applyAlignment="1">
      <alignment horizontal="left" vertical="center"/>
    </xf>
    <xf numFmtId="0" fontId="41" fillId="0" borderId="0" xfId="0" applyFont="1" applyAlignment="1">
      <alignment horizontal="left" vertical="center"/>
    </xf>
    <xf numFmtId="0" fontId="41" fillId="2" borderId="15" xfId="0" applyFont="1" applyFill="1" applyBorder="1" applyAlignment="1">
      <alignment horizontal="left" vertical="center" wrapText="1"/>
    </xf>
    <xf numFmtId="0" fontId="40" fillId="0" borderId="0" xfId="1" applyFont="1" applyAlignment="1">
      <alignment horizontal="left" vertical="center"/>
    </xf>
    <xf numFmtId="0" fontId="39" fillId="0" borderId="0" xfId="1" applyFont="1" applyAlignment="1">
      <alignment horizontal="left" vertical="center"/>
    </xf>
    <xf numFmtId="0" fontId="59" fillId="32" borderId="1" xfId="90" applyFont="1" applyFill="1" applyBorder="1" applyAlignment="1">
      <alignment horizontal="left" vertical="center" wrapText="1"/>
    </xf>
    <xf numFmtId="0" fontId="41" fillId="0" borderId="0" xfId="0" quotePrefix="1" applyFont="1" applyAlignment="1">
      <alignment horizontal="left" vertical="center"/>
    </xf>
    <xf numFmtId="0" fontId="50" fillId="31" borderId="16" xfId="1" applyFont="1" applyFill="1" applyBorder="1" applyAlignment="1">
      <alignment horizontal="left"/>
    </xf>
    <xf numFmtId="0" fontId="60" fillId="0" borderId="0" xfId="0" applyFont="1" applyAlignment="1">
      <alignment horizontal="justify" vertical="top"/>
    </xf>
    <xf numFmtId="0" fontId="50" fillId="31" borderId="0" xfId="1" applyFont="1" applyFill="1" applyAlignment="1">
      <alignment horizontal="left" vertical="center"/>
    </xf>
    <xf numFmtId="0" fontId="0" fillId="28" borderId="0" xfId="0" applyFill="1"/>
    <xf numFmtId="0" fontId="41" fillId="32" borderId="1" xfId="1" applyFont="1" applyFill="1" applyBorder="1" applyAlignment="1">
      <alignment horizontal="left" vertical="center"/>
    </xf>
    <xf numFmtId="0" fontId="41" fillId="0" borderId="0" xfId="0" applyFont="1"/>
    <xf numFmtId="0" fontId="41" fillId="32" borderId="1" xfId="0" applyFont="1" applyFill="1" applyBorder="1" applyAlignment="1">
      <alignment horizontal="left" vertical="top" wrapText="1"/>
    </xf>
    <xf numFmtId="0" fontId="41" fillId="32" borderId="1" xfId="0" applyFont="1" applyFill="1" applyBorder="1" applyAlignment="1">
      <alignment horizontal="left" vertical="center"/>
    </xf>
    <xf numFmtId="0" fontId="41" fillId="0" borderId="15" xfId="0" applyFont="1" applyBorder="1" applyAlignment="1">
      <alignment horizontal="left" vertical="center" wrapText="1"/>
    </xf>
    <xf numFmtId="49" fontId="42" fillId="0" borderId="0" xfId="0" applyNumberFormat="1" applyFont="1" applyAlignment="1">
      <alignment horizontal="left" vertical="center" wrapText="1"/>
    </xf>
    <xf numFmtId="0" fontId="42" fillId="0" borderId="0" xfId="0" applyFont="1" applyAlignment="1">
      <alignment horizontal="left" vertical="center" wrapText="1"/>
    </xf>
    <xf numFmtId="0" fontId="41" fillId="0" borderId="1" xfId="0" applyFont="1" applyBorder="1" applyAlignment="1">
      <alignment horizontal="left" vertical="center" wrapText="1"/>
    </xf>
    <xf numFmtId="0" fontId="41" fillId="32" borderId="1" xfId="0" applyFont="1" applyFill="1" applyBorder="1" applyAlignment="1">
      <alignment horizontal="justify" vertical="center" wrapText="1"/>
    </xf>
    <xf numFmtId="0" fontId="41" fillId="32" borderId="1" xfId="1" applyFont="1" applyFill="1" applyBorder="1" applyAlignment="1">
      <alignment vertical="center" wrapText="1"/>
    </xf>
    <xf numFmtId="0" fontId="44" fillId="0" borderId="0" xfId="0" applyFont="1" applyAlignment="1">
      <alignment horizontal="left" vertical="top" wrapText="1"/>
    </xf>
    <xf numFmtId="0" fontId="0" fillId="0" borderId="0" xfId="0" applyAlignment="1">
      <alignment horizontal="justify" vertical="top"/>
    </xf>
    <xf numFmtId="49" fontId="25" fillId="31" borderId="0" xfId="1" applyNumberFormat="1" applyFont="1" applyFill="1" applyAlignment="1">
      <alignment horizontal="left"/>
    </xf>
    <xf numFmtId="49" fontId="27" fillId="0" borderId="0" xfId="0" applyNumberFormat="1" applyFont="1" applyAlignment="1">
      <alignment horizontal="justify" vertical="top"/>
    </xf>
    <xf numFmtId="0" fontId="41" fillId="32" borderId="1" xfId="0" applyFont="1" applyFill="1" applyBorder="1" applyAlignment="1">
      <alignment horizontal="right" vertical="center" wrapText="1"/>
    </xf>
    <xf numFmtId="0" fontId="52" fillId="31" borderId="15" xfId="0" applyFont="1" applyFill="1" applyBorder="1" applyAlignment="1">
      <alignment horizontal="left" vertical="top" wrapText="1"/>
    </xf>
    <xf numFmtId="3" fontId="41" fillId="32" borderId="1" xfId="0" applyNumberFormat="1" applyFont="1" applyFill="1" applyBorder="1" applyAlignment="1">
      <alignment horizontal="right" vertical="center" wrapText="1"/>
    </xf>
    <xf numFmtId="3" fontId="41" fillId="32" borderId="1" xfId="0" applyNumberFormat="1" applyFont="1" applyFill="1" applyBorder="1" applyAlignment="1">
      <alignment horizontal="right" vertical="center"/>
    </xf>
    <xf numFmtId="0" fontId="50" fillId="31" borderId="32" xfId="1" applyFont="1" applyFill="1" applyBorder="1" applyAlignment="1">
      <alignment horizontal="left"/>
    </xf>
    <xf numFmtId="3" fontId="41" fillId="32" borderId="15" xfId="0" applyNumberFormat="1" applyFont="1" applyFill="1" applyBorder="1" applyAlignment="1">
      <alignment horizontal="right" vertical="center" wrapText="1"/>
    </xf>
    <xf numFmtId="0" fontId="31" fillId="0" borderId="0" xfId="1" applyFont="1"/>
    <xf numFmtId="0" fontId="32" fillId="0" borderId="0" xfId="1" applyFont="1" applyAlignment="1">
      <alignment vertical="top"/>
    </xf>
    <xf numFmtId="0" fontId="32" fillId="0" borderId="0" xfId="1" applyFont="1" applyAlignment="1">
      <alignment vertical="top" wrapText="1"/>
    </xf>
    <xf numFmtId="0" fontId="33" fillId="0" borderId="0" xfId="1" applyFont="1" applyAlignment="1">
      <alignment horizontal="left" vertical="top" wrapText="1"/>
    </xf>
    <xf numFmtId="0" fontId="0" fillId="0" borderId="0" xfId="1" applyFont="1"/>
    <xf numFmtId="0" fontId="50" fillId="31" borderId="0" xfId="1" applyFont="1" applyFill="1" applyAlignment="1">
      <alignment horizontal="left" vertical="top"/>
    </xf>
    <xf numFmtId="0" fontId="50" fillId="31" borderId="16" xfId="1" applyFont="1" applyFill="1" applyBorder="1" applyAlignment="1">
      <alignment horizontal="left" vertical="top"/>
    </xf>
    <xf numFmtId="0" fontId="52" fillId="31" borderId="1" xfId="1" applyFont="1" applyFill="1" applyBorder="1" applyAlignment="1">
      <alignment vertical="top"/>
    </xf>
    <xf numFmtId="0" fontId="52" fillId="31" borderId="1" xfId="1" applyFont="1" applyFill="1" applyBorder="1" applyAlignment="1">
      <alignment vertical="top" wrapText="1"/>
    </xf>
    <xf numFmtId="0" fontId="37" fillId="0" borderId="0" xfId="0" applyFont="1" applyAlignment="1">
      <alignment horizontal="left" vertical="top" wrapText="1" indent="4"/>
    </xf>
    <xf numFmtId="0" fontId="41" fillId="27" borderId="1" xfId="0" applyFont="1" applyFill="1" applyBorder="1" applyAlignment="1">
      <alignment vertical="center"/>
    </xf>
    <xf numFmtId="0" fontId="41" fillId="0" borderId="0" xfId="0" quotePrefix="1" applyFont="1" applyAlignment="1">
      <alignment horizontal="left"/>
    </xf>
    <xf numFmtId="0" fontId="41" fillId="0" borderId="0" xfId="0" applyFont="1" applyAlignment="1">
      <alignment vertical="top" wrapText="1"/>
    </xf>
    <xf numFmtId="0" fontId="37" fillId="0" borderId="0" xfId="0" applyFont="1" applyAlignment="1">
      <alignment vertical="top" wrapText="1"/>
    </xf>
    <xf numFmtId="0" fontId="41" fillId="32" borderId="1" xfId="1" applyFont="1" applyFill="1" applyBorder="1" applyAlignment="1">
      <alignment vertical="center"/>
    </xf>
    <xf numFmtId="164" fontId="41" fillId="32" borderId="1" xfId="91" applyNumberFormat="1" applyFont="1" applyFill="1" applyBorder="1" applyAlignment="1" applyProtection="1">
      <alignment horizontal="right" vertical="center" wrapText="1"/>
    </xf>
    <xf numFmtId="0" fontId="41" fillId="32" borderId="15" xfId="0" applyFont="1" applyFill="1" applyBorder="1" applyAlignment="1">
      <alignment horizontal="left" vertical="top" wrapText="1"/>
    </xf>
    <xf numFmtId="164" fontId="41" fillId="32" borderId="1" xfId="91" applyNumberFormat="1" applyFont="1" applyFill="1" applyBorder="1" applyAlignment="1" applyProtection="1">
      <alignment horizontal="right" vertical="top" wrapText="1"/>
    </xf>
    <xf numFmtId="3" fontId="41" fillId="32" borderId="1" xfId="91" applyNumberFormat="1" applyFont="1" applyFill="1" applyBorder="1" applyAlignment="1" applyProtection="1">
      <alignment horizontal="right" vertical="center" wrapText="1"/>
    </xf>
    <xf numFmtId="0" fontId="41" fillId="32" borderId="1" xfId="1" applyFont="1" applyFill="1" applyBorder="1" applyAlignment="1">
      <alignment horizontal="left" vertical="top" wrapText="1"/>
    </xf>
    <xf numFmtId="0" fontId="41" fillId="32" borderId="1" xfId="0" applyFont="1" applyFill="1" applyBorder="1" applyAlignment="1">
      <alignment vertical="center"/>
    </xf>
    <xf numFmtId="0" fontId="41" fillId="32" borderId="12" xfId="0" applyFont="1" applyFill="1" applyBorder="1" applyAlignment="1">
      <alignment vertical="center"/>
    </xf>
    <xf numFmtId="49" fontId="45" fillId="0" borderId="0" xfId="0" applyNumberFormat="1" applyFont="1" applyAlignment="1">
      <alignment horizontal="left" vertical="center"/>
    </xf>
    <xf numFmtId="3" fontId="41" fillId="32" borderId="1" xfId="0" applyNumberFormat="1" applyFont="1" applyFill="1" applyBorder="1" applyAlignment="1">
      <alignment horizontal="right" vertical="top" wrapText="1"/>
    </xf>
    <xf numFmtId="9" fontId="41" fillId="32" borderId="1" xfId="89" applyFont="1" applyFill="1" applyBorder="1" applyAlignment="1" applyProtection="1">
      <alignment horizontal="right" vertical="center" wrapText="1"/>
    </xf>
    <xf numFmtId="10" fontId="41" fillId="32" borderId="1" xfId="0" applyNumberFormat="1" applyFont="1" applyFill="1" applyBorder="1" applyAlignment="1">
      <alignment horizontal="right" vertical="center" wrapText="1"/>
    </xf>
    <xf numFmtId="3" fontId="41" fillId="32" borderId="1" xfId="89" applyNumberFormat="1" applyFont="1" applyFill="1" applyBorder="1" applyAlignment="1" applyProtection="1">
      <alignment horizontal="right" vertical="center" wrapText="1"/>
    </xf>
    <xf numFmtId="9" fontId="41" fillId="32" borderId="1" xfId="0" applyNumberFormat="1" applyFont="1" applyFill="1" applyBorder="1" applyAlignment="1">
      <alignment horizontal="right" vertical="center" wrapText="1"/>
    </xf>
    <xf numFmtId="2" fontId="42" fillId="0" borderId="0" xfId="0" applyNumberFormat="1" applyFont="1" applyAlignment="1">
      <alignment horizontal="justify" vertical="top"/>
    </xf>
    <xf numFmtId="9" fontId="41" fillId="32" borderId="1" xfId="89" applyFont="1" applyFill="1" applyBorder="1" applyAlignment="1" applyProtection="1">
      <alignment horizontal="right" vertical="center" wrapText="1" indent="1"/>
    </xf>
    <xf numFmtId="3" fontId="41" fillId="32" borderId="1" xfId="89" applyNumberFormat="1" applyFont="1" applyFill="1" applyBorder="1" applyAlignment="1" applyProtection="1">
      <alignment horizontal="right" vertical="center" wrapText="1" indent="1"/>
    </xf>
    <xf numFmtId="0" fontId="41" fillId="0" borderId="15" xfId="0" applyFont="1" applyBorder="1" applyAlignment="1">
      <alignment vertical="center" wrapText="1"/>
    </xf>
    <xf numFmtId="0" fontId="36" fillId="31" borderId="2" xfId="0" applyFont="1" applyFill="1" applyBorder="1" applyAlignment="1">
      <alignment vertical="top" wrapText="1"/>
    </xf>
    <xf numFmtId="0" fontId="25" fillId="31" borderId="0" xfId="1" quotePrefix="1" applyFont="1" applyFill="1" applyAlignment="1">
      <alignment horizontal="left"/>
    </xf>
    <xf numFmtId="0" fontId="45" fillId="0" borderId="0" xfId="1" applyFont="1" applyAlignment="1">
      <alignment vertical="top" wrapText="1"/>
    </xf>
    <xf numFmtId="49" fontId="38" fillId="0" borderId="0" xfId="0" applyNumberFormat="1" applyFont="1" applyAlignment="1">
      <alignment horizontal="left" vertical="top"/>
    </xf>
    <xf numFmtId="49" fontId="38" fillId="0" borderId="0" xfId="0" applyNumberFormat="1" applyFont="1" applyAlignment="1">
      <alignment horizontal="justify"/>
    </xf>
    <xf numFmtId="49" fontId="42" fillId="0" borderId="0" xfId="0" applyNumberFormat="1" applyFont="1" applyAlignment="1">
      <alignment horizontal="justify" vertical="center"/>
    </xf>
    <xf numFmtId="0" fontId="42" fillId="0" borderId="0" xfId="0" applyFont="1" applyAlignment="1">
      <alignment horizontal="justify" vertical="center"/>
    </xf>
    <xf numFmtId="0" fontId="36" fillId="31" borderId="12" xfId="0" applyFont="1" applyFill="1" applyBorder="1" applyAlignment="1">
      <alignment vertical="top" wrapText="1"/>
    </xf>
    <xf numFmtId="0" fontId="38" fillId="2" borderId="0" xfId="0" applyFont="1" applyFill="1" applyAlignment="1">
      <alignment horizontal="left" vertical="top" wrapText="1"/>
    </xf>
    <xf numFmtId="0" fontId="32" fillId="30" borderId="0" xfId="1" applyFont="1" applyFill="1"/>
    <xf numFmtId="0" fontId="31" fillId="30" borderId="0" xfId="1" applyFont="1" applyFill="1"/>
    <xf numFmtId="14" fontId="31" fillId="30" borderId="0" xfId="1" applyNumberFormat="1" applyFont="1" applyFill="1"/>
    <xf numFmtId="0" fontId="27" fillId="30" borderId="0" xfId="0" applyFont="1" applyFill="1"/>
    <xf numFmtId="49" fontId="42" fillId="0" borderId="0" xfId="0" applyNumberFormat="1" applyFont="1" applyAlignment="1">
      <alignment horizontal="left" vertical="top"/>
    </xf>
    <xf numFmtId="0" fontId="41" fillId="0" borderId="0" xfId="0" applyFont="1" applyAlignment="1">
      <alignment horizontal="justify"/>
    </xf>
    <xf numFmtId="0" fontId="42" fillId="0" borderId="0" xfId="0" applyFont="1" applyAlignment="1">
      <alignment horizontal="justify"/>
    </xf>
    <xf numFmtId="0" fontId="62" fillId="32" borderId="15" xfId="0" applyFont="1" applyFill="1" applyBorder="1" applyAlignment="1">
      <alignment horizontal="left" vertical="center" wrapText="1"/>
    </xf>
    <xf numFmtId="0" fontId="62" fillId="32" borderId="15" xfId="0" applyFont="1" applyFill="1" applyBorder="1" applyAlignment="1">
      <alignment vertical="center" wrapText="1"/>
    </xf>
    <xf numFmtId="0" fontId="37" fillId="0" borderId="0" xfId="0" applyFont="1" applyAlignment="1">
      <alignment horizontal="left" vertical="top"/>
    </xf>
    <xf numFmtId="0" fontId="41" fillId="34" borderId="1" xfId="0" applyFont="1" applyFill="1" applyBorder="1" applyAlignment="1">
      <alignment vertical="center" wrapText="1"/>
    </xf>
    <xf numFmtId="0" fontId="41" fillId="32" borderId="1" xfId="0" applyFont="1" applyFill="1" applyBorder="1" applyAlignment="1">
      <alignment vertical="center" wrapText="1"/>
    </xf>
    <xf numFmtId="0" fontId="41" fillId="0" borderId="20" xfId="0" quotePrefix="1" applyFont="1" applyBorder="1" applyAlignment="1">
      <alignment horizontal="left" vertical="top"/>
    </xf>
    <xf numFmtId="14" fontId="27" fillId="30" borderId="0" xfId="0" applyNumberFormat="1" applyFont="1" applyFill="1"/>
    <xf numFmtId="0" fontId="0" fillId="33" borderId="0" xfId="0" applyFill="1"/>
    <xf numFmtId="0" fontId="0" fillId="0" borderId="0" xfId="0" applyAlignment="1">
      <alignment horizontal="justify" vertical="top" wrapText="1"/>
    </xf>
    <xf numFmtId="0" fontId="27" fillId="0" borderId="0" xfId="0" applyFont="1" applyAlignment="1">
      <alignment horizontal="justify" vertical="top" wrapText="1"/>
    </xf>
    <xf numFmtId="0" fontId="29" fillId="0" borderId="0" xfId="0" applyFont="1" applyAlignment="1">
      <alignment horizontal="justify" vertical="top" wrapText="1"/>
    </xf>
    <xf numFmtId="0" fontId="27" fillId="0" borderId="0" xfId="0" applyFont="1" applyAlignment="1">
      <alignment horizontal="justify" wrapText="1"/>
    </xf>
    <xf numFmtId="0" fontId="0" fillId="0" borderId="0" xfId="0" applyAlignment="1">
      <alignment horizontal="justify" wrapText="1"/>
    </xf>
    <xf numFmtId="0" fontId="27" fillId="0" borderId="0" xfId="0" applyFont="1" applyAlignment="1">
      <alignment wrapText="1"/>
    </xf>
    <xf numFmtId="0" fontId="30" fillId="0" borderId="0" xfId="0" applyFont="1" applyAlignment="1">
      <alignment horizontal="justify" vertical="top" wrapText="1"/>
    </xf>
    <xf numFmtId="165" fontId="41" fillId="32" borderId="1" xfId="0" applyNumberFormat="1" applyFont="1" applyFill="1" applyBorder="1" applyAlignment="1">
      <alignment horizontal="right" vertical="center" wrapText="1"/>
    </xf>
    <xf numFmtId="3" fontId="42" fillId="0" borderId="0" xfId="0" applyNumberFormat="1" applyFont="1" applyAlignment="1">
      <alignment horizontal="justify" vertical="top"/>
    </xf>
    <xf numFmtId="49" fontId="25" fillId="31" borderId="0" xfId="1" quotePrefix="1" applyNumberFormat="1" applyFont="1" applyFill="1" applyAlignment="1">
      <alignment horizontal="left"/>
    </xf>
    <xf numFmtId="0" fontId="65" fillId="0" borderId="0" xfId="0" applyFont="1" applyAlignment="1">
      <alignment horizontal="justify" vertical="top" wrapText="1"/>
    </xf>
    <xf numFmtId="0" fontId="66" fillId="0" borderId="0" xfId="0" applyFont="1" applyAlignment="1">
      <alignment wrapText="1"/>
    </xf>
    <xf numFmtId="1" fontId="29" fillId="0" borderId="0" xfId="0" quotePrefix="1" applyNumberFormat="1" applyFont="1" applyAlignment="1">
      <alignment vertical="top" wrapText="1"/>
    </xf>
    <xf numFmtId="0" fontId="27" fillId="0" borderId="0" xfId="0" applyFont="1" applyAlignment="1">
      <alignment horizontal="left" vertical="top" wrapText="1" indent="2"/>
    </xf>
    <xf numFmtId="0" fontId="0" fillId="0" borderId="0" xfId="0" applyAlignment="1">
      <alignment horizontal="left" vertical="top" wrapText="1" indent="2"/>
    </xf>
    <xf numFmtId="0" fontId="27" fillId="0" borderId="1" xfId="0" applyFont="1" applyBorder="1" applyAlignment="1">
      <alignment horizontal="justify" vertical="top" wrapText="1"/>
    </xf>
    <xf numFmtId="0" fontId="27" fillId="0" borderId="0" xfId="0" applyFont="1" applyAlignment="1">
      <alignment horizontal="left" vertical="top" wrapText="1"/>
    </xf>
    <xf numFmtId="0" fontId="68" fillId="0" borderId="0" xfId="0" applyFont="1" applyAlignment="1">
      <alignment horizontal="justify" vertical="top" wrapText="1"/>
    </xf>
    <xf numFmtId="166" fontId="41" fillId="32" borderId="1" xfId="89" applyNumberFormat="1" applyFont="1" applyFill="1" applyBorder="1" applyAlignment="1">
      <alignment horizontal="right" vertical="center" wrapText="1"/>
    </xf>
    <xf numFmtId="0" fontId="69" fillId="0" borderId="0" xfId="93"/>
    <xf numFmtId="0" fontId="36" fillId="35" borderId="0" xfId="92"/>
    <xf numFmtId="0" fontId="42" fillId="0" borderId="0" xfId="0" applyFont="1" applyAlignment="1">
      <alignment horizontal="justify" vertical="top" wrapText="1"/>
    </xf>
    <xf numFmtId="0" fontId="70" fillId="26" borderId="0" xfId="0" applyFont="1" applyFill="1"/>
    <xf numFmtId="0" fontId="70" fillId="26" borderId="0" xfId="0" applyFont="1" applyFill="1" applyAlignment="1">
      <alignment horizontal="left"/>
    </xf>
    <xf numFmtId="14" fontId="70" fillId="26" borderId="0" xfId="0" applyNumberFormat="1" applyFont="1" applyFill="1" applyAlignment="1">
      <alignment horizontal="left"/>
    </xf>
    <xf numFmtId="0" fontId="45" fillId="0" borderId="0" xfId="1" applyFont="1"/>
    <xf numFmtId="0" fontId="35" fillId="0" borderId="0" xfId="90" applyAlignment="1">
      <alignment vertical="top"/>
    </xf>
    <xf numFmtId="0" fontId="35" fillId="0" borderId="0" xfId="90"/>
    <xf numFmtId="49" fontId="51" fillId="0" borderId="0" xfId="0" applyNumberFormat="1" applyFont="1" applyAlignment="1">
      <alignment horizontal="center" vertical="center"/>
    </xf>
    <xf numFmtId="0" fontId="63" fillId="0" borderId="0" xfId="1" applyFont="1" applyAlignment="1">
      <alignment horizontal="center"/>
    </xf>
    <xf numFmtId="0" fontId="26" fillId="31" borderId="0" xfId="1" applyFont="1" applyFill="1" applyAlignment="1">
      <alignment horizontal="left" wrapText="1"/>
    </xf>
    <xf numFmtId="0" fontId="0" fillId="31" borderId="0" xfId="0" applyFill="1" applyAlignment="1">
      <alignment horizontal="left" wrapText="1"/>
    </xf>
    <xf numFmtId="0" fontId="34" fillId="0" borderId="0" xfId="1" applyFont="1" applyAlignment="1">
      <alignment horizontal="justify" vertical="top" wrapText="1"/>
    </xf>
    <xf numFmtId="0" fontId="0" fillId="0" borderId="0" xfId="0" applyAlignment="1">
      <alignment horizontal="justify" vertical="top" wrapText="1"/>
    </xf>
    <xf numFmtId="0" fontId="34" fillId="0" borderId="0" xfId="1" applyFont="1" applyAlignment="1">
      <alignment horizontal="left" vertical="top" wrapText="1"/>
    </xf>
    <xf numFmtId="0" fontId="27" fillId="0" borderId="0" xfId="0" applyFont="1" applyAlignment="1">
      <alignment horizontal="justify" vertical="top" wrapText="1"/>
    </xf>
    <xf numFmtId="0" fontId="27" fillId="0" borderId="0" xfId="0" applyFont="1" applyAlignment="1">
      <alignment horizontal="left" vertical="top" wrapText="1" indent="2"/>
    </xf>
    <xf numFmtId="0" fontId="0" fillId="0" borderId="0" xfId="0" applyAlignment="1">
      <alignment horizontal="left" vertical="top" wrapText="1" indent="2"/>
    </xf>
    <xf numFmtId="0" fontId="29" fillId="0" borderId="0" xfId="0" applyFont="1" applyAlignment="1">
      <alignment horizontal="justify" vertical="top" wrapText="1"/>
    </xf>
    <xf numFmtId="0" fontId="28" fillId="0" borderId="0" xfId="0" applyFont="1" applyAlignment="1">
      <alignment horizontal="justify" vertical="top" wrapText="1"/>
    </xf>
    <xf numFmtId="0" fontId="27" fillId="0" borderId="0" xfId="0" applyFont="1" applyAlignment="1">
      <alignment horizontal="justify" wrapText="1"/>
    </xf>
    <xf numFmtId="0" fontId="0" fillId="0" borderId="0" xfId="0" applyAlignment="1">
      <alignment horizontal="justify" wrapText="1"/>
    </xf>
    <xf numFmtId="0" fontId="30" fillId="0" borderId="0" xfId="0" applyFont="1" applyAlignment="1">
      <alignment horizontal="justify" vertical="top" wrapText="1"/>
    </xf>
    <xf numFmtId="0" fontId="65" fillId="0" borderId="0" xfId="0" applyFont="1" applyAlignment="1">
      <alignment horizontal="justify" vertical="top" wrapText="1"/>
    </xf>
    <xf numFmtId="0" fontId="30" fillId="0" borderId="0" xfId="0" applyFont="1" applyAlignment="1">
      <alignment horizontal="left" vertical="top" wrapText="1"/>
    </xf>
    <xf numFmtId="0" fontId="0" fillId="0" borderId="0" xfId="0" applyAlignment="1">
      <alignment horizontal="left" vertical="top" wrapText="1"/>
    </xf>
    <xf numFmtId="0" fontId="67" fillId="0" borderId="0" xfId="90" applyFont="1" applyAlignment="1">
      <alignment horizontal="justify" wrapText="1"/>
    </xf>
    <xf numFmtId="0" fontId="30" fillId="0" borderId="0" xfId="0" applyFont="1" applyAlignment="1">
      <alignment horizontal="justify" wrapText="1"/>
    </xf>
    <xf numFmtId="0" fontId="27" fillId="0" borderId="0" xfId="0" applyFont="1" applyAlignment="1">
      <alignment horizontal="left" vertical="top" wrapText="1" indent="4"/>
    </xf>
    <xf numFmtId="0" fontId="27" fillId="0" borderId="0" xfId="0" applyFont="1" applyAlignment="1">
      <alignment horizontal="left" vertical="top" wrapText="1"/>
    </xf>
    <xf numFmtId="0" fontId="30" fillId="0" borderId="0" xfId="0" applyFont="1" applyAlignment="1">
      <alignment horizontal="left" vertical="top" wrapText="1" indent="2"/>
    </xf>
    <xf numFmtId="0" fontId="65" fillId="0" borderId="0" xfId="0" applyFont="1" applyAlignment="1">
      <alignment horizontal="left" vertical="top" wrapText="1" indent="2"/>
    </xf>
    <xf numFmtId="0" fontId="27" fillId="0" borderId="13" xfId="0" applyFont="1" applyBorder="1" applyAlignment="1">
      <alignment horizontal="justify" vertical="top" wrapText="1"/>
    </xf>
    <xf numFmtId="0" fontId="0" fillId="0" borderId="20" xfId="0" applyBorder="1" applyAlignment="1">
      <alignment horizontal="justify" vertical="top" wrapText="1"/>
    </xf>
    <xf numFmtId="0" fontId="0" fillId="0" borderId="21" xfId="0" applyBorder="1" applyAlignment="1">
      <alignment horizontal="justify" vertical="top" wrapText="1"/>
    </xf>
    <xf numFmtId="0" fontId="27" fillId="0" borderId="22" xfId="0" applyFont="1" applyBorder="1" applyAlignment="1">
      <alignment horizontal="left" vertical="top" wrapText="1" indent="2"/>
    </xf>
    <xf numFmtId="0" fontId="0" fillId="0" borderId="23" xfId="0" applyBorder="1" applyAlignment="1">
      <alignment horizontal="left" vertical="top" wrapText="1" indent="2"/>
    </xf>
    <xf numFmtId="0" fontId="27" fillId="0" borderId="24" xfId="0" applyFont="1" applyBorder="1" applyAlignment="1">
      <alignment horizontal="justify" vertical="top" wrapText="1"/>
    </xf>
    <xf numFmtId="0" fontId="0" fillId="0" borderId="25" xfId="0" applyBorder="1" applyAlignment="1">
      <alignment horizontal="justify" vertical="top" wrapText="1"/>
    </xf>
    <xf numFmtId="0" fontId="0" fillId="0" borderId="26" xfId="0" applyBorder="1" applyAlignment="1">
      <alignment horizontal="justify" vertical="top" wrapText="1"/>
    </xf>
    <xf numFmtId="0" fontId="27" fillId="0" borderId="15" xfId="0" applyFont="1" applyBorder="1" applyAlignment="1">
      <alignment horizontal="justify" vertical="top" wrapText="1"/>
    </xf>
    <xf numFmtId="0" fontId="0" fillId="0" borderId="2" xfId="0" applyBorder="1" applyAlignment="1">
      <alignment horizontal="justify" vertical="top" wrapText="1"/>
    </xf>
    <xf numFmtId="0" fontId="0" fillId="0" borderId="12" xfId="0" applyBorder="1" applyAlignment="1">
      <alignment horizontal="justify" vertical="top" wrapText="1"/>
    </xf>
    <xf numFmtId="0" fontId="0" fillId="0" borderId="22" xfId="0" applyBorder="1" applyAlignment="1">
      <alignment horizontal="justify" vertical="top" wrapText="1"/>
    </xf>
    <xf numFmtId="0" fontId="0" fillId="0" borderId="23" xfId="0" applyBorder="1" applyAlignment="1">
      <alignment horizontal="justify" vertical="top" wrapText="1"/>
    </xf>
    <xf numFmtId="0" fontId="0" fillId="0" borderId="24" xfId="0" applyBorder="1" applyAlignment="1">
      <alignment horizontal="justify" vertical="top" wrapText="1"/>
    </xf>
    <xf numFmtId="0" fontId="28" fillId="0" borderId="0" xfId="0" applyFont="1" applyAlignment="1">
      <alignment vertical="top" wrapText="1"/>
    </xf>
    <xf numFmtId="0" fontId="0" fillId="0" borderId="0" xfId="0" applyAlignment="1">
      <alignment vertical="top" wrapText="1"/>
    </xf>
    <xf numFmtId="0" fontId="27" fillId="0" borderId="0" xfId="0" applyFont="1" applyAlignment="1">
      <alignment vertical="top" wrapText="1"/>
    </xf>
    <xf numFmtId="0" fontId="27" fillId="0" borderId="0" xfId="0" applyFont="1" applyAlignment="1">
      <alignment wrapText="1"/>
    </xf>
    <xf numFmtId="0" fontId="0" fillId="0" borderId="0" xfId="0" applyAlignment="1">
      <alignment wrapText="1"/>
    </xf>
    <xf numFmtId="0" fontId="24" fillId="0" borderId="0" xfId="1" applyFont="1" applyAlignment="1">
      <alignment horizontal="center" vertical="top" wrapText="1"/>
    </xf>
    <xf numFmtId="0" fontId="50" fillId="31" borderId="0" xfId="1" applyFont="1" applyFill="1" applyAlignment="1">
      <alignment horizontal="left" vertical="center"/>
    </xf>
    <xf numFmtId="0" fontId="41" fillId="2" borderId="15" xfId="0" applyFont="1" applyFill="1" applyBorder="1" applyAlignment="1">
      <alignment horizontal="left" vertical="center" wrapText="1"/>
    </xf>
    <xf numFmtId="0" fontId="37" fillId="0" borderId="12" xfId="0" applyFont="1" applyBorder="1" applyAlignment="1">
      <alignment horizontal="left" vertical="center" wrapText="1"/>
    </xf>
    <xf numFmtId="0" fontId="41" fillId="32" borderId="15" xfId="1" applyFont="1" applyFill="1" applyBorder="1" applyAlignment="1">
      <alignment horizontal="left" vertical="center"/>
    </xf>
    <xf numFmtId="0" fontId="41" fillId="32" borderId="2" xfId="1" applyFont="1" applyFill="1" applyBorder="1" applyAlignment="1">
      <alignment horizontal="left" vertical="center"/>
    </xf>
    <xf numFmtId="0" fontId="41" fillId="32" borderId="12" xfId="1" applyFont="1" applyFill="1" applyBorder="1" applyAlignment="1">
      <alignment horizontal="left" vertical="center"/>
    </xf>
    <xf numFmtId="165" fontId="41" fillId="32" borderId="15" xfId="1" quotePrefix="1" applyNumberFormat="1" applyFont="1" applyFill="1" applyBorder="1" applyAlignment="1">
      <alignment horizontal="left" vertical="center"/>
    </xf>
    <xf numFmtId="165" fontId="41" fillId="32" borderId="2" xfId="1" applyNumberFormat="1" applyFont="1" applyFill="1" applyBorder="1" applyAlignment="1">
      <alignment horizontal="left" vertical="center"/>
    </xf>
    <xf numFmtId="165" fontId="41" fillId="32" borderId="12" xfId="1" applyNumberFormat="1" applyFont="1" applyFill="1" applyBorder="1" applyAlignment="1">
      <alignment horizontal="left" vertical="center"/>
    </xf>
    <xf numFmtId="0" fontId="41" fillId="0" borderId="15" xfId="0" applyFont="1" applyBorder="1" applyAlignment="1">
      <alignment horizontal="left" vertical="center" wrapText="1"/>
    </xf>
    <xf numFmtId="0" fontId="58" fillId="32" borderId="15" xfId="90" applyFont="1" applyFill="1" applyBorder="1" applyAlignment="1" applyProtection="1">
      <alignment horizontal="left" vertical="center"/>
    </xf>
    <xf numFmtId="0" fontId="44" fillId="0" borderId="0" xfId="0" applyFont="1" applyAlignment="1">
      <alignment horizontal="left" vertical="top" wrapText="1"/>
    </xf>
    <xf numFmtId="0" fontId="57" fillId="0" borderId="0" xfId="0" applyFont="1" applyAlignment="1">
      <alignment horizontal="left" vertical="top" wrapText="1"/>
    </xf>
    <xf numFmtId="0" fontId="41" fillId="27" borderId="1" xfId="0" applyFont="1" applyFill="1" applyBorder="1" applyAlignment="1">
      <alignment horizontal="left" vertical="center"/>
    </xf>
    <xf numFmtId="0" fontId="41" fillId="32" borderId="15" xfId="0" applyFont="1" applyFill="1" applyBorder="1" applyAlignment="1">
      <alignment horizontal="left" vertical="center"/>
    </xf>
    <xf numFmtId="0" fontId="41" fillId="32" borderId="12" xfId="0" applyFont="1" applyFill="1" applyBorder="1" applyAlignment="1">
      <alignment horizontal="left" vertical="center"/>
    </xf>
    <xf numFmtId="0" fontId="52" fillId="31" borderId="15" xfId="1" applyFont="1" applyFill="1" applyBorder="1" applyAlignment="1">
      <alignment horizontal="left" vertical="center"/>
    </xf>
    <xf numFmtId="0" fontId="52" fillId="31" borderId="12" xfId="1" applyFont="1" applyFill="1" applyBorder="1" applyAlignment="1">
      <alignment horizontal="left" vertical="center"/>
    </xf>
    <xf numFmtId="0" fontId="35" fillId="32" borderId="15" xfId="90" applyFill="1" applyBorder="1" applyAlignment="1">
      <alignment horizontal="left" vertical="center" wrapText="1"/>
    </xf>
    <xf numFmtId="0" fontId="35" fillId="32" borderId="12" xfId="90" applyFill="1" applyBorder="1" applyAlignment="1">
      <alignment horizontal="left" vertical="center" wrapText="1"/>
    </xf>
    <xf numFmtId="0" fontId="38" fillId="2" borderId="0" xfId="0" applyFont="1" applyFill="1" applyAlignment="1">
      <alignment horizontal="left" vertical="center" wrapText="1"/>
    </xf>
    <xf numFmtId="0" fontId="37" fillId="0" borderId="0" xfId="0" applyFont="1" applyAlignment="1">
      <alignment horizontal="left" vertical="center" wrapText="1"/>
    </xf>
    <xf numFmtId="0" fontId="52" fillId="31" borderId="1" xfId="0" applyFont="1" applyFill="1" applyBorder="1" applyAlignment="1">
      <alignment horizontal="left" vertical="center"/>
    </xf>
    <xf numFmtId="0" fontId="52" fillId="31" borderId="15" xfId="0" applyFont="1" applyFill="1" applyBorder="1" applyAlignment="1">
      <alignment horizontal="left" vertical="center" wrapText="1"/>
    </xf>
    <xf numFmtId="0" fontId="36" fillId="31" borderId="2" xfId="0" applyFont="1" applyFill="1" applyBorder="1" applyAlignment="1">
      <alignment horizontal="left" vertical="center" wrapText="1"/>
    </xf>
    <xf numFmtId="0" fontId="36" fillId="31" borderId="12" xfId="0" applyFont="1" applyFill="1" applyBorder="1" applyAlignment="1">
      <alignment horizontal="left" vertical="center" wrapText="1"/>
    </xf>
    <xf numFmtId="0" fontId="41" fillId="0" borderId="2" xfId="0" applyFont="1" applyBorder="1" applyAlignment="1">
      <alignment horizontal="left" vertical="center" wrapText="1"/>
    </xf>
    <xf numFmtId="0" fontId="41" fillId="0" borderId="12" xfId="0" applyFont="1" applyBorder="1" applyAlignment="1">
      <alignment horizontal="left" vertical="center" wrapText="1"/>
    </xf>
    <xf numFmtId="0" fontId="52" fillId="31" borderId="22" xfId="0" applyFont="1" applyFill="1" applyBorder="1" applyAlignment="1">
      <alignment horizontal="left" vertical="center" wrapText="1"/>
    </xf>
    <xf numFmtId="0" fontId="52" fillId="31" borderId="23" xfId="0" applyFont="1" applyFill="1" applyBorder="1" applyAlignment="1">
      <alignment horizontal="left" vertical="center" wrapText="1"/>
    </xf>
    <xf numFmtId="0" fontId="41" fillId="32" borderId="24" xfId="0" applyFont="1" applyFill="1" applyBorder="1" applyAlignment="1">
      <alignment horizontal="left" vertical="center" wrapText="1"/>
    </xf>
    <xf numFmtId="0" fontId="41" fillId="32" borderId="26" xfId="0" applyFont="1" applyFill="1" applyBorder="1" applyAlignment="1">
      <alignment horizontal="left" vertical="center" wrapText="1"/>
    </xf>
    <xf numFmtId="0" fontId="43" fillId="2" borderId="28" xfId="1" applyFont="1" applyFill="1" applyBorder="1" applyAlignment="1">
      <alignment horizontal="left" vertical="center" wrapText="1"/>
    </xf>
    <xf numFmtId="0" fontId="62" fillId="0" borderId="28" xfId="0" applyFont="1" applyBorder="1" applyAlignment="1">
      <alignment horizontal="left" vertical="center" wrapText="1"/>
    </xf>
    <xf numFmtId="0" fontId="38" fillId="0" borderId="0" xfId="0" applyFont="1" applyAlignment="1">
      <alignment horizontal="left" vertical="top" wrapText="1"/>
    </xf>
    <xf numFmtId="0" fontId="37" fillId="0" borderId="0" xfId="0" applyFont="1" applyAlignment="1">
      <alignment horizontal="left" vertical="top" wrapText="1"/>
    </xf>
    <xf numFmtId="0" fontId="38" fillId="0" borderId="0" xfId="0" applyFont="1" applyAlignment="1">
      <alignment horizontal="left" vertical="center" wrapText="1"/>
    </xf>
    <xf numFmtId="0" fontId="38" fillId="2" borderId="0" xfId="0" applyFont="1" applyFill="1" applyAlignment="1">
      <alignment horizontal="left" vertical="center" wrapText="1" readingOrder="1"/>
    </xf>
    <xf numFmtId="0" fontId="37" fillId="0" borderId="0" xfId="0" applyFont="1" applyAlignment="1">
      <alignment horizontal="left" vertical="center" wrapText="1" readingOrder="1"/>
    </xf>
    <xf numFmtId="0" fontId="37" fillId="0" borderId="23" xfId="0" applyFont="1" applyBorder="1" applyAlignment="1">
      <alignment horizontal="left" vertical="center" wrapText="1" readingOrder="1"/>
    </xf>
    <xf numFmtId="0" fontId="44" fillId="0" borderId="0" xfId="0" applyFont="1" applyAlignment="1">
      <alignment horizontal="left" vertical="center" wrapText="1"/>
    </xf>
    <xf numFmtId="0" fontId="57" fillId="0" borderId="0" xfId="0" applyFont="1" applyAlignment="1">
      <alignment horizontal="left" vertical="center" wrapText="1"/>
    </xf>
    <xf numFmtId="0" fontId="37" fillId="0" borderId="23" xfId="0" applyFont="1" applyBorder="1" applyAlignment="1">
      <alignment horizontal="left" vertical="center" wrapText="1"/>
    </xf>
    <xf numFmtId="0" fontId="43" fillId="0" borderId="25" xfId="0" applyFont="1" applyBorder="1" applyAlignment="1">
      <alignment horizontal="left" vertical="center"/>
    </xf>
    <xf numFmtId="0" fontId="41" fillId="32" borderId="15" xfId="1" applyFont="1" applyFill="1" applyBorder="1" applyAlignment="1">
      <alignment horizontal="left" vertical="center" wrapText="1"/>
    </xf>
    <xf numFmtId="0" fontId="37" fillId="32" borderId="12" xfId="0" applyFont="1" applyFill="1" applyBorder="1" applyAlignment="1">
      <alignment horizontal="left" vertical="center" wrapText="1"/>
    </xf>
    <xf numFmtId="0" fontId="37" fillId="0" borderId="2" xfId="0" applyFont="1" applyBorder="1" applyAlignment="1">
      <alignment horizontal="left" vertical="center" wrapText="1"/>
    </xf>
    <xf numFmtId="0" fontId="41" fillId="32" borderId="15" xfId="0" applyFont="1" applyFill="1" applyBorder="1" applyAlignment="1">
      <alignment horizontal="left" vertical="center" wrapText="1"/>
    </xf>
    <xf numFmtId="0" fontId="41" fillId="32" borderId="12" xfId="0" applyFont="1" applyFill="1" applyBorder="1" applyAlignment="1">
      <alignment horizontal="left" vertical="center" wrapText="1"/>
    </xf>
    <xf numFmtId="0" fontId="41" fillId="32" borderId="1" xfId="0" applyFont="1" applyFill="1" applyBorder="1" applyAlignment="1">
      <alignment horizontal="left" vertical="center"/>
    </xf>
    <xf numFmtId="0" fontId="52" fillId="31" borderId="15" xfId="0" applyFont="1" applyFill="1" applyBorder="1" applyAlignment="1">
      <alignment horizontal="left" vertical="center"/>
    </xf>
    <xf numFmtId="0" fontId="52" fillId="31" borderId="2" xfId="0" applyFont="1" applyFill="1" applyBorder="1" applyAlignment="1">
      <alignment horizontal="left" vertical="center"/>
    </xf>
    <xf numFmtId="0" fontId="52" fillId="31" borderId="12" xfId="0" applyFont="1" applyFill="1" applyBorder="1" applyAlignment="1">
      <alignment horizontal="left" vertical="center"/>
    </xf>
    <xf numFmtId="0" fontId="38" fillId="0" borderId="19" xfId="0" applyFont="1" applyBorder="1" applyAlignment="1">
      <alignment horizontal="justify" vertical="top" wrapText="1"/>
    </xf>
    <xf numFmtId="0" fontId="37" fillId="0" borderId="19" xfId="0" applyFont="1" applyBorder="1" applyAlignment="1">
      <alignment horizontal="justify" vertical="top" wrapText="1"/>
    </xf>
    <xf numFmtId="0" fontId="44" fillId="0" borderId="20" xfId="0" applyFont="1" applyBorder="1" applyAlignment="1">
      <alignment horizontal="left" vertical="center" wrapText="1"/>
    </xf>
    <xf numFmtId="0" fontId="38" fillId="2" borderId="0" xfId="0" applyFont="1" applyFill="1" applyAlignment="1">
      <alignment horizontal="justify" vertical="top" wrapText="1"/>
    </xf>
    <xf numFmtId="0" fontId="37" fillId="0" borderId="0" xfId="0" applyFont="1" applyAlignment="1">
      <alignment horizontal="justify" vertical="top" wrapText="1"/>
    </xf>
    <xf numFmtId="0" fontId="37" fillId="0" borderId="23" xfId="0" applyFont="1" applyBorder="1" applyAlignment="1">
      <alignment horizontal="justify" vertical="top" wrapText="1"/>
    </xf>
    <xf numFmtId="0" fontId="41" fillId="32" borderId="15" xfId="1" applyFont="1" applyFill="1" applyBorder="1" applyAlignment="1">
      <alignment vertical="center" wrapText="1"/>
    </xf>
    <xf numFmtId="0" fontId="37" fillId="32" borderId="12" xfId="0" applyFont="1" applyFill="1" applyBorder="1" applyAlignment="1">
      <alignment vertical="center" wrapText="1"/>
    </xf>
    <xf numFmtId="0" fontId="41" fillId="32" borderId="2" xfId="1" applyFont="1" applyFill="1" applyBorder="1" applyAlignment="1">
      <alignment vertical="center" wrapText="1"/>
    </xf>
    <xf numFmtId="0" fontId="41" fillId="32" borderId="12" xfId="1" applyFont="1" applyFill="1" applyBorder="1" applyAlignment="1">
      <alignment vertical="center" wrapText="1"/>
    </xf>
    <xf numFmtId="0" fontId="41" fillId="0" borderId="15" xfId="0" applyFont="1" applyBorder="1" applyAlignment="1">
      <alignment vertical="top"/>
    </xf>
    <xf numFmtId="0" fontId="41" fillId="0" borderId="2" xfId="0" applyFont="1" applyBorder="1" applyAlignment="1">
      <alignment vertical="top"/>
    </xf>
    <xf numFmtId="0" fontId="41" fillId="0" borderId="12" xfId="0" applyFont="1" applyBorder="1" applyAlignment="1">
      <alignment vertical="top"/>
    </xf>
    <xf numFmtId="0" fontId="52" fillId="31" borderId="15" xfId="0" applyFont="1" applyFill="1" applyBorder="1" applyAlignment="1">
      <alignment horizontal="left" vertical="top" wrapText="1"/>
    </xf>
    <xf numFmtId="0" fontId="52" fillId="31" borderId="2" xfId="0" applyFont="1" applyFill="1" applyBorder="1" applyAlignment="1">
      <alignment horizontal="left" vertical="top" wrapText="1"/>
    </xf>
    <xf numFmtId="0" fontId="52" fillId="31" borderId="12" xfId="0" applyFont="1" applyFill="1" applyBorder="1" applyAlignment="1">
      <alignment horizontal="left" vertical="top" wrapText="1"/>
    </xf>
    <xf numFmtId="3" fontId="41" fillId="32" borderId="1" xfId="0" applyNumberFormat="1" applyFont="1" applyFill="1" applyBorder="1" applyAlignment="1">
      <alignment horizontal="right" vertical="top"/>
    </xf>
    <xf numFmtId="3" fontId="41" fillId="32" borderId="12" xfId="0" applyNumberFormat="1" applyFont="1" applyFill="1" applyBorder="1" applyAlignment="1">
      <alignment horizontal="right" vertical="top"/>
    </xf>
    <xf numFmtId="3" fontId="41" fillId="32" borderId="15" xfId="0" applyNumberFormat="1" applyFont="1" applyFill="1" applyBorder="1" applyAlignment="1">
      <alignment horizontal="right" vertical="top"/>
    </xf>
    <xf numFmtId="0" fontId="36" fillId="31" borderId="12" xfId="0" applyFont="1" applyFill="1" applyBorder="1" applyAlignment="1">
      <alignment horizontal="left" vertical="top" wrapText="1"/>
    </xf>
    <xf numFmtId="0" fontId="41" fillId="0" borderId="0" xfId="0" applyFont="1" applyAlignment="1">
      <alignment vertical="top" wrapText="1"/>
    </xf>
    <xf numFmtId="0" fontId="41" fillId="0" borderId="15" xfId="0" applyFont="1" applyBorder="1" applyAlignment="1">
      <alignment vertical="top" wrapText="1"/>
    </xf>
    <xf numFmtId="0" fontId="41" fillId="0" borderId="2" xfId="0" applyFont="1" applyBorder="1" applyAlignment="1">
      <alignment vertical="top" wrapText="1"/>
    </xf>
    <xf numFmtId="0" fontId="41" fillId="0" borderId="12" xfId="0" applyFont="1" applyBorder="1" applyAlignment="1">
      <alignment vertical="top" wrapText="1"/>
    </xf>
    <xf numFmtId="0" fontId="41" fillId="0" borderId="25" xfId="0" applyFont="1" applyBorder="1" applyAlignment="1">
      <alignment vertical="top" wrapText="1"/>
    </xf>
    <xf numFmtId="0" fontId="52" fillId="31" borderId="15" xfId="0" applyFont="1" applyFill="1" applyBorder="1" applyAlignment="1">
      <alignment vertical="top" wrapText="1"/>
    </xf>
    <xf numFmtId="0" fontId="52" fillId="31" borderId="2" xfId="0" applyFont="1" applyFill="1" applyBorder="1" applyAlignment="1">
      <alignment vertical="top" wrapText="1"/>
    </xf>
    <xf numFmtId="0" fontId="52" fillId="31" borderId="12" xfId="0" applyFont="1" applyFill="1" applyBorder="1" applyAlignment="1">
      <alignment vertical="top" wrapText="1"/>
    </xf>
    <xf numFmtId="0" fontId="41" fillId="31" borderId="15" xfId="0" applyFont="1" applyFill="1" applyBorder="1" applyAlignment="1">
      <alignment horizontal="left" vertical="top" wrapText="1"/>
    </xf>
    <xf numFmtId="0" fontId="41" fillId="31" borderId="2" xfId="0" applyFont="1" applyFill="1" applyBorder="1" applyAlignment="1">
      <alignment horizontal="left" vertical="top" wrapText="1"/>
    </xf>
    <xf numFmtId="0" fontId="41" fillId="0" borderId="15" xfId="0" applyFont="1" applyBorder="1" applyAlignment="1">
      <alignment horizontal="left" vertical="top" wrapText="1"/>
    </xf>
    <xf numFmtId="0" fontId="41" fillId="0" borderId="2" xfId="0" applyFont="1" applyBorder="1" applyAlignment="1">
      <alignment horizontal="left" vertical="top" wrapText="1"/>
    </xf>
    <xf numFmtId="3" fontId="41" fillId="32" borderId="15" xfId="0" applyNumberFormat="1" applyFont="1" applyFill="1" applyBorder="1" applyAlignment="1">
      <alignment horizontal="right" vertical="top" wrapText="1"/>
    </xf>
    <xf numFmtId="3" fontId="41" fillId="32" borderId="2" xfId="0" applyNumberFormat="1" applyFont="1" applyFill="1" applyBorder="1" applyAlignment="1">
      <alignment horizontal="right" vertical="top" wrapText="1"/>
    </xf>
    <xf numFmtId="3" fontId="41" fillId="32" borderId="12" xfId="0" applyNumberFormat="1" applyFont="1" applyFill="1" applyBorder="1" applyAlignment="1">
      <alignment horizontal="right" vertical="top" wrapText="1"/>
    </xf>
    <xf numFmtId="0" fontId="50" fillId="31" borderId="17" xfId="1" applyFont="1" applyFill="1" applyBorder="1" applyAlignment="1">
      <alignment horizontal="left"/>
    </xf>
    <xf numFmtId="0" fontId="50" fillId="31" borderId="18" xfId="1" applyFont="1" applyFill="1" applyBorder="1" applyAlignment="1">
      <alignment horizontal="left"/>
    </xf>
    <xf numFmtId="0" fontId="50" fillId="31" borderId="0" xfId="1" applyFont="1" applyFill="1" applyAlignment="1">
      <alignment horizontal="left"/>
    </xf>
    <xf numFmtId="0" fontId="38" fillId="0" borderId="19" xfId="0" applyFont="1" applyBorder="1" applyAlignment="1">
      <alignment horizontal="left" vertical="top" wrapText="1"/>
    </xf>
    <xf numFmtId="0" fontId="37" fillId="0" borderId="19" xfId="0" applyFont="1" applyBorder="1" applyAlignment="1">
      <alignment horizontal="left" vertical="top" wrapText="1"/>
    </xf>
    <xf numFmtId="0" fontId="36" fillId="31" borderId="2" xfId="0" applyFont="1" applyFill="1" applyBorder="1" applyAlignment="1">
      <alignment horizontal="left" vertical="top" wrapText="1"/>
    </xf>
    <xf numFmtId="0" fontId="37" fillId="0" borderId="2" xfId="0" applyFont="1" applyBorder="1" applyAlignment="1">
      <alignment horizontal="left" vertical="top" wrapText="1"/>
    </xf>
    <xf numFmtId="0" fontId="37" fillId="0" borderId="12" xfId="0" applyFont="1" applyBorder="1" applyAlignment="1">
      <alignment horizontal="left" vertical="top" wrapText="1"/>
    </xf>
    <xf numFmtId="3" fontId="41" fillId="32" borderId="15" xfId="1" applyNumberFormat="1" applyFont="1" applyFill="1" applyBorder="1" applyAlignment="1">
      <alignment vertical="top" wrapText="1"/>
    </xf>
    <xf numFmtId="3" fontId="37" fillId="32" borderId="2" xfId="0" applyNumberFormat="1" applyFont="1" applyFill="1" applyBorder="1" applyAlignment="1">
      <alignment vertical="top" wrapText="1"/>
    </xf>
    <xf numFmtId="3" fontId="37" fillId="32" borderId="12" xfId="0" applyNumberFormat="1" applyFont="1" applyFill="1" applyBorder="1" applyAlignment="1">
      <alignment vertical="top" wrapText="1"/>
    </xf>
    <xf numFmtId="0" fontId="36" fillId="31" borderId="12" xfId="0" applyFont="1" applyFill="1" applyBorder="1" applyAlignment="1">
      <alignment vertical="top" wrapText="1"/>
    </xf>
    <xf numFmtId="0" fontId="52" fillId="31" borderId="15" xfId="0" applyFont="1" applyFill="1" applyBorder="1" applyAlignment="1">
      <alignment vertical="top"/>
    </xf>
    <xf numFmtId="0" fontId="52" fillId="31" borderId="2" xfId="0" applyFont="1" applyFill="1" applyBorder="1" applyAlignment="1">
      <alignment vertical="top"/>
    </xf>
    <xf numFmtId="0" fontId="52" fillId="31" borderId="12" xfId="0" applyFont="1" applyFill="1" applyBorder="1" applyAlignment="1">
      <alignment vertical="top"/>
    </xf>
    <xf numFmtId="0" fontId="38" fillId="0" borderId="0" xfId="0" applyFont="1" applyAlignment="1">
      <alignment horizontal="justify" vertical="top" wrapText="1"/>
    </xf>
    <xf numFmtId="3" fontId="41" fillId="32" borderId="15" xfId="0" applyNumberFormat="1" applyFont="1" applyFill="1" applyBorder="1" applyAlignment="1">
      <alignment horizontal="right" vertical="center" wrapText="1"/>
    </xf>
    <xf numFmtId="3" fontId="37" fillId="32" borderId="12" xfId="0" applyNumberFormat="1" applyFont="1" applyFill="1" applyBorder="1" applyAlignment="1">
      <alignment horizontal="right" vertical="center" wrapText="1"/>
    </xf>
    <xf numFmtId="0" fontId="41" fillId="0" borderId="12" xfId="0" applyFont="1" applyBorder="1" applyAlignment="1">
      <alignment horizontal="left" vertical="top" wrapText="1"/>
    </xf>
    <xf numFmtId="0" fontId="37" fillId="32" borderId="15" xfId="0" applyFont="1" applyFill="1" applyBorder="1" applyAlignment="1">
      <alignment horizontal="left" vertical="top" wrapText="1"/>
    </xf>
    <xf numFmtId="0" fontId="37" fillId="32" borderId="2" xfId="0" applyFont="1" applyFill="1" applyBorder="1" applyAlignment="1">
      <alignment horizontal="left" vertical="top" wrapText="1"/>
    </xf>
    <xf numFmtId="0" fontId="37" fillId="32" borderId="12" xfId="0" applyFont="1" applyFill="1" applyBorder="1" applyAlignment="1">
      <alignment horizontal="left" vertical="top" wrapText="1"/>
    </xf>
    <xf numFmtId="0" fontId="41" fillId="32" borderId="12" xfId="1" applyFont="1" applyFill="1" applyBorder="1" applyAlignment="1">
      <alignment horizontal="left" vertical="center" wrapText="1"/>
    </xf>
    <xf numFmtId="0" fontId="41" fillId="32" borderId="2" xfId="0" applyFont="1" applyFill="1" applyBorder="1" applyAlignment="1">
      <alignment horizontal="left" vertical="center" wrapText="1"/>
    </xf>
    <xf numFmtId="0" fontId="37" fillId="32" borderId="2" xfId="0" applyFont="1" applyFill="1" applyBorder="1" applyAlignment="1">
      <alignment horizontal="left" vertical="center" wrapText="1"/>
    </xf>
    <xf numFmtId="0" fontId="41" fillId="32" borderId="2" xfId="1" applyFont="1" applyFill="1" applyBorder="1" applyAlignment="1">
      <alignment horizontal="left" vertical="center" wrapText="1"/>
    </xf>
    <xf numFmtId="0" fontId="52" fillId="31" borderId="24" xfId="0" applyFont="1" applyFill="1" applyBorder="1" applyAlignment="1">
      <alignment horizontal="left" vertical="top" wrapText="1"/>
    </xf>
    <xf numFmtId="0" fontId="52" fillId="31" borderId="25" xfId="0" applyFont="1" applyFill="1" applyBorder="1" applyAlignment="1">
      <alignment horizontal="left" vertical="top" wrapText="1"/>
    </xf>
    <xf numFmtId="0" fontId="52" fillId="31" borderId="26" xfId="0" applyFont="1" applyFill="1" applyBorder="1" applyAlignment="1">
      <alignment horizontal="left" vertical="top" wrapText="1"/>
    </xf>
    <xf numFmtId="0" fontId="41" fillId="0" borderId="1" xfId="0" applyFont="1" applyBorder="1" applyAlignment="1">
      <alignment horizontal="left" vertical="center" wrapText="1"/>
    </xf>
    <xf numFmtId="3" fontId="41" fillId="32" borderId="2" xfId="0" applyNumberFormat="1" applyFont="1" applyFill="1" applyBorder="1" applyAlignment="1">
      <alignment horizontal="right" vertical="center" wrapText="1"/>
    </xf>
    <xf numFmtId="3" fontId="41" fillId="32" borderId="12" xfId="0" applyNumberFormat="1" applyFont="1" applyFill="1" applyBorder="1" applyAlignment="1">
      <alignment horizontal="right" vertical="center" wrapText="1"/>
    </xf>
    <xf numFmtId="164" fontId="41" fillId="32" borderId="1" xfId="91" applyNumberFormat="1" applyFont="1" applyFill="1" applyBorder="1" applyAlignment="1" applyProtection="1">
      <alignment horizontal="right" vertical="center"/>
    </xf>
    <xf numFmtId="0" fontId="38" fillId="0" borderId="0" xfId="0" applyFont="1" applyAlignment="1">
      <alignment wrapText="1"/>
    </xf>
    <xf numFmtId="3" fontId="41" fillId="32" borderId="1" xfId="0" applyNumberFormat="1" applyFont="1" applyFill="1" applyBorder="1" applyAlignment="1">
      <alignment horizontal="right" vertical="center"/>
    </xf>
    <xf numFmtId="0" fontId="41" fillId="0" borderId="20" xfId="0" applyFont="1" applyBorder="1" applyAlignment="1">
      <alignment horizontal="justify" vertical="top"/>
    </xf>
    <xf numFmtId="0" fontId="42" fillId="0" borderId="20" xfId="0" applyFont="1" applyBorder="1" applyAlignment="1">
      <alignment horizontal="justify" vertical="top"/>
    </xf>
    <xf numFmtId="0" fontId="41" fillId="0" borderId="0" xfId="0" applyFont="1" applyAlignment="1">
      <alignment horizontal="left" vertical="top" wrapText="1"/>
    </xf>
    <xf numFmtId="0" fontId="41" fillId="0" borderId="25" xfId="0" applyFont="1" applyBorder="1" applyAlignment="1">
      <alignment horizontal="left" vertical="top" wrapText="1"/>
    </xf>
    <xf numFmtId="9" fontId="41" fillId="32" borderId="1" xfId="89" applyFont="1" applyFill="1" applyBorder="1" applyAlignment="1" applyProtection="1">
      <alignment horizontal="right" vertical="center"/>
    </xf>
    <xf numFmtId="0" fontId="52" fillId="31" borderId="1" xfId="0" applyFont="1" applyFill="1" applyBorder="1" applyAlignment="1">
      <alignment vertical="top"/>
    </xf>
    <xf numFmtId="0" fontId="41" fillId="0" borderId="1" xfId="0" applyFont="1" applyBorder="1" applyAlignment="1">
      <alignment horizontal="left" vertical="center"/>
    </xf>
    <xf numFmtId="0" fontId="44" fillId="0" borderId="0" xfId="0" applyFont="1" applyAlignment="1">
      <alignment horizontal="justify" vertical="top" wrapText="1"/>
    </xf>
    <xf numFmtId="0" fontId="52" fillId="31" borderId="1" xfId="0" applyFont="1" applyFill="1" applyBorder="1" applyAlignment="1">
      <alignment vertical="center" wrapText="1"/>
    </xf>
    <xf numFmtId="0" fontId="52" fillId="31" borderId="1" xfId="0" applyFont="1" applyFill="1" applyBorder="1" applyAlignment="1">
      <alignment vertical="center"/>
    </xf>
    <xf numFmtId="1" fontId="41" fillId="32" borderId="1" xfId="0" applyNumberFormat="1" applyFont="1" applyFill="1" applyBorder="1" applyAlignment="1">
      <alignment horizontal="right" vertical="center"/>
    </xf>
    <xf numFmtId="0" fontId="52" fillId="31" borderId="1" xfId="0" applyFont="1" applyFill="1" applyBorder="1" applyAlignment="1">
      <alignment horizontal="left" vertical="top" wrapText="1"/>
    </xf>
    <xf numFmtId="3" fontId="41" fillId="32" borderId="1" xfId="0" applyNumberFormat="1" applyFont="1" applyFill="1" applyBorder="1" applyAlignment="1">
      <alignment horizontal="right" vertical="center" wrapText="1"/>
    </xf>
    <xf numFmtId="3" fontId="41" fillId="32" borderId="1" xfId="91" applyNumberFormat="1" applyFont="1" applyFill="1" applyBorder="1" applyAlignment="1">
      <alignment horizontal="right" vertical="center" wrapText="1"/>
    </xf>
    <xf numFmtId="0" fontId="36" fillId="31" borderId="1" xfId="0" applyFont="1" applyFill="1" applyBorder="1" applyAlignment="1">
      <alignment horizontal="left" vertical="top" wrapText="1"/>
    </xf>
    <xf numFmtId="3" fontId="41" fillId="32" borderId="1" xfId="91" applyNumberFormat="1" applyFont="1" applyFill="1" applyBorder="1" applyAlignment="1" applyProtection="1">
      <alignment horizontal="right" vertical="center" wrapText="1"/>
    </xf>
    <xf numFmtId="0" fontId="41" fillId="32" borderId="1" xfId="0" applyFont="1" applyFill="1" applyBorder="1" applyAlignment="1">
      <alignment horizontal="justify" vertical="top"/>
    </xf>
    <xf numFmtId="0" fontId="43" fillId="2" borderId="0" xfId="1" applyFont="1" applyFill="1" applyAlignment="1">
      <alignment horizontal="left" wrapText="1"/>
    </xf>
    <xf numFmtId="0" fontId="37" fillId="0" borderId="0" xfId="0" applyFont="1" applyAlignment="1">
      <alignment horizontal="left" wrapText="1"/>
    </xf>
    <xf numFmtId="0" fontId="36" fillId="31" borderId="2" xfId="0" applyFont="1" applyFill="1" applyBorder="1" applyAlignment="1">
      <alignment vertical="top" wrapText="1"/>
    </xf>
    <xf numFmtId="0" fontId="57" fillId="0" borderId="0" xfId="0" applyFont="1" applyAlignment="1">
      <alignment horizontal="justify" vertical="top" wrapText="1"/>
    </xf>
    <xf numFmtId="0" fontId="41" fillId="26" borderId="1" xfId="0" applyFont="1" applyFill="1" applyBorder="1" applyAlignment="1">
      <alignment horizontal="left" vertical="center"/>
    </xf>
    <xf numFmtId="0" fontId="42" fillId="26" borderId="1" xfId="0" applyFont="1" applyFill="1" applyBorder="1" applyAlignment="1">
      <alignment horizontal="left" vertical="center"/>
    </xf>
    <xf numFmtId="3" fontId="41" fillId="32" borderId="1" xfId="91" applyNumberFormat="1" applyFont="1" applyFill="1" applyBorder="1" applyAlignment="1" applyProtection="1">
      <alignment horizontal="right" vertical="top"/>
    </xf>
    <xf numFmtId="0" fontId="41" fillId="31" borderId="1" xfId="0" applyFont="1" applyFill="1" applyBorder="1" applyAlignment="1">
      <alignment vertical="top"/>
    </xf>
    <xf numFmtId="0" fontId="43" fillId="0" borderId="0" xfId="1" applyFont="1" applyAlignment="1">
      <alignment horizontal="left" wrapText="1"/>
    </xf>
    <xf numFmtId="0" fontId="44" fillId="0" borderId="0" xfId="0" applyFont="1" applyAlignment="1">
      <alignment horizontal="left" vertical="top"/>
    </xf>
    <xf numFmtId="0" fontId="41" fillId="32" borderId="15" xfId="1" applyFont="1" applyFill="1" applyBorder="1" applyAlignment="1">
      <alignment vertical="top" wrapText="1"/>
    </xf>
    <xf numFmtId="0" fontId="37" fillId="32" borderId="12" xfId="0" applyFont="1" applyFill="1" applyBorder="1" applyAlignment="1">
      <alignment vertical="top" wrapText="1"/>
    </xf>
    <xf numFmtId="0" fontId="41" fillId="32" borderId="15" xfId="1" applyFont="1" applyFill="1" applyBorder="1" applyAlignment="1">
      <alignment horizontal="left" vertical="top" wrapText="1"/>
    </xf>
    <xf numFmtId="0" fontId="41" fillId="32" borderId="12" xfId="1" applyFont="1" applyFill="1" applyBorder="1" applyAlignment="1">
      <alignment horizontal="left" vertical="top" wrapText="1"/>
    </xf>
    <xf numFmtId="167" fontId="41" fillId="32" borderId="15" xfId="91" applyNumberFormat="1" applyFont="1" applyFill="1" applyBorder="1" applyAlignment="1" applyProtection="1">
      <alignment horizontal="right" vertical="center" wrapText="1"/>
    </xf>
    <xf numFmtId="167" fontId="41" fillId="32" borderId="12" xfId="91" applyNumberFormat="1" applyFont="1" applyFill="1" applyBorder="1" applyAlignment="1" applyProtection="1">
      <alignment horizontal="right" vertical="center" wrapText="1"/>
    </xf>
    <xf numFmtId="168" fontId="41" fillId="32" borderId="15" xfId="91" applyNumberFormat="1" applyFont="1" applyFill="1" applyBorder="1" applyAlignment="1" applyProtection="1">
      <alignment horizontal="right" vertical="center" wrapText="1"/>
    </xf>
    <xf numFmtId="168" fontId="41" fillId="32" borderId="12" xfId="91" applyNumberFormat="1" applyFont="1" applyFill="1" applyBorder="1" applyAlignment="1" applyProtection="1">
      <alignment horizontal="right" vertical="center" wrapText="1"/>
    </xf>
    <xf numFmtId="0" fontId="44" fillId="0" borderId="20" xfId="0" applyFont="1" applyBorder="1" applyAlignment="1">
      <alignment horizontal="left" vertical="top" wrapText="1"/>
    </xf>
    <xf numFmtId="0" fontId="57" fillId="0" borderId="20" xfId="0" applyFont="1" applyBorder="1" applyAlignment="1">
      <alignment horizontal="left" vertical="top" wrapText="1"/>
    </xf>
    <xf numFmtId="0" fontId="41" fillId="32" borderId="1" xfId="1" applyFont="1" applyFill="1" applyBorder="1" applyAlignment="1">
      <alignment horizontal="left" vertical="center"/>
    </xf>
    <xf numFmtId="0" fontId="43" fillId="2" borderId="19" xfId="1" applyFont="1" applyFill="1" applyBorder="1" applyAlignment="1">
      <alignment horizontal="left" wrapText="1"/>
    </xf>
    <xf numFmtId="0" fontId="62" fillId="0" borderId="19" xfId="0" applyFont="1" applyBorder="1" applyAlignment="1">
      <alignment horizontal="left" wrapText="1"/>
    </xf>
    <xf numFmtId="0" fontId="38" fillId="2" borderId="0" xfId="0" applyFont="1" applyFill="1" applyAlignment="1">
      <alignment horizontal="justify" vertical="center" wrapText="1"/>
    </xf>
    <xf numFmtId="0" fontId="37" fillId="0" borderId="0" xfId="0" applyFont="1" applyAlignment="1">
      <alignment horizontal="justify" vertical="center" wrapText="1"/>
    </xf>
    <xf numFmtId="0" fontId="37" fillId="0" borderId="23" xfId="0" applyFont="1" applyBorder="1" applyAlignment="1">
      <alignment horizontal="justify" vertical="center" wrapText="1"/>
    </xf>
    <xf numFmtId="0" fontId="62" fillId="0" borderId="0" xfId="0" applyFont="1" applyAlignment="1">
      <alignment horizontal="left" wrapText="1"/>
    </xf>
    <xf numFmtId="0" fontId="37" fillId="31" borderId="2" xfId="0" applyFont="1" applyFill="1" applyBorder="1" applyAlignment="1">
      <alignment horizontal="left" vertical="top" wrapText="1"/>
    </xf>
    <xf numFmtId="0" fontId="37" fillId="31" borderId="12" xfId="0" applyFont="1" applyFill="1" applyBorder="1" applyAlignment="1">
      <alignment horizontal="left" vertical="top" wrapText="1"/>
    </xf>
    <xf numFmtId="0" fontId="50" fillId="31" borderId="29" xfId="1" applyFont="1" applyFill="1" applyBorder="1" applyAlignment="1">
      <alignment horizontal="left"/>
    </xf>
    <xf numFmtId="0" fontId="41" fillId="32" borderId="1" xfId="0" applyFont="1" applyFill="1" applyBorder="1" applyAlignment="1">
      <alignment horizontal="left" vertical="center" wrapText="1"/>
    </xf>
    <xf numFmtId="0" fontId="41" fillId="31" borderId="1" xfId="0" applyFont="1" applyFill="1" applyBorder="1" applyAlignment="1">
      <alignment horizontal="left" vertical="top" wrapText="1"/>
    </xf>
    <xf numFmtId="0" fontId="37" fillId="31" borderId="1" xfId="0" applyFont="1" applyFill="1" applyBorder="1" applyAlignment="1">
      <alignment horizontal="left" vertical="top" wrapText="1"/>
    </xf>
    <xf numFmtId="0" fontId="37" fillId="0" borderId="0" xfId="0" applyFont="1" applyAlignment="1">
      <alignment vertical="top" wrapText="1"/>
    </xf>
    <xf numFmtId="0" fontId="37" fillId="0" borderId="25" xfId="0" applyFont="1" applyBorder="1" applyAlignment="1">
      <alignment vertical="top" wrapText="1"/>
    </xf>
    <xf numFmtId="0" fontId="41" fillId="32" borderId="15" xfId="0" applyFont="1" applyFill="1" applyBorder="1" applyAlignment="1">
      <alignment horizontal="left" vertical="top" wrapText="1"/>
    </xf>
    <xf numFmtId="0" fontId="41" fillId="32" borderId="2" xfId="0" applyFont="1" applyFill="1" applyBorder="1" applyAlignment="1">
      <alignment horizontal="left" vertical="top" wrapText="1"/>
    </xf>
    <xf numFmtId="0" fontId="41" fillId="32" borderId="12" xfId="0" applyFont="1" applyFill="1" applyBorder="1" applyAlignment="1">
      <alignment horizontal="left" vertical="top" wrapText="1"/>
    </xf>
    <xf numFmtId="0" fontId="41" fillId="26" borderId="15" xfId="0" applyFont="1" applyFill="1" applyBorder="1" applyAlignment="1">
      <alignment horizontal="left" vertical="center" wrapText="1"/>
    </xf>
    <xf numFmtId="0" fontId="41" fillId="26" borderId="2" xfId="0" applyFont="1" applyFill="1" applyBorder="1" applyAlignment="1">
      <alignment horizontal="left" vertical="center" wrapText="1"/>
    </xf>
    <xf numFmtId="0" fontId="41" fillId="26" borderId="12" xfId="0" applyFont="1" applyFill="1" applyBorder="1" applyAlignment="1">
      <alignment horizontal="left" vertical="center" wrapText="1"/>
    </xf>
    <xf numFmtId="0" fontId="41" fillId="26" borderId="1" xfId="0" applyFont="1" applyFill="1" applyBorder="1" applyAlignment="1">
      <alignment horizontal="left" vertical="center" wrapText="1"/>
    </xf>
    <xf numFmtId="0" fontId="50" fillId="31" borderId="0" xfId="1" applyFont="1" applyFill="1" applyAlignment="1">
      <alignment horizontal="left" vertical="top"/>
    </xf>
    <xf numFmtId="0" fontId="50" fillId="31" borderId="17" xfId="1" applyFont="1" applyFill="1" applyBorder="1" applyAlignment="1">
      <alignment horizontal="left" vertical="top"/>
    </xf>
    <xf numFmtId="0" fontId="50" fillId="31" borderId="18" xfId="1" applyFont="1" applyFill="1" applyBorder="1" applyAlignment="1">
      <alignment horizontal="left" vertical="top"/>
    </xf>
    <xf numFmtId="0" fontId="52" fillId="31" borderId="1" xfId="0" applyFont="1" applyFill="1" applyBorder="1" applyAlignment="1">
      <alignment vertical="top" wrapText="1"/>
    </xf>
    <xf numFmtId="0" fontId="36" fillId="31" borderId="1" xfId="0" applyFont="1" applyFill="1" applyBorder="1" applyAlignment="1">
      <alignment vertical="top" wrapText="1"/>
    </xf>
    <xf numFmtId="0" fontId="52" fillId="31" borderId="1" xfId="1" applyFont="1" applyFill="1" applyBorder="1" applyAlignment="1">
      <alignment vertical="top"/>
    </xf>
    <xf numFmtId="3" fontId="41" fillId="32" borderId="15" xfId="0" applyNumberFormat="1" applyFont="1" applyFill="1" applyBorder="1" applyAlignment="1">
      <alignment horizontal="left" vertical="center" wrapText="1"/>
    </xf>
    <xf numFmtId="3" fontId="41" fillId="32" borderId="12" xfId="0" applyNumberFormat="1" applyFont="1" applyFill="1" applyBorder="1" applyAlignment="1">
      <alignment horizontal="left" vertical="center" wrapText="1"/>
    </xf>
    <xf numFmtId="0" fontId="44" fillId="0" borderId="0" xfId="0" quotePrefix="1" applyFont="1" applyAlignment="1">
      <alignment horizontal="left" vertical="center"/>
    </xf>
    <xf numFmtId="0" fontId="55" fillId="0" borderId="0" xfId="0" quotePrefix="1" applyFont="1" applyAlignment="1">
      <alignment horizontal="left" vertical="center"/>
    </xf>
    <xf numFmtId="9" fontId="41" fillId="32" borderId="15" xfId="0" applyNumberFormat="1" applyFont="1" applyFill="1" applyBorder="1" applyAlignment="1">
      <alignment horizontal="right" vertical="top" wrapText="1"/>
    </xf>
    <xf numFmtId="9" fontId="41" fillId="32" borderId="12" xfId="0" applyNumberFormat="1" applyFont="1" applyFill="1" applyBorder="1" applyAlignment="1">
      <alignment horizontal="right" vertical="top" wrapText="1"/>
    </xf>
    <xf numFmtId="0" fontId="55" fillId="0" borderId="25" xfId="0" applyFont="1" applyBorder="1" applyAlignment="1">
      <alignment vertical="top"/>
    </xf>
    <xf numFmtId="3" fontId="41" fillId="32" borderId="15" xfId="0" applyNumberFormat="1" applyFont="1" applyFill="1" applyBorder="1" applyAlignment="1">
      <alignment horizontal="right" wrapText="1"/>
    </xf>
    <xf numFmtId="3" fontId="41" fillId="32" borderId="12" xfId="0" applyNumberFormat="1" applyFont="1" applyFill="1" applyBorder="1" applyAlignment="1">
      <alignment horizontal="right" wrapText="1"/>
    </xf>
    <xf numFmtId="0" fontId="41" fillId="0" borderId="13" xfId="0" applyFont="1" applyBorder="1" applyAlignment="1">
      <alignment horizontal="left" vertical="center" wrapText="1"/>
    </xf>
    <xf numFmtId="0" fontId="41" fillId="0" borderId="20" xfId="0" applyFont="1" applyBorder="1" applyAlignment="1">
      <alignment horizontal="left" vertical="center" wrapText="1"/>
    </xf>
    <xf numFmtId="0" fontId="41" fillId="0" borderId="21" xfId="0" applyFont="1" applyBorder="1" applyAlignment="1">
      <alignment horizontal="left" vertical="center" wrapText="1"/>
    </xf>
    <xf numFmtId="0" fontId="41" fillId="0" borderId="24" xfId="0" applyFont="1" applyBorder="1" applyAlignment="1">
      <alignment horizontal="left" vertical="center" wrapText="1"/>
    </xf>
    <xf numFmtId="0" fontId="41" fillId="0" borderId="25" xfId="0" applyFont="1" applyBorder="1" applyAlignment="1">
      <alignment horizontal="left" vertical="center" wrapText="1"/>
    </xf>
    <xf numFmtId="0" fontId="41" fillId="0" borderId="26" xfId="0" applyFont="1" applyBorder="1" applyAlignment="1">
      <alignment horizontal="left" vertical="center" wrapText="1"/>
    </xf>
    <xf numFmtId="0" fontId="41" fillId="27" borderId="15" xfId="0" applyFont="1" applyFill="1" applyBorder="1" applyAlignment="1">
      <alignment horizontal="left" vertical="center"/>
    </xf>
    <xf numFmtId="0" fontId="41" fillId="27" borderId="12" xfId="0" applyFont="1" applyFill="1" applyBorder="1" applyAlignment="1">
      <alignment horizontal="left" vertical="center"/>
    </xf>
    <xf numFmtId="0" fontId="52" fillId="31" borderId="15" xfId="0" applyFont="1" applyFill="1" applyBorder="1" applyAlignment="1">
      <alignment horizontal="left" wrapText="1"/>
    </xf>
    <xf numFmtId="0" fontId="52" fillId="31" borderId="12" xfId="0" applyFont="1" applyFill="1" applyBorder="1" applyAlignment="1">
      <alignment horizontal="left" wrapText="1"/>
    </xf>
    <xf numFmtId="0" fontId="52" fillId="31" borderId="15" xfId="0" applyFont="1" applyFill="1" applyBorder="1" applyAlignment="1">
      <alignment horizontal="left" vertical="top"/>
    </xf>
    <xf numFmtId="0" fontId="52" fillId="31" borderId="2" xfId="0" applyFont="1" applyFill="1" applyBorder="1" applyAlignment="1">
      <alignment horizontal="left" vertical="top"/>
    </xf>
    <xf numFmtId="0" fontId="52" fillId="31" borderId="12" xfId="0" applyFont="1" applyFill="1" applyBorder="1" applyAlignment="1">
      <alignment horizontal="left" vertical="top"/>
    </xf>
    <xf numFmtId="3" fontId="41" fillId="32" borderId="1" xfId="0" applyNumberFormat="1" applyFont="1" applyFill="1" applyBorder="1" applyAlignment="1">
      <alignment horizontal="right" vertical="top" wrapText="1"/>
    </xf>
    <xf numFmtId="3" fontId="37" fillId="32" borderId="1" xfId="0" applyNumberFormat="1" applyFont="1" applyFill="1" applyBorder="1" applyAlignment="1">
      <alignment horizontal="right" vertical="top" wrapText="1"/>
    </xf>
    <xf numFmtId="0" fontId="44" fillId="0" borderId="0" xfId="0" quotePrefix="1" applyFont="1" applyAlignment="1">
      <alignment horizontal="left" vertical="top"/>
    </xf>
    <xf numFmtId="0" fontId="38" fillId="2" borderId="28" xfId="0" applyFont="1" applyFill="1" applyBorder="1" applyAlignment="1">
      <alignment horizontal="justify" vertical="top" wrapText="1"/>
    </xf>
    <xf numFmtId="3" fontId="37" fillId="32" borderId="12" xfId="0" applyNumberFormat="1" applyFont="1" applyFill="1" applyBorder="1" applyAlignment="1">
      <alignment horizontal="right" vertical="top" wrapText="1"/>
    </xf>
    <xf numFmtId="3" fontId="41" fillId="32" borderId="15" xfId="0" applyNumberFormat="1" applyFont="1" applyFill="1" applyBorder="1" applyAlignment="1">
      <alignment horizontal="right" vertical="center"/>
    </xf>
    <xf numFmtId="3" fontId="41" fillId="32" borderId="12" xfId="0" applyNumberFormat="1" applyFont="1" applyFill="1" applyBorder="1" applyAlignment="1">
      <alignment horizontal="right" vertical="center"/>
    </xf>
    <xf numFmtId="0" fontId="43" fillId="0" borderId="0" xfId="1" applyFont="1" applyAlignment="1">
      <alignment horizontal="left" vertical="top"/>
    </xf>
    <xf numFmtId="0" fontId="41" fillId="32" borderId="15" xfId="0" applyFont="1" applyFill="1" applyBorder="1" applyAlignment="1">
      <alignment vertical="top"/>
    </xf>
    <xf numFmtId="0" fontId="41" fillId="32" borderId="2" xfId="0" applyFont="1" applyFill="1" applyBorder="1" applyAlignment="1">
      <alignment vertical="top"/>
    </xf>
    <xf numFmtId="0" fontId="41" fillId="32" borderId="12" xfId="0" applyFont="1" applyFill="1" applyBorder="1" applyAlignment="1">
      <alignment vertical="top"/>
    </xf>
    <xf numFmtId="3" fontId="41" fillId="32" borderId="15" xfId="91" applyNumberFormat="1" applyFont="1" applyFill="1" applyBorder="1" applyAlignment="1" applyProtection="1">
      <alignment horizontal="right"/>
    </xf>
    <xf numFmtId="3" fontId="41" fillId="32" borderId="2" xfId="91" applyNumberFormat="1" applyFont="1" applyFill="1" applyBorder="1" applyAlignment="1" applyProtection="1">
      <alignment horizontal="right"/>
    </xf>
    <xf numFmtId="3" fontId="41" fillId="32" borderId="12" xfId="91" applyNumberFormat="1" applyFont="1" applyFill="1" applyBorder="1" applyAlignment="1" applyProtection="1">
      <alignment horizontal="right"/>
    </xf>
    <xf numFmtId="0" fontId="41" fillId="0" borderId="15" xfId="0" applyFont="1" applyBorder="1" applyAlignment="1">
      <alignment horizontal="left" vertical="center"/>
    </xf>
    <xf numFmtId="0" fontId="41" fillId="0" borderId="2" xfId="0" applyFont="1" applyBorder="1" applyAlignment="1">
      <alignment horizontal="left" vertical="center"/>
    </xf>
    <xf numFmtId="0" fontId="41" fillId="0" borderId="12" xfId="0" applyFont="1" applyBorder="1" applyAlignment="1">
      <alignment horizontal="left" vertical="center"/>
    </xf>
    <xf numFmtId="0" fontId="44" fillId="0" borderId="0" xfId="0" applyFont="1" applyAlignment="1">
      <alignment horizontal="justify" vertical="top"/>
    </xf>
    <xf numFmtId="0" fontId="38" fillId="0" borderId="0" xfId="0" applyFont="1" applyAlignment="1">
      <alignment horizontal="justify" vertical="top"/>
    </xf>
    <xf numFmtId="0" fontId="41" fillId="32" borderId="15" xfId="0" applyFont="1" applyFill="1" applyBorder="1" applyAlignment="1">
      <alignment horizontal="right" vertical="center"/>
    </xf>
    <xf numFmtId="0" fontId="41" fillId="32" borderId="12" xfId="0" applyFont="1" applyFill="1" applyBorder="1" applyAlignment="1">
      <alignment horizontal="right" vertical="center"/>
    </xf>
    <xf numFmtId="0" fontId="41" fillId="32" borderId="2" xfId="0" applyFont="1" applyFill="1" applyBorder="1" applyAlignment="1">
      <alignment horizontal="left" vertical="center"/>
    </xf>
    <xf numFmtId="3" fontId="41" fillId="32" borderId="15" xfId="91" applyNumberFormat="1" applyFont="1" applyFill="1" applyBorder="1" applyAlignment="1" applyProtection="1">
      <alignment horizontal="right" vertical="center"/>
    </xf>
    <xf numFmtId="3" fontId="41" fillId="32" borderId="2" xfId="91" applyNumberFormat="1" applyFont="1" applyFill="1" applyBorder="1" applyAlignment="1" applyProtection="1">
      <alignment horizontal="right" vertical="center"/>
    </xf>
    <xf numFmtId="3" fontId="41" fillId="32" borderId="12" xfId="91" applyNumberFormat="1" applyFont="1" applyFill="1" applyBorder="1" applyAlignment="1" applyProtection="1">
      <alignment horizontal="right" vertical="center"/>
    </xf>
    <xf numFmtId="0" fontId="52" fillId="31" borderId="15" xfId="0" applyFont="1" applyFill="1" applyBorder="1" applyAlignment="1">
      <alignment vertical="center"/>
    </xf>
    <xf numFmtId="0" fontId="52" fillId="31" borderId="2" xfId="0" applyFont="1" applyFill="1" applyBorder="1" applyAlignment="1">
      <alignment vertical="center"/>
    </xf>
    <xf numFmtId="0" fontId="52" fillId="31" borderId="12" xfId="0" applyFont="1" applyFill="1" applyBorder="1" applyAlignment="1">
      <alignment vertical="center"/>
    </xf>
    <xf numFmtId="3" fontId="41" fillId="32" borderId="15" xfId="91" applyNumberFormat="1" applyFont="1" applyFill="1" applyBorder="1" applyAlignment="1" applyProtection="1">
      <alignment horizontal="right" vertical="center" wrapText="1"/>
    </xf>
    <xf numFmtId="3" fontId="41" fillId="32" borderId="2" xfId="91" applyNumberFormat="1" applyFont="1" applyFill="1" applyBorder="1" applyAlignment="1" applyProtection="1">
      <alignment horizontal="right" vertical="center" wrapText="1"/>
    </xf>
    <xf numFmtId="3" fontId="41" fillId="32" borderId="12" xfId="91" applyNumberFormat="1" applyFont="1" applyFill="1" applyBorder="1" applyAlignment="1" applyProtection="1">
      <alignment horizontal="right" vertical="center" wrapText="1"/>
    </xf>
    <xf numFmtId="0" fontId="41" fillId="31" borderId="12" xfId="0" applyFont="1" applyFill="1" applyBorder="1" applyAlignment="1">
      <alignment horizontal="left" vertical="top" wrapText="1"/>
    </xf>
    <xf numFmtId="0" fontId="43" fillId="0" borderId="19" xfId="1" applyFont="1" applyBorder="1" applyAlignment="1">
      <alignment horizontal="left" vertical="top"/>
    </xf>
    <xf numFmtId="0" fontId="41" fillId="32" borderId="15" xfId="0" applyFont="1" applyFill="1" applyBorder="1" applyAlignment="1">
      <alignment vertical="top" wrapText="1"/>
    </xf>
    <xf numFmtId="0" fontId="41" fillId="32" borderId="1" xfId="0" applyFont="1" applyFill="1" applyBorder="1" applyAlignment="1">
      <alignment vertical="top"/>
    </xf>
    <xf numFmtId="0" fontId="41" fillId="31" borderId="15" xfId="0" applyFont="1" applyFill="1" applyBorder="1" applyAlignment="1">
      <alignment vertical="top"/>
    </xf>
    <xf numFmtId="0" fontId="41" fillId="31" borderId="12" xfId="0" applyFont="1" applyFill="1" applyBorder="1" applyAlignment="1">
      <alignment vertical="top"/>
    </xf>
    <xf numFmtId="0" fontId="41" fillId="31" borderId="15" xfId="0" applyFont="1" applyFill="1" applyBorder="1" applyAlignment="1">
      <alignment horizontal="left" vertical="top"/>
    </xf>
    <xf numFmtId="0" fontId="41" fillId="31" borderId="2" xfId="0" applyFont="1" applyFill="1" applyBorder="1" applyAlignment="1">
      <alignment horizontal="left" vertical="top"/>
    </xf>
    <xf numFmtId="0" fontId="41" fillId="31" borderId="12" xfId="0" applyFont="1" applyFill="1" applyBorder="1" applyAlignment="1">
      <alignment horizontal="left" vertical="top"/>
    </xf>
    <xf numFmtId="0" fontId="52" fillId="31" borderId="2" xfId="0" applyFont="1" applyFill="1" applyBorder="1" applyAlignment="1">
      <alignment horizontal="left" vertical="center" wrapText="1"/>
    </xf>
    <xf numFmtId="0" fontId="52" fillId="31" borderId="12" xfId="0" applyFont="1" applyFill="1" applyBorder="1" applyAlignment="1">
      <alignment horizontal="left" vertical="center" wrapText="1"/>
    </xf>
    <xf numFmtId="0" fontId="52" fillId="31" borderId="15" xfId="0" applyFont="1" applyFill="1" applyBorder="1" applyAlignment="1">
      <alignment horizontal="justify" vertical="top"/>
    </xf>
    <xf numFmtId="0" fontId="52" fillId="31" borderId="2" xfId="0" applyFont="1" applyFill="1" applyBorder="1" applyAlignment="1">
      <alignment horizontal="justify" vertical="top"/>
    </xf>
    <xf numFmtId="0" fontId="52" fillId="31" borderId="12" xfId="0" applyFont="1" applyFill="1" applyBorder="1" applyAlignment="1">
      <alignment horizontal="justify" vertical="top"/>
    </xf>
    <xf numFmtId="49" fontId="41" fillId="32" borderId="15" xfId="0" applyNumberFormat="1" applyFont="1" applyFill="1" applyBorder="1" applyAlignment="1">
      <alignment horizontal="left" vertical="center"/>
    </xf>
    <xf numFmtId="49" fontId="41" fillId="32" borderId="2" xfId="0" applyNumberFormat="1" applyFont="1" applyFill="1" applyBorder="1" applyAlignment="1">
      <alignment horizontal="left" vertical="center"/>
    </xf>
    <xf numFmtId="49" fontId="41" fillId="32" borderId="12" xfId="0" applyNumberFormat="1" applyFont="1" applyFill="1" applyBorder="1" applyAlignment="1">
      <alignment horizontal="left" vertical="center"/>
    </xf>
    <xf numFmtId="0" fontId="38" fillId="2" borderId="23" xfId="0" applyFont="1" applyFill="1" applyBorder="1" applyAlignment="1">
      <alignment horizontal="justify" vertical="top" wrapText="1"/>
    </xf>
    <xf numFmtId="0" fontId="41" fillId="30" borderId="15" xfId="0" applyFont="1" applyFill="1" applyBorder="1" applyAlignment="1">
      <alignment horizontal="left" vertical="center" wrapText="1"/>
    </xf>
    <xf numFmtId="0" fontId="41" fillId="30" borderId="12" xfId="0" applyFont="1" applyFill="1" applyBorder="1" applyAlignment="1">
      <alignment horizontal="left" vertical="center" wrapText="1"/>
    </xf>
    <xf numFmtId="0" fontId="55" fillId="0" borderId="0" xfId="0" quotePrefix="1" applyFont="1" applyAlignment="1">
      <alignment horizontal="left" vertical="top"/>
    </xf>
    <xf numFmtId="0" fontId="52" fillId="31" borderId="27" xfId="0" applyFont="1" applyFill="1" applyBorder="1" applyAlignment="1">
      <alignment horizontal="left" vertical="top" wrapText="1"/>
    </xf>
    <xf numFmtId="0" fontId="52" fillId="31" borderId="14" xfId="0" applyFont="1" applyFill="1" applyBorder="1" applyAlignment="1">
      <alignment horizontal="left" vertical="top" wrapText="1"/>
    </xf>
    <xf numFmtId="0" fontId="52" fillId="31" borderId="13" xfId="0" applyFont="1" applyFill="1" applyBorder="1" applyAlignment="1">
      <alignment horizontal="left" vertical="top" wrapText="1"/>
    </xf>
    <xf numFmtId="0" fontId="52" fillId="31" borderId="21" xfId="0" applyFont="1" applyFill="1" applyBorder="1" applyAlignment="1">
      <alignment horizontal="left" vertical="top" wrapText="1"/>
    </xf>
    <xf numFmtId="0" fontId="41" fillId="0" borderId="15" xfId="0" applyFont="1" applyBorder="1" applyAlignment="1">
      <alignment horizontal="justify" vertical="center" wrapText="1"/>
    </xf>
    <xf numFmtId="0" fontId="41" fillId="0" borderId="12" xfId="0" applyFont="1" applyBorder="1" applyAlignment="1">
      <alignment horizontal="justify" vertical="center" wrapText="1"/>
    </xf>
    <xf numFmtId="0" fontId="52" fillId="31" borderId="15" xfId="0" applyFont="1" applyFill="1" applyBorder="1" applyAlignment="1">
      <alignment horizontal="justify" vertical="top" wrapText="1"/>
    </xf>
    <xf numFmtId="0" fontId="52" fillId="31" borderId="12" xfId="0" applyFont="1" applyFill="1" applyBorder="1" applyAlignment="1">
      <alignment horizontal="justify" vertical="top" wrapText="1"/>
    </xf>
    <xf numFmtId="0" fontId="38" fillId="2" borderId="0" xfId="0" applyFont="1" applyFill="1" applyAlignment="1">
      <alignment horizontal="left" vertical="top" wrapText="1"/>
    </xf>
    <xf numFmtId="0" fontId="38" fillId="2" borderId="23" xfId="0" applyFont="1" applyFill="1" applyBorder="1" applyAlignment="1">
      <alignment horizontal="left" vertical="top" wrapText="1"/>
    </xf>
    <xf numFmtId="3" fontId="41" fillId="32" borderId="2" xfId="0" applyNumberFormat="1" applyFont="1" applyFill="1" applyBorder="1" applyAlignment="1">
      <alignment horizontal="right" vertical="center"/>
    </xf>
    <xf numFmtId="0" fontId="52" fillId="31" borderId="27" xfId="0" applyFont="1" applyFill="1" applyBorder="1" applyAlignment="1">
      <alignment horizontal="left" vertical="center" wrapText="1"/>
    </xf>
    <xf numFmtId="0" fontId="52" fillId="31" borderId="14" xfId="0" applyFont="1" applyFill="1" applyBorder="1" applyAlignment="1">
      <alignment horizontal="left" vertical="center" wrapText="1"/>
    </xf>
    <xf numFmtId="0" fontId="50" fillId="31" borderId="30" xfId="1" applyFont="1" applyFill="1" applyBorder="1" applyAlignment="1">
      <alignment horizontal="left"/>
    </xf>
    <xf numFmtId="0" fontId="50" fillId="31" borderId="31" xfId="1" applyFont="1" applyFill="1" applyBorder="1" applyAlignment="1">
      <alignment horizontal="left"/>
    </xf>
    <xf numFmtId="0" fontId="41" fillId="32" borderId="15" xfId="0" applyFont="1" applyFill="1" applyBorder="1" applyAlignment="1">
      <alignment horizontal="justify" vertical="center" wrapText="1"/>
    </xf>
    <xf numFmtId="0" fontId="41" fillId="32" borderId="2" xfId="0" applyFont="1" applyFill="1" applyBorder="1" applyAlignment="1">
      <alignment horizontal="justify" vertical="center" wrapText="1"/>
    </xf>
    <xf numFmtId="0" fontId="41" fillId="32" borderId="12" xfId="0" applyFont="1" applyFill="1" applyBorder="1" applyAlignment="1">
      <alignment horizontal="justify" vertical="center" wrapText="1"/>
    </xf>
    <xf numFmtId="0" fontId="42" fillId="32" borderId="15" xfId="0" applyFont="1" applyFill="1" applyBorder="1" applyAlignment="1">
      <alignment horizontal="left" vertical="center" wrapText="1"/>
    </xf>
    <xf numFmtId="0" fontId="46" fillId="0" borderId="25" xfId="0" applyFont="1" applyBorder="1" applyAlignment="1">
      <alignment vertical="center"/>
    </xf>
    <xf numFmtId="0" fontId="46" fillId="0" borderId="25" xfId="0" applyFont="1" applyBorder="1" applyAlignment="1">
      <alignment vertical="top"/>
    </xf>
    <xf numFmtId="0" fontId="36" fillId="31" borderId="14" xfId="0" applyFont="1" applyFill="1" applyBorder="1" applyAlignment="1">
      <alignment horizontal="left" vertical="top" wrapText="1"/>
    </xf>
    <xf numFmtId="0" fontId="37" fillId="32" borderId="15" xfId="0" applyFont="1" applyFill="1" applyBorder="1" applyAlignment="1">
      <alignment horizontal="left" wrapText="1"/>
    </xf>
    <xf numFmtId="0" fontId="37" fillId="32" borderId="2" xfId="0" applyFont="1" applyFill="1" applyBorder="1" applyAlignment="1">
      <alignment horizontal="left" wrapText="1"/>
    </xf>
    <xf numFmtId="0" fontId="37" fillId="32" borderId="12" xfId="0" applyFont="1" applyFill="1" applyBorder="1" applyAlignment="1">
      <alignment horizontal="left" wrapText="1"/>
    </xf>
    <xf numFmtId="0" fontId="52" fillId="31" borderId="1" xfId="0" applyFont="1" applyFill="1" applyBorder="1" applyAlignment="1">
      <alignment horizontal="left" vertical="top"/>
    </xf>
    <xf numFmtId="0" fontId="52" fillId="31" borderId="27" xfId="0" applyFont="1" applyFill="1" applyBorder="1" applyAlignment="1">
      <alignment vertical="top" wrapText="1"/>
    </xf>
    <xf numFmtId="0" fontId="36" fillId="31" borderId="14" xfId="0" applyFont="1" applyFill="1" applyBorder="1" applyAlignment="1">
      <alignment vertical="top" wrapText="1"/>
    </xf>
    <xf numFmtId="0" fontId="52" fillId="31" borderId="27" xfId="0" applyFont="1" applyFill="1" applyBorder="1" applyAlignment="1">
      <alignment horizontal="left" vertical="top"/>
    </xf>
    <xf numFmtId="0" fontId="52" fillId="31" borderId="14" xfId="0" applyFont="1" applyFill="1" applyBorder="1" applyAlignment="1">
      <alignment horizontal="left" vertical="top"/>
    </xf>
    <xf numFmtId="0" fontId="41" fillId="32" borderId="15" xfId="0" applyFont="1" applyFill="1" applyBorder="1" applyAlignment="1">
      <alignment horizontal="justify" vertical="top" wrapText="1"/>
    </xf>
    <xf numFmtId="0" fontId="37" fillId="32" borderId="2" xfId="0" applyFont="1" applyFill="1" applyBorder="1" applyAlignment="1">
      <alignment horizontal="justify" vertical="top" wrapText="1"/>
    </xf>
    <xf numFmtId="0" fontId="37" fillId="32" borderId="12" xfId="0" applyFont="1" applyFill="1" applyBorder="1" applyAlignment="1">
      <alignment horizontal="justify" vertical="top" wrapText="1"/>
    </xf>
    <xf numFmtId="0" fontId="41" fillId="32" borderId="15" xfId="0" applyFont="1" applyFill="1" applyBorder="1" applyAlignment="1">
      <alignment horizontal="left" vertical="top"/>
    </xf>
    <xf numFmtId="0" fontId="41" fillId="32" borderId="12" xfId="0" applyFont="1" applyFill="1" applyBorder="1" applyAlignment="1">
      <alignment horizontal="left" vertical="top"/>
    </xf>
    <xf numFmtId="0" fontId="41" fillId="32" borderId="15" xfId="0" applyFont="1" applyFill="1" applyBorder="1" applyAlignment="1">
      <alignment horizontal="center" vertical="top"/>
    </xf>
    <xf numFmtId="0" fontId="41" fillId="32" borderId="12" xfId="0" applyFont="1" applyFill="1" applyBorder="1" applyAlignment="1">
      <alignment horizontal="center" vertical="top"/>
    </xf>
    <xf numFmtId="0" fontId="41" fillId="32" borderId="2" xfId="0" applyFont="1" applyFill="1" applyBorder="1" applyAlignment="1">
      <alignment horizontal="center" vertical="top"/>
    </xf>
    <xf numFmtId="0" fontId="52" fillId="31" borderId="15" xfId="0" applyFont="1" applyFill="1" applyBorder="1" applyAlignment="1">
      <alignment vertical="center" wrapText="1"/>
    </xf>
    <xf numFmtId="0" fontId="52" fillId="31" borderId="2" xfId="0" applyFont="1" applyFill="1" applyBorder="1" applyAlignment="1">
      <alignment vertical="center" wrapText="1"/>
    </xf>
    <xf numFmtId="0" fontId="52" fillId="31" borderId="12" xfId="0" applyFont="1" applyFill="1" applyBorder="1" applyAlignment="1">
      <alignment vertical="center" wrapText="1"/>
    </xf>
    <xf numFmtId="0" fontId="52" fillId="31" borderId="13" xfId="0" applyFont="1" applyFill="1" applyBorder="1" applyAlignment="1">
      <alignment horizontal="left" vertical="top"/>
    </xf>
    <xf numFmtId="0" fontId="52" fillId="31" borderId="21" xfId="0" applyFont="1" applyFill="1" applyBorder="1" applyAlignment="1">
      <alignment horizontal="left" vertical="top"/>
    </xf>
    <xf numFmtId="0" fontId="52" fillId="31" borderId="24" xfId="0" applyFont="1" applyFill="1" applyBorder="1" applyAlignment="1">
      <alignment horizontal="left" vertical="top"/>
    </xf>
    <xf numFmtId="0" fontId="52" fillId="31" borderId="26" xfId="0" applyFont="1" applyFill="1" applyBorder="1" applyAlignment="1">
      <alignment horizontal="left" vertical="top"/>
    </xf>
    <xf numFmtId="0" fontId="36" fillId="31" borderId="21" xfId="0" applyFont="1" applyFill="1" applyBorder="1" applyAlignment="1">
      <alignment horizontal="left" vertical="top" wrapText="1"/>
    </xf>
    <xf numFmtId="0" fontId="36" fillId="31" borderId="24" xfId="0" applyFont="1" applyFill="1" applyBorder="1" applyAlignment="1">
      <alignment horizontal="left" vertical="top" wrapText="1"/>
    </xf>
    <xf numFmtId="0" fontId="36" fillId="31" borderId="26" xfId="0" applyFont="1" applyFill="1" applyBorder="1" applyAlignment="1">
      <alignment horizontal="left" vertical="top" wrapText="1"/>
    </xf>
    <xf numFmtId="0" fontId="52" fillId="31" borderId="13" xfId="0" applyFont="1" applyFill="1" applyBorder="1" applyAlignment="1">
      <alignment vertical="top" wrapText="1"/>
    </xf>
    <xf numFmtId="0" fontId="36" fillId="31" borderId="21" xfId="0" applyFont="1" applyFill="1" applyBorder="1" applyAlignment="1">
      <alignment vertical="top" wrapText="1"/>
    </xf>
    <xf numFmtId="0" fontId="36" fillId="31" borderId="24" xfId="0" applyFont="1" applyFill="1" applyBorder="1" applyAlignment="1">
      <alignment vertical="top" wrapText="1"/>
    </xf>
    <xf numFmtId="0" fontId="36" fillId="31" borderId="26" xfId="0" applyFont="1" applyFill="1" applyBorder="1" applyAlignment="1">
      <alignment vertical="top" wrapText="1"/>
    </xf>
    <xf numFmtId="0" fontId="44" fillId="0" borderId="25" xfId="0" applyFont="1" applyBorder="1" applyAlignment="1">
      <alignment horizontal="justify" vertical="top"/>
    </xf>
    <xf numFmtId="0" fontId="41" fillId="32" borderId="1" xfId="0" applyFont="1" applyFill="1" applyBorder="1" applyAlignment="1">
      <alignment horizontal="left" vertical="top" wrapText="1"/>
    </xf>
    <xf numFmtId="0" fontId="50" fillId="31" borderId="0" xfId="1" applyFont="1" applyFill="1" applyAlignment="1">
      <alignment vertical="top"/>
    </xf>
    <xf numFmtId="0" fontId="37" fillId="0" borderId="25" xfId="0" applyFont="1" applyBorder="1" applyAlignment="1">
      <alignment horizontal="left" vertical="top" wrapText="1"/>
    </xf>
    <xf numFmtId="0" fontId="43" fillId="2" borderId="0" xfId="1" applyFont="1" applyFill="1" applyAlignment="1">
      <alignment horizontal="left" vertical="center" wrapText="1"/>
    </xf>
    <xf numFmtId="0" fontId="62" fillId="0" borderId="0" xfId="0" applyFont="1" applyAlignment="1">
      <alignment horizontal="left" vertical="center" wrapText="1"/>
    </xf>
    <xf numFmtId="0" fontId="41" fillId="0" borderId="27" xfId="0" applyFont="1" applyBorder="1" applyAlignment="1">
      <alignment horizontal="left" vertical="center" wrapText="1"/>
    </xf>
    <xf numFmtId="0" fontId="41" fillId="0" borderId="33" xfId="0" applyFont="1" applyBorder="1" applyAlignment="1">
      <alignment horizontal="left" vertical="center" wrapText="1"/>
    </xf>
    <xf numFmtId="0" fontId="41" fillId="0" borderId="14" xfId="0" applyFont="1" applyBorder="1" applyAlignment="1">
      <alignment horizontal="left" vertical="center" wrapText="1"/>
    </xf>
    <xf numFmtId="0" fontId="38" fillId="0" borderId="28" xfId="0" applyFont="1" applyBorder="1" applyAlignment="1">
      <alignment vertical="top" wrapText="1"/>
    </xf>
    <xf numFmtId="0" fontId="37" fillId="0" borderId="28" xfId="0" applyFont="1" applyBorder="1" applyAlignment="1">
      <alignment vertical="top" wrapText="1"/>
    </xf>
  </cellXfs>
  <cellStyles count="94">
    <cellStyle name="20% - Accent1 2" xfId="3" xr:uid="{00000000-0005-0000-0000-000000000000}"/>
    <cellStyle name="20% - Accent2 2" xfId="4" xr:uid="{00000000-0005-0000-0000-000001000000}"/>
    <cellStyle name="20% - Accent3 2" xfId="5" xr:uid="{00000000-0005-0000-0000-000002000000}"/>
    <cellStyle name="20% - Accent4 2" xfId="6" xr:uid="{00000000-0005-0000-0000-000003000000}"/>
    <cellStyle name="20% - Accent5 2" xfId="7" xr:uid="{00000000-0005-0000-0000-000004000000}"/>
    <cellStyle name="20% - Accent6 2" xfId="8" xr:uid="{00000000-0005-0000-0000-000005000000}"/>
    <cellStyle name="20% - Akzent1" xfId="9" xr:uid="{00000000-0005-0000-0000-000006000000}"/>
    <cellStyle name="20% - Akzent2" xfId="10" xr:uid="{00000000-0005-0000-0000-000007000000}"/>
    <cellStyle name="20% - Akzent3" xfId="11" xr:uid="{00000000-0005-0000-0000-000008000000}"/>
    <cellStyle name="20% - Akzent4" xfId="12" xr:uid="{00000000-0005-0000-0000-000009000000}"/>
    <cellStyle name="20% - Akzent5" xfId="13" xr:uid="{00000000-0005-0000-0000-00000A000000}"/>
    <cellStyle name="20% - Akzent6" xfId="14" xr:uid="{00000000-0005-0000-0000-00000B000000}"/>
    <cellStyle name="40% - Accent1 2" xfId="15" xr:uid="{00000000-0005-0000-0000-00000C000000}"/>
    <cellStyle name="40% - Accent2 2" xfId="16" xr:uid="{00000000-0005-0000-0000-00000D000000}"/>
    <cellStyle name="40% - Accent3 2" xfId="17" xr:uid="{00000000-0005-0000-0000-00000E000000}"/>
    <cellStyle name="40% - Accent4 2" xfId="18" xr:uid="{00000000-0005-0000-0000-00000F000000}"/>
    <cellStyle name="40% - Accent5 2" xfId="19" xr:uid="{00000000-0005-0000-0000-000010000000}"/>
    <cellStyle name="40% - Accent6 2" xfId="20" xr:uid="{00000000-0005-0000-0000-000011000000}"/>
    <cellStyle name="40% - Akzent1" xfId="21" xr:uid="{00000000-0005-0000-0000-000012000000}"/>
    <cellStyle name="40% - Akzent2" xfId="22" xr:uid="{00000000-0005-0000-0000-000013000000}"/>
    <cellStyle name="40% - Akzent3" xfId="23" xr:uid="{00000000-0005-0000-0000-000014000000}"/>
    <cellStyle name="40% - Akzent4" xfId="24" xr:uid="{00000000-0005-0000-0000-000015000000}"/>
    <cellStyle name="40% - Akzent5" xfId="25" xr:uid="{00000000-0005-0000-0000-000016000000}"/>
    <cellStyle name="40% - Akzent6" xfId="26" xr:uid="{00000000-0005-0000-0000-000017000000}"/>
    <cellStyle name="5x indented GHG Textfiels" xfId="87" xr:uid="{00000000-0005-0000-0000-000018000000}"/>
    <cellStyle name="60% - Accent1 2" xfId="27" xr:uid="{00000000-0005-0000-0000-000019000000}"/>
    <cellStyle name="60% - Accent2 2" xfId="28" xr:uid="{00000000-0005-0000-0000-00001A000000}"/>
    <cellStyle name="60% - Accent3 2" xfId="29" xr:uid="{00000000-0005-0000-0000-00001B000000}"/>
    <cellStyle name="60% - Accent4 2" xfId="30" xr:uid="{00000000-0005-0000-0000-00001C000000}"/>
    <cellStyle name="60% - Accent5 2" xfId="31" xr:uid="{00000000-0005-0000-0000-00001D000000}"/>
    <cellStyle name="60% - Accent6 2" xfId="32" xr:uid="{00000000-0005-0000-0000-00001E000000}"/>
    <cellStyle name="60% - Akzent1" xfId="33" xr:uid="{00000000-0005-0000-0000-00001F000000}"/>
    <cellStyle name="60% - Akzent2" xfId="34" xr:uid="{00000000-0005-0000-0000-000020000000}"/>
    <cellStyle name="60% - Akzent3" xfId="35" xr:uid="{00000000-0005-0000-0000-000021000000}"/>
    <cellStyle name="60% - Akzent4" xfId="36" xr:uid="{00000000-0005-0000-0000-000022000000}"/>
    <cellStyle name="60% - Akzent5" xfId="37" xr:uid="{00000000-0005-0000-0000-000023000000}"/>
    <cellStyle name="60% - Akzent6" xfId="38" xr:uid="{00000000-0005-0000-0000-000024000000}"/>
    <cellStyle name="Accent1" xfId="92" builtinId="29"/>
    <cellStyle name="Accent1 2" xfId="39" xr:uid="{00000000-0005-0000-0000-000025000000}"/>
    <cellStyle name="Accent2 2" xfId="40" xr:uid="{00000000-0005-0000-0000-000026000000}"/>
    <cellStyle name="Accent3 2" xfId="41" xr:uid="{00000000-0005-0000-0000-000027000000}"/>
    <cellStyle name="Accent4 2" xfId="42" xr:uid="{00000000-0005-0000-0000-000028000000}"/>
    <cellStyle name="Accent5 2" xfId="43" xr:uid="{00000000-0005-0000-0000-000029000000}"/>
    <cellStyle name="Accent6 2" xfId="44" xr:uid="{00000000-0005-0000-0000-00002A000000}"/>
    <cellStyle name="Akzent1" xfId="45" xr:uid="{00000000-0005-0000-0000-00002B000000}"/>
    <cellStyle name="Akzent2" xfId="46" xr:uid="{00000000-0005-0000-0000-00002C000000}"/>
    <cellStyle name="Akzent3" xfId="47" xr:uid="{00000000-0005-0000-0000-00002D000000}"/>
    <cellStyle name="Akzent4" xfId="48" xr:uid="{00000000-0005-0000-0000-00002E000000}"/>
    <cellStyle name="Akzent5" xfId="49" xr:uid="{00000000-0005-0000-0000-00002F000000}"/>
    <cellStyle name="Akzent6" xfId="50" xr:uid="{00000000-0005-0000-0000-000030000000}"/>
    <cellStyle name="Ausgabe" xfId="51" xr:uid="{00000000-0005-0000-0000-000031000000}"/>
    <cellStyle name="Bad 2" xfId="52" xr:uid="{00000000-0005-0000-0000-000032000000}"/>
    <cellStyle name="Berechnung" xfId="53" xr:uid="{00000000-0005-0000-0000-000033000000}"/>
    <cellStyle name="Calculation 2" xfId="54" xr:uid="{00000000-0005-0000-0000-000034000000}"/>
    <cellStyle name="Check Cell 2" xfId="55" xr:uid="{00000000-0005-0000-0000-000035000000}"/>
    <cellStyle name="Comma" xfId="91" builtinId="3"/>
    <cellStyle name="Eingabe" xfId="56" xr:uid="{00000000-0005-0000-0000-000036000000}"/>
    <cellStyle name="Ergebnis" xfId="57" xr:uid="{00000000-0005-0000-0000-000037000000}"/>
    <cellStyle name="Erklärender Text" xfId="58" xr:uid="{00000000-0005-0000-0000-000038000000}"/>
    <cellStyle name="Explanatory Text 2" xfId="59" xr:uid="{00000000-0005-0000-0000-000039000000}"/>
    <cellStyle name="Good 2" xfId="60" xr:uid="{00000000-0005-0000-0000-00003A000000}"/>
    <cellStyle name="Gut" xfId="61" xr:uid="{00000000-0005-0000-0000-00003B000000}"/>
    <cellStyle name="Heading 1 2" xfId="62" xr:uid="{00000000-0005-0000-0000-00003C000000}"/>
    <cellStyle name="Heading 2 2" xfId="63" xr:uid="{00000000-0005-0000-0000-00003D000000}"/>
    <cellStyle name="Heading 3 2" xfId="64" xr:uid="{00000000-0005-0000-0000-00003E000000}"/>
    <cellStyle name="Heading 4 2" xfId="65" xr:uid="{00000000-0005-0000-0000-00003F000000}"/>
    <cellStyle name="Hyperlink" xfId="90" builtinId="8"/>
    <cellStyle name="Hyperlink 2" xfId="2" xr:uid="{00000000-0005-0000-0000-000041000000}"/>
    <cellStyle name="Hyperlink 3" xfId="66" xr:uid="{00000000-0005-0000-0000-000042000000}"/>
    <cellStyle name="Input 2" xfId="67" xr:uid="{00000000-0005-0000-0000-000043000000}"/>
    <cellStyle name="Linked Cell 2" xfId="68" xr:uid="{00000000-0005-0000-0000-000045000000}"/>
    <cellStyle name="Neutral 2" xfId="69" xr:uid="{00000000-0005-0000-0000-000046000000}"/>
    <cellStyle name="Normal" xfId="0" builtinId="0"/>
    <cellStyle name="Normal 2" xfId="1" xr:uid="{00000000-0005-0000-0000-000047000000}"/>
    <cellStyle name="Normal 3" xfId="93" xr:uid="{35C11275-9A97-4DBB-8DC2-287806BE5983}"/>
    <cellStyle name="Note 2" xfId="70" xr:uid="{00000000-0005-0000-0000-000048000000}"/>
    <cellStyle name="Notiz" xfId="71" xr:uid="{00000000-0005-0000-0000-000049000000}"/>
    <cellStyle name="Output 2" xfId="72" xr:uid="{00000000-0005-0000-0000-00004A000000}"/>
    <cellStyle name="Percent" xfId="89" builtinId="5"/>
    <cellStyle name="Percent 2" xfId="73" xr:uid="{00000000-0005-0000-0000-00004B000000}"/>
    <cellStyle name="Schlecht" xfId="74" xr:uid="{00000000-0005-0000-0000-00004D000000}"/>
    <cellStyle name="Standard 2" xfId="86" xr:uid="{00000000-0005-0000-0000-00004F000000}"/>
    <cellStyle name="Title 2" xfId="75" xr:uid="{00000000-0005-0000-0000-000050000000}"/>
    <cellStyle name="Total 2" xfId="76" xr:uid="{00000000-0005-0000-0000-000051000000}"/>
    <cellStyle name="Überschrift" xfId="77" xr:uid="{00000000-0005-0000-0000-000052000000}"/>
    <cellStyle name="Überschrift 1" xfId="78" xr:uid="{00000000-0005-0000-0000-000053000000}"/>
    <cellStyle name="Überschrift 2" xfId="79" xr:uid="{00000000-0005-0000-0000-000054000000}"/>
    <cellStyle name="Überschrift 3" xfId="80" xr:uid="{00000000-0005-0000-0000-000055000000}"/>
    <cellStyle name="Überschrift 4" xfId="81" xr:uid="{00000000-0005-0000-0000-000056000000}"/>
    <cellStyle name="Verknüpfte Zelle" xfId="82" xr:uid="{00000000-0005-0000-0000-000057000000}"/>
    <cellStyle name="Warnender Text" xfId="83" xr:uid="{00000000-0005-0000-0000-000058000000}"/>
    <cellStyle name="Warning Text 2" xfId="84" xr:uid="{00000000-0005-0000-0000-000059000000}"/>
    <cellStyle name="Zelle überprüfen" xfId="85" xr:uid="{00000000-0005-0000-0000-00005A000000}"/>
    <cellStyle name="Обычный_CRF2002 (1)" xfId="88" xr:uid="{00000000-0005-0000-0000-00005B000000}"/>
  </cellStyles>
  <dxfs count="0"/>
  <tableStyles count="0" defaultTableStyle="TableStyleMedium2" defaultPivotStyle="PivotStyleLight16"/>
  <colors>
    <mruColors>
      <color rgb="FF004B7F"/>
      <color rgb="FFFEE9BA"/>
      <color rgb="FFA6A6A6"/>
      <color rgb="FFFFFFCC"/>
      <color rgb="FF007B6C"/>
      <color rgb="FF1F497D"/>
      <color rgb="FF0000FF"/>
      <color rgb="FF3333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6" Type="http://schemas.openxmlformats.org/officeDocument/2006/relationships/hyperlink" Target="#'Q 5'!A1320"/><Relationship Id="rId21" Type="http://schemas.openxmlformats.org/officeDocument/2006/relationships/hyperlink" Target="#'Q 5'!A1096"/><Relationship Id="rId42" Type="http://schemas.openxmlformats.org/officeDocument/2006/relationships/hyperlink" Target="#H6.8"/><Relationship Id="rId47" Type="http://schemas.openxmlformats.org/officeDocument/2006/relationships/hyperlink" Target="#'Q 7'!A4"/><Relationship Id="rId63" Type="http://schemas.openxmlformats.org/officeDocument/2006/relationships/hyperlink" Target="#H8.14"/><Relationship Id="rId68" Type="http://schemas.openxmlformats.org/officeDocument/2006/relationships/hyperlink" Target="#'Q 9'!A5"/><Relationship Id="rId84" Type="http://schemas.openxmlformats.org/officeDocument/2006/relationships/hyperlink" Target="#'Q 12'!A4"/><Relationship Id="rId16" Type="http://schemas.openxmlformats.org/officeDocument/2006/relationships/hyperlink" Target="#'Q 5'!A51"/><Relationship Id="rId11" Type="http://schemas.openxmlformats.org/officeDocument/2006/relationships/hyperlink" Target="#'Q 4'!A17"/><Relationship Id="rId32" Type="http://schemas.openxmlformats.org/officeDocument/2006/relationships/hyperlink" Target="#'Q 5'!A1428"/><Relationship Id="rId37" Type="http://schemas.openxmlformats.org/officeDocument/2006/relationships/hyperlink" Target="#H6.3"/><Relationship Id="rId53" Type="http://schemas.openxmlformats.org/officeDocument/2006/relationships/hyperlink" Target="#H8.4"/><Relationship Id="rId58" Type="http://schemas.openxmlformats.org/officeDocument/2006/relationships/hyperlink" Target="#'Q 8'!A79"/><Relationship Id="rId74" Type="http://schemas.openxmlformats.org/officeDocument/2006/relationships/hyperlink" Target="#'Q 10'!A92"/><Relationship Id="rId79" Type="http://schemas.openxmlformats.org/officeDocument/2006/relationships/hyperlink" Target="#'Q 10'!A196"/><Relationship Id="rId5" Type="http://schemas.openxmlformats.org/officeDocument/2006/relationships/hyperlink" Target="#'Q 2'!A79"/><Relationship Id="rId19" Type="http://schemas.openxmlformats.org/officeDocument/2006/relationships/hyperlink" Target="#'Q 5'!A1006"/><Relationship Id="rId14" Type="http://schemas.openxmlformats.org/officeDocument/2006/relationships/hyperlink" Target="#'Q 5'!A24"/><Relationship Id="rId22" Type="http://schemas.openxmlformats.org/officeDocument/2006/relationships/hyperlink" Target="#'Q 5'!A1124"/><Relationship Id="rId27" Type="http://schemas.openxmlformats.org/officeDocument/2006/relationships/hyperlink" Target="#'Q 5'!A1384"/><Relationship Id="rId30" Type="http://schemas.openxmlformats.org/officeDocument/2006/relationships/hyperlink" Target="#'Q 5'!A1406"/><Relationship Id="rId35" Type="http://schemas.openxmlformats.org/officeDocument/2006/relationships/hyperlink" Target="#H6.1"/><Relationship Id="rId43" Type="http://schemas.openxmlformats.org/officeDocument/2006/relationships/hyperlink" Target="#H6.9"/><Relationship Id="rId48" Type="http://schemas.openxmlformats.org/officeDocument/2006/relationships/hyperlink" Target="#'Q 7'!A6"/><Relationship Id="rId56" Type="http://schemas.openxmlformats.org/officeDocument/2006/relationships/hyperlink" Target="#'Q 8'!A65"/><Relationship Id="rId64" Type="http://schemas.openxmlformats.org/officeDocument/2006/relationships/hyperlink" Target="#H8.15"/><Relationship Id="rId69" Type="http://schemas.openxmlformats.org/officeDocument/2006/relationships/hyperlink" Target="#'Q 9'!A30"/><Relationship Id="rId77" Type="http://schemas.openxmlformats.org/officeDocument/2006/relationships/hyperlink" Target="#'Q 10'!A146"/><Relationship Id="rId8" Type="http://schemas.openxmlformats.org/officeDocument/2006/relationships/hyperlink" Target="#'Q 3'!A45"/><Relationship Id="rId51" Type="http://schemas.openxmlformats.org/officeDocument/2006/relationships/hyperlink" Target="#H8.2"/><Relationship Id="rId72" Type="http://schemas.openxmlformats.org/officeDocument/2006/relationships/hyperlink" Target="#'Q 10'!A17"/><Relationship Id="rId80" Type="http://schemas.openxmlformats.org/officeDocument/2006/relationships/hyperlink" Target="#'Q 11'!A5"/><Relationship Id="rId85" Type="http://schemas.openxmlformats.org/officeDocument/2006/relationships/hyperlink" Target="#'Q 12'!A14"/><Relationship Id="rId3" Type="http://schemas.openxmlformats.org/officeDocument/2006/relationships/hyperlink" Target="#'Q 2'!A4"/><Relationship Id="rId12" Type="http://schemas.openxmlformats.org/officeDocument/2006/relationships/hyperlink" Target="#'Q 5'!A5"/><Relationship Id="rId17" Type="http://schemas.openxmlformats.org/officeDocument/2006/relationships/hyperlink" Target="#'Q 5'!A67"/><Relationship Id="rId25" Type="http://schemas.openxmlformats.org/officeDocument/2006/relationships/hyperlink" Target="#'Q 5'!A1264"/><Relationship Id="rId33" Type="http://schemas.openxmlformats.org/officeDocument/2006/relationships/hyperlink" Target="#'Q 5'!A1438"/><Relationship Id="rId38" Type="http://schemas.openxmlformats.org/officeDocument/2006/relationships/hyperlink" Target="#H6.4"/><Relationship Id="rId46" Type="http://schemas.openxmlformats.org/officeDocument/2006/relationships/hyperlink" Target="#H6.12"/><Relationship Id="rId59" Type="http://schemas.openxmlformats.org/officeDocument/2006/relationships/hyperlink" Target="#'Q 8'!A137"/><Relationship Id="rId67" Type="http://schemas.openxmlformats.org/officeDocument/2006/relationships/hyperlink" Target="#H8.18"/><Relationship Id="rId20" Type="http://schemas.openxmlformats.org/officeDocument/2006/relationships/hyperlink" Target="#'Q 5'!A1036"/><Relationship Id="rId41" Type="http://schemas.openxmlformats.org/officeDocument/2006/relationships/hyperlink" Target="#H6.7"/><Relationship Id="rId54" Type="http://schemas.openxmlformats.org/officeDocument/2006/relationships/hyperlink" Target="#H8.133"/><Relationship Id="rId62" Type="http://schemas.openxmlformats.org/officeDocument/2006/relationships/hyperlink" Target="#H8.13"/><Relationship Id="rId70" Type="http://schemas.openxmlformats.org/officeDocument/2006/relationships/hyperlink" Target="#'Q 9'!A56"/><Relationship Id="rId75" Type="http://schemas.openxmlformats.org/officeDocument/2006/relationships/hyperlink" Target="#'Q 10'!A110"/><Relationship Id="rId83" Type="http://schemas.openxmlformats.org/officeDocument/2006/relationships/hyperlink" Target="#'Q 11'!A15"/><Relationship Id="rId88" Type="http://schemas.openxmlformats.org/officeDocument/2006/relationships/hyperlink" Target="#'Q 13'!A95"/><Relationship Id="rId1" Type="http://schemas.openxmlformats.org/officeDocument/2006/relationships/hyperlink" Target="#'Q 1'!A3"/><Relationship Id="rId6" Type="http://schemas.openxmlformats.org/officeDocument/2006/relationships/hyperlink" Target="#'Q 2'!A98"/><Relationship Id="rId15" Type="http://schemas.openxmlformats.org/officeDocument/2006/relationships/hyperlink" Target="#'Q 5'!A44"/><Relationship Id="rId23" Type="http://schemas.openxmlformats.org/officeDocument/2006/relationships/hyperlink" Target="#'Q 5'!A1142"/><Relationship Id="rId28" Type="http://schemas.openxmlformats.org/officeDocument/2006/relationships/hyperlink" Target="#'Q 5'!A1388"/><Relationship Id="rId36" Type="http://schemas.openxmlformats.org/officeDocument/2006/relationships/hyperlink" Target="#H6.2"/><Relationship Id="rId49" Type="http://schemas.openxmlformats.org/officeDocument/2006/relationships/hyperlink" Target="#'Q 7'!A19"/><Relationship Id="rId57" Type="http://schemas.openxmlformats.org/officeDocument/2006/relationships/hyperlink" Target="#'Q 8'!A72"/><Relationship Id="rId10" Type="http://schemas.openxmlformats.org/officeDocument/2006/relationships/hyperlink" Target="#'Q 4'!A7"/><Relationship Id="rId31" Type="http://schemas.openxmlformats.org/officeDocument/2006/relationships/hyperlink" Target="#'Q 5'!A1421"/><Relationship Id="rId44" Type="http://schemas.openxmlformats.org/officeDocument/2006/relationships/hyperlink" Target="#H6.10"/><Relationship Id="rId52" Type="http://schemas.openxmlformats.org/officeDocument/2006/relationships/hyperlink" Target="#H8.3"/><Relationship Id="rId60" Type="http://schemas.openxmlformats.org/officeDocument/2006/relationships/hyperlink" Target="#'Q 8'!A142"/><Relationship Id="rId65" Type="http://schemas.openxmlformats.org/officeDocument/2006/relationships/hyperlink" Target="#H8.16"/><Relationship Id="rId73" Type="http://schemas.openxmlformats.org/officeDocument/2006/relationships/hyperlink" Target="#'Q 10'!A41"/><Relationship Id="rId78" Type="http://schemas.openxmlformats.org/officeDocument/2006/relationships/hyperlink" Target="#'Q 10'!A179"/><Relationship Id="rId81" Type="http://schemas.openxmlformats.org/officeDocument/2006/relationships/hyperlink" Target="#'Q 11'!A8"/><Relationship Id="rId86" Type="http://schemas.openxmlformats.org/officeDocument/2006/relationships/hyperlink" Target="#'Q 12'!A22"/><Relationship Id="rId4" Type="http://schemas.openxmlformats.org/officeDocument/2006/relationships/hyperlink" Target="#'Q 2'!A51"/><Relationship Id="rId9" Type="http://schemas.openxmlformats.org/officeDocument/2006/relationships/hyperlink" Target="#'Q 3'!A62"/><Relationship Id="rId13" Type="http://schemas.openxmlformats.org/officeDocument/2006/relationships/hyperlink" Target="#'Q 5'!A13"/><Relationship Id="rId18" Type="http://schemas.openxmlformats.org/officeDocument/2006/relationships/hyperlink" Target="#'Q 5'!A202"/><Relationship Id="rId39" Type="http://schemas.openxmlformats.org/officeDocument/2006/relationships/hyperlink" Target="#H6.5"/><Relationship Id="rId34" Type="http://schemas.openxmlformats.org/officeDocument/2006/relationships/hyperlink" Target="#'Q 5'!A1442"/><Relationship Id="rId50" Type="http://schemas.openxmlformats.org/officeDocument/2006/relationships/hyperlink" Target="#H8.1"/><Relationship Id="rId55" Type="http://schemas.openxmlformats.org/officeDocument/2006/relationships/hyperlink" Target="#'Q 8'!A52"/><Relationship Id="rId76" Type="http://schemas.openxmlformats.org/officeDocument/2006/relationships/hyperlink" Target="#'Q 10'!A122"/><Relationship Id="rId7" Type="http://schemas.openxmlformats.org/officeDocument/2006/relationships/hyperlink" Target="#'Q 3'!A5"/><Relationship Id="rId71" Type="http://schemas.openxmlformats.org/officeDocument/2006/relationships/hyperlink" Target="#'Q 10'!A5"/><Relationship Id="rId2" Type="http://schemas.openxmlformats.org/officeDocument/2006/relationships/image" Target="../media/image1.png"/><Relationship Id="rId29" Type="http://schemas.openxmlformats.org/officeDocument/2006/relationships/hyperlink" Target="#'Q 5'!A1400"/><Relationship Id="rId24" Type="http://schemas.openxmlformats.org/officeDocument/2006/relationships/hyperlink" Target="#'Q 5'!A1207"/><Relationship Id="rId40" Type="http://schemas.openxmlformats.org/officeDocument/2006/relationships/hyperlink" Target="#H6.6"/><Relationship Id="rId45" Type="http://schemas.openxmlformats.org/officeDocument/2006/relationships/hyperlink" Target="#H6.11"/><Relationship Id="rId66" Type="http://schemas.openxmlformats.org/officeDocument/2006/relationships/hyperlink" Target="#H8.17"/><Relationship Id="rId87" Type="http://schemas.openxmlformats.org/officeDocument/2006/relationships/hyperlink" Target="#'Q 13'!A4"/><Relationship Id="rId61" Type="http://schemas.openxmlformats.org/officeDocument/2006/relationships/hyperlink" Target="#'Q 8'!A147"/><Relationship Id="rId82" Type="http://schemas.openxmlformats.org/officeDocument/2006/relationships/hyperlink" Target="#'Q 11'!A11"/></Relationships>
</file>

<file path=xl/drawings/_rels/drawing10.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770"/><Relationship Id="rId5" Type="http://schemas.openxmlformats.org/officeDocument/2006/relationships/hyperlink" Target="#'Explanatory note'!A792"/><Relationship Id="rId4" Type="http://schemas.openxmlformats.org/officeDocument/2006/relationships/hyperlink" Target="#'Explanatory note'!A781"/></Relationships>
</file>

<file path=xl/drawings/_rels/drawing11.xml.rels><?xml version="1.0" encoding="UTF-8" standalone="yes"?>
<Relationships xmlns="http://schemas.openxmlformats.org/package/2006/relationships"><Relationship Id="rId8" Type="http://schemas.openxmlformats.org/officeDocument/2006/relationships/hyperlink" Target="#'Explanatory note'!A852"/><Relationship Id="rId3" Type="http://schemas.openxmlformats.org/officeDocument/2006/relationships/image" Target="../media/image3.svg"/><Relationship Id="rId7" Type="http://schemas.openxmlformats.org/officeDocument/2006/relationships/hyperlink" Target="#'Explanatory note'!A842"/><Relationship Id="rId2" Type="http://schemas.openxmlformats.org/officeDocument/2006/relationships/image" Target="../media/image2.png"/><Relationship Id="rId1" Type="http://schemas.openxmlformats.org/officeDocument/2006/relationships/hyperlink" Target="#'Explanatory note'!A804"/><Relationship Id="rId6" Type="http://schemas.openxmlformats.org/officeDocument/2006/relationships/hyperlink" Target="#'Explanatory note'!A833"/><Relationship Id="rId11" Type="http://schemas.openxmlformats.org/officeDocument/2006/relationships/hyperlink" Target="#'Explanatory note'!A870"/><Relationship Id="rId5" Type="http://schemas.openxmlformats.org/officeDocument/2006/relationships/hyperlink" Target="#'Explanatory note'!A824"/><Relationship Id="rId10" Type="http://schemas.openxmlformats.org/officeDocument/2006/relationships/hyperlink" Target="#'Explanatory note'!A861"/><Relationship Id="rId4" Type="http://schemas.openxmlformats.org/officeDocument/2006/relationships/hyperlink" Target="#'Explanatory note'!A814"/><Relationship Id="rId9" Type="http://schemas.openxmlformats.org/officeDocument/2006/relationships/hyperlink" Target="#'Explanatory note'!A877"/></Relationships>
</file>

<file path=xl/drawings/_rels/drawing12.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886"/><Relationship Id="rId6" Type="http://schemas.openxmlformats.org/officeDocument/2006/relationships/hyperlink" Target="#'Explanatory note'!A909"/><Relationship Id="rId5" Type="http://schemas.openxmlformats.org/officeDocument/2006/relationships/hyperlink" Target="#'Explanatory note'!A901"/><Relationship Id="rId4" Type="http://schemas.openxmlformats.org/officeDocument/2006/relationships/hyperlink" Target="#'Explanatory note'!A894"/></Relationships>
</file>

<file path=xl/drawings/_rels/drawing13.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931"/><Relationship Id="rId5" Type="http://schemas.openxmlformats.org/officeDocument/2006/relationships/hyperlink" Target="#'Explanatory note'!A918"/><Relationship Id="rId4" Type="http://schemas.openxmlformats.org/officeDocument/2006/relationships/hyperlink" Target="#'Explanatory note'!A939"/></Relationships>
</file>

<file path=xl/drawings/_rels/drawing14.xml.rels><?xml version="1.0" encoding="UTF-8" standalone="yes"?>
<Relationships xmlns="http://schemas.openxmlformats.org/package/2006/relationships"><Relationship Id="rId3" Type="http://schemas.openxmlformats.org/officeDocument/2006/relationships/hyperlink" Target="#'Explanatory note'!A957"/><Relationship Id="rId2" Type="http://schemas.openxmlformats.org/officeDocument/2006/relationships/image" Target="../media/image5.svg"/><Relationship Id="rId1" Type="http://schemas.openxmlformats.org/officeDocument/2006/relationships/image" Target="../media/image4.png"/><Relationship Id="rId6" Type="http://schemas.openxmlformats.org/officeDocument/2006/relationships/hyperlink" Target="#'Explanatory note'!A948"/><Relationship Id="rId5" Type="http://schemas.openxmlformats.org/officeDocument/2006/relationships/image" Target="../media/image3.svg"/><Relationship Id="rId4" Type="http://schemas.openxmlformats.org/officeDocument/2006/relationships/image" Target="../media/image2.png"/></Relationships>
</file>

<file path=xl/drawings/_rels/drawing2.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3"/></Relationships>
</file>

<file path=xl/drawings/_rels/drawing3.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11"/><Relationship Id="rId6" Type="http://schemas.openxmlformats.org/officeDocument/2006/relationships/hyperlink" Target="#'Explanatory note'!A59"/><Relationship Id="rId5" Type="http://schemas.openxmlformats.org/officeDocument/2006/relationships/hyperlink" Target="#'Explanatory note'!A41"/><Relationship Id="rId4" Type="http://schemas.openxmlformats.org/officeDocument/2006/relationships/hyperlink" Target="#'Explanatory note'!A19"/></Relationships>
</file>

<file path=xl/drawings/_rels/drawing4.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71"/><Relationship Id="rId5" Type="http://schemas.openxmlformats.org/officeDocument/2006/relationships/hyperlink" Target="#'Explanatory note'!A102"/><Relationship Id="rId4" Type="http://schemas.openxmlformats.org/officeDocument/2006/relationships/hyperlink" Target="#'Explanatory note'!A79"/></Relationships>
</file>

<file path=xl/drawings/_rels/drawing5.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112"/><Relationship Id="rId4" Type="http://schemas.openxmlformats.org/officeDocument/2006/relationships/hyperlink" Target="#'Explanatory note'!A129"/></Relationships>
</file>

<file path=xl/drawings/_rels/drawing6.xml.rels><?xml version="1.0" encoding="UTF-8" standalone="yes"?>
<Relationships xmlns="http://schemas.openxmlformats.org/package/2006/relationships"><Relationship Id="rId8" Type="http://schemas.openxmlformats.org/officeDocument/2006/relationships/hyperlink" Target="#'Explanatory note'!A189"/><Relationship Id="rId13" Type="http://schemas.openxmlformats.org/officeDocument/2006/relationships/hyperlink" Target="#'Explanatory note'!A419"/><Relationship Id="rId18" Type="http://schemas.openxmlformats.org/officeDocument/2006/relationships/hyperlink" Target="#'Explanatory note'!A361"/><Relationship Id="rId3" Type="http://schemas.openxmlformats.org/officeDocument/2006/relationships/image" Target="../media/image3.svg"/><Relationship Id="rId21" Type="http://schemas.openxmlformats.org/officeDocument/2006/relationships/hyperlink" Target="#'Explanatory note'!A299"/><Relationship Id="rId7" Type="http://schemas.openxmlformats.org/officeDocument/2006/relationships/hyperlink" Target="#'Explanatory note'!A178"/><Relationship Id="rId12" Type="http://schemas.openxmlformats.org/officeDocument/2006/relationships/hyperlink" Target="#'Explanatory note'!A265"/><Relationship Id="rId17" Type="http://schemas.openxmlformats.org/officeDocument/2006/relationships/hyperlink" Target="#'Explanatory note'!A348"/><Relationship Id="rId25" Type="http://schemas.openxmlformats.org/officeDocument/2006/relationships/hyperlink" Target="#'Explanatory note'!A248"/><Relationship Id="rId2" Type="http://schemas.openxmlformats.org/officeDocument/2006/relationships/image" Target="../media/image2.png"/><Relationship Id="rId16" Type="http://schemas.openxmlformats.org/officeDocument/2006/relationships/hyperlink" Target="#'Explanatory note'!A391"/><Relationship Id="rId20" Type="http://schemas.openxmlformats.org/officeDocument/2006/relationships/hyperlink" Target="#'Explanatory note'!A333"/><Relationship Id="rId1" Type="http://schemas.openxmlformats.org/officeDocument/2006/relationships/hyperlink" Target="#'Explanatory note'!A380"/><Relationship Id="rId6" Type="http://schemas.openxmlformats.org/officeDocument/2006/relationships/hyperlink" Target="#'Explanatory note'!A159"/><Relationship Id="rId11" Type="http://schemas.openxmlformats.org/officeDocument/2006/relationships/hyperlink" Target="#'Explanatory note'!A256"/><Relationship Id="rId24" Type="http://schemas.openxmlformats.org/officeDocument/2006/relationships/hyperlink" Target="#'Explanatory note'!A287"/><Relationship Id="rId5" Type="http://schemas.openxmlformats.org/officeDocument/2006/relationships/hyperlink" Target="#'Explanatory note'!A150"/><Relationship Id="rId15" Type="http://schemas.openxmlformats.org/officeDocument/2006/relationships/hyperlink" Target="#'Explanatory note'!A401"/><Relationship Id="rId23" Type="http://schemas.openxmlformats.org/officeDocument/2006/relationships/hyperlink" Target="#'Explanatory note'!A277"/><Relationship Id="rId10" Type="http://schemas.openxmlformats.org/officeDocument/2006/relationships/hyperlink" Target="#'Explanatory note'!A227"/><Relationship Id="rId19" Type="http://schemas.openxmlformats.org/officeDocument/2006/relationships/hyperlink" Target="#'Explanatory note'!A324"/><Relationship Id="rId4" Type="http://schemas.openxmlformats.org/officeDocument/2006/relationships/hyperlink" Target="#'Explanatory note'!A371"/><Relationship Id="rId9" Type="http://schemas.openxmlformats.org/officeDocument/2006/relationships/hyperlink" Target="#'Explanatory note'!A201"/><Relationship Id="rId14" Type="http://schemas.openxmlformats.org/officeDocument/2006/relationships/hyperlink" Target="#'Explanatory note'!A410"/><Relationship Id="rId22" Type="http://schemas.openxmlformats.org/officeDocument/2006/relationships/hyperlink" Target="#'Explanatory note'!A308"/></Relationships>
</file>

<file path=xl/drawings/_rels/drawing7.xml.rels><?xml version="1.0" encoding="UTF-8" standalone="yes"?>
<Relationships xmlns="http://schemas.openxmlformats.org/package/2006/relationships"><Relationship Id="rId8" Type="http://schemas.openxmlformats.org/officeDocument/2006/relationships/hyperlink" Target="#'Explanatory note'!A480"/><Relationship Id="rId13" Type="http://schemas.openxmlformats.org/officeDocument/2006/relationships/hyperlink" Target="#'Explanatory note'!A546"/><Relationship Id="rId3" Type="http://schemas.openxmlformats.org/officeDocument/2006/relationships/image" Target="../media/image3.svg"/><Relationship Id="rId7" Type="http://schemas.openxmlformats.org/officeDocument/2006/relationships/hyperlink" Target="#'Explanatory note'!A470"/><Relationship Id="rId12" Type="http://schemas.openxmlformats.org/officeDocument/2006/relationships/hyperlink" Target="#'Explanatory note'!A535"/><Relationship Id="rId2" Type="http://schemas.openxmlformats.org/officeDocument/2006/relationships/image" Target="../media/image2.png"/><Relationship Id="rId1" Type="http://schemas.openxmlformats.org/officeDocument/2006/relationships/hyperlink" Target="#'Explanatory note'!A431"/><Relationship Id="rId6" Type="http://schemas.openxmlformats.org/officeDocument/2006/relationships/hyperlink" Target="#'Explanatory note'!A554"/><Relationship Id="rId11" Type="http://schemas.openxmlformats.org/officeDocument/2006/relationships/hyperlink" Target="#'Explanatory note'!A527"/><Relationship Id="rId5" Type="http://schemas.openxmlformats.org/officeDocument/2006/relationships/hyperlink" Target="#'Explanatory note'!A455"/><Relationship Id="rId10" Type="http://schemas.openxmlformats.org/officeDocument/2006/relationships/hyperlink" Target="#'Explanatory note'!A504"/><Relationship Id="rId4" Type="http://schemas.openxmlformats.org/officeDocument/2006/relationships/hyperlink" Target="#'Explanatory note'!A443"/><Relationship Id="rId9" Type="http://schemas.openxmlformats.org/officeDocument/2006/relationships/hyperlink" Target="#'Explanatory note'!A489"/><Relationship Id="rId14" Type="http://schemas.openxmlformats.org/officeDocument/2006/relationships/hyperlink" Target="#'Explanatory note'!A519"/></Relationships>
</file>

<file path=xl/drawings/_rels/drawing8.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571"/><Relationship Id="rId5" Type="http://schemas.openxmlformats.org/officeDocument/2006/relationships/hyperlink" Target="#'Explanatory note'!A587"/><Relationship Id="rId4" Type="http://schemas.openxmlformats.org/officeDocument/2006/relationships/hyperlink" Target="#'Explanatory note'!A579"/></Relationships>
</file>

<file path=xl/drawings/_rels/drawing9.xml.rels><?xml version="1.0" encoding="UTF-8" standalone="yes"?>
<Relationships xmlns="http://schemas.openxmlformats.org/package/2006/relationships"><Relationship Id="rId8" Type="http://schemas.openxmlformats.org/officeDocument/2006/relationships/hyperlink" Target="#'Explanatory note'!A644"/><Relationship Id="rId13" Type="http://schemas.openxmlformats.org/officeDocument/2006/relationships/hyperlink" Target="#'Explanatory note'!A689"/><Relationship Id="rId18" Type="http://schemas.openxmlformats.org/officeDocument/2006/relationships/hyperlink" Target="#'Explanatory note'!A735"/><Relationship Id="rId3" Type="http://schemas.openxmlformats.org/officeDocument/2006/relationships/image" Target="../media/image3.svg"/><Relationship Id="rId7" Type="http://schemas.openxmlformats.org/officeDocument/2006/relationships/hyperlink" Target="#'Explanatory note'!A633"/><Relationship Id="rId12" Type="http://schemas.openxmlformats.org/officeDocument/2006/relationships/hyperlink" Target="#'Explanatory note'!A682"/><Relationship Id="rId17" Type="http://schemas.openxmlformats.org/officeDocument/2006/relationships/hyperlink" Target="#'Explanatory note'!A750"/><Relationship Id="rId2" Type="http://schemas.openxmlformats.org/officeDocument/2006/relationships/image" Target="../media/image2.png"/><Relationship Id="rId16" Type="http://schemas.openxmlformats.org/officeDocument/2006/relationships/hyperlink" Target="#'Explanatory note'!A758"/><Relationship Id="rId20" Type="http://schemas.openxmlformats.org/officeDocument/2006/relationships/hyperlink" Target="#'Explanatory note'!A704"/><Relationship Id="rId1" Type="http://schemas.openxmlformats.org/officeDocument/2006/relationships/hyperlink" Target="#'Explanatory note'!A599"/><Relationship Id="rId6" Type="http://schemas.openxmlformats.org/officeDocument/2006/relationships/hyperlink" Target="#'Explanatory note'!A625"/><Relationship Id="rId11" Type="http://schemas.openxmlformats.org/officeDocument/2006/relationships/hyperlink" Target="#'Explanatory note'!A671"/><Relationship Id="rId5" Type="http://schemas.openxmlformats.org/officeDocument/2006/relationships/hyperlink" Target="#'Explanatory note'!A618"/><Relationship Id="rId15" Type="http://schemas.openxmlformats.org/officeDocument/2006/relationships/hyperlink" Target="#'Explanatory note'!A715"/><Relationship Id="rId10" Type="http://schemas.openxmlformats.org/officeDocument/2006/relationships/hyperlink" Target="#'Explanatory note'!A663"/><Relationship Id="rId19" Type="http://schemas.openxmlformats.org/officeDocument/2006/relationships/hyperlink" Target="#'Explanatory note'!A722"/><Relationship Id="rId4" Type="http://schemas.openxmlformats.org/officeDocument/2006/relationships/hyperlink" Target="#'Explanatory note'!A609"/><Relationship Id="rId9" Type="http://schemas.openxmlformats.org/officeDocument/2006/relationships/hyperlink" Target="#'Explanatory note'!A651"/><Relationship Id="rId14" Type="http://schemas.openxmlformats.org/officeDocument/2006/relationships/hyperlink" Target="#'Explanatory note'!A696"/></Relationships>
</file>

<file path=xl/drawings/drawing1.xml><?xml version="1.0" encoding="utf-8"?>
<xdr:wsDr xmlns:xdr="http://schemas.openxmlformats.org/drawingml/2006/spreadsheetDrawing" xmlns:a="http://schemas.openxmlformats.org/drawingml/2006/main">
  <xdr:twoCellAnchor editAs="oneCell">
    <xdr:from>
      <xdr:col>0</xdr:col>
      <xdr:colOff>28575</xdr:colOff>
      <xdr:row>3</xdr:row>
      <xdr:rowOff>72390</xdr:rowOff>
    </xdr:from>
    <xdr:to>
      <xdr:col>0</xdr:col>
      <xdr:colOff>372997</xdr:colOff>
      <xdr:row>5</xdr:row>
      <xdr:rowOff>37164</xdr:rowOff>
    </xdr:to>
    <xdr:pic>
      <xdr:nvPicPr>
        <xdr:cNvPr id="2" name="Picture 1">
          <a:hlinkClick xmlns:r="http://schemas.openxmlformats.org/officeDocument/2006/relationships" r:id="rId1"/>
          <a:extLst>
            <a:ext uri="{FF2B5EF4-FFF2-40B4-BE49-F238E27FC236}">
              <a16:creationId xmlns:a16="http://schemas.microsoft.com/office/drawing/2014/main" id="{0B4C6484-F8B1-44B1-97CC-02D2F90E9FB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28575" y="849630"/>
          <a:ext cx="344422" cy="345774"/>
        </a:xfrm>
        <a:prstGeom prst="rect">
          <a:avLst/>
        </a:prstGeom>
      </xdr:spPr>
    </xdr:pic>
    <xdr:clientData/>
  </xdr:twoCellAnchor>
  <xdr:twoCellAnchor editAs="oneCell">
    <xdr:from>
      <xdr:col>0</xdr:col>
      <xdr:colOff>28575</xdr:colOff>
      <xdr:row>10</xdr:row>
      <xdr:rowOff>215265</xdr:rowOff>
    </xdr:from>
    <xdr:to>
      <xdr:col>0</xdr:col>
      <xdr:colOff>372997</xdr:colOff>
      <xdr:row>12</xdr:row>
      <xdr:rowOff>46689</xdr:rowOff>
    </xdr:to>
    <xdr:pic>
      <xdr:nvPicPr>
        <xdr:cNvPr id="3" name="Picture 2">
          <a:hlinkClick xmlns:r="http://schemas.openxmlformats.org/officeDocument/2006/relationships" r:id="rId3"/>
          <a:extLst>
            <a:ext uri="{FF2B5EF4-FFF2-40B4-BE49-F238E27FC236}">
              <a16:creationId xmlns:a16="http://schemas.microsoft.com/office/drawing/2014/main" id="{68B18D24-2C4B-4339-8F38-DDEB1704663B}"/>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28575" y="2371725"/>
          <a:ext cx="344422" cy="349584"/>
        </a:xfrm>
        <a:prstGeom prst="rect">
          <a:avLst/>
        </a:prstGeom>
      </xdr:spPr>
    </xdr:pic>
    <xdr:clientData/>
  </xdr:twoCellAnchor>
  <xdr:twoCellAnchor editAs="oneCell">
    <xdr:from>
      <xdr:col>0</xdr:col>
      <xdr:colOff>19050</xdr:colOff>
      <xdr:row>19</xdr:row>
      <xdr:rowOff>15240</xdr:rowOff>
    </xdr:from>
    <xdr:to>
      <xdr:col>0</xdr:col>
      <xdr:colOff>360297</xdr:colOff>
      <xdr:row>20</xdr:row>
      <xdr:rowOff>167339</xdr:rowOff>
    </xdr:to>
    <xdr:pic>
      <xdr:nvPicPr>
        <xdr:cNvPr id="4" name="Picture 3">
          <a:hlinkClick xmlns:r="http://schemas.openxmlformats.org/officeDocument/2006/relationships" r:id="rId4"/>
          <a:extLst>
            <a:ext uri="{FF2B5EF4-FFF2-40B4-BE49-F238E27FC236}">
              <a16:creationId xmlns:a16="http://schemas.microsoft.com/office/drawing/2014/main" id="{65E6C902-D7BF-4450-9B04-D5EE44643C9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4411980"/>
          <a:ext cx="341247" cy="342599"/>
        </a:xfrm>
        <a:prstGeom prst="rect">
          <a:avLst/>
        </a:prstGeom>
      </xdr:spPr>
    </xdr:pic>
    <xdr:clientData/>
  </xdr:twoCellAnchor>
  <xdr:twoCellAnchor editAs="oneCell">
    <xdr:from>
      <xdr:col>0</xdr:col>
      <xdr:colOff>19050</xdr:colOff>
      <xdr:row>41</xdr:row>
      <xdr:rowOff>15240</xdr:rowOff>
    </xdr:from>
    <xdr:to>
      <xdr:col>0</xdr:col>
      <xdr:colOff>360297</xdr:colOff>
      <xdr:row>42</xdr:row>
      <xdr:rowOff>167339</xdr:rowOff>
    </xdr:to>
    <xdr:pic>
      <xdr:nvPicPr>
        <xdr:cNvPr id="5" name="Picture 4">
          <a:hlinkClick xmlns:r="http://schemas.openxmlformats.org/officeDocument/2006/relationships" r:id="rId5"/>
          <a:extLst>
            <a:ext uri="{FF2B5EF4-FFF2-40B4-BE49-F238E27FC236}">
              <a16:creationId xmlns:a16="http://schemas.microsoft.com/office/drawing/2014/main" id="{62301833-DA71-46C2-91C0-762067E73E6C}"/>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942320"/>
          <a:ext cx="341247" cy="342599"/>
        </a:xfrm>
        <a:prstGeom prst="rect">
          <a:avLst/>
        </a:prstGeom>
      </xdr:spPr>
    </xdr:pic>
    <xdr:clientData/>
  </xdr:twoCellAnchor>
  <xdr:twoCellAnchor editAs="oneCell">
    <xdr:from>
      <xdr:col>0</xdr:col>
      <xdr:colOff>19050</xdr:colOff>
      <xdr:row>59</xdr:row>
      <xdr:rowOff>7620</xdr:rowOff>
    </xdr:from>
    <xdr:to>
      <xdr:col>0</xdr:col>
      <xdr:colOff>360297</xdr:colOff>
      <xdr:row>60</xdr:row>
      <xdr:rowOff>159719</xdr:rowOff>
    </xdr:to>
    <xdr:pic>
      <xdr:nvPicPr>
        <xdr:cNvPr id="6" name="Picture 5">
          <a:hlinkClick xmlns:r="http://schemas.openxmlformats.org/officeDocument/2006/relationships" r:id="rId6"/>
          <a:extLst>
            <a:ext uri="{FF2B5EF4-FFF2-40B4-BE49-F238E27FC236}">
              <a16:creationId xmlns:a16="http://schemas.microsoft.com/office/drawing/2014/main" id="{5BB5A1E1-4C6A-4DED-BF7F-18F8AF85414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655540"/>
          <a:ext cx="341247" cy="342599"/>
        </a:xfrm>
        <a:prstGeom prst="rect">
          <a:avLst/>
        </a:prstGeom>
      </xdr:spPr>
    </xdr:pic>
    <xdr:clientData/>
  </xdr:twoCellAnchor>
  <xdr:oneCellAnchor>
    <xdr:from>
      <xdr:col>0</xdr:col>
      <xdr:colOff>19050</xdr:colOff>
      <xdr:row>71</xdr:row>
      <xdr:rowOff>15240</xdr:rowOff>
    </xdr:from>
    <xdr:ext cx="341247" cy="342599"/>
    <xdr:pic>
      <xdr:nvPicPr>
        <xdr:cNvPr id="7" name="Picture 6">
          <a:hlinkClick xmlns:r="http://schemas.openxmlformats.org/officeDocument/2006/relationships" r:id="rId7"/>
          <a:extLst>
            <a:ext uri="{FF2B5EF4-FFF2-40B4-BE49-F238E27FC236}">
              <a16:creationId xmlns:a16="http://schemas.microsoft.com/office/drawing/2014/main" id="{A451F4E6-847A-4135-817C-72E0643B751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032980"/>
          <a:ext cx="341247" cy="342599"/>
        </a:xfrm>
        <a:prstGeom prst="rect">
          <a:avLst/>
        </a:prstGeom>
      </xdr:spPr>
    </xdr:pic>
    <xdr:clientData/>
  </xdr:oneCellAnchor>
  <xdr:oneCellAnchor>
    <xdr:from>
      <xdr:col>0</xdr:col>
      <xdr:colOff>19050</xdr:colOff>
      <xdr:row>79</xdr:row>
      <xdr:rowOff>15240</xdr:rowOff>
    </xdr:from>
    <xdr:ext cx="341247" cy="342599"/>
    <xdr:pic>
      <xdr:nvPicPr>
        <xdr:cNvPr id="8" name="Picture 7">
          <a:hlinkClick xmlns:r="http://schemas.openxmlformats.org/officeDocument/2006/relationships" r:id="rId8"/>
          <a:extLst>
            <a:ext uri="{FF2B5EF4-FFF2-40B4-BE49-F238E27FC236}">
              <a16:creationId xmlns:a16="http://schemas.microsoft.com/office/drawing/2014/main" id="{BD6423AB-9DD6-4CA8-A6B5-15ED4A57EA2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349460"/>
          <a:ext cx="341247" cy="342599"/>
        </a:xfrm>
        <a:prstGeom prst="rect">
          <a:avLst/>
        </a:prstGeom>
      </xdr:spPr>
    </xdr:pic>
    <xdr:clientData/>
  </xdr:oneCellAnchor>
  <xdr:oneCellAnchor>
    <xdr:from>
      <xdr:col>0</xdr:col>
      <xdr:colOff>19050</xdr:colOff>
      <xdr:row>102</xdr:row>
      <xdr:rowOff>15240</xdr:rowOff>
    </xdr:from>
    <xdr:ext cx="341247" cy="342599"/>
    <xdr:pic>
      <xdr:nvPicPr>
        <xdr:cNvPr id="9" name="Picture 8">
          <a:hlinkClick xmlns:r="http://schemas.openxmlformats.org/officeDocument/2006/relationships" r:id="rId9"/>
          <a:extLst>
            <a:ext uri="{FF2B5EF4-FFF2-40B4-BE49-F238E27FC236}">
              <a16:creationId xmlns:a16="http://schemas.microsoft.com/office/drawing/2014/main" id="{DA79741B-69C5-4B57-83EE-FA747445577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7508200"/>
          <a:ext cx="341247" cy="342599"/>
        </a:xfrm>
        <a:prstGeom prst="rect">
          <a:avLst/>
        </a:prstGeom>
      </xdr:spPr>
    </xdr:pic>
    <xdr:clientData/>
  </xdr:oneCellAnchor>
  <xdr:oneCellAnchor>
    <xdr:from>
      <xdr:col>0</xdr:col>
      <xdr:colOff>19050</xdr:colOff>
      <xdr:row>112</xdr:row>
      <xdr:rowOff>15240</xdr:rowOff>
    </xdr:from>
    <xdr:ext cx="341247" cy="342599"/>
    <xdr:pic>
      <xdr:nvPicPr>
        <xdr:cNvPr id="10" name="Picture 9">
          <a:hlinkClick xmlns:r="http://schemas.openxmlformats.org/officeDocument/2006/relationships" r:id="rId10"/>
          <a:extLst>
            <a:ext uri="{FF2B5EF4-FFF2-40B4-BE49-F238E27FC236}">
              <a16:creationId xmlns:a16="http://schemas.microsoft.com/office/drawing/2014/main" id="{AC48E99B-C62B-4E35-BEFD-024344A95941}"/>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9862780"/>
          <a:ext cx="341247" cy="342599"/>
        </a:xfrm>
        <a:prstGeom prst="rect">
          <a:avLst/>
        </a:prstGeom>
      </xdr:spPr>
    </xdr:pic>
    <xdr:clientData/>
  </xdr:oneCellAnchor>
  <xdr:oneCellAnchor>
    <xdr:from>
      <xdr:col>0</xdr:col>
      <xdr:colOff>19050</xdr:colOff>
      <xdr:row>129</xdr:row>
      <xdr:rowOff>15240</xdr:rowOff>
    </xdr:from>
    <xdr:ext cx="341247" cy="342599"/>
    <xdr:pic>
      <xdr:nvPicPr>
        <xdr:cNvPr id="11" name="Picture 10">
          <a:hlinkClick xmlns:r="http://schemas.openxmlformats.org/officeDocument/2006/relationships" r:id="rId11"/>
          <a:extLst>
            <a:ext uri="{FF2B5EF4-FFF2-40B4-BE49-F238E27FC236}">
              <a16:creationId xmlns:a16="http://schemas.microsoft.com/office/drawing/2014/main" id="{3C0DDF80-44D4-47B6-828E-F68C7C14FA8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35295840"/>
          <a:ext cx="341247" cy="342599"/>
        </a:xfrm>
        <a:prstGeom prst="rect">
          <a:avLst/>
        </a:prstGeom>
      </xdr:spPr>
    </xdr:pic>
    <xdr:clientData/>
  </xdr:oneCellAnchor>
  <xdr:oneCellAnchor>
    <xdr:from>
      <xdr:col>0</xdr:col>
      <xdr:colOff>19050</xdr:colOff>
      <xdr:row>150</xdr:row>
      <xdr:rowOff>15240</xdr:rowOff>
    </xdr:from>
    <xdr:ext cx="341247" cy="342599"/>
    <xdr:pic>
      <xdr:nvPicPr>
        <xdr:cNvPr id="12" name="Picture 11">
          <a:hlinkClick xmlns:r="http://schemas.openxmlformats.org/officeDocument/2006/relationships" r:id="rId12"/>
          <a:extLst>
            <a:ext uri="{FF2B5EF4-FFF2-40B4-BE49-F238E27FC236}">
              <a16:creationId xmlns:a16="http://schemas.microsoft.com/office/drawing/2014/main" id="{5C471E33-468A-44A1-ABD3-F6EFFFD824F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41346120"/>
          <a:ext cx="341247" cy="342599"/>
        </a:xfrm>
        <a:prstGeom prst="rect">
          <a:avLst/>
        </a:prstGeom>
      </xdr:spPr>
    </xdr:pic>
    <xdr:clientData/>
  </xdr:oneCellAnchor>
  <xdr:oneCellAnchor>
    <xdr:from>
      <xdr:col>0</xdr:col>
      <xdr:colOff>19050</xdr:colOff>
      <xdr:row>159</xdr:row>
      <xdr:rowOff>15240</xdr:rowOff>
    </xdr:from>
    <xdr:ext cx="341247" cy="342599"/>
    <xdr:pic>
      <xdr:nvPicPr>
        <xdr:cNvPr id="13" name="Picture 12">
          <a:hlinkClick xmlns:r="http://schemas.openxmlformats.org/officeDocument/2006/relationships" r:id="rId13"/>
          <a:extLst>
            <a:ext uri="{FF2B5EF4-FFF2-40B4-BE49-F238E27FC236}">
              <a16:creationId xmlns:a16="http://schemas.microsoft.com/office/drawing/2014/main" id="{E9B0F331-AF8A-4AC3-B3DC-CE4702B4A00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43487340"/>
          <a:ext cx="341247" cy="342599"/>
        </a:xfrm>
        <a:prstGeom prst="rect">
          <a:avLst/>
        </a:prstGeom>
      </xdr:spPr>
    </xdr:pic>
    <xdr:clientData/>
  </xdr:oneCellAnchor>
  <xdr:oneCellAnchor>
    <xdr:from>
      <xdr:col>0</xdr:col>
      <xdr:colOff>19050</xdr:colOff>
      <xdr:row>178</xdr:row>
      <xdr:rowOff>53340</xdr:rowOff>
    </xdr:from>
    <xdr:ext cx="341247" cy="342599"/>
    <xdr:pic>
      <xdr:nvPicPr>
        <xdr:cNvPr id="14" name="Picture 13">
          <a:hlinkClick xmlns:r="http://schemas.openxmlformats.org/officeDocument/2006/relationships" r:id="rId14"/>
          <a:extLst>
            <a:ext uri="{FF2B5EF4-FFF2-40B4-BE49-F238E27FC236}">
              <a16:creationId xmlns:a16="http://schemas.microsoft.com/office/drawing/2014/main" id="{D09B0D69-3E8D-43EF-8374-DC4658C8DE7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48364140"/>
          <a:ext cx="341247" cy="342599"/>
        </a:xfrm>
        <a:prstGeom prst="rect">
          <a:avLst/>
        </a:prstGeom>
      </xdr:spPr>
    </xdr:pic>
    <xdr:clientData/>
  </xdr:oneCellAnchor>
  <xdr:oneCellAnchor>
    <xdr:from>
      <xdr:col>0</xdr:col>
      <xdr:colOff>19050</xdr:colOff>
      <xdr:row>189</xdr:row>
      <xdr:rowOff>15240</xdr:rowOff>
    </xdr:from>
    <xdr:ext cx="341247" cy="342599"/>
    <xdr:pic>
      <xdr:nvPicPr>
        <xdr:cNvPr id="15" name="Picture 14">
          <a:hlinkClick xmlns:r="http://schemas.openxmlformats.org/officeDocument/2006/relationships" r:id="rId15"/>
          <a:extLst>
            <a:ext uri="{FF2B5EF4-FFF2-40B4-BE49-F238E27FC236}">
              <a16:creationId xmlns:a16="http://schemas.microsoft.com/office/drawing/2014/main" id="{9AE4F014-12E5-4739-ADC7-404903D6991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51595020"/>
          <a:ext cx="341247" cy="342599"/>
        </a:xfrm>
        <a:prstGeom prst="rect">
          <a:avLst/>
        </a:prstGeom>
      </xdr:spPr>
    </xdr:pic>
    <xdr:clientData/>
  </xdr:oneCellAnchor>
  <xdr:oneCellAnchor>
    <xdr:from>
      <xdr:col>0</xdr:col>
      <xdr:colOff>19050</xdr:colOff>
      <xdr:row>201</xdr:row>
      <xdr:rowOff>15240</xdr:rowOff>
    </xdr:from>
    <xdr:ext cx="341247" cy="342599"/>
    <xdr:pic>
      <xdr:nvPicPr>
        <xdr:cNvPr id="16" name="Picture 15">
          <a:hlinkClick xmlns:r="http://schemas.openxmlformats.org/officeDocument/2006/relationships" r:id="rId16"/>
          <a:extLst>
            <a:ext uri="{FF2B5EF4-FFF2-40B4-BE49-F238E27FC236}">
              <a16:creationId xmlns:a16="http://schemas.microsoft.com/office/drawing/2014/main" id="{6BF1DEF9-8706-464D-B08E-661F77F4984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53934360"/>
          <a:ext cx="341247" cy="342599"/>
        </a:xfrm>
        <a:prstGeom prst="rect">
          <a:avLst/>
        </a:prstGeom>
      </xdr:spPr>
    </xdr:pic>
    <xdr:clientData/>
  </xdr:oneCellAnchor>
  <xdr:oneCellAnchor>
    <xdr:from>
      <xdr:col>0</xdr:col>
      <xdr:colOff>19050</xdr:colOff>
      <xdr:row>227</xdr:row>
      <xdr:rowOff>15240</xdr:rowOff>
    </xdr:from>
    <xdr:ext cx="341247" cy="342599"/>
    <xdr:pic>
      <xdr:nvPicPr>
        <xdr:cNvPr id="17" name="Picture 16">
          <a:hlinkClick xmlns:r="http://schemas.openxmlformats.org/officeDocument/2006/relationships" r:id="rId17"/>
          <a:extLst>
            <a:ext uri="{FF2B5EF4-FFF2-40B4-BE49-F238E27FC236}">
              <a16:creationId xmlns:a16="http://schemas.microsoft.com/office/drawing/2014/main" id="{DF5E0287-A200-4C78-AFBB-D82BC597D30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60312300"/>
          <a:ext cx="341247" cy="342599"/>
        </a:xfrm>
        <a:prstGeom prst="rect">
          <a:avLst/>
        </a:prstGeom>
      </xdr:spPr>
    </xdr:pic>
    <xdr:clientData/>
  </xdr:oneCellAnchor>
  <xdr:oneCellAnchor>
    <xdr:from>
      <xdr:col>0</xdr:col>
      <xdr:colOff>19050</xdr:colOff>
      <xdr:row>248</xdr:row>
      <xdr:rowOff>15240</xdr:rowOff>
    </xdr:from>
    <xdr:ext cx="341247" cy="342599"/>
    <xdr:pic>
      <xdr:nvPicPr>
        <xdr:cNvPr id="18" name="Picture 17">
          <a:hlinkClick xmlns:r="http://schemas.openxmlformats.org/officeDocument/2006/relationships" r:id="rId18"/>
          <a:extLst>
            <a:ext uri="{FF2B5EF4-FFF2-40B4-BE49-F238E27FC236}">
              <a16:creationId xmlns:a16="http://schemas.microsoft.com/office/drawing/2014/main" id="{7E227A23-050B-4AFA-814F-983FED077C3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67566540"/>
          <a:ext cx="341247" cy="342599"/>
        </a:xfrm>
        <a:prstGeom prst="rect">
          <a:avLst/>
        </a:prstGeom>
      </xdr:spPr>
    </xdr:pic>
    <xdr:clientData/>
  </xdr:oneCellAnchor>
  <xdr:oneCellAnchor>
    <xdr:from>
      <xdr:col>0</xdr:col>
      <xdr:colOff>19050</xdr:colOff>
      <xdr:row>256</xdr:row>
      <xdr:rowOff>15240</xdr:rowOff>
    </xdr:from>
    <xdr:ext cx="341247" cy="342599"/>
    <xdr:pic>
      <xdr:nvPicPr>
        <xdr:cNvPr id="19" name="Picture 18">
          <a:hlinkClick xmlns:r="http://schemas.openxmlformats.org/officeDocument/2006/relationships" r:id="rId19"/>
          <a:extLst>
            <a:ext uri="{FF2B5EF4-FFF2-40B4-BE49-F238E27FC236}">
              <a16:creationId xmlns:a16="http://schemas.microsoft.com/office/drawing/2014/main" id="{27465438-62C0-44E5-B452-B84B3657774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69021960"/>
          <a:ext cx="341247" cy="342599"/>
        </a:xfrm>
        <a:prstGeom prst="rect">
          <a:avLst/>
        </a:prstGeom>
      </xdr:spPr>
    </xdr:pic>
    <xdr:clientData/>
  </xdr:oneCellAnchor>
  <xdr:oneCellAnchor>
    <xdr:from>
      <xdr:col>0</xdr:col>
      <xdr:colOff>19050</xdr:colOff>
      <xdr:row>265</xdr:row>
      <xdr:rowOff>15240</xdr:rowOff>
    </xdr:from>
    <xdr:ext cx="341247" cy="342599"/>
    <xdr:pic>
      <xdr:nvPicPr>
        <xdr:cNvPr id="20" name="Picture 19">
          <a:hlinkClick xmlns:r="http://schemas.openxmlformats.org/officeDocument/2006/relationships" r:id="rId20"/>
          <a:extLst>
            <a:ext uri="{FF2B5EF4-FFF2-40B4-BE49-F238E27FC236}">
              <a16:creationId xmlns:a16="http://schemas.microsoft.com/office/drawing/2014/main" id="{56A54849-B8D4-4F20-A82A-CC132C29912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71186040"/>
          <a:ext cx="341247" cy="342599"/>
        </a:xfrm>
        <a:prstGeom prst="rect">
          <a:avLst/>
        </a:prstGeom>
      </xdr:spPr>
    </xdr:pic>
    <xdr:clientData/>
  </xdr:oneCellAnchor>
  <xdr:oneCellAnchor>
    <xdr:from>
      <xdr:col>0</xdr:col>
      <xdr:colOff>19050</xdr:colOff>
      <xdr:row>277</xdr:row>
      <xdr:rowOff>15240</xdr:rowOff>
    </xdr:from>
    <xdr:ext cx="341247" cy="342599"/>
    <xdr:pic>
      <xdr:nvPicPr>
        <xdr:cNvPr id="21" name="Picture 20">
          <a:hlinkClick xmlns:r="http://schemas.openxmlformats.org/officeDocument/2006/relationships" r:id="rId21"/>
          <a:extLst>
            <a:ext uri="{FF2B5EF4-FFF2-40B4-BE49-F238E27FC236}">
              <a16:creationId xmlns:a16="http://schemas.microsoft.com/office/drawing/2014/main" id="{3AAD7769-B74E-4888-9996-59FE540993D3}"/>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74828400"/>
          <a:ext cx="341247" cy="342599"/>
        </a:xfrm>
        <a:prstGeom prst="rect">
          <a:avLst/>
        </a:prstGeom>
      </xdr:spPr>
    </xdr:pic>
    <xdr:clientData/>
  </xdr:oneCellAnchor>
  <xdr:oneCellAnchor>
    <xdr:from>
      <xdr:col>0</xdr:col>
      <xdr:colOff>19050</xdr:colOff>
      <xdr:row>287</xdr:row>
      <xdr:rowOff>15240</xdr:rowOff>
    </xdr:from>
    <xdr:ext cx="341247" cy="342599"/>
    <xdr:pic>
      <xdr:nvPicPr>
        <xdr:cNvPr id="22" name="Picture 21">
          <a:hlinkClick xmlns:r="http://schemas.openxmlformats.org/officeDocument/2006/relationships" r:id="rId22"/>
          <a:extLst>
            <a:ext uri="{FF2B5EF4-FFF2-40B4-BE49-F238E27FC236}">
              <a16:creationId xmlns:a16="http://schemas.microsoft.com/office/drawing/2014/main" id="{32EBC2FF-1166-4EDC-B543-F6AB77741AB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77045820"/>
          <a:ext cx="341247" cy="342599"/>
        </a:xfrm>
        <a:prstGeom prst="rect">
          <a:avLst/>
        </a:prstGeom>
      </xdr:spPr>
    </xdr:pic>
    <xdr:clientData/>
  </xdr:oneCellAnchor>
  <xdr:oneCellAnchor>
    <xdr:from>
      <xdr:col>0</xdr:col>
      <xdr:colOff>19050</xdr:colOff>
      <xdr:row>299</xdr:row>
      <xdr:rowOff>15240</xdr:rowOff>
    </xdr:from>
    <xdr:ext cx="341247" cy="342599"/>
    <xdr:pic>
      <xdr:nvPicPr>
        <xdr:cNvPr id="23" name="Picture 22">
          <a:hlinkClick xmlns:r="http://schemas.openxmlformats.org/officeDocument/2006/relationships" r:id="rId23"/>
          <a:extLst>
            <a:ext uri="{FF2B5EF4-FFF2-40B4-BE49-F238E27FC236}">
              <a16:creationId xmlns:a16="http://schemas.microsoft.com/office/drawing/2014/main" id="{4CF23BE1-259C-481D-B575-BD5E6EF30B1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80337660"/>
          <a:ext cx="341247" cy="342599"/>
        </a:xfrm>
        <a:prstGeom prst="rect">
          <a:avLst/>
        </a:prstGeom>
      </xdr:spPr>
    </xdr:pic>
    <xdr:clientData/>
  </xdr:oneCellAnchor>
  <xdr:oneCellAnchor>
    <xdr:from>
      <xdr:col>0</xdr:col>
      <xdr:colOff>19050</xdr:colOff>
      <xdr:row>308</xdr:row>
      <xdr:rowOff>15240</xdr:rowOff>
    </xdr:from>
    <xdr:ext cx="341247" cy="342599"/>
    <xdr:pic>
      <xdr:nvPicPr>
        <xdr:cNvPr id="24" name="Picture 23">
          <a:hlinkClick xmlns:r="http://schemas.openxmlformats.org/officeDocument/2006/relationships" r:id="rId24"/>
          <a:extLst>
            <a:ext uri="{FF2B5EF4-FFF2-40B4-BE49-F238E27FC236}">
              <a16:creationId xmlns:a16="http://schemas.microsoft.com/office/drawing/2014/main" id="{EC92CB7B-CEAA-47F2-8BE0-D0845926A46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83096100"/>
          <a:ext cx="341247" cy="342599"/>
        </a:xfrm>
        <a:prstGeom prst="rect">
          <a:avLst/>
        </a:prstGeom>
      </xdr:spPr>
    </xdr:pic>
    <xdr:clientData/>
  </xdr:oneCellAnchor>
  <xdr:oneCellAnchor>
    <xdr:from>
      <xdr:col>0</xdr:col>
      <xdr:colOff>19050</xdr:colOff>
      <xdr:row>324</xdr:row>
      <xdr:rowOff>22860</xdr:rowOff>
    </xdr:from>
    <xdr:ext cx="341247" cy="342599"/>
    <xdr:pic>
      <xdr:nvPicPr>
        <xdr:cNvPr id="25" name="Picture 24">
          <a:hlinkClick xmlns:r="http://schemas.openxmlformats.org/officeDocument/2006/relationships" r:id="rId25"/>
          <a:extLst>
            <a:ext uri="{FF2B5EF4-FFF2-40B4-BE49-F238E27FC236}">
              <a16:creationId xmlns:a16="http://schemas.microsoft.com/office/drawing/2014/main" id="{92341F85-9826-466C-9891-7FDF5AC44EA6}"/>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87759540"/>
          <a:ext cx="341247" cy="342599"/>
        </a:xfrm>
        <a:prstGeom prst="rect">
          <a:avLst/>
        </a:prstGeom>
      </xdr:spPr>
    </xdr:pic>
    <xdr:clientData/>
  </xdr:oneCellAnchor>
  <xdr:oneCellAnchor>
    <xdr:from>
      <xdr:col>0</xdr:col>
      <xdr:colOff>19050</xdr:colOff>
      <xdr:row>333</xdr:row>
      <xdr:rowOff>15240</xdr:rowOff>
    </xdr:from>
    <xdr:ext cx="341247" cy="342599"/>
    <xdr:pic>
      <xdr:nvPicPr>
        <xdr:cNvPr id="26" name="Picture 25">
          <a:hlinkClick xmlns:r="http://schemas.openxmlformats.org/officeDocument/2006/relationships" r:id="rId26"/>
          <a:extLst>
            <a:ext uri="{FF2B5EF4-FFF2-40B4-BE49-F238E27FC236}">
              <a16:creationId xmlns:a16="http://schemas.microsoft.com/office/drawing/2014/main" id="{C118671D-D134-4B8F-B7A9-821017561EF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90068400"/>
          <a:ext cx="341247" cy="342599"/>
        </a:xfrm>
        <a:prstGeom prst="rect">
          <a:avLst/>
        </a:prstGeom>
      </xdr:spPr>
    </xdr:pic>
    <xdr:clientData/>
  </xdr:oneCellAnchor>
  <xdr:oneCellAnchor>
    <xdr:from>
      <xdr:col>0</xdr:col>
      <xdr:colOff>19050</xdr:colOff>
      <xdr:row>348</xdr:row>
      <xdr:rowOff>15240</xdr:rowOff>
    </xdr:from>
    <xdr:ext cx="341247" cy="342599"/>
    <xdr:pic>
      <xdr:nvPicPr>
        <xdr:cNvPr id="27" name="Picture 26">
          <a:hlinkClick xmlns:r="http://schemas.openxmlformats.org/officeDocument/2006/relationships" r:id="rId27"/>
          <a:extLst>
            <a:ext uri="{FF2B5EF4-FFF2-40B4-BE49-F238E27FC236}">
              <a16:creationId xmlns:a16="http://schemas.microsoft.com/office/drawing/2014/main" id="{302EF2AA-3BDC-4983-B513-8B89F572B71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94815660"/>
          <a:ext cx="341247" cy="342599"/>
        </a:xfrm>
        <a:prstGeom prst="rect">
          <a:avLst/>
        </a:prstGeom>
      </xdr:spPr>
    </xdr:pic>
    <xdr:clientData/>
  </xdr:oneCellAnchor>
  <xdr:oneCellAnchor>
    <xdr:from>
      <xdr:col>0</xdr:col>
      <xdr:colOff>19050</xdr:colOff>
      <xdr:row>361</xdr:row>
      <xdr:rowOff>15240</xdr:rowOff>
    </xdr:from>
    <xdr:ext cx="341247" cy="342599"/>
    <xdr:pic>
      <xdr:nvPicPr>
        <xdr:cNvPr id="28" name="Picture 27">
          <a:hlinkClick xmlns:r="http://schemas.openxmlformats.org/officeDocument/2006/relationships" r:id="rId28"/>
          <a:extLst>
            <a:ext uri="{FF2B5EF4-FFF2-40B4-BE49-F238E27FC236}">
              <a16:creationId xmlns:a16="http://schemas.microsoft.com/office/drawing/2014/main" id="{F7946CC2-F6F5-4EE2-82B7-58AC84136DD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98557080"/>
          <a:ext cx="341247" cy="342599"/>
        </a:xfrm>
        <a:prstGeom prst="rect">
          <a:avLst/>
        </a:prstGeom>
      </xdr:spPr>
    </xdr:pic>
    <xdr:clientData/>
  </xdr:oneCellAnchor>
  <xdr:oneCellAnchor>
    <xdr:from>
      <xdr:col>0</xdr:col>
      <xdr:colOff>19050</xdr:colOff>
      <xdr:row>371</xdr:row>
      <xdr:rowOff>15240</xdr:rowOff>
    </xdr:from>
    <xdr:ext cx="341247" cy="342599"/>
    <xdr:pic>
      <xdr:nvPicPr>
        <xdr:cNvPr id="29" name="Picture 28">
          <a:hlinkClick xmlns:r="http://schemas.openxmlformats.org/officeDocument/2006/relationships" r:id="rId29"/>
          <a:extLst>
            <a:ext uri="{FF2B5EF4-FFF2-40B4-BE49-F238E27FC236}">
              <a16:creationId xmlns:a16="http://schemas.microsoft.com/office/drawing/2014/main" id="{D3882EBA-2F39-4B37-9267-93554CCBE8C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1033580"/>
          <a:ext cx="341247" cy="342599"/>
        </a:xfrm>
        <a:prstGeom prst="rect">
          <a:avLst/>
        </a:prstGeom>
      </xdr:spPr>
    </xdr:pic>
    <xdr:clientData/>
  </xdr:oneCellAnchor>
  <xdr:oneCellAnchor>
    <xdr:from>
      <xdr:col>0</xdr:col>
      <xdr:colOff>19050</xdr:colOff>
      <xdr:row>380</xdr:row>
      <xdr:rowOff>15240</xdr:rowOff>
    </xdr:from>
    <xdr:ext cx="341247" cy="342599"/>
    <xdr:pic>
      <xdr:nvPicPr>
        <xdr:cNvPr id="30" name="Picture 29">
          <a:hlinkClick xmlns:r="http://schemas.openxmlformats.org/officeDocument/2006/relationships" r:id="rId30"/>
          <a:extLst>
            <a:ext uri="{FF2B5EF4-FFF2-40B4-BE49-F238E27FC236}">
              <a16:creationId xmlns:a16="http://schemas.microsoft.com/office/drawing/2014/main" id="{16A1AA16-0C35-4537-9E12-9B59CC50E0EC}"/>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2999540"/>
          <a:ext cx="341247" cy="342599"/>
        </a:xfrm>
        <a:prstGeom prst="rect">
          <a:avLst/>
        </a:prstGeom>
      </xdr:spPr>
    </xdr:pic>
    <xdr:clientData/>
  </xdr:oneCellAnchor>
  <xdr:oneCellAnchor>
    <xdr:from>
      <xdr:col>0</xdr:col>
      <xdr:colOff>19050</xdr:colOff>
      <xdr:row>391</xdr:row>
      <xdr:rowOff>15240</xdr:rowOff>
    </xdr:from>
    <xdr:ext cx="341247" cy="342599"/>
    <xdr:pic>
      <xdr:nvPicPr>
        <xdr:cNvPr id="31" name="Picture 30">
          <a:hlinkClick xmlns:r="http://schemas.openxmlformats.org/officeDocument/2006/relationships" r:id="rId31"/>
          <a:extLst>
            <a:ext uri="{FF2B5EF4-FFF2-40B4-BE49-F238E27FC236}">
              <a16:creationId xmlns:a16="http://schemas.microsoft.com/office/drawing/2014/main" id="{1BA5C6EC-5D50-4A13-AC30-EDC8D3446B4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6824780"/>
          <a:ext cx="341247" cy="342599"/>
        </a:xfrm>
        <a:prstGeom prst="rect">
          <a:avLst/>
        </a:prstGeom>
      </xdr:spPr>
    </xdr:pic>
    <xdr:clientData/>
  </xdr:oneCellAnchor>
  <xdr:oneCellAnchor>
    <xdr:from>
      <xdr:col>0</xdr:col>
      <xdr:colOff>19050</xdr:colOff>
      <xdr:row>401</xdr:row>
      <xdr:rowOff>15240</xdr:rowOff>
    </xdr:from>
    <xdr:ext cx="341247" cy="342599"/>
    <xdr:pic>
      <xdr:nvPicPr>
        <xdr:cNvPr id="32" name="Picture 31">
          <a:hlinkClick xmlns:r="http://schemas.openxmlformats.org/officeDocument/2006/relationships" r:id="rId32"/>
          <a:extLst>
            <a:ext uri="{FF2B5EF4-FFF2-40B4-BE49-F238E27FC236}">
              <a16:creationId xmlns:a16="http://schemas.microsoft.com/office/drawing/2014/main" id="{22F29BE6-8DC1-4D01-8914-3029AF78253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9766100"/>
          <a:ext cx="341247" cy="342599"/>
        </a:xfrm>
        <a:prstGeom prst="rect">
          <a:avLst/>
        </a:prstGeom>
      </xdr:spPr>
    </xdr:pic>
    <xdr:clientData/>
  </xdr:oneCellAnchor>
  <xdr:oneCellAnchor>
    <xdr:from>
      <xdr:col>0</xdr:col>
      <xdr:colOff>19050</xdr:colOff>
      <xdr:row>410</xdr:row>
      <xdr:rowOff>15240</xdr:rowOff>
    </xdr:from>
    <xdr:ext cx="341247" cy="342599"/>
    <xdr:pic>
      <xdr:nvPicPr>
        <xdr:cNvPr id="33" name="Picture 32">
          <a:hlinkClick xmlns:r="http://schemas.openxmlformats.org/officeDocument/2006/relationships" r:id="rId33"/>
          <a:extLst>
            <a:ext uri="{FF2B5EF4-FFF2-40B4-BE49-F238E27FC236}">
              <a16:creationId xmlns:a16="http://schemas.microsoft.com/office/drawing/2014/main" id="{4B522070-6E5B-4A8F-822F-6FF09F144A6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12425480"/>
          <a:ext cx="341247" cy="342599"/>
        </a:xfrm>
        <a:prstGeom prst="rect">
          <a:avLst/>
        </a:prstGeom>
      </xdr:spPr>
    </xdr:pic>
    <xdr:clientData/>
  </xdr:oneCellAnchor>
  <xdr:oneCellAnchor>
    <xdr:from>
      <xdr:col>0</xdr:col>
      <xdr:colOff>19050</xdr:colOff>
      <xdr:row>419</xdr:row>
      <xdr:rowOff>15240</xdr:rowOff>
    </xdr:from>
    <xdr:ext cx="341247" cy="342599"/>
    <xdr:pic>
      <xdr:nvPicPr>
        <xdr:cNvPr id="34" name="Picture 33">
          <a:hlinkClick xmlns:r="http://schemas.openxmlformats.org/officeDocument/2006/relationships" r:id="rId34"/>
          <a:extLst>
            <a:ext uri="{FF2B5EF4-FFF2-40B4-BE49-F238E27FC236}">
              <a16:creationId xmlns:a16="http://schemas.microsoft.com/office/drawing/2014/main" id="{BC6EA680-D575-4C83-93AA-ED65BFFEF1B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14520980"/>
          <a:ext cx="341247" cy="342599"/>
        </a:xfrm>
        <a:prstGeom prst="rect">
          <a:avLst/>
        </a:prstGeom>
      </xdr:spPr>
    </xdr:pic>
    <xdr:clientData/>
  </xdr:oneCellAnchor>
  <xdr:oneCellAnchor>
    <xdr:from>
      <xdr:col>0</xdr:col>
      <xdr:colOff>19050</xdr:colOff>
      <xdr:row>431</xdr:row>
      <xdr:rowOff>15240</xdr:rowOff>
    </xdr:from>
    <xdr:ext cx="341247" cy="342599"/>
    <xdr:pic>
      <xdr:nvPicPr>
        <xdr:cNvPr id="35" name="Picture 34">
          <a:hlinkClick xmlns:r="http://schemas.openxmlformats.org/officeDocument/2006/relationships" r:id="rId35"/>
          <a:extLst>
            <a:ext uri="{FF2B5EF4-FFF2-40B4-BE49-F238E27FC236}">
              <a16:creationId xmlns:a16="http://schemas.microsoft.com/office/drawing/2014/main" id="{E7453F8C-B6E8-4B1F-AAF3-54DA4D7D1D1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17401340"/>
          <a:ext cx="341247" cy="342599"/>
        </a:xfrm>
        <a:prstGeom prst="rect">
          <a:avLst/>
        </a:prstGeom>
      </xdr:spPr>
    </xdr:pic>
    <xdr:clientData/>
  </xdr:oneCellAnchor>
  <xdr:oneCellAnchor>
    <xdr:from>
      <xdr:col>0</xdr:col>
      <xdr:colOff>19050</xdr:colOff>
      <xdr:row>443</xdr:row>
      <xdr:rowOff>15240</xdr:rowOff>
    </xdr:from>
    <xdr:ext cx="341247" cy="342599"/>
    <xdr:pic>
      <xdr:nvPicPr>
        <xdr:cNvPr id="36" name="Picture 35">
          <a:hlinkClick xmlns:r="http://schemas.openxmlformats.org/officeDocument/2006/relationships" r:id="rId36"/>
          <a:extLst>
            <a:ext uri="{FF2B5EF4-FFF2-40B4-BE49-F238E27FC236}">
              <a16:creationId xmlns:a16="http://schemas.microsoft.com/office/drawing/2014/main" id="{712E226B-B6D6-446A-84AE-401AEB02B38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20456960"/>
          <a:ext cx="341247" cy="342599"/>
        </a:xfrm>
        <a:prstGeom prst="rect">
          <a:avLst/>
        </a:prstGeom>
      </xdr:spPr>
    </xdr:pic>
    <xdr:clientData/>
  </xdr:oneCellAnchor>
  <xdr:oneCellAnchor>
    <xdr:from>
      <xdr:col>0</xdr:col>
      <xdr:colOff>19050</xdr:colOff>
      <xdr:row>455</xdr:row>
      <xdr:rowOff>15240</xdr:rowOff>
    </xdr:from>
    <xdr:ext cx="341247" cy="342599"/>
    <xdr:pic>
      <xdr:nvPicPr>
        <xdr:cNvPr id="37" name="Picture 36">
          <a:hlinkClick xmlns:r="http://schemas.openxmlformats.org/officeDocument/2006/relationships" r:id="rId37"/>
          <a:extLst>
            <a:ext uri="{FF2B5EF4-FFF2-40B4-BE49-F238E27FC236}">
              <a16:creationId xmlns:a16="http://schemas.microsoft.com/office/drawing/2014/main" id="{7D950DCC-8DAF-4BCE-8F3F-D0018D42114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23253500"/>
          <a:ext cx="341247" cy="342599"/>
        </a:xfrm>
        <a:prstGeom prst="rect">
          <a:avLst/>
        </a:prstGeom>
      </xdr:spPr>
    </xdr:pic>
    <xdr:clientData/>
  </xdr:oneCellAnchor>
  <xdr:oneCellAnchor>
    <xdr:from>
      <xdr:col>0</xdr:col>
      <xdr:colOff>19050</xdr:colOff>
      <xdr:row>470</xdr:row>
      <xdr:rowOff>15240</xdr:rowOff>
    </xdr:from>
    <xdr:ext cx="341247" cy="342599"/>
    <xdr:pic>
      <xdr:nvPicPr>
        <xdr:cNvPr id="38" name="Picture 37">
          <a:hlinkClick xmlns:r="http://schemas.openxmlformats.org/officeDocument/2006/relationships" r:id="rId38"/>
          <a:extLst>
            <a:ext uri="{FF2B5EF4-FFF2-40B4-BE49-F238E27FC236}">
              <a16:creationId xmlns:a16="http://schemas.microsoft.com/office/drawing/2014/main" id="{FDE91D82-3BFE-4C2B-A508-F79871444A3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28244600"/>
          <a:ext cx="341247" cy="342599"/>
        </a:xfrm>
        <a:prstGeom prst="rect">
          <a:avLst/>
        </a:prstGeom>
      </xdr:spPr>
    </xdr:pic>
    <xdr:clientData/>
  </xdr:oneCellAnchor>
  <xdr:oneCellAnchor>
    <xdr:from>
      <xdr:col>0</xdr:col>
      <xdr:colOff>19050</xdr:colOff>
      <xdr:row>480</xdr:row>
      <xdr:rowOff>7620</xdr:rowOff>
    </xdr:from>
    <xdr:ext cx="341247" cy="342599"/>
    <xdr:pic>
      <xdr:nvPicPr>
        <xdr:cNvPr id="39" name="Picture 38">
          <a:hlinkClick xmlns:r="http://schemas.openxmlformats.org/officeDocument/2006/relationships" r:id="rId39"/>
          <a:extLst>
            <a:ext uri="{FF2B5EF4-FFF2-40B4-BE49-F238E27FC236}">
              <a16:creationId xmlns:a16="http://schemas.microsoft.com/office/drawing/2014/main" id="{0DB52AD3-A879-4192-BCE0-A6B3171ECFF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31048760"/>
          <a:ext cx="341247" cy="342599"/>
        </a:xfrm>
        <a:prstGeom prst="rect">
          <a:avLst/>
        </a:prstGeom>
      </xdr:spPr>
    </xdr:pic>
    <xdr:clientData/>
  </xdr:oneCellAnchor>
  <xdr:oneCellAnchor>
    <xdr:from>
      <xdr:col>0</xdr:col>
      <xdr:colOff>19050</xdr:colOff>
      <xdr:row>489</xdr:row>
      <xdr:rowOff>15240</xdr:rowOff>
    </xdr:from>
    <xdr:ext cx="341247" cy="342599"/>
    <xdr:pic>
      <xdr:nvPicPr>
        <xdr:cNvPr id="40" name="Picture 39">
          <a:hlinkClick xmlns:r="http://schemas.openxmlformats.org/officeDocument/2006/relationships" r:id="rId40"/>
          <a:extLst>
            <a:ext uri="{FF2B5EF4-FFF2-40B4-BE49-F238E27FC236}">
              <a16:creationId xmlns:a16="http://schemas.microsoft.com/office/drawing/2014/main" id="{DD51B89F-C79B-4BE4-81B4-517EBB47071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33029960"/>
          <a:ext cx="341247" cy="342599"/>
        </a:xfrm>
        <a:prstGeom prst="rect">
          <a:avLst/>
        </a:prstGeom>
      </xdr:spPr>
    </xdr:pic>
    <xdr:clientData/>
  </xdr:oneCellAnchor>
  <xdr:oneCellAnchor>
    <xdr:from>
      <xdr:col>0</xdr:col>
      <xdr:colOff>19050</xdr:colOff>
      <xdr:row>504</xdr:row>
      <xdr:rowOff>15240</xdr:rowOff>
    </xdr:from>
    <xdr:ext cx="341247" cy="342599"/>
    <xdr:pic>
      <xdr:nvPicPr>
        <xdr:cNvPr id="41" name="Picture 40">
          <a:hlinkClick xmlns:r="http://schemas.openxmlformats.org/officeDocument/2006/relationships" r:id="rId41"/>
          <a:extLst>
            <a:ext uri="{FF2B5EF4-FFF2-40B4-BE49-F238E27FC236}">
              <a16:creationId xmlns:a16="http://schemas.microsoft.com/office/drawing/2014/main" id="{499F2503-32C6-48A5-94A3-297FD8B3491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37662920"/>
          <a:ext cx="341247" cy="342599"/>
        </a:xfrm>
        <a:prstGeom prst="rect">
          <a:avLst/>
        </a:prstGeom>
      </xdr:spPr>
    </xdr:pic>
    <xdr:clientData/>
  </xdr:oneCellAnchor>
  <xdr:oneCellAnchor>
    <xdr:from>
      <xdr:col>0</xdr:col>
      <xdr:colOff>19050</xdr:colOff>
      <xdr:row>519</xdr:row>
      <xdr:rowOff>15240</xdr:rowOff>
    </xdr:from>
    <xdr:ext cx="341247" cy="342599"/>
    <xdr:pic>
      <xdr:nvPicPr>
        <xdr:cNvPr id="42" name="Picture 41">
          <a:hlinkClick xmlns:r="http://schemas.openxmlformats.org/officeDocument/2006/relationships" r:id="rId42"/>
          <a:extLst>
            <a:ext uri="{FF2B5EF4-FFF2-40B4-BE49-F238E27FC236}">
              <a16:creationId xmlns:a16="http://schemas.microsoft.com/office/drawing/2014/main" id="{C8B4A87E-C1FA-4B0E-AC98-ABDBEEA38846}"/>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41869160"/>
          <a:ext cx="341247" cy="342599"/>
        </a:xfrm>
        <a:prstGeom prst="rect">
          <a:avLst/>
        </a:prstGeom>
      </xdr:spPr>
    </xdr:pic>
    <xdr:clientData/>
  </xdr:oneCellAnchor>
  <xdr:oneCellAnchor>
    <xdr:from>
      <xdr:col>0</xdr:col>
      <xdr:colOff>19050</xdr:colOff>
      <xdr:row>527</xdr:row>
      <xdr:rowOff>15240</xdr:rowOff>
    </xdr:from>
    <xdr:ext cx="341247" cy="342599"/>
    <xdr:pic>
      <xdr:nvPicPr>
        <xdr:cNvPr id="43" name="Picture 42">
          <a:hlinkClick xmlns:r="http://schemas.openxmlformats.org/officeDocument/2006/relationships" r:id="rId43"/>
          <a:extLst>
            <a:ext uri="{FF2B5EF4-FFF2-40B4-BE49-F238E27FC236}">
              <a16:creationId xmlns:a16="http://schemas.microsoft.com/office/drawing/2014/main" id="{C34EC245-4305-414B-B78B-B0A637E37DC6}"/>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43842740"/>
          <a:ext cx="341247" cy="342599"/>
        </a:xfrm>
        <a:prstGeom prst="rect">
          <a:avLst/>
        </a:prstGeom>
      </xdr:spPr>
    </xdr:pic>
    <xdr:clientData/>
  </xdr:oneCellAnchor>
  <xdr:oneCellAnchor>
    <xdr:from>
      <xdr:col>0</xdr:col>
      <xdr:colOff>19050</xdr:colOff>
      <xdr:row>535</xdr:row>
      <xdr:rowOff>15240</xdr:rowOff>
    </xdr:from>
    <xdr:ext cx="341247" cy="342599"/>
    <xdr:pic>
      <xdr:nvPicPr>
        <xdr:cNvPr id="44" name="Picture 43">
          <a:hlinkClick xmlns:r="http://schemas.openxmlformats.org/officeDocument/2006/relationships" r:id="rId44"/>
          <a:extLst>
            <a:ext uri="{FF2B5EF4-FFF2-40B4-BE49-F238E27FC236}">
              <a16:creationId xmlns:a16="http://schemas.microsoft.com/office/drawing/2014/main" id="{E1113BD8-958C-4B42-9F9C-F0E78D65BE5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46006820"/>
          <a:ext cx="341247" cy="342599"/>
        </a:xfrm>
        <a:prstGeom prst="rect">
          <a:avLst/>
        </a:prstGeom>
      </xdr:spPr>
    </xdr:pic>
    <xdr:clientData/>
  </xdr:oneCellAnchor>
  <xdr:oneCellAnchor>
    <xdr:from>
      <xdr:col>0</xdr:col>
      <xdr:colOff>19050</xdr:colOff>
      <xdr:row>546</xdr:row>
      <xdr:rowOff>15240</xdr:rowOff>
    </xdr:from>
    <xdr:ext cx="341247" cy="342599"/>
    <xdr:pic>
      <xdr:nvPicPr>
        <xdr:cNvPr id="45" name="Picture 44">
          <a:hlinkClick xmlns:r="http://schemas.openxmlformats.org/officeDocument/2006/relationships" r:id="rId45"/>
          <a:extLst>
            <a:ext uri="{FF2B5EF4-FFF2-40B4-BE49-F238E27FC236}">
              <a16:creationId xmlns:a16="http://schemas.microsoft.com/office/drawing/2014/main" id="{5D45FCED-01CA-456F-A2E5-0A7319451A2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48696680"/>
          <a:ext cx="341247" cy="342599"/>
        </a:xfrm>
        <a:prstGeom prst="rect">
          <a:avLst/>
        </a:prstGeom>
      </xdr:spPr>
    </xdr:pic>
    <xdr:clientData/>
  </xdr:oneCellAnchor>
  <xdr:oneCellAnchor>
    <xdr:from>
      <xdr:col>0</xdr:col>
      <xdr:colOff>19050</xdr:colOff>
      <xdr:row>554</xdr:row>
      <xdr:rowOff>15240</xdr:rowOff>
    </xdr:from>
    <xdr:ext cx="341247" cy="342599"/>
    <xdr:pic>
      <xdr:nvPicPr>
        <xdr:cNvPr id="46" name="Picture 45">
          <a:hlinkClick xmlns:r="http://schemas.openxmlformats.org/officeDocument/2006/relationships" r:id="rId46"/>
          <a:extLst>
            <a:ext uri="{FF2B5EF4-FFF2-40B4-BE49-F238E27FC236}">
              <a16:creationId xmlns:a16="http://schemas.microsoft.com/office/drawing/2014/main" id="{F5972CD0-D63E-4A83-9199-6C7F4893524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50616920"/>
          <a:ext cx="341247" cy="342599"/>
        </a:xfrm>
        <a:prstGeom prst="rect">
          <a:avLst/>
        </a:prstGeom>
      </xdr:spPr>
    </xdr:pic>
    <xdr:clientData/>
  </xdr:oneCellAnchor>
  <xdr:oneCellAnchor>
    <xdr:from>
      <xdr:col>0</xdr:col>
      <xdr:colOff>19050</xdr:colOff>
      <xdr:row>571</xdr:row>
      <xdr:rowOff>15240</xdr:rowOff>
    </xdr:from>
    <xdr:ext cx="341247" cy="342599"/>
    <xdr:pic>
      <xdr:nvPicPr>
        <xdr:cNvPr id="47" name="Picture 46">
          <a:hlinkClick xmlns:r="http://schemas.openxmlformats.org/officeDocument/2006/relationships" r:id="rId47"/>
          <a:extLst>
            <a:ext uri="{FF2B5EF4-FFF2-40B4-BE49-F238E27FC236}">
              <a16:creationId xmlns:a16="http://schemas.microsoft.com/office/drawing/2014/main" id="{D3E39C54-EF8F-4333-8DFE-D226F85F38C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55044140"/>
          <a:ext cx="341247" cy="342599"/>
        </a:xfrm>
        <a:prstGeom prst="rect">
          <a:avLst/>
        </a:prstGeom>
      </xdr:spPr>
    </xdr:pic>
    <xdr:clientData/>
  </xdr:oneCellAnchor>
  <xdr:oneCellAnchor>
    <xdr:from>
      <xdr:col>0</xdr:col>
      <xdr:colOff>19050</xdr:colOff>
      <xdr:row>579</xdr:row>
      <xdr:rowOff>15240</xdr:rowOff>
    </xdr:from>
    <xdr:ext cx="341247" cy="342599"/>
    <xdr:pic>
      <xdr:nvPicPr>
        <xdr:cNvPr id="48" name="Picture 47">
          <a:hlinkClick xmlns:r="http://schemas.openxmlformats.org/officeDocument/2006/relationships" r:id="rId48"/>
          <a:extLst>
            <a:ext uri="{FF2B5EF4-FFF2-40B4-BE49-F238E27FC236}">
              <a16:creationId xmlns:a16="http://schemas.microsoft.com/office/drawing/2014/main" id="{C6B7BA52-1FE3-4E09-9733-336B0520F2A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56667200"/>
          <a:ext cx="341247" cy="342599"/>
        </a:xfrm>
        <a:prstGeom prst="rect">
          <a:avLst/>
        </a:prstGeom>
      </xdr:spPr>
    </xdr:pic>
    <xdr:clientData/>
  </xdr:oneCellAnchor>
  <xdr:oneCellAnchor>
    <xdr:from>
      <xdr:col>0</xdr:col>
      <xdr:colOff>19050</xdr:colOff>
      <xdr:row>587</xdr:row>
      <xdr:rowOff>15240</xdr:rowOff>
    </xdr:from>
    <xdr:ext cx="341247" cy="342599"/>
    <xdr:pic>
      <xdr:nvPicPr>
        <xdr:cNvPr id="49" name="Picture 48">
          <a:hlinkClick xmlns:r="http://schemas.openxmlformats.org/officeDocument/2006/relationships" r:id="rId49"/>
          <a:extLst>
            <a:ext uri="{FF2B5EF4-FFF2-40B4-BE49-F238E27FC236}">
              <a16:creationId xmlns:a16="http://schemas.microsoft.com/office/drawing/2014/main" id="{9058DEAB-36E9-456E-B5E7-9818186F2CF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58633160"/>
          <a:ext cx="341247" cy="342599"/>
        </a:xfrm>
        <a:prstGeom prst="rect">
          <a:avLst/>
        </a:prstGeom>
      </xdr:spPr>
    </xdr:pic>
    <xdr:clientData/>
  </xdr:oneCellAnchor>
  <xdr:oneCellAnchor>
    <xdr:from>
      <xdr:col>0</xdr:col>
      <xdr:colOff>19050</xdr:colOff>
      <xdr:row>599</xdr:row>
      <xdr:rowOff>15240</xdr:rowOff>
    </xdr:from>
    <xdr:ext cx="341247" cy="342599"/>
    <xdr:pic>
      <xdr:nvPicPr>
        <xdr:cNvPr id="50" name="Picture 49">
          <a:hlinkClick xmlns:r="http://schemas.openxmlformats.org/officeDocument/2006/relationships" r:id="rId50"/>
          <a:extLst>
            <a:ext uri="{FF2B5EF4-FFF2-40B4-BE49-F238E27FC236}">
              <a16:creationId xmlns:a16="http://schemas.microsoft.com/office/drawing/2014/main" id="{A257F8A2-6810-4D95-90C4-2E31223B088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1170620"/>
          <a:ext cx="341247" cy="342599"/>
        </a:xfrm>
        <a:prstGeom prst="rect">
          <a:avLst/>
        </a:prstGeom>
      </xdr:spPr>
    </xdr:pic>
    <xdr:clientData/>
  </xdr:oneCellAnchor>
  <xdr:oneCellAnchor>
    <xdr:from>
      <xdr:col>0</xdr:col>
      <xdr:colOff>19050</xdr:colOff>
      <xdr:row>609</xdr:row>
      <xdr:rowOff>15240</xdr:rowOff>
    </xdr:from>
    <xdr:ext cx="341247" cy="342599"/>
    <xdr:pic>
      <xdr:nvPicPr>
        <xdr:cNvPr id="51" name="Picture 50">
          <a:hlinkClick xmlns:r="http://schemas.openxmlformats.org/officeDocument/2006/relationships" r:id="rId51"/>
          <a:extLst>
            <a:ext uri="{FF2B5EF4-FFF2-40B4-BE49-F238E27FC236}">
              <a16:creationId xmlns:a16="http://schemas.microsoft.com/office/drawing/2014/main" id="{E2E4A313-E2E7-4D05-9BA0-EC925529793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3845240"/>
          <a:ext cx="341247" cy="342599"/>
        </a:xfrm>
        <a:prstGeom prst="rect">
          <a:avLst/>
        </a:prstGeom>
      </xdr:spPr>
    </xdr:pic>
    <xdr:clientData/>
  </xdr:oneCellAnchor>
  <xdr:oneCellAnchor>
    <xdr:from>
      <xdr:col>0</xdr:col>
      <xdr:colOff>19050</xdr:colOff>
      <xdr:row>618</xdr:row>
      <xdr:rowOff>15240</xdr:rowOff>
    </xdr:from>
    <xdr:ext cx="341247" cy="342599"/>
    <xdr:pic>
      <xdr:nvPicPr>
        <xdr:cNvPr id="52" name="Picture 51">
          <a:hlinkClick xmlns:r="http://schemas.openxmlformats.org/officeDocument/2006/relationships" r:id="rId52"/>
          <a:extLst>
            <a:ext uri="{FF2B5EF4-FFF2-40B4-BE49-F238E27FC236}">
              <a16:creationId xmlns:a16="http://schemas.microsoft.com/office/drawing/2014/main" id="{EF58449D-8DA6-44DE-8BE2-00C33AB2ED4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5765480"/>
          <a:ext cx="341247" cy="342599"/>
        </a:xfrm>
        <a:prstGeom prst="rect">
          <a:avLst/>
        </a:prstGeom>
      </xdr:spPr>
    </xdr:pic>
    <xdr:clientData/>
  </xdr:oneCellAnchor>
  <xdr:oneCellAnchor>
    <xdr:from>
      <xdr:col>0</xdr:col>
      <xdr:colOff>19050</xdr:colOff>
      <xdr:row>625</xdr:row>
      <xdr:rowOff>15240</xdr:rowOff>
    </xdr:from>
    <xdr:ext cx="341247" cy="342599"/>
    <xdr:pic>
      <xdr:nvPicPr>
        <xdr:cNvPr id="53" name="Picture 52">
          <a:hlinkClick xmlns:r="http://schemas.openxmlformats.org/officeDocument/2006/relationships" r:id="rId53"/>
          <a:extLst>
            <a:ext uri="{FF2B5EF4-FFF2-40B4-BE49-F238E27FC236}">
              <a16:creationId xmlns:a16="http://schemas.microsoft.com/office/drawing/2014/main" id="{B05674D7-7290-4493-98BC-A51B4B7255B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7152320"/>
          <a:ext cx="341247" cy="342599"/>
        </a:xfrm>
        <a:prstGeom prst="rect">
          <a:avLst/>
        </a:prstGeom>
      </xdr:spPr>
    </xdr:pic>
    <xdr:clientData/>
  </xdr:oneCellAnchor>
  <xdr:oneCellAnchor>
    <xdr:from>
      <xdr:col>0</xdr:col>
      <xdr:colOff>19050</xdr:colOff>
      <xdr:row>633</xdr:row>
      <xdr:rowOff>15240</xdr:rowOff>
    </xdr:from>
    <xdr:ext cx="341247" cy="342599"/>
    <xdr:pic>
      <xdr:nvPicPr>
        <xdr:cNvPr id="54" name="Picture 53">
          <a:hlinkClick xmlns:r="http://schemas.openxmlformats.org/officeDocument/2006/relationships" r:id="rId54"/>
          <a:extLst>
            <a:ext uri="{FF2B5EF4-FFF2-40B4-BE49-F238E27FC236}">
              <a16:creationId xmlns:a16="http://schemas.microsoft.com/office/drawing/2014/main" id="{FA08DE1C-93DB-4ACB-9F2F-1120408F369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8950640"/>
          <a:ext cx="341247" cy="342599"/>
        </a:xfrm>
        <a:prstGeom prst="rect">
          <a:avLst/>
        </a:prstGeom>
      </xdr:spPr>
    </xdr:pic>
    <xdr:clientData/>
  </xdr:oneCellAnchor>
  <xdr:oneCellAnchor>
    <xdr:from>
      <xdr:col>0</xdr:col>
      <xdr:colOff>19050</xdr:colOff>
      <xdr:row>644</xdr:row>
      <xdr:rowOff>15240</xdr:rowOff>
    </xdr:from>
    <xdr:ext cx="341247" cy="342599"/>
    <xdr:pic>
      <xdr:nvPicPr>
        <xdr:cNvPr id="55" name="Picture 54">
          <a:hlinkClick xmlns:r="http://schemas.openxmlformats.org/officeDocument/2006/relationships" r:id="rId55"/>
          <a:extLst>
            <a:ext uri="{FF2B5EF4-FFF2-40B4-BE49-F238E27FC236}">
              <a16:creationId xmlns:a16="http://schemas.microsoft.com/office/drawing/2014/main" id="{B57E8A33-2C1D-4473-AA27-936B8EA78DF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2372020"/>
          <a:ext cx="341247" cy="342599"/>
        </a:xfrm>
        <a:prstGeom prst="rect">
          <a:avLst/>
        </a:prstGeom>
      </xdr:spPr>
    </xdr:pic>
    <xdr:clientData/>
  </xdr:oneCellAnchor>
  <xdr:oneCellAnchor>
    <xdr:from>
      <xdr:col>0</xdr:col>
      <xdr:colOff>19050</xdr:colOff>
      <xdr:row>651</xdr:row>
      <xdr:rowOff>15240</xdr:rowOff>
    </xdr:from>
    <xdr:ext cx="341247" cy="342599"/>
    <xdr:pic>
      <xdr:nvPicPr>
        <xdr:cNvPr id="56" name="Picture 55">
          <a:hlinkClick xmlns:r="http://schemas.openxmlformats.org/officeDocument/2006/relationships" r:id="rId56"/>
          <a:extLst>
            <a:ext uri="{FF2B5EF4-FFF2-40B4-BE49-F238E27FC236}">
              <a16:creationId xmlns:a16="http://schemas.microsoft.com/office/drawing/2014/main" id="{66815F43-3BA6-49FE-A9A6-53B0E9FA91C1}"/>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3789340"/>
          <a:ext cx="341247" cy="342599"/>
        </a:xfrm>
        <a:prstGeom prst="rect">
          <a:avLst/>
        </a:prstGeom>
      </xdr:spPr>
    </xdr:pic>
    <xdr:clientData/>
  </xdr:oneCellAnchor>
  <xdr:oneCellAnchor>
    <xdr:from>
      <xdr:col>0</xdr:col>
      <xdr:colOff>19050</xdr:colOff>
      <xdr:row>663</xdr:row>
      <xdr:rowOff>15240</xdr:rowOff>
    </xdr:from>
    <xdr:ext cx="341247" cy="342599"/>
    <xdr:pic>
      <xdr:nvPicPr>
        <xdr:cNvPr id="57" name="Picture 56">
          <a:hlinkClick xmlns:r="http://schemas.openxmlformats.org/officeDocument/2006/relationships" r:id="rId57"/>
          <a:extLst>
            <a:ext uri="{FF2B5EF4-FFF2-40B4-BE49-F238E27FC236}">
              <a16:creationId xmlns:a16="http://schemas.microsoft.com/office/drawing/2014/main" id="{190EA47A-2771-41B7-9762-A19519E257C3}"/>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6174400"/>
          <a:ext cx="341247" cy="342599"/>
        </a:xfrm>
        <a:prstGeom prst="rect">
          <a:avLst/>
        </a:prstGeom>
      </xdr:spPr>
    </xdr:pic>
    <xdr:clientData/>
  </xdr:oneCellAnchor>
  <xdr:oneCellAnchor>
    <xdr:from>
      <xdr:col>0</xdr:col>
      <xdr:colOff>19050</xdr:colOff>
      <xdr:row>671</xdr:row>
      <xdr:rowOff>15240</xdr:rowOff>
    </xdr:from>
    <xdr:ext cx="341247" cy="342599"/>
    <xdr:pic>
      <xdr:nvPicPr>
        <xdr:cNvPr id="58" name="Picture 57">
          <a:hlinkClick xmlns:r="http://schemas.openxmlformats.org/officeDocument/2006/relationships" r:id="rId58"/>
          <a:extLst>
            <a:ext uri="{FF2B5EF4-FFF2-40B4-BE49-F238E27FC236}">
              <a16:creationId xmlns:a16="http://schemas.microsoft.com/office/drawing/2014/main" id="{4347C9B4-E75D-467B-92A9-25BF8043AE9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7728880"/>
          <a:ext cx="341247" cy="342599"/>
        </a:xfrm>
        <a:prstGeom prst="rect">
          <a:avLst/>
        </a:prstGeom>
      </xdr:spPr>
    </xdr:pic>
    <xdr:clientData/>
  </xdr:oneCellAnchor>
  <xdr:oneCellAnchor>
    <xdr:from>
      <xdr:col>0</xdr:col>
      <xdr:colOff>19050</xdr:colOff>
      <xdr:row>682</xdr:row>
      <xdr:rowOff>15240</xdr:rowOff>
    </xdr:from>
    <xdr:ext cx="341247" cy="342599"/>
    <xdr:pic>
      <xdr:nvPicPr>
        <xdr:cNvPr id="59" name="Picture 58">
          <a:hlinkClick xmlns:r="http://schemas.openxmlformats.org/officeDocument/2006/relationships" r:id="rId59"/>
          <a:extLst>
            <a:ext uri="{FF2B5EF4-FFF2-40B4-BE49-F238E27FC236}">
              <a16:creationId xmlns:a16="http://schemas.microsoft.com/office/drawing/2014/main" id="{0F163A3E-0E4E-4E3A-B5DC-19C7A24EC9F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0761640"/>
          <a:ext cx="341247" cy="342599"/>
        </a:xfrm>
        <a:prstGeom prst="rect">
          <a:avLst/>
        </a:prstGeom>
      </xdr:spPr>
    </xdr:pic>
    <xdr:clientData/>
  </xdr:oneCellAnchor>
  <xdr:oneCellAnchor>
    <xdr:from>
      <xdr:col>0</xdr:col>
      <xdr:colOff>19050</xdr:colOff>
      <xdr:row>689</xdr:row>
      <xdr:rowOff>15240</xdr:rowOff>
    </xdr:from>
    <xdr:ext cx="341247" cy="342599"/>
    <xdr:pic>
      <xdr:nvPicPr>
        <xdr:cNvPr id="60" name="Picture 59">
          <a:hlinkClick xmlns:r="http://schemas.openxmlformats.org/officeDocument/2006/relationships" r:id="rId60"/>
          <a:extLst>
            <a:ext uri="{FF2B5EF4-FFF2-40B4-BE49-F238E27FC236}">
              <a16:creationId xmlns:a16="http://schemas.microsoft.com/office/drawing/2014/main" id="{CD858825-3105-4D2A-9B15-E00FD66D726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2201820"/>
          <a:ext cx="341247" cy="342599"/>
        </a:xfrm>
        <a:prstGeom prst="rect">
          <a:avLst/>
        </a:prstGeom>
      </xdr:spPr>
    </xdr:pic>
    <xdr:clientData/>
  </xdr:oneCellAnchor>
  <xdr:oneCellAnchor>
    <xdr:from>
      <xdr:col>0</xdr:col>
      <xdr:colOff>19050</xdr:colOff>
      <xdr:row>696</xdr:row>
      <xdr:rowOff>15240</xdr:rowOff>
    </xdr:from>
    <xdr:ext cx="341247" cy="342599"/>
    <xdr:pic>
      <xdr:nvPicPr>
        <xdr:cNvPr id="61" name="Picture 60">
          <a:hlinkClick xmlns:r="http://schemas.openxmlformats.org/officeDocument/2006/relationships" r:id="rId61"/>
          <a:extLst>
            <a:ext uri="{FF2B5EF4-FFF2-40B4-BE49-F238E27FC236}">
              <a16:creationId xmlns:a16="http://schemas.microsoft.com/office/drawing/2014/main" id="{1D49D3B8-99FD-4073-BD73-5BEAA5DFCAE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3642000"/>
          <a:ext cx="341247" cy="342599"/>
        </a:xfrm>
        <a:prstGeom prst="rect">
          <a:avLst/>
        </a:prstGeom>
      </xdr:spPr>
    </xdr:pic>
    <xdr:clientData/>
  </xdr:oneCellAnchor>
  <xdr:oneCellAnchor>
    <xdr:from>
      <xdr:col>0</xdr:col>
      <xdr:colOff>19050</xdr:colOff>
      <xdr:row>704</xdr:row>
      <xdr:rowOff>15240</xdr:rowOff>
    </xdr:from>
    <xdr:ext cx="341247" cy="342599"/>
    <xdr:pic>
      <xdr:nvPicPr>
        <xdr:cNvPr id="62" name="Picture 61">
          <a:hlinkClick xmlns:r="http://schemas.openxmlformats.org/officeDocument/2006/relationships" r:id="rId62"/>
          <a:extLst>
            <a:ext uri="{FF2B5EF4-FFF2-40B4-BE49-F238E27FC236}">
              <a16:creationId xmlns:a16="http://schemas.microsoft.com/office/drawing/2014/main" id="{A0919565-162D-4CBC-B622-1A598D7950D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5463180"/>
          <a:ext cx="341247" cy="342599"/>
        </a:xfrm>
        <a:prstGeom prst="rect">
          <a:avLst/>
        </a:prstGeom>
      </xdr:spPr>
    </xdr:pic>
    <xdr:clientData/>
  </xdr:oneCellAnchor>
  <xdr:oneCellAnchor>
    <xdr:from>
      <xdr:col>0</xdr:col>
      <xdr:colOff>19050</xdr:colOff>
      <xdr:row>715</xdr:row>
      <xdr:rowOff>15240</xdr:rowOff>
    </xdr:from>
    <xdr:ext cx="341247" cy="342599"/>
    <xdr:pic>
      <xdr:nvPicPr>
        <xdr:cNvPr id="63" name="Picture 62">
          <a:hlinkClick xmlns:r="http://schemas.openxmlformats.org/officeDocument/2006/relationships" r:id="rId63"/>
          <a:extLst>
            <a:ext uri="{FF2B5EF4-FFF2-40B4-BE49-F238E27FC236}">
              <a16:creationId xmlns:a16="http://schemas.microsoft.com/office/drawing/2014/main" id="{7BAD4B3A-FC8A-4168-836E-6A280433315B}"/>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8389260"/>
          <a:ext cx="341247" cy="342599"/>
        </a:xfrm>
        <a:prstGeom prst="rect">
          <a:avLst/>
        </a:prstGeom>
      </xdr:spPr>
    </xdr:pic>
    <xdr:clientData/>
  </xdr:oneCellAnchor>
  <xdr:oneCellAnchor>
    <xdr:from>
      <xdr:col>0</xdr:col>
      <xdr:colOff>19050</xdr:colOff>
      <xdr:row>722</xdr:row>
      <xdr:rowOff>15240</xdr:rowOff>
    </xdr:from>
    <xdr:ext cx="341247" cy="342599"/>
    <xdr:pic>
      <xdr:nvPicPr>
        <xdr:cNvPr id="64" name="Picture 63">
          <a:hlinkClick xmlns:r="http://schemas.openxmlformats.org/officeDocument/2006/relationships" r:id="rId64"/>
          <a:extLst>
            <a:ext uri="{FF2B5EF4-FFF2-40B4-BE49-F238E27FC236}">
              <a16:creationId xmlns:a16="http://schemas.microsoft.com/office/drawing/2014/main" id="{D017E2A2-1EC1-4BC3-87E9-CA92EFFDD93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9859920"/>
          <a:ext cx="341247" cy="342599"/>
        </a:xfrm>
        <a:prstGeom prst="rect">
          <a:avLst/>
        </a:prstGeom>
      </xdr:spPr>
    </xdr:pic>
    <xdr:clientData/>
  </xdr:oneCellAnchor>
  <xdr:oneCellAnchor>
    <xdr:from>
      <xdr:col>0</xdr:col>
      <xdr:colOff>19050</xdr:colOff>
      <xdr:row>735</xdr:row>
      <xdr:rowOff>0</xdr:rowOff>
    </xdr:from>
    <xdr:ext cx="341247" cy="342599"/>
    <xdr:pic>
      <xdr:nvPicPr>
        <xdr:cNvPr id="65" name="Picture 64">
          <a:hlinkClick xmlns:r="http://schemas.openxmlformats.org/officeDocument/2006/relationships" r:id="rId65"/>
          <a:extLst>
            <a:ext uri="{FF2B5EF4-FFF2-40B4-BE49-F238E27FC236}">
              <a16:creationId xmlns:a16="http://schemas.microsoft.com/office/drawing/2014/main" id="{6265308C-6457-4802-9374-D9D5DC9E94B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95643500"/>
          <a:ext cx="341247" cy="342599"/>
        </a:xfrm>
        <a:prstGeom prst="rect">
          <a:avLst/>
        </a:prstGeom>
      </xdr:spPr>
    </xdr:pic>
    <xdr:clientData/>
  </xdr:oneCellAnchor>
  <xdr:oneCellAnchor>
    <xdr:from>
      <xdr:col>0</xdr:col>
      <xdr:colOff>19050</xdr:colOff>
      <xdr:row>750</xdr:row>
      <xdr:rowOff>15240</xdr:rowOff>
    </xdr:from>
    <xdr:ext cx="341247" cy="342599"/>
    <xdr:pic>
      <xdr:nvPicPr>
        <xdr:cNvPr id="66" name="Picture 65">
          <a:hlinkClick xmlns:r="http://schemas.openxmlformats.org/officeDocument/2006/relationships" r:id="rId66"/>
          <a:extLst>
            <a:ext uri="{FF2B5EF4-FFF2-40B4-BE49-F238E27FC236}">
              <a16:creationId xmlns:a16="http://schemas.microsoft.com/office/drawing/2014/main" id="{BA47CA75-7D4F-433E-8ABC-4CE98727105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98904860"/>
          <a:ext cx="341247" cy="342599"/>
        </a:xfrm>
        <a:prstGeom prst="rect">
          <a:avLst/>
        </a:prstGeom>
      </xdr:spPr>
    </xdr:pic>
    <xdr:clientData/>
  </xdr:oneCellAnchor>
  <xdr:oneCellAnchor>
    <xdr:from>
      <xdr:col>0</xdr:col>
      <xdr:colOff>19050</xdr:colOff>
      <xdr:row>758</xdr:row>
      <xdr:rowOff>15240</xdr:rowOff>
    </xdr:from>
    <xdr:ext cx="341247" cy="342599"/>
    <xdr:pic>
      <xdr:nvPicPr>
        <xdr:cNvPr id="67" name="Picture 66">
          <a:hlinkClick xmlns:r="http://schemas.openxmlformats.org/officeDocument/2006/relationships" r:id="rId67"/>
          <a:extLst>
            <a:ext uri="{FF2B5EF4-FFF2-40B4-BE49-F238E27FC236}">
              <a16:creationId xmlns:a16="http://schemas.microsoft.com/office/drawing/2014/main" id="{5A50C8DA-A474-43A4-8AF6-17E7DDA57B51}"/>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0505060"/>
          <a:ext cx="341247" cy="342599"/>
        </a:xfrm>
        <a:prstGeom prst="rect">
          <a:avLst/>
        </a:prstGeom>
      </xdr:spPr>
    </xdr:pic>
    <xdr:clientData/>
  </xdr:oneCellAnchor>
  <xdr:oneCellAnchor>
    <xdr:from>
      <xdr:col>0</xdr:col>
      <xdr:colOff>19050</xdr:colOff>
      <xdr:row>770</xdr:row>
      <xdr:rowOff>15240</xdr:rowOff>
    </xdr:from>
    <xdr:ext cx="341247" cy="342599"/>
    <xdr:pic>
      <xdr:nvPicPr>
        <xdr:cNvPr id="68" name="Picture 67">
          <a:hlinkClick xmlns:r="http://schemas.openxmlformats.org/officeDocument/2006/relationships" r:id="rId68"/>
          <a:extLst>
            <a:ext uri="{FF2B5EF4-FFF2-40B4-BE49-F238E27FC236}">
              <a16:creationId xmlns:a16="http://schemas.microsoft.com/office/drawing/2014/main" id="{C345DCFC-DCB5-4A05-B9D0-8761131EA3A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3309220"/>
          <a:ext cx="341247" cy="342599"/>
        </a:xfrm>
        <a:prstGeom prst="rect">
          <a:avLst/>
        </a:prstGeom>
      </xdr:spPr>
    </xdr:pic>
    <xdr:clientData/>
  </xdr:oneCellAnchor>
  <xdr:oneCellAnchor>
    <xdr:from>
      <xdr:col>0</xdr:col>
      <xdr:colOff>19050</xdr:colOff>
      <xdr:row>781</xdr:row>
      <xdr:rowOff>15240</xdr:rowOff>
    </xdr:from>
    <xdr:ext cx="341247" cy="342599"/>
    <xdr:pic>
      <xdr:nvPicPr>
        <xdr:cNvPr id="69" name="Picture 68">
          <a:hlinkClick xmlns:r="http://schemas.openxmlformats.org/officeDocument/2006/relationships" r:id="rId69"/>
          <a:extLst>
            <a:ext uri="{FF2B5EF4-FFF2-40B4-BE49-F238E27FC236}">
              <a16:creationId xmlns:a16="http://schemas.microsoft.com/office/drawing/2014/main" id="{BFA4F714-7A59-4CE1-AC91-01767F3FF56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5305660"/>
          <a:ext cx="341247" cy="342599"/>
        </a:xfrm>
        <a:prstGeom prst="rect">
          <a:avLst/>
        </a:prstGeom>
      </xdr:spPr>
    </xdr:pic>
    <xdr:clientData/>
  </xdr:oneCellAnchor>
  <xdr:oneCellAnchor>
    <xdr:from>
      <xdr:col>0</xdr:col>
      <xdr:colOff>19050</xdr:colOff>
      <xdr:row>792</xdr:row>
      <xdr:rowOff>15240</xdr:rowOff>
    </xdr:from>
    <xdr:ext cx="341247" cy="342599"/>
    <xdr:pic>
      <xdr:nvPicPr>
        <xdr:cNvPr id="70" name="Picture 69">
          <a:hlinkClick xmlns:r="http://schemas.openxmlformats.org/officeDocument/2006/relationships" r:id="rId70"/>
          <a:extLst>
            <a:ext uri="{FF2B5EF4-FFF2-40B4-BE49-F238E27FC236}">
              <a16:creationId xmlns:a16="http://schemas.microsoft.com/office/drawing/2014/main" id="{92ABFD27-93A4-42B6-83DC-FEBF72F6F5A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7294480"/>
          <a:ext cx="341247" cy="342599"/>
        </a:xfrm>
        <a:prstGeom prst="rect">
          <a:avLst/>
        </a:prstGeom>
      </xdr:spPr>
    </xdr:pic>
    <xdr:clientData/>
  </xdr:oneCellAnchor>
  <xdr:oneCellAnchor>
    <xdr:from>
      <xdr:col>0</xdr:col>
      <xdr:colOff>19050</xdr:colOff>
      <xdr:row>804</xdr:row>
      <xdr:rowOff>15240</xdr:rowOff>
    </xdr:from>
    <xdr:ext cx="341247" cy="342599"/>
    <xdr:pic>
      <xdr:nvPicPr>
        <xdr:cNvPr id="71" name="Picture 70">
          <a:hlinkClick xmlns:r="http://schemas.openxmlformats.org/officeDocument/2006/relationships" r:id="rId71"/>
          <a:extLst>
            <a:ext uri="{FF2B5EF4-FFF2-40B4-BE49-F238E27FC236}">
              <a16:creationId xmlns:a16="http://schemas.microsoft.com/office/drawing/2014/main" id="{60D52EB3-B442-408B-864E-AC072E5A26E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9694780"/>
          <a:ext cx="341247" cy="342599"/>
        </a:xfrm>
        <a:prstGeom prst="rect">
          <a:avLst/>
        </a:prstGeom>
      </xdr:spPr>
    </xdr:pic>
    <xdr:clientData/>
  </xdr:oneCellAnchor>
  <xdr:oneCellAnchor>
    <xdr:from>
      <xdr:col>0</xdr:col>
      <xdr:colOff>19050</xdr:colOff>
      <xdr:row>814</xdr:row>
      <xdr:rowOff>15240</xdr:rowOff>
    </xdr:from>
    <xdr:ext cx="341247" cy="342599"/>
    <xdr:pic>
      <xdr:nvPicPr>
        <xdr:cNvPr id="72" name="Picture 71">
          <a:hlinkClick xmlns:r="http://schemas.openxmlformats.org/officeDocument/2006/relationships" r:id="rId72"/>
          <a:extLst>
            <a:ext uri="{FF2B5EF4-FFF2-40B4-BE49-F238E27FC236}">
              <a16:creationId xmlns:a16="http://schemas.microsoft.com/office/drawing/2014/main" id="{F0628B53-B68F-44D8-B8C6-2672AC6752C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1660740"/>
          <a:ext cx="341247" cy="342599"/>
        </a:xfrm>
        <a:prstGeom prst="rect">
          <a:avLst/>
        </a:prstGeom>
      </xdr:spPr>
    </xdr:pic>
    <xdr:clientData/>
  </xdr:oneCellAnchor>
  <xdr:oneCellAnchor>
    <xdr:from>
      <xdr:col>0</xdr:col>
      <xdr:colOff>19050</xdr:colOff>
      <xdr:row>824</xdr:row>
      <xdr:rowOff>15240</xdr:rowOff>
    </xdr:from>
    <xdr:ext cx="341247" cy="342599"/>
    <xdr:pic>
      <xdr:nvPicPr>
        <xdr:cNvPr id="73" name="Picture 72">
          <a:hlinkClick xmlns:r="http://schemas.openxmlformats.org/officeDocument/2006/relationships" r:id="rId73"/>
          <a:extLst>
            <a:ext uri="{FF2B5EF4-FFF2-40B4-BE49-F238E27FC236}">
              <a16:creationId xmlns:a16="http://schemas.microsoft.com/office/drawing/2014/main" id="{3EA1DEDB-334E-4C2D-B95D-99005412942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3657180"/>
          <a:ext cx="341247" cy="342599"/>
        </a:xfrm>
        <a:prstGeom prst="rect">
          <a:avLst/>
        </a:prstGeom>
      </xdr:spPr>
    </xdr:pic>
    <xdr:clientData/>
  </xdr:oneCellAnchor>
  <xdr:oneCellAnchor>
    <xdr:from>
      <xdr:col>0</xdr:col>
      <xdr:colOff>19050</xdr:colOff>
      <xdr:row>833</xdr:row>
      <xdr:rowOff>15240</xdr:rowOff>
    </xdr:from>
    <xdr:ext cx="341247" cy="342599"/>
    <xdr:pic>
      <xdr:nvPicPr>
        <xdr:cNvPr id="74" name="Picture 73">
          <a:hlinkClick xmlns:r="http://schemas.openxmlformats.org/officeDocument/2006/relationships" r:id="rId74"/>
          <a:extLst>
            <a:ext uri="{FF2B5EF4-FFF2-40B4-BE49-F238E27FC236}">
              <a16:creationId xmlns:a16="http://schemas.microsoft.com/office/drawing/2014/main" id="{4E8A3B07-A469-401D-AA3F-F2FCEFC5881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5684100"/>
          <a:ext cx="341247" cy="342599"/>
        </a:xfrm>
        <a:prstGeom prst="rect">
          <a:avLst/>
        </a:prstGeom>
      </xdr:spPr>
    </xdr:pic>
    <xdr:clientData/>
  </xdr:oneCellAnchor>
  <xdr:oneCellAnchor>
    <xdr:from>
      <xdr:col>0</xdr:col>
      <xdr:colOff>19050</xdr:colOff>
      <xdr:row>842</xdr:row>
      <xdr:rowOff>15240</xdr:rowOff>
    </xdr:from>
    <xdr:ext cx="341247" cy="342599"/>
    <xdr:pic>
      <xdr:nvPicPr>
        <xdr:cNvPr id="75" name="Picture 74">
          <a:hlinkClick xmlns:r="http://schemas.openxmlformats.org/officeDocument/2006/relationships" r:id="rId75"/>
          <a:extLst>
            <a:ext uri="{FF2B5EF4-FFF2-40B4-BE49-F238E27FC236}">
              <a16:creationId xmlns:a16="http://schemas.microsoft.com/office/drawing/2014/main" id="{77591DB5-995E-49D0-904C-0FC49C83AB3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7672920"/>
          <a:ext cx="341247" cy="342599"/>
        </a:xfrm>
        <a:prstGeom prst="rect">
          <a:avLst/>
        </a:prstGeom>
      </xdr:spPr>
    </xdr:pic>
    <xdr:clientData/>
  </xdr:oneCellAnchor>
  <xdr:oneCellAnchor>
    <xdr:from>
      <xdr:col>0</xdr:col>
      <xdr:colOff>19050</xdr:colOff>
      <xdr:row>852</xdr:row>
      <xdr:rowOff>15240</xdr:rowOff>
    </xdr:from>
    <xdr:ext cx="341247" cy="342599"/>
    <xdr:pic>
      <xdr:nvPicPr>
        <xdr:cNvPr id="76" name="Picture 75">
          <a:hlinkClick xmlns:r="http://schemas.openxmlformats.org/officeDocument/2006/relationships" r:id="rId76"/>
          <a:extLst>
            <a:ext uri="{FF2B5EF4-FFF2-40B4-BE49-F238E27FC236}">
              <a16:creationId xmlns:a16="http://schemas.microsoft.com/office/drawing/2014/main" id="{CFE23955-B504-4F48-B86F-6BF2C9A96313}"/>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9844620"/>
          <a:ext cx="341247" cy="342599"/>
        </a:xfrm>
        <a:prstGeom prst="rect">
          <a:avLst/>
        </a:prstGeom>
      </xdr:spPr>
    </xdr:pic>
    <xdr:clientData/>
  </xdr:oneCellAnchor>
  <xdr:oneCellAnchor>
    <xdr:from>
      <xdr:col>0</xdr:col>
      <xdr:colOff>19050</xdr:colOff>
      <xdr:row>861</xdr:row>
      <xdr:rowOff>15240</xdr:rowOff>
    </xdr:from>
    <xdr:ext cx="341247" cy="342599"/>
    <xdr:pic>
      <xdr:nvPicPr>
        <xdr:cNvPr id="77" name="Picture 76">
          <a:hlinkClick xmlns:r="http://schemas.openxmlformats.org/officeDocument/2006/relationships" r:id="rId77"/>
          <a:extLst>
            <a:ext uri="{FF2B5EF4-FFF2-40B4-BE49-F238E27FC236}">
              <a16:creationId xmlns:a16="http://schemas.microsoft.com/office/drawing/2014/main" id="{FC98FD70-9517-42B6-80E2-22ABB3A5D88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1681040"/>
          <a:ext cx="341247" cy="342599"/>
        </a:xfrm>
        <a:prstGeom prst="rect">
          <a:avLst/>
        </a:prstGeom>
      </xdr:spPr>
    </xdr:pic>
    <xdr:clientData/>
  </xdr:oneCellAnchor>
  <xdr:oneCellAnchor>
    <xdr:from>
      <xdr:col>0</xdr:col>
      <xdr:colOff>19050</xdr:colOff>
      <xdr:row>870</xdr:row>
      <xdr:rowOff>15240</xdr:rowOff>
    </xdr:from>
    <xdr:ext cx="341247" cy="342599"/>
    <xdr:pic>
      <xdr:nvPicPr>
        <xdr:cNvPr id="78" name="Picture 77">
          <a:hlinkClick xmlns:r="http://schemas.openxmlformats.org/officeDocument/2006/relationships" r:id="rId78"/>
          <a:extLst>
            <a:ext uri="{FF2B5EF4-FFF2-40B4-BE49-F238E27FC236}">
              <a16:creationId xmlns:a16="http://schemas.microsoft.com/office/drawing/2014/main" id="{46D75C08-D930-474D-A890-7934DC8E56E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3814640"/>
          <a:ext cx="341247" cy="342599"/>
        </a:xfrm>
        <a:prstGeom prst="rect">
          <a:avLst/>
        </a:prstGeom>
      </xdr:spPr>
    </xdr:pic>
    <xdr:clientData/>
  </xdr:oneCellAnchor>
  <xdr:oneCellAnchor>
    <xdr:from>
      <xdr:col>0</xdr:col>
      <xdr:colOff>19050</xdr:colOff>
      <xdr:row>877</xdr:row>
      <xdr:rowOff>15240</xdr:rowOff>
    </xdr:from>
    <xdr:ext cx="341247" cy="342599"/>
    <xdr:pic>
      <xdr:nvPicPr>
        <xdr:cNvPr id="79" name="Picture 78">
          <a:hlinkClick xmlns:r="http://schemas.openxmlformats.org/officeDocument/2006/relationships" r:id="rId79"/>
          <a:extLst>
            <a:ext uri="{FF2B5EF4-FFF2-40B4-BE49-F238E27FC236}">
              <a16:creationId xmlns:a16="http://schemas.microsoft.com/office/drawing/2014/main" id="{AC61F22C-9721-4622-8641-8FB63B9D4C4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5574860"/>
          <a:ext cx="341247" cy="342599"/>
        </a:xfrm>
        <a:prstGeom prst="rect">
          <a:avLst/>
        </a:prstGeom>
      </xdr:spPr>
    </xdr:pic>
    <xdr:clientData/>
  </xdr:oneCellAnchor>
  <xdr:oneCellAnchor>
    <xdr:from>
      <xdr:col>0</xdr:col>
      <xdr:colOff>19050</xdr:colOff>
      <xdr:row>886</xdr:row>
      <xdr:rowOff>15240</xdr:rowOff>
    </xdr:from>
    <xdr:ext cx="341247" cy="342599"/>
    <xdr:pic>
      <xdr:nvPicPr>
        <xdr:cNvPr id="80" name="Picture 79">
          <a:hlinkClick xmlns:r="http://schemas.openxmlformats.org/officeDocument/2006/relationships" r:id="rId80"/>
          <a:extLst>
            <a:ext uri="{FF2B5EF4-FFF2-40B4-BE49-F238E27FC236}">
              <a16:creationId xmlns:a16="http://schemas.microsoft.com/office/drawing/2014/main" id="{BA09E445-AAB1-46AC-85BF-52C9040B43A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7434140"/>
          <a:ext cx="341247" cy="342599"/>
        </a:xfrm>
        <a:prstGeom prst="rect">
          <a:avLst/>
        </a:prstGeom>
      </xdr:spPr>
    </xdr:pic>
    <xdr:clientData/>
  </xdr:oneCellAnchor>
  <xdr:oneCellAnchor>
    <xdr:from>
      <xdr:col>0</xdr:col>
      <xdr:colOff>19050</xdr:colOff>
      <xdr:row>894</xdr:row>
      <xdr:rowOff>15240</xdr:rowOff>
    </xdr:from>
    <xdr:ext cx="341247" cy="342599"/>
    <xdr:pic>
      <xdr:nvPicPr>
        <xdr:cNvPr id="81" name="Picture 80">
          <a:hlinkClick xmlns:r="http://schemas.openxmlformats.org/officeDocument/2006/relationships" r:id="rId81"/>
          <a:extLst>
            <a:ext uri="{FF2B5EF4-FFF2-40B4-BE49-F238E27FC236}">
              <a16:creationId xmlns:a16="http://schemas.microsoft.com/office/drawing/2014/main" id="{2D7E76BD-E2F1-4570-943D-CEE4F601642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9072440"/>
          <a:ext cx="341247" cy="342599"/>
        </a:xfrm>
        <a:prstGeom prst="rect">
          <a:avLst/>
        </a:prstGeom>
      </xdr:spPr>
    </xdr:pic>
    <xdr:clientData/>
  </xdr:oneCellAnchor>
  <xdr:oneCellAnchor>
    <xdr:from>
      <xdr:col>0</xdr:col>
      <xdr:colOff>19050</xdr:colOff>
      <xdr:row>901</xdr:row>
      <xdr:rowOff>15240</xdr:rowOff>
    </xdr:from>
    <xdr:ext cx="341247" cy="342599"/>
    <xdr:pic>
      <xdr:nvPicPr>
        <xdr:cNvPr id="82" name="Picture 81">
          <a:hlinkClick xmlns:r="http://schemas.openxmlformats.org/officeDocument/2006/relationships" r:id="rId82"/>
          <a:extLst>
            <a:ext uri="{FF2B5EF4-FFF2-40B4-BE49-F238E27FC236}">
              <a16:creationId xmlns:a16="http://schemas.microsoft.com/office/drawing/2014/main" id="{FE785842-0E4D-4E95-9F16-2A81022F2F9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30512620"/>
          <a:ext cx="341247" cy="342599"/>
        </a:xfrm>
        <a:prstGeom prst="rect">
          <a:avLst/>
        </a:prstGeom>
      </xdr:spPr>
    </xdr:pic>
    <xdr:clientData/>
  </xdr:oneCellAnchor>
  <xdr:oneCellAnchor>
    <xdr:from>
      <xdr:col>0</xdr:col>
      <xdr:colOff>19050</xdr:colOff>
      <xdr:row>909</xdr:row>
      <xdr:rowOff>15240</xdr:rowOff>
    </xdr:from>
    <xdr:ext cx="341247" cy="342599"/>
    <xdr:pic>
      <xdr:nvPicPr>
        <xdr:cNvPr id="83" name="Picture 82">
          <a:hlinkClick xmlns:r="http://schemas.openxmlformats.org/officeDocument/2006/relationships" r:id="rId83"/>
          <a:extLst>
            <a:ext uri="{FF2B5EF4-FFF2-40B4-BE49-F238E27FC236}">
              <a16:creationId xmlns:a16="http://schemas.microsoft.com/office/drawing/2014/main" id="{3BF120ED-5DCE-41EF-B06F-1B6D1D92D0E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32173780"/>
          <a:ext cx="341247" cy="342599"/>
        </a:xfrm>
        <a:prstGeom prst="rect">
          <a:avLst/>
        </a:prstGeom>
      </xdr:spPr>
    </xdr:pic>
    <xdr:clientData/>
  </xdr:oneCellAnchor>
  <xdr:oneCellAnchor>
    <xdr:from>
      <xdr:col>0</xdr:col>
      <xdr:colOff>19050</xdr:colOff>
      <xdr:row>918</xdr:row>
      <xdr:rowOff>15240</xdr:rowOff>
    </xdr:from>
    <xdr:ext cx="341247" cy="342599"/>
    <xdr:pic>
      <xdr:nvPicPr>
        <xdr:cNvPr id="84" name="Picture 83">
          <a:hlinkClick xmlns:r="http://schemas.openxmlformats.org/officeDocument/2006/relationships" r:id="rId84"/>
          <a:extLst>
            <a:ext uri="{FF2B5EF4-FFF2-40B4-BE49-F238E27FC236}">
              <a16:creationId xmlns:a16="http://schemas.microsoft.com/office/drawing/2014/main" id="{E6EF0848-15F6-4773-BDF9-CDF42368F4EC}"/>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33796840"/>
          <a:ext cx="341247" cy="342599"/>
        </a:xfrm>
        <a:prstGeom prst="rect">
          <a:avLst/>
        </a:prstGeom>
      </xdr:spPr>
    </xdr:pic>
    <xdr:clientData/>
  </xdr:oneCellAnchor>
  <xdr:oneCellAnchor>
    <xdr:from>
      <xdr:col>0</xdr:col>
      <xdr:colOff>19050</xdr:colOff>
      <xdr:row>931</xdr:row>
      <xdr:rowOff>15240</xdr:rowOff>
    </xdr:from>
    <xdr:ext cx="341247" cy="342599"/>
    <xdr:pic>
      <xdr:nvPicPr>
        <xdr:cNvPr id="85" name="Picture 84">
          <a:hlinkClick xmlns:r="http://schemas.openxmlformats.org/officeDocument/2006/relationships" r:id="rId85"/>
          <a:extLst>
            <a:ext uri="{FF2B5EF4-FFF2-40B4-BE49-F238E27FC236}">
              <a16:creationId xmlns:a16="http://schemas.microsoft.com/office/drawing/2014/main" id="{CF3407B5-0E19-4880-818B-91A9C2251B2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38033560"/>
          <a:ext cx="341247" cy="342599"/>
        </a:xfrm>
        <a:prstGeom prst="rect">
          <a:avLst/>
        </a:prstGeom>
      </xdr:spPr>
    </xdr:pic>
    <xdr:clientData/>
  </xdr:oneCellAnchor>
  <xdr:oneCellAnchor>
    <xdr:from>
      <xdr:col>0</xdr:col>
      <xdr:colOff>19050</xdr:colOff>
      <xdr:row>939</xdr:row>
      <xdr:rowOff>15240</xdr:rowOff>
    </xdr:from>
    <xdr:ext cx="341247" cy="342599"/>
    <xdr:pic>
      <xdr:nvPicPr>
        <xdr:cNvPr id="86" name="Picture 85">
          <a:hlinkClick xmlns:r="http://schemas.openxmlformats.org/officeDocument/2006/relationships" r:id="rId86"/>
          <a:extLst>
            <a:ext uri="{FF2B5EF4-FFF2-40B4-BE49-F238E27FC236}">
              <a16:creationId xmlns:a16="http://schemas.microsoft.com/office/drawing/2014/main" id="{3684D323-F508-4C03-8708-61CCE4D7D1C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40845340"/>
          <a:ext cx="341247" cy="342599"/>
        </a:xfrm>
        <a:prstGeom prst="rect">
          <a:avLst/>
        </a:prstGeom>
      </xdr:spPr>
    </xdr:pic>
    <xdr:clientData/>
  </xdr:oneCellAnchor>
  <xdr:oneCellAnchor>
    <xdr:from>
      <xdr:col>0</xdr:col>
      <xdr:colOff>19050</xdr:colOff>
      <xdr:row>948</xdr:row>
      <xdr:rowOff>15240</xdr:rowOff>
    </xdr:from>
    <xdr:ext cx="341247" cy="342599"/>
    <xdr:pic>
      <xdr:nvPicPr>
        <xdr:cNvPr id="87" name="Picture 86">
          <a:hlinkClick xmlns:r="http://schemas.openxmlformats.org/officeDocument/2006/relationships" r:id="rId87"/>
          <a:extLst>
            <a:ext uri="{FF2B5EF4-FFF2-40B4-BE49-F238E27FC236}">
              <a16:creationId xmlns:a16="http://schemas.microsoft.com/office/drawing/2014/main" id="{85874D4A-9D60-4FCF-A262-45BB1D6ADD9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43169440"/>
          <a:ext cx="341247" cy="342599"/>
        </a:xfrm>
        <a:prstGeom prst="rect">
          <a:avLst/>
        </a:prstGeom>
      </xdr:spPr>
    </xdr:pic>
    <xdr:clientData/>
  </xdr:oneCellAnchor>
  <xdr:oneCellAnchor>
    <xdr:from>
      <xdr:col>0</xdr:col>
      <xdr:colOff>19050</xdr:colOff>
      <xdr:row>957</xdr:row>
      <xdr:rowOff>15240</xdr:rowOff>
    </xdr:from>
    <xdr:ext cx="341247" cy="342599"/>
    <xdr:pic>
      <xdr:nvPicPr>
        <xdr:cNvPr id="88" name="Picture 87">
          <a:hlinkClick xmlns:r="http://schemas.openxmlformats.org/officeDocument/2006/relationships" r:id="rId88"/>
          <a:extLst>
            <a:ext uri="{FF2B5EF4-FFF2-40B4-BE49-F238E27FC236}">
              <a16:creationId xmlns:a16="http://schemas.microsoft.com/office/drawing/2014/main" id="{FDD01A04-5E17-48DF-A4A2-22D10E3D1B3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45485920"/>
          <a:ext cx="341247" cy="342599"/>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5</xdr:row>
      <xdr:rowOff>45720</xdr:rowOff>
    </xdr:from>
    <xdr:to>
      <xdr:col>0</xdr:col>
      <xdr:colOff>378000</xdr:colOff>
      <xdr:row>7</xdr:row>
      <xdr:rowOff>810</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165860"/>
          <a:ext cx="378000" cy="378000"/>
        </a:xfrm>
        <a:prstGeom prst="rect">
          <a:avLst/>
        </a:prstGeom>
      </xdr:spPr>
    </xdr:pic>
    <xdr:clientData/>
  </xdr:twoCellAnchor>
  <xdr:twoCellAnchor editAs="oneCell">
    <xdr:from>
      <xdr:col>0</xdr:col>
      <xdr:colOff>0</xdr:colOff>
      <xdr:row>30</xdr:row>
      <xdr:rowOff>45720</xdr:rowOff>
    </xdr:from>
    <xdr:to>
      <xdr:col>0</xdr:col>
      <xdr:colOff>378000</xdr:colOff>
      <xdr:row>32</xdr:row>
      <xdr:rowOff>810</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998720"/>
          <a:ext cx="378000" cy="378000"/>
        </a:xfrm>
        <a:prstGeom prst="rect">
          <a:avLst/>
        </a:prstGeom>
      </xdr:spPr>
    </xdr:pic>
    <xdr:clientData/>
  </xdr:twoCellAnchor>
  <xdr:twoCellAnchor editAs="oneCell">
    <xdr:from>
      <xdr:col>0</xdr:col>
      <xdr:colOff>0</xdr:colOff>
      <xdr:row>56</xdr:row>
      <xdr:rowOff>68580</xdr:rowOff>
    </xdr:from>
    <xdr:to>
      <xdr:col>0</xdr:col>
      <xdr:colOff>378000</xdr:colOff>
      <xdr:row>58</xdr:row>
      <xdr:rowOff>57960</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00000000-0008-0000-0B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9052560"/>
          <a:ext cx="378000" cy="37800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22860</xdr:colOff>
      <xdr:row>4</xdr:row>
      <xdr:rowOff>365760</xdr:rowOff>
    </xdr:from>
    <xdr:to>
      <xdr:col>1</xdr:col>
      <xdr:colOff>8430</xdr:colOff>
      <xdr:row>6</xdr:row>
      <xdr:rowOff>97965</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2860" y="1287780"/>
          <a:ext cx="378000" cy="378000"/>
        </a:xfrm>
        <a:prstGeom prst="rect">
          <a:avLst/>
        </a:prstGeom>
      </xdr:spPr>
    </xdr:pic>
    <xdr:clientData/>
  </xdr:twoCellAnchor>
  <xdr:twoCellAnchor editAs="oneCell">
    <xdr:from>
      <xdr:col>0</xdr:col>
      <xdr:colOff>0</xdr:colOff>
      <xdr:row>17</xdr:row>
      <xdr:rowOff>60960</xdr:rowOff>
    </xdr:from>
    <xdr:to>
      <xdr:col>0</xdr:col>
      <xdr:colOff>378000</xdr:colOff>
      <xdr:row>18</xdr:row>
      <xdr:rowOff>35100</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299460"/>
          <a:ext cx="378000" cy="378000"/>
        </a:xfrm>
        <a:prstGeom prst="rect">
          <a:avLst/>
        </a:prstGeom>
      </xdr:spPr>
    </xdr:pic>
    <xdr:clientData/>
  </xdr:twoCellAnchor>
  <xdr:twoCellAnchor editAs="oneCell">
    <xdr:from>
      <xdr:col>0</xdr:col>
      <xdr:colOff>15240</xdr:colOff>
      <xdr:row>61</xdr:row>
      <xdr:rowOff>274320</xdr:rowOff>
    </xdr:from>
    <xdr:to>
      <xdr:col>1</xdr:col>
      <xdr:colOff>8430</xdr:colOff>
      <xdr:row>63</xdr:row>
      <xdr:rowOff>57960</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00000000-0008-0000-0C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10264140"/>
          <a:ext cx="378000" cy="378000"/>
        </a:xfrm>
        <a:prstGeom prst="rect">
          <a:avLst/>
        </a:prstGeom>
      </xdr:spPr>
    </xdr:pic>
    <xdr:clientData/>
  </xdr:twoCellAnchor>
  <xdr:twoCellAnchor editAs="oneCell">
    <xdr:from>
      <xdr:col>0</xdr:col>
      <xdr:colOff>15240</xdr:colOff>
      <xdr:row>112</xdr:row>
      <xdr:rowOff>266700</xdr:rowOff>
    </xdr:from>
    <xdr:to>
      <xdr:col>1</xdr:col>
      <xdr:colOff>8430</xdr:colOff>
      <xdr:row>114</xdr:row>
      <xdr:rowOff>57960</xdr:rowOff>
    </xdr:to>
    <xdr:pic>
      <xdr:nvPicPr>
        <xdr:cNvPr id="5" name="Graphic 4" descr="Information outline">
          <a:hlinkClick xmlns:r="http://schemas.openxmlformats.org/officeDocument/2006/relationships" r:id="rId6"/>
          <a:extLst>
            <a:ext uri="{FF2B5EF4-FFF2-40B4-BE49-F238E27FC236}">
              <a16:creationId xmlns:a16="http://schemas.microsoft.com/office/drawing/2014/main" id="{00000000-0008-0000-0C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18691860"/>
          <a:ext cx="378000" cy="378000"/>
        </a:xfrm>
        <a:prstGeom prst="rect">
          <a:avLst/>
        </a:prstGeom>
      </xdr:spPr>
    </xdr:pic>
    <xdr:clientData/>
  </xdr:twoCellAnchor>
  <xdr:twoCellAnchor editAs="oneCell">
    <xdr:from>
      <xdr:col>0</xdr:col>
      <xdr:colOff>22860</xdr:colOff>
      <xdr:row>130</xdr:row>
      <xdr:rowOff>266700</xdr:rowOff>
    </xdr:from>
    <xdr:to>
      <xdr:col>1</xdr:col>
      <xdr:colOff>8430</xdr:colOff>
      <xdr:row>132</xdr:row>
      <xdr:rowOff>57960</xdr:rowOff>
    </xdr:to>
    <xdr:pic>
      <xdr:nvPicPr>
        <xdr:cNvPr id="6" name="Graphic 5" descr="Information outline">
          <a:hlinkClick xmlns:r="http://schemas.openxmlformats.org/officeDocument/2006/relationships" r:id="rId7"/>
          <a:extLst>
            <a:ext uri="{FF2B5EF4-FFF2-40B4-BE49-F238E27FC236}">
              <a16:creationId xmlns:a16="http://schemas.microsoft.com/office/drawing/2014/main" id="{00000000-0008-0000-0C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2860" y="20322540"/>
          <a:ext cx="378000" cy="378000"/>
        </a:xfrm>
        <a:prstGeom prst="rect">
          <a:avLst/>
        </a:prstGeom>
      </xdr:spPr>
    </xdr:pic>
    <xdr:clientData/>
  </xdr:twoCellAnchor>
  <xdr:twoCellAnchor editAs="oneCell">
    <xdr:from>
      <xdr:col>0</xdr:col>
      <xdr:colOff>15240</xdr:colOff>
      <xdr:row>143</xdr:row>
      <xdr:rowOff>68580</xdr:rowOff>
    </xdr:from>
    <xdr:to>
      <xdr:col>1</xdr:col>
      <xdr:colOff>8430</xdr:colOff>
      <xdr:row>144</xdr:row>
      <xdr:rowOff>19860</xdr:rowOff>
    </xdr:to>
    <xdr:pic>
      <xdr:nvPicPr>
        <xdr:cNvPr id="7" name="Graphic 6" descr="Information outline">
          <a:hlinkClick xmlns:r="http://schemas.openxmlformats.org/officeDocument/2006/relationships" r:id="rId8"/>
          <a:extLst>
            <a:ext uri="{FF2B5EF4-FFF2-40B4-BE49-F238E27FC236}">
              <a16:creationId xmlns:a16="http://schemas.microsoft.com/office/drawing/2014/main" id="{00000000-0008-0000-0C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22113240"/>
          <a:ext cx="378000" cy="378000"/>
        </a:xfrm>
        <a:prstGeom prst="rect">
          <a:avLst/>
        </a:prstGeom>
      </xdr:spPr>
    </xdr:pic>
    <xdr:clientData/>
  </xdr:twoCellAnchor>
  <xdr:twoCellAnchor editAs="oneCell">
    <xdr:from>
      <xdr:col>0</xdr:col>
      <xdr:colOff>0</xdr:colOff>
      <xdr:row>217</xdr:row>
      <xdr:rowOff>68580</xdr:rowOff>
    </xdr:from>
    <xdr:to>
      <xdr:col>0</xdr:col>
      <xdr:colOff>378000</xdr:colOff>
      <xdr:row>218</xdr:row>
      <xdr:rowOff>57960</xdr:rowOff>
    </xdr:to>
    <xdr:pic>
      <xdr:nvPicPr>
        <xdr:cNvPr id="8" name="Graphic 7" descr="Information outline">
          <a:hlinkClick xmlns:r="http://schemas.openxmlformats.org/officeDocument/2006/relationships" r:id="rId9"/>
          <a:extLst>
            <a:ext uri="{FF2B5EF4-FFF2-40B4-BE49-F238E27FC236}">
              <a16:creationId xmlns:a16="http://schemas.microsoft.com/office/drawing/2014/main" id="{00000000-0008-0000-0C00-00000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7627560"/>
          <a:ext cx="378000" cy="378000"/>
        </a:xfrm>
        <a:prstGeom prst="rect">
          <a:avLst/>
        </a:prstGeom>
      </xdr:spPr>
    </xdr:pic>
    <xdr:clientData/>
  </xdr:twoCellAnchor>
  <xdr:twoCellAnchor editAs="oneCell">
    <xdr:from>
      <xdr:col>0</xdr:col>
      <xdr:colOff>15240</xdr:colOff>
      <xdr:row>166</xdr:row>
      <xdr:rowOff>251460</xdr:rowOff>
    </xdr:from>
    <xdr:to>
      <xdr:col>1</xdr:col>
      <xdr:colOff>8430</xdr:colOff>
      <xdr:row>168</xdr:row>
      <xdr:rowOff>21765</xdr:rowOff>
    </xdr:to>
    <xdr:pic>
      <xdr:nvPicPr>
        <xdr:cNvPr id="10" name="Graphic 9" descr="Information outline">
          <a:hlinkClick xmlns:r="http://schemas.openxmlformats.org/officeDocument/2006/relationships" r:id="rId10"/>
          <a:extLst>
            <a:ext uri="{FF2B5EF4-FFF2-40B4-BE49-F238E27FC236}">
              <a16:creationId xmlns:a16="http://schemas.microsoft.com/office/drawing/2014/main" id="{00000000-0008-0000-0C00-00000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29016960"/>
          <a:ext cx="378000" cy="378000"/>
        </a:xfrm>
        <a:prstGeom prst="rect">
          <a:avLst/>
        </a:prstGeom>
      </xdr:spPr>
    </xdr:pic>
    <xdr:clientData/>
  </xdr:twoCellAnchor>
  <xdr:twoCellAnchor editAs="oneCell">
    <xdr:from>
      <xdr:col>0</xdr:col>
      <xdr:colOff>0</xdr:colOff>
      <xdr:row>199</xdr:row>
      <xdr:rowOff>304800</xdr:rowOff>
    </xdr:from>
    <xdr:to>
      <xdr:col>0</xdr:col>
      <xdr:colOff>378000</xdr:colOff>
      <xdr:row>201</xdr:row>
      <xdr:rowOff>96061</xdr:rowOff>
    </xdr:to>
    <xdr:pic>
      <xdr:nvPicPr>
        <xdr:cNvPr id="11" name="Graphic 10" descr="Information outline">
          <a:hlinkClick xmlns:r="http://schemas.openxmlformats.org/officeDocument/2006/relationships" r:id="rId11"/>
          <a:extLst>
            <a:ext uri="{FF2B5EF4-FFF2-40B4-BE49-F238E27FC236}">
              <a16:creationId xmlns:a16="http://schemas.microsoft.com/office/drawing/2014/main" id="{C41C78D3-47B0-4812-A2DE-2A2285B9BA7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2077640"/>
          <a:ext cx="378000" cy="39324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5</xdr:row>
      <xdr:rowOff>0</xdr:rowOff>
    </xdr:from>
    <xdr:to>
      <xdr:col>0</xdr:col>
      <xdr:colOff>378000</xdr:colOff>
      <xdr:row>5</xdr:row>
      <xdr:rowOff>368475</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0F203FBA-976C-4AD1-BCAF-E8FA99FBAB9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082040"/>
          <a:ext cx="378000" cy="368475"/>
        </a:xfrm>
        <a:prstGeom prst="rect">
          <a:avLst/>
        </a:prstGeom>
      </xdr:spPr>
    </xdr:pic>
    <xdr:clientData/>
  </xdr:twoCellAnchor>
  <xdr:twoCellAnchor editAs="oneCell">
    <xdr:from>
      <xdr:col>0</xdr:col>
      <xdr:colOff>0</xdr:colOff>
      <xdr:row>8</xdr:row>
      <xdr:rowOff>0</xdr:rowOff>
    </xdr:from>
    <xdr:to>
      <xdr:col>0</xdr:col>
      <xdr:colOff>378000</xdr:colOff>
      <xdr:row>8</xdr:row>
      <xdr:rowOff>368475</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C56BF086-7397-4484-AE70-915F4CA1529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760220"/>
          <a:ext cx="378000" cy="368475"/>
        </a:xfrm>
        <a:prstGeom prst="rect">
          <a:avLst/>
        </a:prstGeom>
      </xdr:spPr>
    </xdr:pic>
    <xdr:clientData/>
  </xdr:twoCellAnchor>
  <xdr:twoCellAnchor editAs="oneCell">
    <xdr:from>
      <xdr:col>0</xdr:col>
      <xdr:colOff>0</xdr:colOff>
      <xdr:row>12</xdr:row>
      <xdr:rowOff>0</xdr:rowOff>
    </xdr:from>
    <xdr:to>
      <xdr:col>0</xdr:col>
      <xdr:colOff>378000</xdr:colOff>
      <xdr:row>13</xdr:row>
      <xdr:rowOff>143685</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6BF598D3-8ABB-4C33-981B-697D654CFDF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499360"/>
          <a:ext cx="378000" cy="372285"/>
        </a:xfrm>
        <a:prstGeom prst="rect">
          <a:avLst/>
        </a:prstGeom>
      </xdr:spPr>
    </xdr:pic>
    <xdr:clientData/>
  </xdr:twoCellAnchor>
  <xdr:twoCellAnchor editAs="oneCell">
    <xdr:from>
      <xdr:col>0</xdr:col>
      <xdr:colOff>0</xdr:colOff>
      <xdr:row>15</xdr:row>
      <xdr:rowOff>0</xdr:rowOff>
    </xdr:from>
    <xdr:to>
      <xdr:col>0</xdr:col>
      <xdr:colOff>378000</xdr:colOff>
      <xdr:row>16</xdr:row>
      <xdr:rowOff>143685</xdr:rowOff>
    </xdr:to>
    <xdr:pic>
      <xdr:nvPicPr>
        <xdr:cNvPr id="5" name="Graphic 4" descr="Information outline">
          <a:hlinkClick xmlns:r="http://schemas.openxmlformats.org/officeDocument/2006/relationships" r:id="rId6"/>
          <a:extLst>
            <a:ext uri="{FF2B5EF4-FFF2-40B4-BE49-F238E27FC236}">
              <a16:creationId xmlns:a16="http://schemas.microsoft.com/office/drawing/2014/main" id="{3CB55AB1-20A9-4315-853A-C1BABCC3072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352800"/>
          <a:ext cx="378000" cy="372285"/>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14</xdr:row>
      <xdr:rowOff>76200</xdr:rowOff>
    </xdr:from>
    <xdr:to>
      <xdr:col>0</xdr:col>
      <xdr:colOff>378000</xdr:colOff>
      <xdr:row>15</xdr:row>
      <xdr:rowOff>57960</xdr:rowOff>
    </xdr:to>
    <xdr:pic>
      <xdr:nvPicPr>
        <xdr:cNvPr id="3" name="Graphic 2" descr="Information outline">
          <a:hlinkClick xmlns:r="http://schemas.openxmlformats.org/officeDocument/2006/relationships" r:id="rId1"/>
          <a:extLst>
            <a:ext uri="{FF2B5EF4-FFF2-40B4-BE49-F238E27FC236}">
              <a16:creationId xmlns:a16="http://schemas.microsoft.com/office/drawing/2014/main" id="{AE45B862-1F2D-4336-8EDA-E0DCBDCAD09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5448300"/>
          <a:ext cx="378000" cy="385620"/>
        </a:xfrm>
        <a:prstGeom prst="rect">
          <a:avLst/>
        </a:prstGeom>
      </xdr:spPr>
    </xdr:pic>
    <xdr:clientData/>
  </xdr:twoCellAnchor>
  <xdr:twoCellAnchor editAs="oneCell">
    <xdr:from>
      <xdr:col>0</xdr:col>
      <xdr:colOff>0</xdr:colOff>
      <xdr:row>21</xdr:row>
      <xdr:rowOff>281940</xdr:rowOff>
    </xdr:from>
    <xdr:to>
      <xdr:col>0</xdr:col>
      <xdr:colOff>378000</xdr:colOff>
      <xdr:row>23</xdr:row>
      <xdr:rowOff>38910</xdr:rowOff>
    </xdr:to>
    <xdr:pic>
      <xdr:nvPicPr>
        <xdr:cNvPr id="4" name="Graphic 3" descr="Information outline">
          <a:hlinkClick xmlns:r="http://schemas.openxmlformats.org/officeDocument/2006/relationships" r:id="rId4"/>
          <a:extLst>
            <a:ext uri="{FF2B5EF4-FFF2-40B4-BE49-F238E27FC236}">
              <a16:creationId xmlns:a16="http://schemas.microsoft.com/office/drawing/2014/main" id="{D05BFB17-A631-4DEE-978A-501CAC4970A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8557260"/>
          <a:ext cx="378000" cy="381810"/>
        </a:xfrm>
        <a:prstGeom prst="rect">
          <a:avLst/>
        </a:prstGeom>
      </xdr:spPr>
    </xdr:pic>
    <xdr:clientData/>
  </xdr:twoCellAnchor>
  <xdr:twoCellAnchor editAs="oneCell">
    <xdr:from>
      <xdr:col>0</xdr:col>
      <xdr:colOff>0</xdr:colOff>
      <xdr:row>4</xdr:row>
      <xdr:rowOff>38100</xdr:rowOff>
    </xdr:from>
    <xdr:to>
      <xdr:col>0</xdr:col>
      <xdr:colOff>378000</xdr:colOff>
      <xdr:row>5</xdr:row>
      <xdr:rowOff>187500</xdr:rowOff>
    </xdr:to>
    <xdr:pic>
      <xdr:nvPicPr>
        <xdr:cNvPr id="5" name="Graphic 4" descr="Information outline">
          <a:hlinkClick xmlns:r="http://schemas.openxmlformats.org/officeDocument/2006/relationships" r:id="rId5"/>
          <a:extLst>
            <a:ext uri="{FF2B5EF4-FFF2-40B4-BE49-F238E27FC236}">
              <a16:creationId xmlns:a16="http://schemas.microsoft.com/office/drawing/2014/main" id="{BAA2D3A3-269B-4D55-BF3F-94A14194D6D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784860"/>
          <a:ext cx="378000" cy="38562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9</xdr:col>
      <xdr:colOff>60960</xdr:colOff>
      <xdr:row>93</xdr:row>
      <xdr:rowOff>83820</xdr:rowOff>
    </xdr:from>
    <xdr:to>
      <xdr:col>9</xdr:col>
      <xdr:colOff>490855</xdr:colOff>
      <xdr:row>95</xdr:row>
      <xdr:rowOff>128906</xdr:rowOff>
    </xdr:to>
    <xdr:pic>
      <xdr:nvPicPr>
        <xdr:cNvPr id="2" name="Graphic 11" descr="Clapping hands outline">
          <a:extLst>
            <a:ext uri="{FF2B5EF4-FFF2-40B4-BE49-F238E27FC236}">
              <a16:creationId xmlns:a16="http://schemas.microsoft.com/office/drawing/2014/main" id="{50EF8444-CCE0-4A70-948D-BAD7BDB3DF3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2275820" y="3611880"/>
          <a:ext cx="426720" cy="438150"/>
        </a:xfrm>
        <a:prstGeom prst="rect">
          <a:avLst/>
        </a:prstGeom>
      </xdr:spPr>
    </xdr:pic>
    <xdr:clientData/>
  </xdr:twoCellAnchor>
  <xdr:twoCellAnchor editAs="oneCell">
    <xdr:from>
      <xdr:col>0</xdr:col>
      <xdr:colOff>0</xdr:colOff>
      <xdr:row>95</xdr:row>
      <xdr:rowOff>68580</xdr:rowOff>
    </xdr:from>
    <xdr:to>
      <xdr:col>0</xdr:col>
      <xdr:colOff>378000</xdr:colOff>
      <xdr:row>97</xdr:row>
      <xdr:rowOff>57960</xdr:rowOff>
    </xdr:to>
    <xdr:pic>
      <xdr:nvPicPr>
        <xdr:cNvPr id="4" name="Graphic 3" descr="Information outline">
          <a:hlinkClick xmlns:r="http://schemas.openxmlformats.org/officeDocument/2006/relationships" r:id="rId3"/>
          <a:extLst>
            <a:ext uri="{FF2B5EF4-FFF2-40B4-BE49-F238E27FC236}">
              <a16:creationId xmlns:a16="http://schemas.microsoft.com/office/drawing/2014/main" id="{464765C4-70C5-4A95-84F9-24855CB7633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0" y="4130040"/>
          <a:ext cx="378000" cy="385620"/>
        </a:xfrm>
        <a:prstGeom prst="rect">
          <a:avLst/>
        </a:prstGeom>
      </xdr:spPr>
    </xdr:pic>
    <xdr:clientData/>
  </xdr:twoCellAnchor>
  <xdr:twoCellAnchor editAs="oneCell">
    <xdr:from>
      <xdr:col>0</xdr:col>
      <xdr:colOff>0</xdr:colOff>
      <xdr:row>4</xdr:row>
      <xdr:rowOff>0</xdr:rowOff>
    </xdr:from>
    <xdr:to>
      <xdr:col>0</xdr:col>
      <xdr:colOff>378000</xdr:colOff>
      <xdr:row>5</xdr:row>
      <xdr:rowOff>187500</xdr:rowOff>
    </xdr:to>
    <xdr:pic>
      <xdr:nvPicPr>
        <xdr:cNvPr id="5" name="Graphic 4" descr="Information outline">
          <a:hlinkClick xmlns:r="http://schemas.openxmlformats.org/officeDocument/2006/relationships" r:id="rId6"/>
          <a:extLst>
            <a:ext uri="{FF2B5EF4-FFF2-40B4-BE49-F238E27FC236}">
              <a16:creationId xmlns:a16="http://schemas.microsoft.com/office/drawing/2014/main" id="{395FB00B-36AC-45A2-A1FE-1DE2A2827234}"/>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0" y="861060"/>
          <a:ext cx="378000" cy="38562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30480</xdr:colOff>
      <xdr:row>3</xdr:row>
      <xdr:rowOff>91440</xdr:rowOff>
    </xdr:from>
    <xdr:to>
      <xdr:col>0</xdr:col>
      <xdr:colOff>377071</xdr:colOff>
      <xdr:row>5</xdr:row>
      <xdr:rowOff>112773</xdr:rowOff>
    </xdr:to>
    <xdr:pic>
      <xdr:nvPicPr>
        <xdr:cNvPr id="3" name="Graphic 2" descr="Information outline">
          <a:hlinkClick xmlns:r="http://schemas.openxmlformats.org/officeDocument/2006/relationships" r:id="rId1"/>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0480" y="631190"/>
          <a:ext cx="343416" cy="3600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4</xdr:row>
      <xdr:rowOff>182880</xdr:rowOff>
    </xdr:from>
    <xdr:to>
      <xdr:col>0</xdr:col>
      <xdr:colOff>378000</xdr:colOff>
      <xdr:row>5</xdr:row>
      <xdr:rowOff>130350</xdr:rowOff>
    </xdr:to>
    <xdr:pic>
      <xdr:nvPicPr>
        <xdr:cNvPr id="7" name="Graphic 6" descr="Information outline">
          <a:hlinkClick xmlns:r="http://schemas.openxmlformats.org/officeDocument/2006/relationships" r:id="rId1"/>
          <a:extLst>
            <a:ext uri="{FF2B5EF4-FFF2-40B4-BE49-F238E27FC236}">
              <a16:creationId xmlns:a16="http://schemas.microsoft.com/office/drawing/2014/main" id="{00000000-0008-0000-04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923713"/>
          <a:ext cx="378000" cy="381387"/>
        </a:xfrm>
        <a:prstGeom prst="rect">
          <a:avLst/>
        </a:prstGeom>
      </xdr:spPr>
    </xdr:pic>
    <xdr:clientData/>
  </xdr:twoCellAnchor>
  <xdr:twoCellAnchor editAs="oneCell">
    <xdr:from>
      <xdr:col>0</xdr:col>
      <xdr:colOff>15240</xdr:colOff>
      <xdr:row>51</xdr:row>
      <xdr:rowOff>91440</xdr:rowOff>
    </xdr:from>
    <xdr:to>
      <xdr:col>0</xdr:col>
      <xdr:colOff>392605</xdr:colOff>
      <xdr:row>53</xdr:row>
      <xdr:rowOff>134160</xdr:rowOff>
    </xdr:to>
    <xdr:pic>
      <xdr:nvPicPr>
        <xdr:cNvPr id="10" name="Graphic 9" descr="Information outline">
          <a:hlinkClick xmlns:r="http://schemas.openxmlformats.org/officeDocument/2006/relationships" r:id="rId4"/>
          <a:extLst>
            <a:ext uri="{FF2B5EF4-FFF2-40B4-BE49-F238E27FC236}">
              <a16:creationId xmlns:a16="http://schemas.microsoft.com/office/drawing/2014/main" id="{00000000-0008-0000-0400-00000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11502390"/>
          <a:ext cx="387525" cy="391335"/>
        </a:xfrm>
        <a:prstGeom prst="rect">
          <a:avLst/>
        </a:prstGeom>
      </xdr:spPr>
    </xdr:pic>
    <xdr:clientData/>
  </xdr:twoCellAnchor>
  <xdr:twoCellAnchor editAs="oneCell">
    <xdr:from>
      <xdr:col>0</xdr:col>
      <xdr:colOff>0</xdr:colOff>
      <xdr:row>78</xdr:row>
      <xdr:rowOff>411480</xdr:rowOff>
    </xdr:from>
    <xdr:to>
      <xdr:col>0</xdr:col>
      <xdr:colOff>378000</xdr:colOff>
      <xdr:row>79</xdr:row>
      <xdr:rowOff>305610</xdr:rowOff>
    </xdr:to>
    <xdr:pic>
      <xdr:nvPicPr>
        <xdr:cNvPr id="11" name="Graphic 10" descr="Information outline">
          <a:hlinkClick xmlns:r="http://schemas.openxmlformats.org/officeDocument/2006/relationships" r:id="rId5"/>
          <a:extLst>
            <a:ext uri="{FF2B5EF4-FFF2-40B4-BE49-F238E27FC236}">
              <a16:creationId xmlns:a16="http://schemas.microsoft.com/office/drawing/2014/main" id="{00000000-0008-0000-0400-00000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6017240"/>
          <a:ext cx="378000" cy="366570"/>
        </a:xfrm>
        <a:prstGeom prst="rect">
          <a:avLst/>
        </a:prstGeom>
      </xdr:spPr>
    </xdr:pic>
    <xdr:clientData/>
  </xdr:twoCellAnchor>
  <xdr:twoCellAnchor editAs="oneCell">
    <xdr:from>
      <xdr:col>0</xdr:col>
      <xdr:colOff>0</xdr:colOff>
      <xdr:row>98</xdr:row>
      <xdr:rowOff>0</xdr:rowOff>
    </xdr:from>
    <xdr:to>
      <xdr:col>0</xdr:col>
      <xdr:colOff>378000</xdr:colOff>
      <xdr:row>99</xdr:row>
      <xdr:rowOff>176068</xdr:rowOff>
    </xdr:to>
    <xdr:pic>
      <xdr:nvPicPr>
        <xdr:cNvPr id="6" name="Graphic 5" descr="Information outline">
          <a:hlinkClick xmlns:r="http://schemas.openxmlformats.org/officeDocument/2006/relationships" r:id="rId6"/>
          <a:extLst>
            <a:ext uri="{FF2B5EF4-FFF2-40B4-BE49-F238E27FC236}">
              <a16:creationId xmlns:a16="http://schemas.microsoft.com/office/drawing/2014/main" id="{22C96EF0-0A70-4EC4-B071-D23C60CD9BA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0543520"/>
          <a:ext cx="378000" cy="36657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4</xdr:row>
      <xdr:rowOff>259080</xdr:rowOff>
    </xdr:from>
    <xdr:to>
      <xdr:col>0</xdr:col>
      <xdr:colOff>378000</xdr:colOff>
      <xdr:row>4</xdr:row>
      <xdr:rowOff>627555</xdr:rowOff>
    </xdr:to>
    <xdr:pic>
      <xdr:nvPicPr>
        <xdr:cNvPr id="5" name="Graphic 4" descr="Information outline">
          <a:hlinkClick xmlns:r="http://schemas.openxmlformats.org/officeDocument/2006/relationships" r:id="rId1"/>
          <a:extLst>
            <a:ext uri="{FF2B5EF4-FFF2-40B4-BE49-F238E27FC236}">
              <a16:creationId xmlns:a16="http://schemas.microsoft.com/office/drawing/2014/main" id="{00000000-0008-0000-05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181100"/>
          <a:ext cx="378000" cy="378000"/>
        </a:xfrm>
        <a:prstGeom prst="rect">
          <a:avLst/>
        </a:prstGeom>
      </xdr:spPr>
    </xdr:pic>
    <xdr:clientData/>
  </xdr:twoCellAnchor>
  <xdr:twoCellAnchor editAs="oneCell">
    <xdr:from>
      <xdr:col>0</xdr:col>
      <xdr:colOff>0</xdr:colOff>
      <xdr:row>45</xdr:row>
      <xdr:rowOff>53340</xdr:rowOff>
    </xdr:from>
    <xdr:to>
      <xdr:col>0</xdr:col>
      <xdr:colOff>378000</xdr:colOff>
      <xdr:row>46</xdr:row>
      <xdr:rowOff>208455</xdr:rowOff>
    </xdr:to>
    <xdr:pic>
      <xdr:nvPicPr>
        <xdr:cNvPr id="6" name="Graphic 5" descr="Information outline">
          <a:hlinkClick xmlns:r="http://schemas.openxmlformats.org/officeDocument/2006/relationships" r:id="rId4"/>
          <a:extLst>
            <a:ext uri="{FF2B5EF4-FFF2-40B4-BE49-F238E27FC236}">
              <a16:creationId xmlns:a16="http://schemas.microsoft.com/office/drawing/2014/main" id="{00000000-0008-0000-05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9225915"/>
          <a:ext cx="378000" cy="364665"/>
        </a:xfrm>
        <a:prstGeom prst="rect">
          <a:avLst/>
        </a:prstGeom>
      </xdr:spPr>
    </xdr:pic>
    <xdr:clientData/>
  </xdr:twoCellAnchor>
  <xdr:twoCellAnchor editAs="oneCell">
    <xdr:from>
      <xdr:col>0</xdr:col>
      <xdr:colOff>0</xdr:colOff>
      <xdr:row>61</xdr:row>
      <xdr:rowOff>266700</xdr:rowOff>
    </xdr:from>
    <xdr:to>
      <xdr:col>0</xdr:col>
      <xdr:colOff>378000</xdr:colOff>
      <xdr:row>61</xdr:row>
      <xdr:rowOff>644700</xdr:rowOff>
    </xdr:to>
    <xdr:pic>
      <xdr:nvPicPr>
        <xdr:cNvPr id="7" name="Graphic 6" descr="Information outline">
          <a:hlinkClick xmlns:r="http://schemas.openxmlformats.org/officeDocument/2006/relationships" r:id="rId5"/>
          <a:extLst>
            <a:ext uri="{FF2B5EF4-FFF2-40B4-BE49-F238E27FC236}">
              <a16:creationId xmlns:a16="http://schemas.microsoft.com/office/drawing/2014/main" id="{00000000-0008-0000-05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3535025"/>
          <a:ext cx="378000" cy="3780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5</xdr:row>
      <xdr:rowOff>137160</xdr:rowOff>
    </xdr:from>
    <xdr:to>
      <xdr:col>0</xdr:col>
      <xdr:colOff>378000</xdr:colOff>
      <xdr:row>6</xdr:row>
      <xdr:rowOff>313230</xdr:rowOff>
    </xdr:to>
    <xdr:pic>
      <xdr:nvPicPr>
        <xdr:cNvPr id="4" name="Graphic 3" descr="Information outline">
          <a:hlinkClick xmlns:r="http://schemas.openxmlformats.org/officeDocument/2006/relationships" r:id="rId1"/>
          <a:extLst>
            <a:ext uri="{FF2B5EF4-FFF2-40B4-BE49-F238E27FC236}">
              <a16:creationId xmlns:a16="http://schemas.microsoft.com/office/drawing/2014/main" id="{00000000-0008-0000-06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287780"/>
          <a:ext cx="378000" cy="374190"/>
        </a:xfrm>
        <a:prstGeom prst="rect">
          <a:avLst/>
        </a:prstGeom>
      </xdr:spPr>
    </xdr:pic>
    <xdr:clientData/>
  </xdr:twoCellAnchor>
  <xdr:twoCellAnchor editAs="oneCell">
    <xdr:from>
      <xdr:col>0</xdr:col>
      <xdr:colOff>0</xdr:colOff>
      <xdr:row>16</xdr:row>
      <xdr:rowOff>247650</xdr:rowOff>
    </xdr:from>
    <xdr:to>
      <xdr:col>0</xdr:col>
      <xdr:colOff>378000</xdr:colOff>
      <xdr:row>17</xdr:row>
      <xdr:rowOff>168450</xdr:rowOff>
    </xdr:to>
    <xdr:pic>
      <xdr:nvPicPr>
        <xdr:cNvPr id="5" name="Graphic 4" descr="Information outline">
          <a:hlinkClick xmlns:r="http://schemas.openxmlformats.org/officeDocument/2006/relationships" r:id="rId4"/>
          <a:extLst>
            <a:ext uri="{FF2B5EF4-FFF2-40B4-BE49-F238E27FC236}">
              <a16:creationId xmlns:a16="http://schemas.microsoft.com/office/drawing/2014/main" id="{00000000-0008-0000-06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581525"/>
          <a:ext cx="378000" cy="38181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17145</xdr:colOff>
      <xdr:row>1466</xdr:row>
      <xdr:rowOff>15240</xdr:rowOff>
    </xdr:from>
    <xdr:to>
      <xdr:col>1</xdr:col>
      <xdr:colOff>10335</xdr:colOff>
      <xdr:row>1468</xdr:row>
      <xdr:rowOff>21765</xdr:rowOff>
    </xdr:to>
    <xdr:pic>
      <xdr:nvPicPr>
        <xdr:cNvPr id="25" name="Graphic 24" descr="Information outline">
          <a:hlinkClick xmlns:r="http://schemas.openxmlformats.org/officeDocument/2006/relationships" r:id="rId1"/>
          <a:extLst>
            <a:ext uri="{FF2B5EF4-FFF2-40B4-BE49-F238E27FC236}">
              <a16:creationId xmlns:a16="http://schemas.microsoft.com/office/drawing/2014/main" id="{00000000-0008-0000-0700-00001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70424040"/>
          <a:ext cx="385620" cy="376095"/>
        </a:xfrm>
        <a:prstGeom prst="rect">
          <a:avLst/>
        </a:prstGeom>
      </xdr:spPr>
    </xdr:pic>
    <xdr:clientData/>
  </xdr:twoCellAnchor>
  <xdr:twoCellAnchor editAs="oneCell">
    <xdr:from>
      <xdr:col>0</xdr:col>
      <xdr:colOff>38100</xdr:colOff>
      <xdr:row>1460</xdr:row>
      <xdr:rowOff>57150</xdr:rowOff>
    </xdr:from>
    <xdr:to>
      <xdr:col>1</xdr:col>
      <xdr:colOff>23670</xdr:colOff>
      <xdr:row>1461</xdr:row>
      <xdr:rowOff>92250</xdr:rowOff>
    </xdr:to>
    <xdr:pic>
      <xdr:nvPicPr>
        <xdr:cNvPr id="26" name="Graphic 25" descr="Information outline">
          <a:hlinkClick xmlns:r="http://schemas.openxmlformats.org/officeDocument/2006/relationships" r:id="rId4"/>
          <a:extLst>
            <a:ext uri="{FF2B5EF4-FFF2-40B4-BE49-F238E27FC236}">
              <a16:creationId xmlns:a16="http://schemas.microsoft.com/office/drawing/2014/main" id="{00000000-0008-0000-0700-00001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8100" y="69094350"/>
          <a:ext cx="391335" cy="364665"/>
        </a:xfrm>
        <a:prstGeom prst="rect">
          <a:avLst/>
        </a:prstGeom>
      </xdr:spPr>
    </xdr:pic>
    <xdr:clientData/>
  </xdr:twoCellAnchor>
  <xdr:twoCellAnchor editAs="oneCell">
    <xdr:from>
      <xdr:col>0</xdr:col>
      <xdr:colOff>0</xdr:colOff>
      <xdr:row>5</xdr:row>
      <xdr:rowOff>78739</xdr:rowOff>
    </xdr:from>
    <xdr:to>
      <xdr:col>1</xdr:col>
      <xdr:colOff>4417</xdr:colOff>
      <xdr:row>7</xdr:row>
      <xdr:rowOff>51406</xdr:rowOff>
    </xdr:to>
    <xdr:pic>
      <xdr:nvPicPr>
        <xdr:cNvPr id="27" name="Graphic 26" descr="Information outline">
          <a:hlinkClick xmlns:r="http://schemas.openxmlformats.org/officeDocument/2006/relationships" r:id="rId5"/>
          <a:extLst>
            <a:ext uri="{FF2B5EF4-FFF2-40B4-BE49-F238E27FC236}">
              <a16:creationId xmlns:a16="http://schemas.microsoft.com/office/drawing/2014/main" id="{00000000-0008-0000-0700-00001B0000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062989"/>
          <a:ext cx="396000" cy="396000"/>
        </a:xfrm>
        <a:prstGeom prst="rect">
          <a:avLst/>
        </a:prstGeom>
      </xdr:spPr>
    </xdr:pic>
    <xdr:clientData/>
  </xdr:twoCellAnchor>
  <xdr:twoCellAnchor editAs="oneCell">
    <xdr:from>
      <xdr:col>0</xdr:col>
      <xdr:colOff>0</xdr:colOff>
      <xdr:row>13</xdr:row>
      <xdr:rowOff>76200</xdr:rowOff>
    </xdr:from>
    <xdr:to>
      <xdr:col>0</xdr:col>
      <xdr:colOff>378000</xdr:colOff>
      <xdr:row>13</xdr:row>
      <xdr:rowOff>458010</xdr:rowOff>
    </xdr:to>
    <xdr:pic>
      <xdr:nvPicPr>
        <xdr:cNvPr id="28" name="Graphic 27" descr="Information outline">
          <a:hlinkClick xmlns:r="http://schemas.openxmlformats.org/officeDocument/2006/relationships" r:id="rId6"/>
          <a:extLst>
            <a:ext uri="{FF2B5EF4-FFF2-40B4-BE49-F238E27FC236}">
              <a16:creationId xmlns:a16="http://schemas.microsoft.com/office/drawing/2014/main" id="{00000000-0008-0000-0700-00001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644140"/>
          <a:ext cx="378000" cy="381810"/>
        </a:xfrm>
        <a:prstGeom prst="rect">
          <a:avLst/>
        </a:prstGeom>
      </xdr:spPr>
    </xdr:pic>
    <xdr:clientData/>
  </xdr:twoCellAnchor>
  <xdr:twoCellAnchor editAs="oneCell">
    <xdr:from>
      <xdr:col>0</xdr:col>
      <xdr:colOff>0</xdr:colOff>
      <xdr:row>24</xdr:row>
      <xdr:rowOff>57149</xdr:rowOff>
    </xdr:from>
    <xdr:to>
      <xdr:col>0</xdr:col>
      <xdr:colOff>360000</xdr:colOff>
      <xdr:row>24</xdr:row>
      <xdr:rowOff>417149</xdr:rowOff>
    </xdr:to>
    <xdr:pic>
      <xdr:nvPicPr>
        <xdr:cNvPr id="36" name="Graphic 35" descr="Information outline">
          <a:hlinkClick xmlns:r="http://schemas.openxmlformats.org/officeDocument/2006/relationships" r:id="rId7"/>
          <a:extLst>
            <a:ext uri="{FF2B5EF4-FFF2-40B4-BE49-F238E27FC236}">
              <a16:creationId xmlns:a16="http://schemas.microsoft.com/office/drawing/2014/main" id="{00000000-0008-0000-0700-0000240000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6639982"/>
          <a:ext cx="360000" cy="360000"/>
        </a:xfrm>
        <a:prstGeom prst="rect">
          <a:avLst/>
        </a:prstGeom>
      </xdr:spPr>
    </xdr:pic>
    <xdr:clientData/>
  </xdr:twoCellAnchor>
  <xdr:twoCellAnchor editAs="oneCell">
    <xdr:from>
      <xdr:col>0</xdr:col>
      <xdr:colOff>0</xdr:colOff>
      <xdr:row>44</xdr:row>
      <xdr:rowOff>55245</xdr:rowOff>
    </xdr:from>
    <xdr:to>
      <xdr:col>0</xdr:col>
      <xdr:colOff>378000</xdr:colOff>
      <xdr:row>45</xdr:row>
      <xdr:rowOff>57960</xdr:rowOff>
    </xdr:to>
    <xdr:pic>
      <xdr:nvPicPr>
        <xdr:cNvPr id="43" name="Graphic 42" descr="Information outline">
          <a:hlinkClick xmlns:r="http://schemas.openxmlformats.org/officeDocument/2006/relationships" r:id="rId8"/>
          <a:extLst>
            <a:ext uri="{FF2B5EF4-FFF2-40B4-BE49-F238E27FC236}">
              <a16:creationId xmlns:a16="http://schemas.microsoft.com/office/drawing/2014/main" id="{00000000-0008-0000-0700-00002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1532870"/>
          <a:ext cx="378000" cy="402765"/>
        </a:xfrm>
        <a:prstGeom prst="rect">
          <a:avLst/>
        </a:prstGeom>
      </xdr:spPr>
    </xdr:pic>
    <xdr:clientData/>
  </xdr:twoCellAnchor>
  <xdr:twoCellAnchor editAs="oneCell">
    <xdr:from>
      <xdr:col>0</xdr:col>
      <xdr:colOff>0</xdr:colOff>
      <xdr:row>51</xdr:row>
      <xdr:rowOff>0</xdr:rowOff>
    </xdr:from>
    <xdr:to>
      <xdr:col>0</xdr:col>
      <xdr:colOff>378000</xdr:colOff>
      <xdr:row>52</xdr:row>
      <xdr:rowOff>134160</xdr:rowOff>
    </xdr:to>
    <xdr:pic>
      <xdr:nvPicPr>
        <xdr:cNvPr id="48" name="Graphic 47" descr="Information outline">
          <a:hlinkClick xmlns:r="http://schemas.openxmlformats.org/officeDocument/2006/relationships" r:id="rId9"/>
          <a:extLst>
            <a:ext uri="{FF2B5EF4-FFF2-40B4-BE49-F238E27FC236}">
              <a16:creationId xmlns:a16="http://schemas.microsoft.com/office/drawing/2014/main" id="{00000000-0008-0000-0700-00003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3077825"/>
          <a:ext cx="378000" cy="368475"/>
        </a:xfrm>
        <a:prstGeom prst="rect">
          <a:avLst/>
        </a:prstGeom>
      </xdr:spPr>
    </xdr:pic>
    <xdr:clientData/>
  </xdr:twoCellAnchor>
  <xdr:twoCellAnchor editAs="oneCell">
    <xdr:from>
      <xdr:col>0</xdr:col>
      <xdr:colOff>0</xdr:colOff>
      <xdr:row>67</xdr:row>
      <xdr:rowOff>0</xdr:rowOff>
    </xdr:from>
    <xdr:to>
      <xdr:col>0</xdr:col>
      <xdr:colOff>378000</xdr:colOff>
      <xdr:row>68</xdr:row>
      <xdr:rowOff>6525</xdr:rowOff>
    </xdr:to>
    <xdr:pic>
      <xdr:nvPicPr>
        <xdr:cNvPr id="55" name="Graphic 54" descr="Information outline">
          <a:hlinkClick xmlns:r="http://schemas.openxmlformats.org/officeDocument/2006/relationships" r:id="rId10"/>
          <a:extLst>
            <a:ext uri="{FF2B5EF4-FFF2-40B4-BE49-F238E27FC236}">
              <a16:creationId xmlns:a16="http://schemas.microsoft.com/office/drawing/2014/main" id="{00000000-0008-0000-0700-00003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6554450"/>
          <a:ext cx="378000" cy="383715"/>
        </a:xfrm>
        <a:prstGeom prst="rect">
          <a:avLst/>
        </a:prstGeom>
      </xdr:spPr>
    </xdr:pic>
    <xdr:clientData/>
  </xdr:twoCellAnchor>
  <xdr:twoCellAnchor editAs="oneCell">
    <xdr:from>
      <xdr:col>0</xdr:col>
      <xdr:colOff>0</xdr:colOff>
      <xdr:row>201</xdr:row>
      <xdr:rowOff>0</xdr:rowOff>
    </xdr:from>
    <xdr:to>
      <xdr:col>0</xdr:col>
      <xdr:colOff>378000</xdr:colOff>
      <xdr:row>202</xdr:row>
      <xdr:rowOff>810</xdr:rowOff>
    </xdr:to>
    <xdr:pic>
      <xdr:nvPicPr>
        <xdr:cNvPr id="56" name="Graphic 55" descr="Information outline">
          <a:extLst>
            <a:ext uri="{FF2B5EF4-FFF2-40B4-BE49-F238E27FC236}">
              <a16:creationId xmlns:a16="http://schemas.microsoft.com/office/drawing/2014/main" id="{00000000-0008-0000-0700-00003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2402800"/>
          <a:ext cx="378000" cy="381810"/>
        </a:xfrm>
        <a:prstGeom prst="rect">
          <a:avLst/>
        </a:prstGeom>
      </xdr:spPr>
    </xdr:pic>
    <xdr:clientData/>
  </xdr:twoCellAnchor>
  <xdr:twoCellAnchor editAs="oneCell">
    <xdr:from>
      <xdr:col>0</xdr:col>
      <xdr:colOff>0</xdr:colOff>
      <xdr:row>1006</xdr:row>
      <xdr:rowOff>0</xdr:rowOff>
    </xdr:from>
    <xdr:to>
      <xdr:col>0</xdr:col>
      <xdr:colOff>378000</xdr:colOff>
      <xdr:row>1006</xdr:row>
      <xdr:rowOff>397050</xdr:rowOff>
    </xdr:to>
    <xdr:pic>
      <xdr:nvPicPr>
        <xdr:cNvPr id="57" name="Graphic 56" descr="Information outline">
          <a:hlinkClick xmlns:r="http://schemas.openxmlformats.org/officeDocument/2006/relationships" r:id="rId11"/>
          <a:extLst>
            <a:ext uri="{FF2B5EF4-FFF2-40B4-BE49-F238E27FC236}">
              <a16:creationId xmlns:a16="http://schemas.microsoft.com/office/drawing/2014/main" id="{00000000-0008-0000-0700-00003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5222200"/>
          <a:ext cx="378000" cy="400860"/>
        </a:xfrm>
        <a:prstGeom prst="rect">
          <a:avLst/>
        </a:prstGeom>
      </xdr:spPr>
    </xdr:pic>
    <xdr:clientData/>
  </xdr:twoCellAnchor>
  <xdr:twoCellAnchor editAs="oneCell">
    <xdr:from>
      <xdr:col>0</xdr:col>
      <xdr:colOff>0</xdr:colOff>
      <xdr:row>1035</xdr:row>
      <xdr:rowOff>0</xdr:rowOff>
    </xdr:from>
    <xdr:to>
      <xdr:col>0</xdr:col>
      <xdr:colOff>378000</xdr:colOff>
      <xdr:row>1035</xdr:row>
      <xdr:rowOff>360855</xdr:rowOff>
    </xdr:to>
    <xdr:pic>
      <xdr:nvPicPr>
        <xdr:cNvPr id="58" name="Graphic 57" descr="Information outline">
          <a:hlinkClick xmlns:r="http://schemas.openxmlformats.org/officeDocument/2006/relationships" r:id="rId12"/>
          <a:extLst>
            <a:ext uri="{FF2B5EF4-FFF2-40B4-BE49-F238E27FC236}">
              <a16:creationId xmlns:a16="http://schemas.microsoft.com/office/drawing/2014/main" id="{00000000-0008-0000-0700-00003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7184350"/>
          <a:ext cx="378000" cy="364665"/>
        </a:xfrm>
        <a:prstGeom prst="rect">
          <a:avLst/>
        </a:prstGeom>
      </xdr:spPr>
    </xdr:pic>
    <xdr:clientData/>
  </xdr:twoCellAnchor>
  <xdr:twoCellAnchor editAs="oneCell">
    <xdr:from>
      <xdr:col>0</xdr:col>
      <xdr:colOff>19050</xdr:colOff>
      <xdr:row>1502</xdr:row>
      <xdr:rowOff>91440</xdr:rowOff>
    </xdr:from>
    <xdr:to>
      <xdr:col>1</xdr:col>
      <xdr:colOff>10335</xdr:colOff>
      <xdr:row>1503</xdr:row>
      <xdr:rowOff>59865</xdr:rowOff>
    </xdr:to>
    <xdr:pic>
      <xdr:nvPicPr>
        <xdr:cNvPr id="59" name="Graphic 58" descr="Information outline">
          <a:hlinkClick xmlns:r="http://schemas.openxmlformats.org/officeDocument/2006/relationships" r:id="rId13"/>
          <a:extLst>
            <a:ext uri="{FF2B5EF4-FFF2-40B4-BE49-F238E27FC236}">
              <a16:creationId xmlns:a16="http://schemas.microsoft.com/office/drawing/2014/main" id="{00000000-0008-0000-0700-00003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81234915"/>
          <a:ext cx="383715" cy="366570"/>
        </a:xfrm>
        <a:prstGeom prst="rect">
          <a:avLst/>
        </a:prstGeom>
      </xdr:spPr>
    </xdr:pic>
    <xdr:clientData/>
  </xdr:twoCellAnchor>
  <xdr:twoCellAnchor editAs="oneCell">
    <xdr:from>
      <xdr:col>0</xdr:col>
      <xdr:colOff>17145</xdr:colOff>
      <xdr:row>1498</xdr:row>
      <xdr:rowOff>0</xdr:rowOff>
    </xdr:from>
    <xdr:to>
      <xdr:col>1</xdr:col>
      <xdr:colOff>10335</xdr:colOff>
      <xdr:row>1499</xdr:row>
      <xdr:rowOff>170356</xdr:rowOff>
    </xdr:to>
    <xdr:pic>
      <xdr:nvPicPr>
        <xdr:cNvPr id="60" name="Graphic 59" descr="Information outline">
          <a:hlinkClick xmlns:r="http://schemas.openxmlformats.org/officeDocument/2006/relationships" r:id="rId14"/>
          <a:extLst>
            <a:ext uri="{FF2B5EF4-FFF2-40B4-BE49-F238E27FC236}">
              <a16:creationId xmlns:a16="http://schemas.microsoft.com/office/drawing/2014/main" id="{00000000-0008-0000-0700-00003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80343375"/>
          <a:ext cx="385620" cy="372285"/>
        </a:xfrm>
        <a:prstGeom prst="rect">
          <a:avLst/>
        </a:prstGeom>
      </xdr:spPr>
    </xdr:pic>
    <xdr:clientData/>
  </xdr:twoCellAnchor>
  <xdr:twoCellAnchor editAs="oneCell">
    <xdr:from>
      <xdr:col>0</xdr:col>
      <xdr:colOff>19050</xdr:colOff>
      <xdr:row>1488</xdr:row>
      <xdr:rowOff>91440</xdr:rowOff>
    </xdr:from>
    <xdr:to>
      <xdr:col>1</xdr:col>
      <xdr:colOff>10335</xdr:colOff>
      <xdr:row>1489</xdr:row>
      <xdr:rowOff>296085</xdr:rowOff>
    </xdr:to>
    <xdr:pic>
      <xdr:nvPicPr>
        <xdr:cNvPr id="61" name="Graphic 60" descr="Information outline">
          <a:hlinkClick xmlns:r="http://schemas.openxmlformats.org/officeDocument/2006/relationships" r:id="rId15"/>
          <a:extLst>
            <a:ext uri="{FF2B5EF4-FFF2-40B4-BE49-F238E27FC236}">
              <a16:creationId xmlns:a16="http://schemas.microsoft.com/office/drawing/2014/main" id="{00000000-0008-0000-0700-00003D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76405740"/>
          <a:ext cx="383715" cy="414195"/>
        </a:xfrm>
        <a:prstGeom prst="rect">
          <a:avLst/>
        </a:prstGeom>
      </xdr:spPr>
    </xdr:pic>
    <xdr:clientData/>
  </xdr:twoCellAnchor>
  <xdr:twoCellAnchor editAs="oneCell">
    <xdr:from>
      <xdr:col>0</xdr:col>
      <xdr:colOff>17145</xdr:colOff>
      <xdr:row>1481</xdr:row>
      <xdr:rowOff>55245</xdr:rowOff>
    </xdr:from>
    <xdr:to>
      <xdr:col>1</xdr:col>
      <xdr:colOff>10335</xdr:colOff>
      <xdr:row>1483</xdr:row>
      <xdr:rowOff>54151</xdr:rowOff>
    </xdr:to>
    <xdr:pic>
      <xdr:nvPicPr>
        <xdr:cNvPr id="62" name="Graphic 61" descr="Information outline">
          <a:hlinkClick xmlns:r="http://schemas.openxmlformats.org/officeDocument/2006/relationships" r:id="rId16"/>
          <a:extLst>
            <a:ext uri="{FF2B5EF4-FFF2-40B4-BE49-F238E27FC236}">
              <a16:creationId xmlns:a16="http://schemas.microsoft.com/office/drawing/2014/main" id="{00000000-0008-0000-0700-00003E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74416920"/>
          <a:ext cx="385620" cy="398955"/>
        </a:xfrm>
        <a:prstGeom prst="rect">
          <a:avLst/>
        </a:prstGeom>
      </xdr:spPr>
    </xdr:pic>
    <xdr:clientData/>
  </xdr:twoCellAnchor>
  <xdr:twoCellAnchor editAs="oneCell">
    <xdr:from>
      <xdr:col>0</xdr:col>
      <xdr:colOff>30480</xdr:colOff>
      <xdr:row>1443</xdr:row>
      <xdr:rowOff>289560</xdr:rowOff>
    </xdr:from>
    <xdr:to>
      <xdr:col>1</xdr:col>
      <xdr:colOff>16050</xdr:colOff>
      <xdr:row>1445</xdr:row>
      <xdr:rowOff>69391</xdr:rowOff>
    </xdr:to>
    <xdr:pic>
      <xdr:nvPicPr>
        <xdr:cNvPr id="63" name="Graphic 62" descr="Information outline">
          <a:hlinkClick xmlns:r="http://schemas.openxmlformats.org/officeDocument/2006/relationships" r:id="rId17"/>
          <a:extLst>
            <a:ext uri="{FF2B5EF4-FFF2-40B4-BE49-F238E27FC236}">
              <a16:creationId xmlns:a16="http://schemas.microsoft.com/office/drawing/2014/main" id="{00000000-0008-0000-0700-00003F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0480" y="80078580"/>
          <a:ext cx="389430" cy="397050"/>
        </a:xfrm>
        <a:prstGeom prst="rect">
          <a:avLst/>
        </a:prstGeom>
      </xdr:spPr>
    </xdr:pic>
    <xdr:clientData/>
  </xdr:twoCellAnchor>
  <xdr:twoCellAnchor editAs="oneCell">
    <xdr:from>
      <xdr:col>0</xdr:col>
      <xdr:colOff>19050</xdr:colOff>
      <xdr:row>1448</xdr:row>
      <xdr:rowOff>76200</xdr:rowOff>
    </xdr:from>
    <xdr:to>
      <xdr:col>1</xdr:col>
      <xdr:colOff>10335</xdr:colOff>
      <xdr:row>1449</xdr:row>
      <xdr:rowOff>57960</xdr:rowOff>
    </xdr:to>
    <xdr:pic>
      <xdr:nvPicPr>
        <xdr:cNvPr id="64" name="Graphic 63" descr="Information outline">
          <a:hlinkClick xmlns:r="http://schemas.openxmlformats.org/officeDocument/2006/relationships" r:id="rId18"/>
          <a:extLst>
            <a:ext uri="{FF2B5EF4-FFF2-40B4-BE49-F238E27FC236}">
              <a16:creationId xmlns:a16="http://schemas.microsoft.com/office/drawing/2014/main" id="{00000000-0008-0000-0700-00004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67075050"/>
          <a:ext cx="383715" cy="383715"/>
        </a:xfrm>
        <a:prstGeom prst="rect">
          <a:avLst/>
        </a:prstGeom>
      </xdr:spPr>
    </xdr:pic>
    <xdr:clientData/>
  </xdr:twoCellAnchor>
  <xdr:twoCellAnchor editAs="oneCell">
    <xdr:from>
      <xdr:col>0</xdr:col>
      <xdr:colOff>3810</xdr:colOff>
      <xdr:row>1323</xdr:row>
      <xdr:rowOff>381000</xdr:rowOff>
    </xdr:from>
    <xdr:to>
      <xdr:col>0</xdr:col>
      <xdr:colOff>387525</xdr:colOff>
      <xdr:row>1324</xdr:row>
      <xdr:rowOff>358949</xdr:rowOff>
    </xdr:to>
    <xdr:pic>
      <xdr:nvPicPr>
        <xdr:cNvPr id="65" name="Graphic 64" descr="Information outline">
          <a:hlinkClick xmlns:r="http://schemas.openxmlformats.org/officeDocument/2006/relationships" r:id="rId19"/>
          <a:extLst>
            <a:ext uri="{FF2B5EF4-FFF2-40B4-BE49-F238E27FC236}">
              <a16:creationId xmlns:a16="http://schemas.microsoft.com/office/drawing/2014/main" id="{00000000-0008-0000-0700-000041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810" y="65204340"/>
          <a:ext cx="393240" cy="381810"/>
        </a:xfrm>
        <a:prstGeom prst="rect">
          <a:avLst/>
        </a:prstGeom>
      </xdr:spPr>
    </xdr:pic>
    <xdr:clientData/>
  </xdr:twoCellAnchor>
  <xdr:twoCellAnchor editAs="oneCell">
    <xdr:from>
      <xdr:col>0</xdr:col>
      <xdr:colOff>19050</xdr:colOff>
      <xdr:row>1380</xdr:row>
      <xdr:rowOff>76200</xdr:rowOff>
    </xdr:from>
    <xdr:to>
      <xdr:col>1</xdr:col>
      <xdr:colOff>10335</xdr:colOff>
      <xdr:row>1381</xdr:row>
      <xdr:rowOff>246555</xdr:rowOff>
    </xdr:to>
    <xdr:pic>
      <xdr:nvPicPr>
        <xdr:cNvPr id="66" name="Graphic 65" descr="Information outline">
          <a:hlinkClick xmlns:r="http://schemas.openxmlformats.org/officeDocument/2006/relationships" r:id="rId20"/>
          <a:extLst>
            <a:ext uri="{FF2B5EF4-FFF2-40B4-BE49-F238E27FC236}">
              <a16:creationId xmlns:a16="http://schemas.microsoft.com/office/drawing/2014/main" id="{00000000-0008-0000-0700-00004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61102875"/>
          <a:ext cx="383715" cy="374190"/>
        </a:xfrm>
        <a:prstGeom prst="rect">
          <a:avLst/>
        </a:prstGeom>
      </xdr:spPr>
    </xdr:pic>
    <xdr:clientData/>
  </xdr:twoCellAnchor>
  <xdr:twoCellAnchor editAs="oneCell">
    <xdr:from>
      <xdr:col>0</xdr:col>
      <xdr:colOff>26670</xdr:colOff>
      <xdr:row>1141</xdr:row>
      <xdr:rowOff>396240</xdr:rowOff>
    </xdr:from>
    <xdr:to>
      <xdr:col>1</xdr:col>
      <xdr:colOff>17320</xdr:colOff>
      <xdr:row>1142</xdr:row>
      <xdr:rowOff>343710</xdr:rowOff>
    </xdr:to>
    <xdr:pic>
      <xdr:nvPicPr>
        <xdr:cNvPr id="67" name="Graphic 66" descr="Information outline">
          <a:hlinkClick xmlns:r="http://schemas.openxmlformats.org/officeDocument/2006/relationships" r:id="rId21"/>
          <a:extLst>
            <a:ext uri="{FF2B5EF4-FFF2-40B4-BE49-F238E27FC236}">
              <a16:creationId xmlns:a16="http://schemas.microsoft.com/office/drawing/2014/main" id="{00000000-0008-0000-0700-00004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6670" y="51259740"/>
          <a:ext cx="394510" cy="397050"/>
        </a:xfrm>
        <a:prstGeom prst="rect">
          <a:avLst/>
        </a:prstGeom>
      </xdr:spPr>
    </xdr:pic>
    <xdr:clientData/>
  </xdr:twoCellAnchor>
  <xdr:twoCellAnchor editAs="oneCell">
    <xdr:from>
      <xdr:col>0</xdr:col>
      <xdr:colOff>17145</xdr:colOff>
      <xdr:row>1217</xdr:row>
      <xdr:rowOff>0</xdr:rowOff>
    </xdr:from>
    <xdr:to>
      <xdr:col>1</xdr:col>
      <xdr:colOff>9700</xdr:colOff>
      <xdr:row>1218</xdr:row>
      <xdr:rowOff>170355</xdr:rowOff>
    </xdr:to>
    <xdr:pic>
      <xdr:nvPicPr>
        <xdr:cNvPr id="68" name="Graphic 67" descr="Information outline">
          <a:hlinkClick xmlns:r="http://schemas.openxmlformats.org/officeDocument/2006/relationships" r:id="rId22"/>
          <a:extLst>
            <a:ext uri="{FF2B5EF4-FFF2-40B4-BE49-F238E27FC236}">
              <a16:creationId xmlns:a16="http://schemas.microsoft.com/office/drawing/2014/main" id="{00000000-0008-0000-0700-00004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43110150"/>
          <a:ext cx="381810" cy="374190"/>
        </a:xfrm>
        <a:prstGeom prst="rect">
          <a:avLst/>
        </a:prstGeom>
      </xdr:spPr>
    </xdr:pic>
    <xdr:clientData/>
  </xdr:twoCellAnchor>
  <xdr:twoCellAnchor editAs="oneCell">
    <xdr:from>
      <xdr:col>0</xdr:col>
      <xdr:colOff>17145</xdr:colOff>
      <xdr:row>1096</xdr:row>
      <xdr:rowOff>0</xdr:rowOff>
    </xdr:from>
    <xdr:to>
      <xdr:col>1</xdr:col>
      <xdr:colOff>9700</xdr:colOff>
      <xdr:row>1097</xdr:row>
      <xdr:rowOff>174165</xdr:rowOff>
    </xdr:to>
    <xdr:pic>
      <xdr:nvPicPr>
        <xdr:cNvPr id="69" name="Graphic 68" descr="Information outline">
          <a:hlinkClick xmlns:r="http://schemas.openxmlformats.org/officeDocument/2006/relationships" r:id="rId23"/>
          <a:extLst>
            <a:ext uri="{FF2B5EF4-FFF2-40B4-BE49-F238E27FC236}">
              <a16:creationId xmlns:a16="http://schemas.microsoft.com/office/drawing/2014/main" id="{00000000-0008-0000-0700-00004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31965900"/>
          <a:ext cx="381810" cy="370380"/>
        </a:xfrm>
        <a:prstGeom prst="rect">
          <a:avLst/>
        </a:prstGeom>
      </xdr:spPr>
    </xdr:pic>
    <xdr:clientData/>
  </xdr:twoCellAnchor>
  <xdr:twoCellAnchor editAs="oneCell">
    <xdr:from>
      <xdr:col>0</xdr:col>
      <xdr:colOff>19050</xdr:colOff>
      <xdr:row>1124</xdr:row>
      <xdr:rowOff>0</xdr:rowOff>
    </xdr:from>
    <xdr:to>
      <xdr:col>1</xdr:col>
      <xdr:colOff>9700</xdr:colOff>
      <xdr:row>1125</xdr:row>
      <xdr:rowOff>130349</xdr:rowOff>
    </xdr:to>
    <xdr:pic>
      <xdr:nvPicPr>
        <xdr:cNvPr id="70" name="Graphic 69" descr="Information outline">
          <a:hlinkClick xmlns:r="http://schemas.openxmlformats.org/officeDocument/2006/relationships" r:id="rId24"/>
          <a:extLst>
            <a:ext uri="{FF2B5EF4-FFF2-40B4-BE49-F238E27FC236}">
              <a16:creationId xmlns:a16="http://schemas.microsoft.com/office/drawing/2014/main" id="{00000000-0008-0000-0700-00004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46878240"/>
          <a:ext cx="394510" cy="389430"/>
        </a:xfrm>
        <a:prstGeom prst="rect">
          <a:avLst/>
        </a:prstGeom>
      </xdr:spPr>
    </xdr:pic>
    <xdr:clientData/>
  </xdr:twoCellAnchor>
  <xdr:oneCellAnchor>
    <xdr:from>
      <xdr:col>0</xdr:col>
      <xdr:colOff>0</xdr:colOff>
      <xdr:row>201</xdr:row>
      <xdr:rowOff>0</xdr:rowOff>
    </xdr:from>
    <xdr:ext cx="378000" cy="381810"/>
    <xdr:pic>
      <xdr:nvPicPr>
        <xdr:cNvPr id="30" name="Graphic 29" descr="Information outline">
          <a:hlinkClick xmlns:r="http://schemas.openxmlformats.org/officeDocument/2006/relationships" r:id="rId25"/>
          <a:extLst>
            <a:ext uri="{FF2B5EF4-FFF2-40B4-BE49-F238E27FC236}">
              <a16:creationId xmlns:a16="http://schemas.microsoft.com/office/drawing/2014/main" id="{91DEC42E-40BC-40D8-8BB2-2C0BA45DE4B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4871680"/>
          <a:ext cx="378000" cy="381810"/>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4</xdr:row>
      <xdr:rowOff>281940</xdr:rowOff>
    </xdr:from>
    <xdr:to>
      <xdr:col>0</xdr:col>
      <xdr:colOff>378000</xdr:colOff>
      <xdr:row>5</xdr:row>
      <xdr:rowOff>225600</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A3864C61-6FA0-4D32-BA9A-D1921A56256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203960"/>
          <a:ext cx="378000" cy="378000"/>
        </a:xfrm>
        <a:prstGeom prst="rect">
          <a:avLst/>
        </a:prstGeom>
      </xdr:spPr>
    </xdr:pic>
    <xdr:clientData/>
  </xdr:twoCellAnchor>
  <xdr:twoCellAnchor editAs="oneCell">
    <xdr:from>
      <xdr:col>0</xdr:col>
      <xdr:colOff>7620</xdr:colOff>
      <xdr:row>52</xdr:row>
      <xdr:rowOff>266700</xdr:rowOff>
    </xdr:from>
    <xdr:to>
      <xdr:col>1</xdr:col>
      <xdr:colOff>527</xdr:colOff>
      <xdr:row>54</xdr:row>
      <xdr:rowOff>111300</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956645AE-B340-402D-8C98-42A911A5BEE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620" y="10035117"/>
          <a:ext cx="378493" cy="378000"/>
        </a:xfrm>
        <a:prstGeom prst="rect">
          <a:avLst/>
        </a:prstGeom>
      </xdr:spPr>
    </xdr:pic>
    <xdr:clientData/>
  </xdr:twoCellAnchor>
  <xdr:twoCellAnchor editAs="oneCell">
    <xdr:from>
      <xdr:col>0</xdr:col>
      <xdr:colOff>0</xdr:colOff>
      <xdr:row>75</xdr:row>
      <xdr:rowOff>247649</xdr:rowOff>
    </xdr:from>
    <xdr:to>
      <xdr:col>0</xdr:col>
      <xdr:colOff>382848</xdr:colOff>
      <xdr:row>76</xdr:row>
      <xdr:rowOff>174167</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D5641F94-61A1-4F00-BB45-DF238D94659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8408649"/>
          <a:ext cx="382848" cy="381600"/>
        </a:xfrm>
        <a:prstGeom prst="rect">
          <a:avLst/>
        </a:prstGeom>
      </xdr:spPr>
    </xdr:pic>
    <xdr:clientData/>
  </xdr:twoCellAnchor>
  <xdr:twoCellAnchor editAs="oneCell">
    <xdr:from>
      <xdr:col>0</xdr:col>
      <xdr:colOff>0</xdr:colOff>
      <xdr:row>377</xdr:row>
      <xdr:rowOff>83820</xdr:rowOff>
    </xdr:from>
    <xdr:to>
      <xdr:col>0</xdr:col>
      <xdr:colOff>378000</xdr:colOff>
      <xdr:row>379</xdr:row>
      <xdr:rowOff>56052</xdr:rowOff>
    </xdr:to>
    <xdr:pic>
      <xdr:nvPicPr>
        <xdr:cNvPr id="22" name="Graphic 21" descr="Information outline">
          <a:hlinkClick xmlns:r="http://schemas.openxmlformats.org/officeDocument/2006/relationships" r:id="rId6"/>
          <a:extLst>
            <a:ext uri="{FF2B5EF4-FFF2-40B4-BE49-F238E27FC236}">
              <a16:creationId xmlns:a16="http://schemas.microsoft.com/office/drawing/2014/main" id="{72D9AC1B-35D9-49A7-AC4E-21EE03516CBB}"/>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62750700"/>
          <a:ext cx="378000" cy="368475"/>
        </a:xfrm>
        <a:prstGeom prst="rect">
          <a:avLst/>
        </a:prstGeom>
      </xdr:spPr>
    </xdr:pic>
    <xdr:clientData/>
  </xdr:twoCellAnchor>
  <xdr:twoCellAnchor editAs="oneCell">
    <xdr:from>
      <xdr:col>0</xdr:col>
      <xdr:colOff>0</xdr:colOff>
      <xdr:row>129</xdr:row>
      <xdr:rowOff>338666</xdr:rowOff>
    </xdr:from>
    <xdr:to>
      <xdr:col>0</xdr:col>
      <xdr:colOff>378000</xdr:colOff>
      <xdr:row>131</xdr:row>
      <xdr:rowOff>74683</xdr:rowOff>
    </xdr:to>
    <xdr:pic>
      <xdr:nvPicPr>
        <xdr:cNvPr id="23" name="Graphic 22" descr="Information outline">
          <a:hlinkClick xmlns:r="http://schemas.openxmlformats.org/officeDocument/2006/relationships" r:id="rId7"/>
          <a:extLst>
            <a:ext uri="{FF2B5EF4-FFF2-40B4-BE49-F238E27FC236}">
              <a16:creationId xmlns:a16="http://schemas.microsoft.com/office/drawing/2014/main" id="{01F054CD-2280-4AE2-86DE-3D84F642B222}"/>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7103916"/>
          <a:ext cx="378000" cy="381600"/>
        </a:xfrm>
        <a:prstGeom prst="rect">
          <a:avLst/>
        </a:prstGeom>
      </xdr:spPr>
    </xdr:pic>
    <xdr:clientData/>
  </xdr:twoCellAnchor>
  <xdr:twoCellAnchor editAs="oneCell">
    <xdr:from>
      <xdr:col>0</xdr:col>
      <xdr:colOff>0</xdr:colOff>
      <xdr:row>226</xdr:row>
      <xdr:rowOff>93133</xdr:rowOff>
    </xdr:from>
    <xdr:to>
      <xdr:col>0</xdr:col>
      <xdr:colOff>378000</xdr:colOff>
      <xdr:row>228</xdr:row>
      <xdr:rowOff>37216</xdr:rowOff>
    </xdr:to>
    <xdr:pic>
      <xdr:nvPicPr>
        <xdr:cNvPr id="24" name="Graphic 23" descr="Information outline">
          <a:hlinkClick xmlns:r="http://schemas.openxmlformats.org/officeDocument/2006/relationships" r:id="rId8"/>
          <a:extLst>
            <a:ext uri="{FF2B5EF4-FFF2-40B4-BE49-F238E27FC236}">
              <a16:creationId xmlns:a16="http://schemas.microsoft.com/office/drawing/2014/main" id="{C2CA364A-1137-4409-ABA1-B1D5CDB3AE4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6108216"/>
          <a:ext cx="378000" cy="378000"/>
        </a:xfrm>
        <a:prstGeom prst="rect">
          <a:avLst/>
        </a:prstGeom>
      </xdr:spPr>
    </xdr:pic>
    <xdr:clientData/>
  </xdr:twoCellAnchor>
  <xdr:twoCellAnchor editAs="oneCell">
    <xdr:from>
      <xdr:col>0</xdr:col>
      <xdr:colOff>0</xdr:colOff>
      <xdr:row>240</xdr:row>
      <xdr:rowOff>110066</xdr:rowOff>
    </xdr:from>
    <xdr:to>
      <xdr:col>0</xdr:col>
      <xdr:colOff>378000</xdr:colOff>
      <xdr:row>241</xdr:row>
      <xdr:rowOff>264758</xdr:rowOff>
    </xdr:to>
    <xdr:pic>
      <xdr:nvPicPr>
        <xdr:cNvPr id="25" name="Graphic 24" descr="Information outline">
          <a:hlinkClick xmlns:r="http://schemas.openxmlformats.org/officeDocument/2006/relationships" r:id="rId9"/>
          <a:extLst>
            <a:ext uri="{FF2B5EF4-FFF2-40B4-BE49-F238E27FC236}">
              <a16:creationId xmlns:a16="http://schemas.microsoft.com/office/drawing/2014/main" id="{356D58C0-F013-42B7-8745-C92BA868CEE4}"/>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0601899"/>
          <a:ext cx="378000" cy="378000"/>
        </a:xfrm>
        <a:prstGeom prst="rect">
          <a:avLst/>
        </a:prstGeom>
      </xdr:spPr>
    </xdr:pic>
    <xdr:clientData/>
  </xdr:twoCellAnchor>
  <xdr:twoCellAnchor editAs="oneCell">
    <xdr:from>
      <xdr:col>0</xdr:col>
      <xdr:colOff>0</xdr:colOff>
      <xdr:row>270</xdr:row>
      <xdr:rowOff>101598</xdr:rowOff>
    </xdr:from>
    <xdr:to>
      <xdr:col>0</xdr:col>
      <xdr:colOff>378000</xdr:colOff>
      <xdr:row>272</xdr:row>
      <xdr:rowOff>77433</xdr:rowOff>
    </xdr:to>
    <xdr:pic>
      <xdr:nvPicPr>
        <xdr:cNvPr id="26" name="Graphic 25" descr="Information outline">
          <a:hlinkClick xmlns:r="http://schemas.openxmlformats.org/officeDocument/2006/relationships" r:id="rId10"/>
          <a:extLst>
            <a:ext uri="{FF2B5EF4-FFF2-40B4-BE49-F238E27FC236}">
              <a16:creationId xmlns:a16="http://schemas.microsoft.com/office/drawing/2014/main" id="{29ABDCBD-AC3F-44AD-9D5E-C0D67891CE27}"/>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3694348"/>
          <a:ext cx="378000" cy="378000"/>
        </a:xfrm>
        <a:prstGeom prst="rect">
          <a:avLst/>
        </a:prstGeom>
      </xdr:spPr>
    </xdr:pic>
    <xdr:clientData/>
  </xdr:twoCellAnchor>
  <xdr:twoCellAnchor editAs="oneCell">
    <xdr:from>
      <xdr:col>0</xdr:col>
      <xdr:colOff>0</xdr:colOff>
      <xdr:row>327</xdr:row>
      <xdr:rowOff>338663</xdr:rowOff>
    </xdr:from>
    <xdr:to>
      <xdr:col>0</xdr:col>
      <xdr:colOff>378000</xdr:colOff>
      <xdr:row>329</xdr:row>
      <xdr:rowOff>113413</xdr:rowOff>
    </xdr:to>
    <xdr:pic>
      <xdr:nvPicPr>
        <xdr:cNvPr id="28" name="Graphic 27" descr="Information outline">
          <a:hlinkClick xmlns:r="http://schemas.openxmlformats.org/officeDocument/2006/relationships" r:id="rId11"/>
          <a:extLst>
            <a:ext uri="{FF2B5EF4-FFF2-40B4-BE49-F238E27FC236}">
              <a16:creationId xmlns:a16="http://schemas.microsoft.com/office/drawing/2014/main" id="{5765B265-E8D0-48CC-9E86-F5C22AC15917}"/>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55086246"/>
          <a:ext cx="378000" cy="378000"/>
        </a:xfrm>
        <a:prstGeom prst="rect">
          <a:avLst/>
        </a:prstGeom>
      </xdr:spPr>
    </xdr:pic>
    <xdr:clientData/>
  </xdr:twoCellAnchor>
  <xdr:twoCellAnchor editAs="oneCell">
    <xdr:from>
      <xdr:col>0</xdr:col>
      <xdr:colOff>0</xdr:colOff>
      <xdr:row>348</xdr:row>
      <xdr:rowOff>135463</xdr:rowOff>
    </xdr:from>
    <xdr:to>
      <xdr:col>0</xdr:col>
      <xdr:colOff>378000</xdr:colOff>
      <xdr:row>350</xdr:row>
      <xdr:rowOff>111296</xdr:rowOff>
    </xdr:to>
    <xdr:pic>
      <xdr:nvPicPr>
        <xdr:cNvPr id="30" name="Graphic 29" descr="Information outline">
          <a:hlinkClick xmlns:r="http://schemas.openxmlformats.org/officeDocument/2006/relationships" r:id="rId12"/>
          <a:extLst>
            <a:ext uri="{FF2B5EF4-FFF2-40B4-BE49-F238E27FC236}">
              <a16:creationId xmlns:a16="http://schemas.microsoft.com/office/drawing/2014/main" id="{17326EB9-6C95-4D4C-B71E-FB15A20E6721}"/>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59116380"/>
          <a:ext cx="378000" cy="378000"/>
        </a:xfrm>
        <a:prstGeom prst="rect">
          <a:avLst/>
        </a:prstGeom>
      </xdr:spPr>
    </xdr:pic>
    <xdr:clientData/>
  </xdr:twoCellAnchor>
  <xdr:twoCellAnchor editAs="oneCell">
    <xdr:from>
      <xdr:col>0</xdr:col>
      <xdr:colOff>0</xdr:colOff>
      <xdr:row>373</xdr:row>
      <xdr:rowOff>110064</xdr:rowOff>
    </xdr:from>
    <xdr:to>
      <xdr:col>1</xdr:col>
      <xdr:colOff>17067</xdr:colOff>
      <xdr:row>375</xdr:row>
      <xdr:rowOff>54148</xdr:rowOff>
    </xdr:to>
    <xdr:pic>
      <xdr:nvPicPr>
        <xdr:cNvPr id="31" name="Graphic 30" descr="Information outline">
          <a:hlinkClick xmlns:r="http://schemas.openxmlformats.org/officeDocument/2006/relationships" r:id="rId13"/>
          <a:extLst>
            <a:ext uri="{FF2B5EF4-FFF2-40B4-BE49-F238E27FC236}">
              <a16:creationId xmlns:a16="http://schemas.microsoft.com/office/drawing/2014/main" id="{69EC6F8E-208F-4CC1-89E9-51742BB25F73}"/>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67070814"/>
          <a:ext cx="405475" cy="378000"/>
        </a:xfrm>
        <a:prstGeom prst="rect">
          <a:avLst/>
        </a:prstGeom>
      </xdr:spPr>
    </xdr:pic>
    <xdr:clientData/>
  </xdr:twoCellAnchor>
  <xdr:twoCellAnchor editAs="oneCell">
    <xdr:from>
      <xdr:col>0</xdr:col>
      <xdr:colOff>0</xdr:colOff>
      <xdr:row>292</xdr:row>
      <xdr:rowOff>296329</xdr:rowOff>
    </xdr:from>
    <xdr:to>
      <xdr:col>0</xdr:col>
      <xdr:colOff>378000</xdr:colOff>
      <xdr:row>293</xdr:row>
      <xdr:rowOff>250996</xdr:rowOff>
    </xdr:to>
    <xdr:pic>
      <xdr:nvPicPr>
        <xdr:cNvPr id="15" name="Graphic 14" descr="Information outline">
          <a:hlinkClick xmlns:r="http://schemas.openxmlformats.org/officeDocument/2006/relationships" r:id="rId14"/>
          <a:extLst>
            <a:ext uri="{FF2B5EF4-FFF2-40B4-BE49-F238E27FC236}">
              <a16:creationId xmlns:a16="http://schemas.microsoft.com/office/drawing/2014/main" id="{FB24549B-5B70-4974-B91D-E5D33992F5FF}"/>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7201662"/>
          <a:ext cx="378000" cy="37800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3</xdr:row>
      <xdr:rowOff>163830</xdr:rowOff>
    </xdr:from>
    <xdr:to>
      <xdr:col>0</xdr:col>
      <xdr:colOff>378000</xdr:colOff>
      <xdr:row>4</xdr:row>
      <xdr:rowOff>50340</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7F973251-6C49-4752-8FC9-BFB104492B0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849630"/>
          <a:ext cx="378000" cy="379905"/>
        </a:xfrm>
        <a:prstGeom prst="rect">
          <a:avLst/>
        </a:prstGeom>
      </xdr:spPr>
    </xdr:pic>
    <xdr:clientData/>
  </xdr:twoCellAnchor>
  <xdr:twoCellAnchor editAs="oneCell">
    <xdr:from>
      <xdr:col>0</xdr:col>
      <xdr:colOff>0</xdr:colOff>
      <xdr:row>5</xdr:row>
      <xdr:rowOff>220980</xdr:rowOff>
    </xdr:from>
    <xdr:to>
      <xdr:col>0</xdr:col>
      <xdr:colOff>378000</xdr:colOff>
      <xdr:row>6</xdr:row>
      <xdr:rowOff>202740</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014E932F-D9BE-4A96-940A-6A14D4E00D6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409700"/>
          <a:ext cx="378000" cy="385620"/>
        </a:xfrm>
        <a:prstGeom prst="rect">
          <a:avLst/>
        </a:prstGeom>
      </xdr:spPr>
    </xdr:pic>
    <xdr:clientData/>
  </xdr:twoCellAnchor>
  <xdr:twoCellAnchor editAs="oneCell">
    <xdr:from>
      <xdr:col>0</xdr:col>
      <xdr:colOff>0</xdr:colOff>
      <xdr:row>20</xdr:row>
      <xdr:rowOff>215265</xdr:rowOff>
    </xdr:from>
    <xdr:to>
      <xdr:col>0</xdr:col>
      <xdr:colOff>378000</xdr:colOff>
      <xdr:row>22</xdr:row>
      <xdr:rowOff>810</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7195F521-254A-4AD3-868C-33191B428E8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912745"/>
          <a:ext cx="378000" cy="38752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5</xdr:row>
      <xdr:rowOff>68580</xdr:rowOff>
    </xdr:from>
    <xdr:to>
      <xdr:col>0</xdr:col>
      <xdr:colOff>378000</xdr:colOff>
      <xdr:row>6</xdr:row>
      <xdr:rowOff>17956</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188720"/>
          <a:ext cx="378000" cy="378000"/>
        </a:xfrm>
        <a:prstGeom prst="rect">
          <a:avLst/>
        </a:prstGeom>
      </xdr:spPr>
    </xdr:pic>
    <xdr:clientData/>
  </xdr:twoCellAnchor>
  <xdr:twoCellAnchor editAs="oneCell">
    <xdr:from>
      <xdr:col>0</xdr:col>
      <xdr:colOff>0</xdr:colOff>
      <xdr:row>16</xdr:row>
      <xdr:rowOff>45720</xdr:rowOff>
    </xdr:from>
    <xdr:to>
      <xdr:col>0</xdr:col>
      <xdr:colOff>378000</xdr:colOff>
      <xdr:row>17</xdr:row>
      <xdr:rowOff>35099</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970020"/>
          <a:ext cx="378000" cy="378000"/>
        </a:xfrm>
        <a:prstGeom prst="rect">
          <a:avLst/>
        </a:prstGeom>
      </xdr:spPr>
    </xdr:pic>
    <xdr:clientData/>
  </xdr:twoCellAnchor>
  <xdr:twoCellAnchor editAs="oneCell">
    <xdr:from>
      <xdr:col>0</xdr:col>
      <xdr:colOff>0</xdr:colOff>
      <xdr:row>28</xdr:row>
      <xdr:rowOff>60960</xdr:rowOff>
    </xdr:from>
    <xdr:to>
      <xdr:col>0</xdr:col>
      <xdr:colOff>378000</xdr:colOff>
      <xdr:row>29</xdr:row>
      <xdr:rowOff>82725</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00000000-0008-0000-0A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5760720"/>
          <a:ext cx="378000" cy="378000"/>
        </a:xfrm>
        <a:prstGeom prst="rect">
          <a:avLst/>
        </a:prstGeom>
      </xdr:spPr>
    </xdr:pic>
    <xdr:clientData/>
  </xdr:twoCellAnchor>
  <xdr:twoCellAnchor editAs="oneCell">
    <xdr:from>
      <xdr:col>0</xdr:col>
      <xdr:colOff>0</xdr:colOff>
      <xdr:row>31</xdr:row>
      <xdr:rowOff>60960</xdr:rowOff>
    </xdr:from>
    <xdr:to>
      <xdr:col>0</xdr:col>
      <xdr:colOff>378000</xdr:colOff>
      <xdr:row>32</xdr:row>
      <xdr:rowOff>244650</xdr:rowOff>
    </xdr:to>
    <xdr:pic>
      <xdr:nvPicPr>
        <xdr:cNvPr id="5" name="Graphic 4" descr="Information outline">
          <a:hlinkClick xmlns:r="http://schemas.openxmlformats.org/officeDocument/2006/relationships" r:id="rId6"/>
          <a:extLst>
            <a:ext uri="{FF2B5EF4-FFF2-40B4-BE49-F238E27FC236}">
              <a16:creationId xmlns:a16="http://schemas.microsoft.com/office/drawing/2014/main" id="{00000000-0008-0000-0A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6553200"/>
          <a:ext cx="378000" cy="378000"/>
        </a:xfrm>
        <a:prstGeom prst="rect">
          <a:avLst/>
        </a:prstGeom>
      </xdr:spPr>
    </xdr:pic>
    <xdr:clientData/>
  </xdr:twoCellAnchor>
  <xdr:twoCellAnchor editAs="oneCell">
    <xdr:from>
      <xdr:col>0</xdr:col>
      <xdr:colOff>0</xdr:colOff>
      <xdr:row>36</xdr:row>
      <xdr:rowOff>251460</xdr:rowOff>
    </xdr:from>
    <xdr:to>
      <xdr:col>0</xdr:col>
      <xdr:colOff>378000</xdr:colOff>
      <xdr:row>38</xdr:row>
      <xdr:rowOff>16050</xdr:rowOff>
    </xdr:to>
    <xdr:pic>
      <xdr:nvPicPr>
        <xdr:cNvPr id="6" name="Graphic 5" descr="Information outline">
          <a:hlinkClick xmlns:r="http://schemas.openxmlformats.org/officeDocument/2006/relationships" r:id="rId7"/>
          <a:extLst>
            <a:ext uri="{FF2B5EF4-FFF2-40B4-BE49-F238E27FC236}">
              <a16:creationId xmlns:a16="http://schemas.microsoft.com/office/drawing/2014/main" id="{00000000-0008-0000-0A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8199120"/>
          <a:ext cx="378000" cy="378000"/>
        </a:xfrm>
        <a:prstGeom prst="rect">
          <a:avLst/>
        </a:prstGeom>
      </xdr:spPr>
    </xdr:pic>
    <xdr:clientData/>
  </xdr:twoCellAnchor>
  <xdr:twoCellAnchor editAs="oneCell">
    <xdr:from>
      <xdr:col>0</xdr:col>
      <xdr:colOff>0</xdr:colOff>
      <xdr:row>52</xdr:row>
      <xdr:rowOff>53340</xdr:rowOff>
    </xdr:from>
    <xdr:to>
      <xdr:col>0</xdr:col>
      <xdr:colOff>378000</xdr:colOff>
      <xdr:row>53</xdr:row>
      <xdr:rowOff>248460</xdr:rowOff>
    </xdr:to>
    <xdr:pic>
      <xdr:nvPicPr>
        <xdr:cNvPr id="7" name="Graphic 6" descr="Information outline">
          <a:hlinkClick xmlns:r="http://schemas.openxmlformats.org/officeDocument/2006/relationships" r:id="rId8"/>
          <a:extLst>
            <a:ext uri="{FF2B5EF4-FFF2-40B4-BE49-F238E27FC236}">
              <a16:creationId xmlns:a16="http://schemas.microsoft.com/office/drawing/2014/main" id="{00000000-0008-0000-0A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2382500"/>
          <a:ext cx="378000" cy="378000"/>
        </a:xfrm>
        <a:prstGeom prst="rect">
          <a:avLst/>
        </a:prstGeom>
      </xdr:spPr>
    </xdr:pic>
    <xdr:clientData/>
  </xdr:twoCellAnchor>
  <xdr:twoCellAnchor editAs="oneCell">
    <xdr:from>
      <xdr:col>0</xdr:col>
      <xdr:colOff>0</xdr:colOff>
      <xdr:row>65</xdr:row>
      <xdr:rowOff>53340</xdr:rowOff>
    </xdr:from>
    <xdr:to>
      <xdr:col>0</xdr:col>
      <xdr:colOff>378000</xdr:colOff>
      <xdr:row>67</xdr:row>
      <xdr:rowOff>35101</xdr:rowOff>
    </xdr:to>
    <xdr:pic>
      <xdr:nvPicPr>
        <xdr:cNvPr id="8" name="Graphic 7" descr="Information outline">
          <a:hlinkClick xmlns:r="http://schemas.openxmlformats.org/officeDocument/2006/relationships" r:id="rId9"/>
          <a:extLst>
            <a:ext uri="{FF2B5EF4-FFF2-40B4-BE49-F238E27FC236}">
              <a16:creationId xmlns:a16="http://schemas.microsoft.com/office/drawing/2014/main" id="{00000000-0008-0000-0A00-00000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4607540"/>
          <a:ext cx="378000" cy="378000"/>
        </a:xfrm>
        <a:prstGeom prst="rect">
          <a:avLst/>
        </a:prstGeom>
      </xdr:spPr>
    </xdr:pic>
    <xdr:clientData/>
  </xdr:twoCellAnchor>
  <xdr:twoCellAnchor editAs="oneCell">
    <xdr:from>
      <xdr:col>0</xdr:col>
      <xdr:colOff>0</xdr:colOff>
      <xdr:row>73</xdr:row>
      <xdr:rowOff>0</xdr:rowOff>
    </xdr:from>
    <xdr:to>
      <xdr:col>0</xdr:col>
      <xdr:colOff>378000</xdr:colOff>
      <xdr:row>74</xdr:row>
      <xdr:rowOff>170355</xdr:rowOff>
    </xdr:to>
    <xdr:pic>
      <xdr:nvPicPr>
        <xdr:cNvPr id="9" name="Graphic 8" descr="Information outline">
          <a:hlinkClick xmlns:r="http://schemas.openxmlformats.org/officeDocument/2006/relationships" r:id="rId10"/>
          <a:extLst>
            <a:ext uri="{FF2B5EF4-FFF2-40B4-BE49-F238E27FC236}">
              <a16:creationId xmlns:a16="http://schemas.microsoft.com/office/drawing/2014/main" id="{00000000-0008-0000-0A00-00000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6032480"/>
          <a:ext cx="378000" cy="378000"/>
        </a:xfrm>
        <a:prstGeom prst="rect">
          <a:avLst/>
        </a:prstGeom>
      </xdr:spPr>
    </xdr:pic>
    <xdr:clientData/>
  </xdr:twoCellAnchor>
  <xdr:twoCellAnchor editAs="oneCell">
    <xdr:from>
      <xdr:col>0</xdr:col>
      <xdr:colOff>0</xdr:colOff>
      <xdr:row>79</xdr:row>
      <xdr:rowOff>257175</xdr:rowOff>
    </xdr:from>
    <xdr:to>
      <xdr:col>0</xdr:col>
      <xdr:colOff>378000</xdr:colOff>
      <xdr:row>81</xdr:row>
      <xdr:rowOff>21765</xdr:rowOff>
    </xdr:to>
    <xdr:pic>
      <xdr:nvPicPr>
        <xdr:cNvPr id="10" name="Graphic 9" descr="Information outline">
          <a:hlinkClick xmlns:r="http://schemas.openxmlformats.org/officeDocument/2006/relationships" r:id="rId11"/>
          <a:extLst>
            <a:ext uri="{FF2B5EF4-FFF2-40B4-BE49-F238E27FC236}">
              <a16:creationId xmlns:a16="http://schemas.microsoft.com/office/drawing/2014/main" id="{00000000-0008-0000-0A00-00000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8897600"/>
          <a:ext cx="378000" cy="391335"/>
        </a:xfrm>
        <a:prstGeom prst="rect">
          <a:avLst/>
        </a:prstGeom>
      </xdr:spPr>
    </xdr:pic>
    <xdr:clientData/>
  </xdr:twoCellAnchor>
  <xdr:twoCellAnchor editAs="oneCell">
    <xdr:from>
      <xdr:col>0</xdr:col>
      <xdr:colOff>0</xdr:colOff>
      <xdr:row>137</xdr:row>
      <xdr:rowOff>19050</xdr:rowOff>
    </xdr:from>
    <xdr:to>
      <xdr:col>0</xdr:col>
      <xdr:colOff>378000</xdr:colOff>
      <xdr:row>137</xdr:row>
      <xdr:rowOff>400860</xdr:rowOff>
    </xdr:to>
    <xdr:pic>
      <xdr:nvPicPr>
        <xdr:cNvPr id="11" name="Graphic 10" descr="Information outline">
          <a:hlinkClick xmlns:r="http://schemas.openxmlformats.org/officeDocument/2006/relationships" r:id="rId12"/>
          <a:extLst>
            <a:ext uri="{FF2B5EF4-FFF2-40B4-BE49-F238E27FC236}">
              <a16:creationId xmlns:a16="http://schemas.microsoft.com/office/drawing/2014/main" id="{00000000-0008-0000-0A00-00000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2764750"/>
          <a:ext cx="378000" cy="381810"/>
        </a:xfrm>
        <a:prstGeom prst="rect">
          <a:avLst/>
        </a:prstGeom>
      </xdr:spPr>
    </xdr:pic>
    <xdr:clientData/>
  </xdr:twoCellAnchor>
  <xdr:twoCellAnchor editAs="oneCell">
    <xdr:from>
      <xdr:col>0</xdr:col>
      <xdr:colOff>0</xdr:colOff>
      <xdr:row>142</xdr:row>
      <xdr:rowOff>57150</xdr:rowOff>
    </xdr:from>
    <xdr:to>
      <xdr:col>0</xdr:col>
      <xdr:colOff>378000</xdr:colOff>
      <xdr:row>142</xdr:row>
      <xdr:rowOff>421815</xdr:rowOff>
    </xdr:to>
    <xdr:pic>
      <xdr:nvPicPr>
        <xdr:cNvPr id="12" name="Graphic 11" descr="Information outline">
          <a:hlinkClick xmlns:r="http://schemas.openxmlformats.org/officeDocument/2006/relationships" r:id="rId13"/>
          <a:extLst>
            <a:ext uri="{FF2B5EF4-FFF2-40B4-BE49-F238E27FC236}">
              <a16:creationId xmlns:a16="http://schemas.microsoft.com/office/drawing/2014/main" id="{00000000-0008-0000-0A00-00000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4041100"/>
          <a:ext cx="378000" cy="372285"/>
        </a:xfrm>
        <a:prstGeom prst="rect">
          <a:avLst/>
        </a:prstGeom>
      </xdr:spPr>
    </xdr:pic>
    <xdr:clientData/>
  </xdr:twoCellAnchor>
  <xdr:twoCellAnchor editAs="oneCell">
    <xdr:from>
      <xdr:col>0</xdr:col>
      <xdr:colOff>19050</xdr:colOff>
      <xdr:row>146</xdr:row>
      <xdr:rowOff>247650</xdr:rowOff>
    </xdr:from>
    <xdr:to>
      <xdr:col>1</xdr:col>
      <xdr:colOff>8430</xdr:colOff>
      <xdr:row>147</xdr:row>
      <xdr:rowOff>208455</xdr:rowOff>
    </xdr:to>
    <xdr:pic>
      <xdr:nvPicPr>
        <xdr:cNvPr id="13" name="Graphic 12" descr="Information outline">
          <a:hlinkClick xmlns:r="http://schemas.openxmlformats.org/officeDocument/2006/relationships" r:id="rId14"/>
          <a:extLst>
            <a:ext uri="{FF2B5EF4-FFF2-40B4-BE49-F238E27FC236}">
              <a16:creationId xmlns:a16="http://schemas.microsoft.com/office/drawing/2014/main" id="{00000000-0008-0000-0A00-00000D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25098375"/>
          <a:ext cx="381810" cy="378000"/>
        </a:xfrm>
        <a:prstGeom prst="rect">
          <a:avLst/>
        </a:prstGeom>
      </xdr:spPr>
    </xdr:pic>
    <xdr:clientData/>
  </xdr:twoCellAnchor>
  <xdr:twoCellAnchor editAs="oneCell">
    <xdr:from>
      <xdr:col>0</xdr:col>
      <xdr:colOff>20955</xdr:colOff>
      <xdr:row>240</xdr:row>
      <xdr:rowOff>38100</xdr:rowOff>
    </xdr:from>
    <xdr:to>
      <xdr:col>1</xdr:col>
      <xdr:colOff>10335</xdr:colOff>
      <xdr:row>241</xdr:row>
      <xdr:rowOff>191311</xdr:rowOff>
    </xdr:to>
    <xdr:pic>
      <xdr:nvPicPr>
        <xdr:cNvPr id="15" name="Graphic 14" descr="Information outline">
          <a:hlinkClick xmlns:r="http://schemas.openxmlformats.org/officeDocument/2006/relationships" r:id="rId15"/>
          <a:extLst>
            <a:ext uri="{FF2B5EF4-FFF2-40B4-BE49-F238E27FC236}">
              <a16:creationId xmlns:a16="http://schemas.microsoft.com/office/drawing/2014/main" id="{00000000-0008-0000-0A00-00000F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0955" y="35147250"/>
          <a:ext cx="378000" cy="378000"/>
        </a:xfrm>
        <a:prstGeom prst="rect">
          <a:avLst/>
        </a:prstGeom>
      </xdr:spPr>
    </xdr:pic>
    <xdr:clientData/>
  </xdr:twoCellAnchor>
  <xdr:twoCellAnchor editAs="oneCell">
    <xdr:from>
      <xdr:col>0</xdr:col>
      <xdr:colOff>15240</xdr:colOff>
      <xdr:row>293</xdr:row>
      <xdr:rowOff>1905</xdr:rowOff>
    </xdr:from>
    <xdr:to>
      <xdr:col>0</xdr:col>
      <xdr:colOff>387525</xdr:colOff>
      <xdr:row>294</xdr:row>
      <xdr:rowOff>206550</xdr:rowOff>
    </xdr:to>
    <xdr:pic>
      <xdr:nvPicPr>
        <xdr:cNvPr id="16" name="Graphic 15" descr="Information outline">
          <a:hlinkClick xmlns:r="http://schemas.openxmlformats.org/officeDocument/2006/relationships" r:id="rId16"/>
          <a:extLst>
            <a:ext uri="{FF2B5EF4-FFF2-40B4-BE49-F238E27FC236}">
              <a16:creationId xmlns:a16="http://schemas.microsoft.com/office/drawing/2014/main" id="{00000000-0008-0000-0A00-00001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47655480"/>
          <a:ext cx="385620" cy="395145"/>
        </a:xfrm>
        <a:prstGeom prst="rect">
          <a:avLst/>
        </a:prstGeom>
      </xdr:spPr>
    </xdr:pic>
    <xdr:clientData/>
  </xdr:twoCellAnchor>
  <xdr:twoCellAnchor editAs="oneCell">
    <xdr:from>
      <xdr:col>0</xdr:col>
      <xdr:colOff>20955</xdr:colOff>
      <xdr:row>279</xdr:row>
      <xdr:rowOff>76200</xdr:rowOff>
    </xdr:from>
    <xdr:to>
      <xdr:col>1</xdr:col>
      <xdr:colOff>10335</xdr:colOff>
      <xdr:row>280</xdr:row>
      <xdr:rowOff>54150</xdr:rowOff>
    </xdr:to>
    <xdr:pic>
      <xdr:nvPicPr>
        <xdr:cNvPr id="17" name="Graphic 16" descr="Information outline">
          <a:hlinkClick xmlns:r="http://schemas.openxmlformats.org/officeDocument/2006/relationships" r:id="rId17"/>
          <a:extLst>
            <a:ext uri="{FF2B5EF4-FFF2-40B4-BE49-F238E27FC236}">
              <a16:creationId xmlns:a16="http://schemas.microsoft.com/office/drawing/2014/main" id="{00000000-0008-0000-0A00-000011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0955" y="44034075"/>
          <a:ext cx="378000" cy="378000"/>
        </a:xfrm>
        <a:prstGeom prst="rect">
          <a:avLst/>
        </a:prstGeom>
      </xdr:spPr>
    </xdr:pic>
    <xdr:clientData/>
  </xdr:twoCellAnchor>
  <xdr:twoCellAnchor editAs="oneCell">
    <xdr:from>
      <xdr:col>0</xdr:col>
      <xdr:colOff>0</xdr:colOff>
      <xdr:row>257</xdr:row>
      <xdr:rowOff>196215</xdr:rowOff>
    </xdr:from>
    <xdr:to>
      <xdr:col>0</xdr:col>
      <xdr:colOff>378000</xdr:colOff>
      <xdr:row>258</xdr:row>
      <xdr:rowOff>168450</xdr:rowOff>
    </xdr:to>
    <xdr:pic>
      <xdr:nvPicPr>
        <xdr:cNvPr id="18" name="Graphic 17" descr="Information outline">
          <a:hlinkClick xmlns:r="http://schemas.openxmlformats.org/officeDocument/2006/relationships" r:id="rId18"/>
          <a:extLst>
            <a:ext uri="{FF2B5EF4-FFF2-40B4-BE49-F238E27FC236}">
              <a16:creationId xmlns:a16="http://schemas.microsoft.com/office/drawing/2014/main" id="{00000000-0008-0000-0A00-00001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0791765"/>
          <a:ext cx="378000" cy="378000"/>
        </a:xfrm>
        <a:prstGeom prst="rect">
          <a:avLst/>
        </a:prstGeom>
      </xdr:spPr>
    </xdr:pic>
    <xdr:clientData/>
  </xdr:twoCellAnchor>
  <xdr:twoCellAnchor editAs="oneCell">
    <xdr:from>
      <xdr:col>0</xdr:col>
      <xdr:colOff>0</xdr:colOff>
      <xdr:row>248</xdr:row>
      <xdr:rowOff>15240</xdr:rowOff>
    </xdr:from>
    <xdr:to>
      <xdr:col>0</xdr:col>
      <xdr:colOff>378000</xdr:colOff>
      <xdr:row>249</xdr:row>
      <xdr:rowOff>174165</xdr:rowOff>
    </xdr:to>
    <xdr:pic>
      <xdr:nvPicPr>
        <xdr:cNvPr id="19" name="Graphic 18" descr="Information outline">
          <a:hlinkClick xmlns:r="http://schemas.openxmlformats.org/officeDocument/2006/relationships" r:id="rId19"/>
          <a:extLst>
            <a:ext uri="{FF2B5EF4-FFF2-40B4-BE49-F238E27FC236}">
              <a16:creationId xmlns:a16="http://schemas.microsoft.com/office/drawing/2014/main" id="{00000000-0008-0000-0A00-00001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8581965"/>
          <a:ext cx="378000" cy="364665"/>
        </a:xfrm>
        <a:prstGeom prst="rect">
          <a:avLst/>
        </a:prstGeom>
      </xdr:spPr>
    </xdr:pic>
    <xdr:clientData/>
  </xdr:twoCellAnchor>
  <xdr:twoCellAnchor editAs="oneCell">
    <xdr:from>
      <xdr:col>0</xdr:col>
      <xdr:colOff>15240</xdr:colOff>
      <xdr:row>154</xdr:row>
      <xdr:rowOff>0</xdr:rowOff>
    </xdr:from>
    <xdr:to>
      <xdr:col>0</xdr:col>
      <xdr:colOff>387525</xdr:colOff>
      <xdr:row>155</xdr:row>
      <xdr:rowOff>170355</xdr:rowOff>
    </xdr:to>
    <xdr:pic>
      <xdr:nvPicPr>
        <xdr:cNvPr id="20" name="Graphic 14" descr="Information outline">
          <a:hlinkClick xmlns:r="http://schemas.openxmlformats.org/officeDocument/2006/relationships" r:id="rId20"/>
          <a:extLst>
            <a:ext uri="{FF2B5EF4-FFF2-40B4-BE49-F238E27FC236}">
              <a16:creationId xmlns:a16="http://schemas.microsoft.com/office/drawing/2014/main" id="{00000000-0008-0000-0A00-00001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32175450"/>
          <a:ext cx="385620" cy="3780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eu-etsart21@eea.europa.eu" TargetMode="External"/><Relationship Id="rId1" Type="http://schemas.openxmlformats.org/officeDocument/2006/relationships/hyperlink" Target="https://reportnet.europa.eu/public/dataflow/539"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ec.europa.eu/clima/system/files/2021-09/gd7_activity_level_changes_en.pdf"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378BCA-2404-4027-BBFB-BF27784B5CD0}">
  <sheetPr codeName="Sheet18"/>
  <dimension ref="A1:R980"/>
  <sheetViews>
    <sheetView topLeftCell="A952" workbookViewId="0">
      <selection activeCell="B980" sqref="B980"/>
    </sheetView>
  </sheetViews>
  <sheetFormatPr defaultColWidth="9.109375" defaultRowHeight="14.4" x14ac:dyDescent="0.3"/>
  <cols>
    <col min="15" max="16384" width="9.109375" style="184"/>
  </cols>
  <sheetData>
    <row r="1" spans="1:18" x14ac:dyDescent="0.3">
      <c r="A1" t="s">
        <v>1759</v>
      </c>
      <c r="B1" t="s">
        <v>1727</v>
      </c>
      <c r="C1" t="s">
        <v>1728</v>
      </c>
      <c r="D1" t="s">
        <v>1729</v>
      </c>
      <c r="E1" t="s">
        <v>1730</v>
      </c>
      <c r="F1" t="s">
        <v>1731</v>
      </c>
      <c r="G1" t="s">
        <v>1732</v>
      </c>
      <c r="H1" t="s">
        <v>1733</v>
      </c>
      <c r="I1" t="s">
        <v>1734</v>
      </c>
      <c r="J1" t="s">
        <v>1735</v>
      </c>
      <c r="K1" t="s">
        <v>1736</v>
      </c>
      <c r="L1" t="s">
        <v>1737</v>
      </c>
      <c r="M1" t="s">
        <v>1758</v>
      </c>
      <c r="N1" t="s">
        <v>1757</v>
      </c>
      <c r="O1" s="185" t="s">
        <v>1761</v>
      </c>
      <c r="P1" s="185" t="s">
        <v>1760</v>
      </c>
      <c r="R1" s="184" t="s">
        <v>1763</v>
      </c>
    </row>
    <row r="2" spans="1:18" x14ac:dyDescent="0.3">
      <c r="A2" t="s">
        <v>1793</v>
      </c>
      <c r="B2" t="s">
        <v>1794</v>
      </c>
      <c r="C2" t="s">
        <v>1795</v>
      </c>
      <c r="D2">
        <v>0</v>
      </c>
      <c r="E2" t="s">
        <v>1447</v>
      </c>
      <c r="F2" t="s">
        <v>1796</v>
      </c>
      <c r="G2" t="s">
        <v>1797</v>
      </c>
      <c r="H2" t="s">
        <v>1798</v>
      </c>
      <c r="I2" t="s">
        <v>1799</v>
      </c>
      <c r="J2" t="s">
        <v>1799</v>
      </c>
      <c r="K2" t="s">
        <v>1799</v>
      </c>
      <c r="L2" t="s">
        <v>1799</v>
      </c>
      <c r="M2" t="s">
        <v>1799</v>
      </c>
      <c r="N2" t="s">
        <v>1799</v>
      </c>
      <c r="O2" s="184" t="str">
        <f>"["&amp;$C2&amp;"]["&amp;$D2&amp;"]["&amp;$F2&amp;"]"</f>
        <v>[S01_InstitutionDetails][0][NameAndDepartment]</v>
      </c>
    </row>
    <row r="3" spans="1:18" x14ac:dyDescent="0.3">
      <c r="A3" t="s">
        <v>1793</v>
      </c>
      <c r="B3" t="s">
        <v>1794</v>
      </c>
      <c r="C3" t="s">
        <v>1795</v>
      </c>
      <c r="D3">
        <v>0</v>
      </c>
      <c r="E3" t="s">
        <v>1447</v>
      </c>
      <c r="F3" t="s">
        <v>1800</v>
      </c>
      <c r="G3" t="s">
        <v>1797</v>
      </c>
      <c r="H3" t="s">
        <v>1801</v>
      </c>
      <c r="I3" t="s">
        <v>1799</v>
      </c>
      <c r="J3" t="s">
        <v>1799</v>
      </c>
      <c r="K3" t="s">
        <v>1799</v>
      </c>
      <c r="L3" t="s">
        <v>1799</v>
      </c>
      <c r="M3" t="s">
        <v>1799</v>
      </c>
      <c r="N3" t="s">
        <v>1799</v>
      </c>
      <c r="O3" s="184" t="str">
        <f>"["&amp;$C3&amp;"]["&amp;$D3&amp;"]["&amp;$F3&amp;"]"</f>
        <v>[S01_InstitutionDetails][0][ContactPersonName]</v>
      </c>
    </row>
    <row r="4" spans="1:18" x14ac:dyDescent="0.3">
      <c r="A4" t="s">
        <v>1793</v>
      </c>
      <c r="B4" t="s">
        <v>1794</v>
      </c>
      <c r="C4" t="s">
        <v>1795</v>
      </c>
      <c r="D4">
        <v>0</v>
      </c>
      <c r="E4" t="s">
        <v>1447</v>
      </c>
      <c r="F4" t="s">
        <v>1802</v>
      </c>
      <c r="G4" t="s">
        <v>1797</v>
      </c>
      <c r="H4" t="s">
        <v>1803</v>
      </c>
      <c r="I4" t="s">
        <v>1799</v>
      </c>
      <c r="J4" t="s">
        <v>1799</v>
      </c>
      <c r="K4" t="s">
        <v>1799</v>
      </c>
      <c r="L4" t="s">
        <v>1799</v>
      </c>
      <c r="M4" t="s">
        <v>1799</v>
      </c>
      <c r="N4" t="s">
        <v>1799</v>
      </c>
      <c r="O4" s="184" t="str">
        <f>"["&amp;$C4&amp;"]["&amp;$D4&amp;"]["&amp;$F4&amp;"]"</f>
        <v>[S01_InstitutionDetails][0][ContactPersonJobTitle]</v>
      </c>
    </row>
    <row r="5" spans="1:18" x14ac:dyDescent="0.3">
      <c r="A5" t="s">
        <v>1793</v>
      </c>
      <c r="B5" t="s">
        <v>1794</v>
      </c>
      <c r="C5" t="s">
        <v>1795</v>
      </c>
      <c r="D5">
        <v>0</v>
      </c>
      <c r="E5" t="s">
        <v>1447</v>
      </c>
      <c r="F5" t="s">
        <v>1804</v>
      </c>
      <c r="G5" t="s">
        <v>1797</v>
      </c>
      <c r="H5" t="s">
        <v>1805</v>
      </c>
      <c r="I5" t="s">
        <v>1799</v>
      </c>
      <c r="J5" t="s">
        <v>1799</v>
      </c>
      <c r="K5" t="s">
        <v>1799</v>
      </c>
      <c r="L5" t="s">
        <v>1799</v>
      </c>
      <c r="M5" t="s">
        <v>1799</v>
      </c>
      <c r="N5" t="s">
        <v>1799</v>
      </c>
      <c r="O5" s="184" t="str">
        <f>"["&amp;$C5&amp;"]["&amp;$D5&amp;"]["&amp;$F5&amp;"]"</f>
        <v>[S01_InstitutionDetails][0][Address]</v>
      </c>
    </row>
    <row r="6" spans="1:18" x14ac:dyDescent="0.3">
      <c r="A6" t="s">
        <v>1793</v>
      </c>
      <c r="B6" t="s">
        <v>1794</v>
      </c>
      <c r="C6" t="s">
        <v>1795</v>
      </c>
      <c r="D6">
        <v>0</v>
      </c>
      <c r="E6" t="s">
        <v>1447</v>
      </c>
      <c r="F6" t="s">
        <v>1806</v>
      </c>
      <c r="G6" t="s">
        <v>1797</v>
      </c>
      <c r="H6" t="s">
        <v>1807</v>
      </c>
      <c r="I6" t="s">
        <v>1799</v>
      </c>
      <c r="J6" t="s">
        <v>1799</v>
      </c>
      <c r="K6" t="s">
        <v>1799</v>
      </c>
      <c r="L6" t="s">
        <v>1799</v>
      </c>
      <c r="M6" t="s">
        <v>1799</v>
      </c>
      <c r="N6" t="s">
        <v>1799</v>
      </c>
      <c r="O6" s="184" t="str">
        <f>"["&amp;$C6&amp;"]["&amp;$D6&amp;"]["&amp;$F6&amp;"]"</f>
        <v>[S01_InstitutionDetails][0][InternationalTelephoneNumber]</v>
      </c>
    </row>
    <row r="7" spans="1:18" x14ac:dyDescent="0.3">
      <c r="A7" t="s">
        <v>1793</v>
      </c>
      <c r="B7" t="s">
        <v>1794</v>
      </c>
      <c r="C7" t="s">
        <v>1795</v>
      </c>
      <c r="D7">
        <v>0</v>
      </c>
      <c r="E7" t="s">
        <v>1447</v>
      </c>
      <c r="F7" t="s">
        <v>1808</v>
      </c>
      <c r="G7" t="s">
        <v>1797</v>
      </c>
      <c r="H7" t="s">
        <v>1809</v>
      </c>
      <c r="I7" t="s">
        <v>1799</v>
      </c>
      <c r="J7" t="s">
        <v>1799</v>
      </c>
      <c r="K7" t="s">
        <v>1799</v>
      </c>
      <c r="L7" t="s">
        <v>1799</v>
      </c>
      <c r="M7" t="s">
        <v>1799</v>
      </c>
      <c r="N7" t="s">
        <v>1799</v>
      </c>
      <c r="O7" s="184" t="str">
        <f>"["&amp;$C7&amp;"]["&amp;$D7&amp;"]["&amp;$F7&amp;"]"</f>
        <v>[S01_InstitutionDetails][0][EMail]</v>
      </c>
    </row>
    <row r="8" spans="1:18" x14ac:dyDescent="0.3">
      <c r="A8" t="s">
        <v>1793</v>
      </c>
      <c r="B8" t="s">
        <v>1794</v>
      </c>
      <c r="C8" t="s">
        <v>1795</v>
      </c>
      <c r="D8">
        <v>0</v>
      </c>
      <c r="E8" t="s">
        <v>1447</v>
      </c>
      <c r="F8" t="s">
        <v>1810</v>
      </c>
      <c r="G8" t="s">
        <v>1811</v>
      </c>
      <c r="H8" t="s">
        <v>1799</v>
      </c>
      <c r="I8">
        <v>2021</v>
      </c>
      <c r="J8" t="s">
        <v>1799</v>
      </c>
      <c r="K8" t="s">
        <v>1799</v>
      </c>
      <c r="L8" t="s">
        <v>1799</v>
      </c>
      <c r="M8" t="s">
        <v>1799</v>
      </c>
      <c r="N8" t="s">
        <v>1799</v>
      </c>
      <c r="O8" s="184" t="str">
        <f>"["&amp;$C8&amp;"]["&amp;$D8&amp;"]["&amp;$F8&amp;"]"</f>
        <v>[S01_InstitutionDetails][0][ReportingYear]</v>
      </c>
    </row>
    <row r="9" spans="1:18" x14ac:dyDescent="0.3">
      <c r="A9" t="s">
        <v>1793</v>
      </c>
      <c r="B9" t="s">
        <v>1812</v>
      </c>
      <c r="C9" t="s">
        <v>1813</v>
      </c>
      <c r="D9">
        <v>1</v>
      </c>
      <c r="E9" t="s">
        <v>1447</v>
      </c>
      <c r="F9" t="s">
        <v>1814</v>
      </c>
      <c r="G9" t="s">
        <v>1797</v>
      </c>
      <c r="H9" t="s">
        <v>1815</v>
      </c>
      <c r="I9" t="s">
        <v>1799</v>
      </c>
      <c r="J9" t="s">
        <v>1799</v>
      </c>
      <c r="K9" t="s">
        <v>1799</v>
      </c>
      <c r="L9" t="s">
        <v>1799</v>
      </c>
      <c r="M9" t="s">
        <v>1799</v>
      </c>
      <c r="N9" t="s">
        <v>1799</v>
      </c>
      <c r="O9" s="184" t="str">
        <f>"["&amp;$C9&amp;"]["&amp;$D9&amp;"]["&amp;$F9&amp;"]"</f>
        <v>[S02_CompetentAuthority][1][CAName]</v>
      </c>
    </row>
    <row r="10" spans="1:18" x14ac:dyDescent="0.3">
      <c r="A10" t="s">
        <v>1793</v>
      </c>
      <c r="B10" t="s">
        <v>1812</v>
      </c>
      <c r="C10" t="s">
        <v>1813</v>
      </c>
      <c r="D10">
        <v>2</v>
      </c>
      <c r="E10" t="s">
        <v>1447</v>
      </c>
      <c r="F10" t="s">
        <v>1814</v>
      </c>
      <c r="G10" t="s">
        <v>1797</v>
      </c>
      <c r="H10" t="s">
        <v>1816</v>
      </c>
      <c r="I10" t="s">
        <v>1799</v>
      </c>
      <c r="J10" t="s">
        <v>1799</v>
      </c>
      <c r="K10" t="s">
        <v>1799</v>
      </c>
      <c r="L10" t="s">
        <v>1799</v>
      </c>
      <c r="M10" t="s">
        <v>1799</v>
      </c>
      <c r="N10" t="s">
        <v>1799</v>
      </c>
      <c r="O10" s="184" t="str">
        <f>"["&amp;$C10&amp;"]["&amp;$D10&amp;"]["&amp;$F10&amp;"]"</f>
        <v>[S02_CompetentAuthority][2][CAName]</v>
      </c>
    </row>
    <row r="11" spans="1:18" x14ac:dyDescent="0.3">
      <c r="A11" t="s">
        <v>1793</v>
      </c>
      <c r="B11" t="s">
        <v>1812</v>
      </c>
      <c r="C11" t="s">
        <v>1813</v>
      </c>
      <c r="D11">
        <v>3</v>
      </c>
      <c r="E11" t="s">
        <v>1447</v>
      </c>
      <c r="F11" t="s">
        <v>1814</v>
      </c>
      <c r="G11" t="s">
        <v>1797</v>
      </c>
      <c r="H11" t="s">
        <v>1817</v>
      </c>
      <c r="I11" t="s">
        <v>1799</v>
      </c>
      <c r="J11" t="s">
        <v>1799</v>
      </c>
      <c r="K11" t="s">
        <v>1799</v>
      </c>
      <c r="L11" t="s">
        <v>1799</v>
      </c>
      <c r="M11" t="s">
        <v>1799</v>
      </c>
      <c r="N11" t="s">
        <v>1799</v>
      </c>
      <c r="O11" s="184" t="str">
        <f>"["&amp;$C11&amp;"]["&amp;$D11&amp;"]["&amp;$F11&amp;"]"</f>
        <v>[S02_CompetentAuthority][3][CAName]</v>
      </c>
    </row>
    <row r="12" spans="1:18" x14ac:dyDescent="0.3">
      <c r="A12" t="s">
        <v>1793</v>
      </c>
      <c r="B12" t="s">
        <v>1812</v>
      </c>
      <c r="C12" t="s">
        <v>1813</v>
      </c>
      <c r="D12">
        <v>1</v>
      </c>
      <c r="E12" t="s">
        <v>1447</v>
      </c>
      <c r="F12" t="s">
        <v>1818</v>
      </c>
      <c r="G12" t="s">
        <v>1797</v>
      </c>
      <c r="H12" t="s">
        <v>1819</v>
      </c>
      <c r="I12" t="s">
        <v>1799</v>
      </c>
      <c r="J12" t="s">
        <v>1799</v>
      </c>
      <c r="K12" t="s">
        <v>1799</v>
      </c>
      <c r="L12" t="s">
        <v>1799</v>
      </c>
      <c r="M12" t="s">
        <v>1799</v>
      </c>
      <c r="N12" t="s">
        <v>1799</v>
      </c>
      <c r="O12" s="184" t="str">
        <f>"["&amp;$C12&amp;"]["&amp;$D12&amp;"]["&amp;$F12&amp;"]"</f>
        <v>[S02_CompetentAuthority][1][CAAbbreviation]</v>
      </c>
    </row>
    <row r="13" spans="1:18" x14ac:dyDescent="0.3">
      <c r="A13" t="s">
        <v>1793</v>
      </c>
      <c r="B13" t="s">
        <v>1812</v>
      </c>
      <c r="C13" t="s">
        <v>1813</v>
      </c>
      <c r="D13">
        <v>2</v>
      </c>
      <c r="E13" t="s">
        <v>1447</v>
      </c>
      <c r="F13" t="s">
        <v>1818</v>
      </c>
      <c r="G13" t="s">
        <v>1797</v>
      </c>
      <c r="H13" t="s">
        <v>1820</v>
      </c>
      <c r="I13" t="s">
        <v>1799</v>
      </c>
      <c r="J13" t="s">
        <v>1799</v>
      </c>
      <c r="K13" t="s">
        <v>1799</v>
      </c>
      <c r="L13" t="s">
        <v>1799</v>
      </c>
      <c r="M13" t="s">
        <v>1799</v>
      </c>
      <c r="N13" t="s">
        <v>1799</v>
      </c>
      <c r="O13" s="184" t="str">
        <f>"["&amp;$C13&amp;"]["&amp;$D13&amp;"]["&amp;$F13&amp;"]"</f>
        <v>[S02_CompetentAuthority][2][CAAbbreviation]</v>
      </c>
    </row>
    <row r="14" spans="1:18" x14ac:dyDescent="0.3">
      <c r="A14" t="s">
        <v>1793</v>
      </c>
      <c r="B14" t="s">
        <v>1812</v>
      </c>
      <c r="C14" t="s">
        <v>1813</v>
      </c>
      <c r="D14">
        <v>3</v>
      </c>
      <c r="E14" t="s">
        <v>1447</v>
      </c>
      <c r="F14" t="s">
        <v>1818</v>
      </c>
      <c r="G14" t="s">
        <v>1797</v>
      </c>
      <c r="H14" t="s">
        <v>1821</v>
      </c>
      <c r="I14" t="s">
        <v>1799</v>
      </c>
      <c r="J14" t="s">
        <v>1799</v>
      </c>
      <c r="K14" t="s">
        <v>1799</v>
      </c>
      <c r="L14" t="s">
        <v>1799</v>
      </c>
      <c r="M14" t="s">
        <v>1799</v>
      </c>
      <c r="N14" t="s">
        <v>1799</v>
      </c>
      <c r="O14" s="184" t="str">
        <f>"["&amp;$C14&amp;"]["&amp;$D14&amp;"]["&amp;$F14&amp;"]"</f>
        <v>[S02_CompetentAuthority][3][CAAbbreviation]</v>
      </c>
    </row>
    <row r="15" spans="1:18" x14ac:dyDescent="0.3">
      <c r="A15" t="s">
        <v>1793</v>
      </c>
      <c r="B15" t="s">
        <v>1812</v>
      </c>
      <c r="C15" t="s">
        <v>1813</v>
      </c>
      <c r="D15">
        <v>1</v>
      </c>
      <c r="E15" t="s">
        <v>1447</v>
      </c>
      <c r="F15" t="s">
        <v>1822</v>
      </c>
      <c r="G15" t="s">
        <v>1797</v>
      </c>
      <c r="H15" t="s">
        <v>1422</v>
      </c>
      <c r="I15" t="s">
        <v>1799</v>
      </c>
      <c r="J15" t="s">
        <v>1799</v>
      </c>
      <c r="K15" t="s">
        <v>1799</v>
      </c>
      <c r="L15" t="s">
        <v>1799</v>
      </c>
      <c r="M15" t="s">
        <v>1799</v>
      </c>
      <c r="N15" t="s">
        <v>1799</v>
      </c>
      <c r="O15" s="184" t="str">
        <f>"["&amp;$C15&amp;"]["&amp;$D15&amp;"]["&amp;$F15&amp;"]"</f>
        <v>[S02_CompetentAuthority][1][CAType]</v>
      </c>
    </row>
    <row r="16" spans="1:18" x14ac:dyDescent="0.3">
      <c r="A16" t="s">
        <v>1793</v>
      </c>
      <c r="B16" t="s">
        <v>1812</v>
      </c>
      <c r="C16" t="s">
        <v>1813</v>
      </c>
      <c r="D16">
        <v>2</v>
      </c>
      <c r="E16" t="s">
        <v>1447</v>
      </c>
      <c r="F16" t="s">
        <v>1822</v>
      </c>
      <c r="G16" t="s">
        <v>1797</v>
      </c>
      <c r="H16" t="s">
        <v>1422</v>
      </c>
      <c r="I16" t="s">
        <v>1799</v>
      </c>
      <c r="J16" t="s">
        <v>1799</v>
      </c>
      <c r="K16" t="s">
        <v>1799</v>
      </c>
      <c r="L16" t="s">
        <v>1799</v>
      </c>
      <c r="M16" t="s">
        <v>1799</v>
      </c>
      <c r="N16" t="s">
        <v>1799</v>
      </c>
      <c r="O16" s="184" t="str">
        <f>"["&amp;$C16&amp;"]["&amp;$D16&amp;"]["&amp;$F16&amp;"]"</f>
        <v>[S02_CompetentAuthority][2][CAType]</v>
      </c>
    </row>
    <row r="17" spans="1:15" x14ac:dyDescent="0.3">
      <c r="A17" t="s">
        <v>1793</v>
      </c>
      <c r="B17" t="s">
        <v>1812</v>
      </c>
      <c r="C17" t="s">
        <v>1813</v>
      </c>
      <c r="D17">
        <v>3</v>
      </c>
      <c r="E17" t="s">
        <v>1447</v>
      </c>
      <c r="F17" t="s">
        <v>1822</v>
      </c>
      <c r="G17" t="s">
        <v>1797</v>
      </c>
      <c r="H17" t="s">
        <v>1422</v>
      </c>
      <c r="I17" t="s">
        <v>1799</v>
      </c>
      <c r="J17" t="s">
        <v>1799</v>
      </c>
      <c r="K17" t="s">
        <v>1799</v>
      </c>
      <c r="L17" t="s">
        <v>1799</v>
      </c>
      <c r="M17" t="s">
        <v>1799</v>
      </c>
      <c r="N17" t="s">
        <v>1799</v>
      </c>
      <c r="O17" s="184" t="str">
        <f>"["&amp;$C17&amp;"]["&amp;$D17&amp;"]["&amp;$F17&amp;"]"</f>
        <v>[S02_CompetentAuthority][3][CAType]</v>
      </c>
    </row>
    <row r="18" spans="1:15" x14ac:dyDescent="0.3">
      <c r="A18" t="s">
        <v>1793</v>
      </c>
      <c r="B18" t="s">
        <v>1812</v>
      </c>
      <c r="C18" t="s">
        <v>1813</v>
      </c>
      <c r="D18">
        <v>1</v>
      </c>
      <c r="E18" t="s">
        <v>1447</v>
      </c>
      <c r="F18" t="s">
        <v>1823</v>
      </c>
      <c r="G18" t="s">
        <v>1797</v>
      </c>
      <c r="H18" t="s">
        <v>1824</v>
      </c>
      <c r="I18" t="s">
        <v>1799</v>
      </c>
      <c r="J18" t="s">
        <v>1799</v>
      </c>
      <c r="K18" t="s">
        <v>1799</v>
      </c>
      <c r="L18" t="s">
        <v>1799</v>
      </c>
      <c r="M18" t="s">
        <v>1799</v>
      </c>
      <c r="N18" t="s">
        <v>1799</v>
      </c>
      <c r="O18" s="184" t="str">
        <f>"["&amp;$C18&amp;"]["&amp;$D18&amp;"]["&amp;$F18&amp;"]"</f>
        <v>[S02_CompetentAuthority][1][CATelephone]</v>
      </c>
    </row>
    <row r="19" spans="1:15" x14ac:dyDescent="0.3">
      <c r="A19" t="s">
        <v>1793</v>
      </c>
      <c r="B19" t="s">
        <v>1812</v>
      </c>
      <c r="C19" t="s">
        <v>1813</v>
      </c>
      <c r="D19">
        <v>2</v>
      </c>
      <c r="E19" t="s">
        <v>1447</v>
      </c>
      <c r="F19" t="s">
        <v>1823</v>
      </c>
      <c r="G19" t="s">
        <v>1797</v>
      </c>
      <c r="H19" t="s">
        <v>1825</v>
      </c>
      <c r="I19" t="s">
        <v>1799</v>
      </c>
      <c r="J19" t="s">
        <v>1799</v>
      </c>
      <c r="K19" t="s">
        <v>1799</v>
      </c>
      <c r="L19" t="s">
        <v>1799</v>
      </c>
      <c r="M19" t="s">
        <v>1799</v>
      </c>
      <c r="N19" t="s">
        <v>1799</v>
      </c>
      <c r="O19" s="184" t="str">
        <f>"["&amp;$C19&amp;"]["&amp;$D19&amp;"]["&amp;$F19&amp;"]"</f>
        <v>[S02_CompetentAuthority][2][CATelephone]</v>
      </c>
    </row>
    <row r="20" spans="1:15" x14ac:dyDescent="0.3">
      <c r="A20" t="s">
        <v>1793</v>
      </c>
      <c r="B20" t="s">
        <v>1812</v>
      </c>
      <c r="C20" t="s">
        <v>1813</v>
      </c>
      <c r="D20">
        <v>3</v>
      </c>
      <c r="E20" t="s">
        <v>1447</v>
      </c>
      <c r="F20" t="s">
        <v>1823</v>
      </c>
      <c r="G20" t="s">
        <v>1797</v>
      </c>
      <c r="H20" t="s">
        <v>1826</v>
      </c>
      <c r="I20" t="s">
        <v>1799</v>
      </c>
      <c r="J20" t="s">
        <v>1799</v>
      </c>
      <c r="K20" t="s">
        <v>1799</v>
      </c>
      <c r="L20" t="s">
        <v>1799</v>
      </c>
      <c r="M20" t="s">
        <v>1799</v>
      </c>
      <c r="N20" t="s">
        <v>1799</v>
      </c>
      <c r="O20" s="184" t="str">
        <f>"["&amp;$C20&amp;"]["&amp;$D20&amp;"]["&amp;$F20&amp;"]"</f>
        <v>[S02_CompetentAuthority][3][CATelephone]</v>
      </c>
    </row>
    <row r="21" spans="1:15" x14ac:dyDescent="0.3">
      <c r="A21" t="s">
        <v>1793</v>
      </c>
      <c r="B21" t="s">
        <v>1812</v>
      </c>
      <c r="C21" t="s">
        <v>1813</v>
      </c>
      <c r="D21">
        <v>1</v>
      </c>
      <c r="E21" t="s">
        <v>1447</v>
      </c>
      <c r="F21" t="s">
        <v>1827</v>
      </c>
      <c r="G21" t="s">
        <v>1797</v>
      </c>
      <c r="H21" t="s">
        <v>1828</v>
      </c>
      <c r="I21" t="s">
        <v>1799</v>
      </c>
      <c r="J21" t="s">
        <v>1799</v>
      </c>
      <c r="K21" t="s">
        <v>1799</v>
      </c>
      <c r="L21" t="s">
        <v>1799</v>
      </c>
      <c r="M21" t="s">
        <v>1799</v>
      </c>
      <c r="N21" t="s">
        <v>1799</v>
      </c>
      <c r="O21" s="184" t="str">
        <f>"["&amp;$C21&amp;"]["&amp;$D21&amp;"]["&amp;$F21&amp;"]"</f>
        <v>[S02_CompetentAuthority][1][CAEmail]</v>
      </c>
    </row>
    <row r="22" spans="1:15" x14ac:dyDescent="0.3">
      <c r="A22" t="s">
        <v>1793</v>
      </c>
      <c r="B22" t="s">
        <v>1812</v>
      </c>
      <c r="C22" t="s">
        <v>1813</v>
      </c>
      <c r="D22">
        <v>2</v>
      </c>
      <c r="E22" t="s">
        <v>1447</v>
      </c>
      <c r="F22" t="s">
        <v>1827</v>
      </c>
      <c r="G22" t="s">
        <v>1797</v>
      </c>
      <c r="H22" t="s">
        <v>1829</v>
      </c>
      <c r="I22" t="s">
        <v>1799</v>
      </c>
      <c r="J22" t="s">
        <v>1799</v>
      </c>
      <c r="K22" t="s">
        <v>1799</v>
      </c>
      <c r="L22" t="s">
        <v>1799</v>
      </c>
      <c r="M22" t="s">
        <v>1799</v>
      </c>
      <c r="N22" t="s">
        <v>1799</v>
      </c>
      <c r="O22" s="184" t="str">
        <f>"["&amp;$C22&amp;"]["&amp;$D22&amp;"]["&amp;$F22&amp;"]"</f>
        <v>[S02_CompetentAuthority][2][CAEmail]</v>
      </c>
    </row>
    <row r="23" spans="1:15" x14ac:dyDescent="0.3">
      <c r="A23" t="s">
        <v>1793</v>
      </c>
      <c r="B23" t="s">
        <v>1812</v>
      </c>
      <c r="C23" t="s">
        <v>1813</v>
      </c>
      <c r="D23">
        <v>3</v>
      </c>
      <c r="E23" t="s">
        <v>1447</v>
      </c>
      <c r="F23" t="s">
        <v>1827</v>
      </c>
      <c r="G23" t="s">
        <v>1797</v>
      </c>
      <c r="H23" t="s">
        <v>1830</v>
      </c>
      <c r="I23" t="s">
        <v>1799</v>
      </c>
      <c r="J23" t="s">
        <v>1799</v>
      </c>
      <c r="K23" t="s">
        <v>1799</v>
      </c>
      <c r="L23" t="s">
        <v>1799</v>
      </c>
      <c r="M23" t="s">
        <v>1799</v>
      </c>
      <c r="N23" t="s">
        <v>1799</v>
      </c>
      <c r="O23" s="184" t="str">
        <f>"["&amp;$C23&amp;"]["&amp;$D23&amp;"]["&amp;$F23&amp;"]"</f>
        <v>[S02_CompetentAuthority][3][CAEmail]</v>
      </c>
    </row>
    <row r="24" spans="1:15" x14ac:dyDescent="0.3">
      <c r="A24" t="s">
        <v>1793</v>
      </c>
      <c r="B24" t="s">
        <v>1812</v>
      </c>
      <c r="C24" t="s">
        <v>1813</v>
      </c>
      <c r="D24">
        <v>1</v>
      </c>
      <c r="E24" t="s">
        <v>1447</v>
      </c>
      <c r="F24" t="s">
        <v>1831</v>
      </c>
      <c r="G24" t="s">
        <v>1797</v>
      </c>
      <c r="H24" t="s">
        <v>1832</v>
      </c>
      <c r="I24" t="s">
        <v>1799</v>
      </c>
      <c r="J24" t="s">
        <v>1799</v>
      </c>
      <c r="K24" t="s">
        <v>1799</v>
      </c>
      <c r="L24" t="s">
        <v>1799</v>
      </c>
      <c r="M24" t="s">
        <v>1799</v>
      </c>
      <c r="N24" t="s">
        <v>1799</v>
      </c>
      <c r="O24" s="184" t="str">
        <f>"["&amp;$C24&amp;"]["&amp;$D24&amp;"]["&amp;$F24&amp;"]"</f>
        <v>[S02_CompetentAuthority][1][CAWebsite]</v>
      </c>
    </row>
    <row r="25" spans="1:15" x14ac:dyDescent="0.3">
      <c r="A25" t="s">
        <v>1793</v>
      </c>
      <c r="B25" t="s">
        <v>1812</v>
      </c>
      <c r="C25" t="s">
        <v>1813</v>
      </c>
      <c r="D25">
        <v>2</v>
      </c>
      <c r="E25" t="s">
        <v>1447</v>
      </c>
      <c r="F25" t="s">
        <v>1831</v>
      </c>
      <c r="G25" t="s">
        <v>1797</v>
      </c>
      <c r="H25" t="s">
        <v>1833</v>
      </c>
      <c r="I25" t="s">
        <v>1799</v>
      </c>
      <c r="J25" t="s">
        <v>1799</v>
      </c>
      <c r="K25" t="s">
        <v>1799</v>
      </c>
      <c r="L25" t="s">
        <v>1799</v>
      </c>
      <c r="M25" t="s">
        <v>1799</v>
      </c>
      <c r="N25" t="s">
        <v>1799</v>
      </c>
      <c r="O25" s="184" t="str">
        <f>"["&amp;$C25&amp;"]["&amp;$D25&amp;"]["&amp;$F25&amp;"]"</f>
        <v>[S02_CompetentAuthority][2][CAWebsite]</v>
      </c>
    </row>
    <row r="26" spans="1:15" x14ac:dyDescent="0.3">
      <c r="A26" t="s">
        <v>1793</v>
      </c>
      <c r="B26" t="s">
        <v>1812</v>
      </c>
      <c r="C26" t="s">
        <v>1813</v>
      </c>
      <c r="D26">
        <v>3</v>
      </c>
      <c r="E26" t="s">
        <v>1447</v>
      </c>
      <c r="F26" t="s">
        <v>1831</v>
      </c>
      <c r="G26" t="s">
        <v>1797</v>
      </c>
      <c r="H26" t="s">
        <v>1834</v>
      </c>
      <c r="I26" t="s">
        <v>1799</v>
      </c>
      <c r="J26" t="s">
        <v>1799</v>
      </c>
      <c r="K26" t="s">
        <v>1799</v>
      </c>
      <c r="L26" t="s">
        <v>1799</v>
      </c>
      <c r="M26" t="s">
        <v>1799</v>
      </c>
      <c r="N26" t="s">
        <v>1799</v>
      </c>
      <c r="O26" s="184" t="str">
        <f>"["&amp;$C26&amp;"]["&amp;$D26&amp;"]["&amp;$F26&amp;"]"</f>
        <v>[S02_CompetentAuthority][3][CAWebsite]</v>
      </c>
    </row>
    <row r="27" spans="1:15" x14ac:dyDescent="0.3">
      <c r="A27" t="s">
        <v>1793</v>
      </c>
      <c r="B27" t="s">
        <v>1812</v>
      </c>
      <c r="C27" t="s">
        <v>1835</v>
      </c>
      <c r="D27">
        <v>0</v>
      </c>
      <c r="E27" t="s">
        <v>1447</v>
      </c>
      <c r="F27" t="s">
        <v>1835</v>
      </c>
      <c r="G27" t="s">
        <v>1836</v>
      </c>
      <c r="H27" t="s">
        <v>1799</v>
      </c>
      <c r="I27" t="s">
        <v>1799</v>
      </c>
      <c r="J27" t="s">
        <v>1799</v>
      </c>
      <c r="K27" t="s">
        <v>1799</v>
      </c>
      <c r="L27" t="s">
        <v>1419</v>
      </c>
      <c r="M27" t="s">
        <v>1799</v>
      </c>
      <c r="N27" t="s">
        <v>1799</v>
      </c>
      <c r="O27" s="184" t="str">
        <f>"["&amp;$C27&amp;"]["&amp;$D27&amp;"]["&amp;$F27&amp;"]"</f>
        <v>[S02_AccreditationBodyYesNo][0][S02_AccreditationBodyYesNo]</v>
      </c>
    </row>
    <row r="28" spans="1:15" x14ac:dyDescent="0.3">
      <c r="A28" t="s">
        <v>1793</v>
      </c>
      <c r="B28" t="s">
        <v>1812</v>
      </c>
      <c r="C28" t="s">
        <v>1837</v>
      </c>
      <c r="D28">
        <v>1</v>
      </c>
      <c r="E28" t="s">
        <v>1447</v>
      </c>
      <c r="F28" t="s">
        <v>1838</v>
      </c>
      <c r="G28" t="s">
        <v>1797</v>
      </c>
      <c r="H28" t="s">
        <v>1839</v>
      </c>
      <c r="I28" t="s">
        <v>1799</v>
      </c>
      <c r="J28" t="s">
        <v>1799</v>
      </c>
      <c r="K28" t="s">
        <v>1799</v>
      </c>
      <c r="L28" t="s">
        <v>1799</v>
      </c>
      <c r="M28" t="s">
        <v>1799</v>
      </c>
      <c r="N28" t="s">
        <v>1799</v>
      </c>
      <c r="O28" s="184" t="str">
        <f>"["&amp;$C28&amp;"]["&amp;$D28&amp;"]["&amp;$F28&amp;"]"</f>
        <v>[S02_AccreditationBody][1][AccBodyName]</v>
      </c>
    </row>
    <row r="29" spans="1:15" x14ac:dyDescent="0.3">
      <c r="A29" t="s">
        <v>1793</v>
      </c>
      <c r="B29" t="s">
        <v>1812</v>
      </c>
      <c r="C29" t="s">
        <v>1837</v>
      </c>
      <c r="D29">
        <v>1</v>
      </c>
      <c r="E29" t="s">
        <v>1447</v>
      </c>
      <c r="F29" t="s">
        <v>1840</v>
      </c>
      <c r="G29" t="s">
        <v>1797</v>
      </c>
      <c r="H29" t="s">
        <v>1841</v>
      </c>
      <c r="I29" t="s">
        <v>1799</v>
      </c>
      <c r="J29" t="s">
        <v>1799</v>
      </c>
      <c r="K29" t="s">
        <v>1799</v>
      </c>
      <c r="L29" t="s">
        <v>1799</v>
      </c>
      <c r="M29" t="s">
        <v>1799</v>
      </c>
      <c r="N29" t="s">
        <v>1799</v>
      </c>
      <c r="O29" s="184" t="str">
        <f>"["&amp;$C29&amp;"]["&amp;$D29&amp;"]["&amp;$F29&amp;"]"</f>
        <v>[S02_AccreditationBody][1][AccBodyAbbreviation]</v>
      </c>
    </row>
    <row r="30" spans="1:15" x14ac:dyDescent="0.3">
      <c r="A30" t="s">
        <v>1793</v>
      </c>
      <c r="B30" t="s">
        <v>1812</v>
      </c>
      <c r="C30" t="s">
        <v>1837</v>
      </c>
      <c r="D30">
        <v>1</v>
      </c>
      <c r="E30" t="s">
        <v>1447</v>
      </c>
      <c r="F30" t="s">
        <v>1842</v>
      </c>
      <c r="G30" t="s">
        <v>1797</v>
      </c>
      <c r="H30" t="s">
        <v>1843</v>
      </c>
      <c r="I30" t="s">
        <v>1799</v>
      </c>
      <c r="J30" t="s">
        <v>1799</v>
      </c>
      <c r="K30" t="s">
        <v>1799</v>
      </c>
      <c r="L30" t="s">
        <v>1799</v>
      </c>
      <c r="M30" t="s">
        <v>1799</v>
      </c>
      <c r="N30" t="s">
        <v>1799</v>
      </c>
      <c r="O30" s="184" t="str">
        <f>"["&amp;$C30&amp;"]["&amp;$D30&amp;"]["&amp;$F30&amp;"]"</f>
        <v>[S02_AccreditationBody][1][AccBodyTelephone]</v>
      </c>
    </row>
    <row r="31" spans="1:15" x14ac:dyDescent="0.3">
      <c r="A31" t="s">
        <v>1793</v>
      </c>
      <c r="B31" t="s">
        <v>1812</v>
      </c>
      <c r="C31" t="s">
        <v>1837</v>
      </c>
      <c r="D31">
        <v>1</v>
      </c>
      <c r="E31" t="s">
        <v>1447</v>
      </c>
      <c r="F31" t="s">
        <v>1844</v>
      </c>
      <c r="G31" t="s">
        <v>1797</v>
      </c>
      <c r="H31" t="s">
        <v>1845</v>
      </c>
      <c r="I31" t="s">
        <v>1799</v>
      </c>
      <c r="J31" t="s">
        <v>1799</v>
      </c>
      <c r="K31" t="s">
        <v>1799</v>
      </c>
      <c r="L31" t="s">
        <v>1799</v>
      </c>
      <c r="M31" t="s">
        <v>1799</v>
      </c>
      <c r="N31" t="s">
        <v>1799</v>
      </c>
      <c r="O31" s="184" t="str">
        <f>"["&amp;$C31&amp;"]["&amp;$D31&amp;"]["&amp;$F31&amp;"]"</f>
        <v>[S02_AccreditationBody][1][AccBodyEmail]</v>
      </c>
    </row>
    <row r="32" spans="1:15" x14ac:dyDescent="0.3">
      <c r="A32" t="s">
        <v>1793</v>
      </c>
      <c r="B32" t="s">
        <v>1812</v>
      </c>
      <c r="C32" t="s">
        <v>1837</v>
      </c>
      <c r="D32">
        <v>1</v>
      </c>
      <c r="E32" t="s">
        <v>1447</v>
      </c>
      <c r="F32" t="s">
        <v>1846</v>
      </c>
      <c r="G32" t="s">
        <v>1797</v>
      </c>
      <c r="H32" t="s">
        <v>1847</v>
      </c>
      <c r="I32" t="s">
        <v>1799</v>
      </c>
      <c r="J32" t="s">
        <v>1799</v>
      </c>
      <c r="K32" t="s">
        <v>1799</v>
      </c>
      <c r="L32" t="s">
        <v>1799</v>
      </c>
      <c r="M32" t="s">
        <v>1799</v>
      </c>
      <c r="N32" t="s">
        <v>1799</v>
      </c>
      <c r="O32" s="184" t="str">
        <f>"["&amp;$C32&amp;"]["&amp;$D32&amp;"]["&amp;$F32&amp;"]"</f>
        <v>[S02_AccreditationBody][1][AccBodyWebsite]</v>
      </c>
    </row>
    <row r="33" spans="1:15" x14ac:dyDescent="0.3">
      <c r="A33" t="s">
        <v>1793</v>
      </c>
      <c r="B33" t="s">
        <v>1812</v>
      </c>
      <c r="C33" t="s">
        <v>1848</v>
      </c>
      <c r="D33">
        <v>0</v>
      </c>
      <c r="E33" t="s">
        <v>1447</v>
      </c>
      <c r="F33" t="s">
        <v>1848</v>
      </c>
      <c r="G33" t="s">
        <v>1836</v>
      </c>
      <c r="H33" t="s">
        <v>1799</v>
      </c>
      <c r="I33" t="s">
        <v>1799</v>
      </c>
      <c r="J33" t="s">
        <v>1799</v>
      </c>
      <c r="K33" t="s">
        <v>1799</v>
      </c>
      <c r="L33" t="s">
        <v>1447</v>
      </c>
      <c r="M33" t="s">
        <v>1799</v>
      </c>
      <c r="N33" t="s">
        <v>1799</v>
      </c>
      <c r="O33" s="184" t="str">
        <f>"["&amp;$C33&amp;"]["&amp;$D33&amp;"]["&amp;$F33&amp;"]"</f>
        <v>[CertificationBodySetUp][0][CertificationBodySetUp]</v>
      </c>
    </row>
    <row r="34" spans="1:15" x14ac:dyDescent="0.3">
      <c r="A34" t="s">
        <v>1793</v>
      </c>
      <c r="B34" t="s">
        <v>1812</v>
      </c>
      <c r="C34" t="s">
        <v>1849</v>
      </c>
      <c r="D34">
        <v>1</v>
      </c>
      <c r="E34" t="s">
        <v>1447</v>
      </c>
      <c r="F34" t="s">
        <v>1850</v>
      </c>
      <c r="G34" t="s">
        <v>1797</v>
      </c>
      <c r="H34" t="s">
        <v>1851</v>
      </c>
      <c r="I34" t="s">
        <v>1799</v>
      </c>
      <c r="J34" t="s">
        <v>1799</v>
      </c>
      <c r="K34" t="s">
        <v>1799</v>
      </c>
      <c r="L34" t="s">
        <v>1799</v>
      </c>
      <c r="M34" t="s">
        <v>1799</v>
      </c>
      <c r="N34" t="s">
        <v>1799</v>
      </c>
      <c r="O34" s="184" t="str">
        <f>"["&amp;$C34&amp;"]["&amp;$D34&amp;"]["&amp;$F34&amp;"]"</f>
        <v>[S02_RegistryAdministrator][1][RegAdminName]</v>
      </c>
    </row>
    <row r="35" spans="1:15" x14ac:dyDescent="0.3">
      <c r="A35" t="s">
        <v>1793</v>
      </c>
      <c r="B35" t="s">
        <v>1812</v>
      </c>
      <c r="C35" t="s">
        <v>1849</v>
      </c>
      <c r="D35">
        <v>1</v>
      </c>
      <c r="E35" t="s">
        <v>1447</v>
      </c>
      <c r="F35" t="s">
        <v>1852</v>
      </c>
      <c r="G35" t="s">
        <v>1797</v>
      </c>
      <c r="H35" t="s">
        <v>1853</v>
      </c>
      <c r="I35" t="s">
        <v>1799</v>
      </c>
      <c r="J35" t="s">
        <v>1799</v>
      </c>
      <c r="K35" t="s">
        <v>1799</v>
      </c>
      <c r="L35" t="s">
        <v>1799</v>
      </c>
      <c r="M35" t="s">
        <v>1799</v>
      </c>
      <c r="N35" t="s">
        <v>1799</v>
      </c>
      <c r="O35" s="184" t="str">
        <f>"["&amp;$C35&amp;"]["&amp;$D35&amp;"]["&amp;$F35&amp;"]"</f>
        <v>[S02_RegistryAdministrator][1][RegAdminTelephone]</v>
      </c>
    </row>
    <row r="36" spans="1:15" x14ac:dyDescent="0.3">
      <c r="A36" t="s">
        <v>1793</v>
      </c>
      <c r="B36" t="s">
        <v>1812</v>
      </c>
      <c r="C36" t="s">
        <v>1849</v>
      </c>
      <c r="D36">
        <v>1</v>
      </c>
      <c r="E36" t="s">
        <v>1447</v>
      </c>
      <c r="F36" t="s">
        <v>1854</v>
      </c>
      <c r="G36" t="s">
        <v>1797</v>
      </c>
      <c r="H36" t="s">
        <v>1855</v>
      </c>
      <c r="I36" t="s">
        <v>1799</v>
      </c>
      <c r="J36" t="s">
        <v>1799</v>
      </c>
      <c r="K36" t="s">
        <v>1799</v>
      </c>
      <c r="L36" t="s">
        <v>1799</v>
      </c>
      <c r="M36" t="s">
        <v>1799</v>
      </c>
      <c r="N36" t="s">
        <v>1799</v>
      </c>
      <c r="O36" s="184" t="str">
        <f>"["&amp;$C36&amp;"]["&amp;$D36&amp;"]["&amp;$F36&amp;"]"</f>
        <v>[S02_RegistryAdministrator][1][RegAdminEmail]</v>
      </c>
    </row>
    <row r="37" spans="1:15" x14ac:dyDescent="0.3">
      <c r="A37" t="s">
        <v>1793</v>
      </c>
      <c r="B37" t="s">
        <v>1812</v>
      </c>
      <c r="C37" t="s">
        <v>1849</v>
      </c>
      <c r="D37">
        <v>1</v>
      </c>
      <c r="E37" t="s">
        <v>1447</v>
      </c>
      <c r="F37" t="s">
        <v>1856</v>
      </c>
      <c r="G37" t="s">
        <v>1797</v>
      </c>
      <c r="H37" t="s">
        <v>1857</v>
      </c>
      <c r="I37" t="s">
        <v>1799</v>
      </c>
      <c r="J37" t="s">
        <v>1799</v>
      </c>
      <c r="K37" t="s">
        <v>1799</v>
      </c>
      <c r="L37" t="s">
        <v>1799</v>
      </c>
      <c r="M37" t="s">
        <v>1799</v>
      </c>
      <c r="N37" t="s">
        <v>1799</v>
      </c>
      <c r="O37" s="184" t="str">
        <f>"["&amp;$C37&amp;"]["&amp;$D37&amp;"]["&amp;$F37&amp;"]"</f>
        <v>[S02_RegistryAdministrator][1][RegAdminWebsite]</v>
      </c>
    </row>
    <row r="38" spans="1:15" x14ac:dyDescent="0.3">
      <c r="A38" t="s">
        <v>1793</v>
      </c>
      <c r="B38" t="s">
        <v>1858</v>
      </c>
      <c r="C38" t="s">
        <v>1859</v>
      </c>
      <c r="D38">
        <v>1</v>
      </c>
      <c r="E38" t="s">
        <v>1447</v>
      </c>
      <c r="F38" t="s">
        <v>1860</v>
      </c>
      <c r="G38" t="s">
        <v>1797</v>
      </c>
      <c r="H38" t="s">
        <v>1815</v>
      </c>
      <c r="I38" t="s">
        <v>1799</v>
      </c>
      <c r="J38" t="s">
        <v>1799</v>
      </c>
      <c r="K38" t="s">
        <v>1799</v>
      </c>
      <c r="L38" t="s">
        <v>1799</v>
      </c>
      <c r="M38" t="s">
        <v>1799</v>
      </c>
      <c r="N38" t="s">
        <v>1799</v>
      </c>
      <c r="O38" s="184" t="str">
        <f>"["&amp;$C38&amp;"]["&amp;$D38&amp;"]["&amp;$F38&amp;"]"</f>
        <v>[S02_CompetentAuthorityRoles][1][CAForInstallationTask]</v>
      </c>
    </row>
    <row r="39" spans="1:15" x14ac:dyDescent="0.3">
      <c r="A39" t="s">
        <v>1793</v>
      </c>
      <c r="B39" t="s">
        <v>1858</v>
      </c>
      <c r="C39" t="s">
        <v>1859</v>
      </c>
      <c r="D39">
        <v>2</v>
      </c>
      <c r="E39" t="s">
        <v>1447</v>
      </c>
      <c r="F39" t="s">
        <v>1860</v>
      </c>
      <c r="G39" t="s">
        <v>1797</v>
      </c>
      <c r="H39" t="s">
        <v>1815</v>
      </c>
      <c r="I39" t="s">
        <v>1799</v>
      </c>
      <c r="J39" t="s">
        <v>1799</v>
      </c>
      <c r="K39" t="s">
        <v>1799</v>
      </c>
      <c r="L39" t="s">
        <v>1799</v>
      </c>
      <c r="M39" t="s">
        <v>1799</v>
      </c>
      <c r="N39" t="s">
        <v>1799</v>
      </c>
      <c r="O39" s="184" t="str">
        <f>"["&amp;$C39&amp;"]["&amp;$D39&amp;"]["&amp;$F39&amp;"]"</f>
        <v>[S02_CompetentAuthorityRoles][2][CAForInstallationTask]</v>
      </c>
    </row>
    <row r="40" spans="1:15" x14ac:dyDescent="0.3">
      <c r="A40" t="s">
        <v>1793</v>
      </c>
      <c r="B40" t="s">
        <v>1858</v>
      </c>
      <c r="C40" t="s">
        <v>1859</v>
      </c>
      <c r="D40">
        <v>3</v>
      </c>
      <c r="E40" t="s">
        <v>1447</v>
      </c>
      <c r="F40" t="s">
        <v>1860</v>
      </c>
      <c r="G40" t="s">
        <v>1797</v>
      </c>
      <c r="H40" t="s">
        <v>1815</v>
      </c>
      <c r="I40" t="s">
        <v>1799</v>
      </c>
      <c r="J40" t="s">
        <v>1799</v>
      </c>
      <c r="K40" t="s">
        <v>1799</v>
      </c>
      <c r="L40" t="s">
        <v>1799</v>
      </c>
      <c r="M40" t="s">
        <v>1799</v>
      </c>
      <c r="N40" t="s">
        <v>1799</v>
      </c>
      <c r="O40" s="184" t="str">
        <f>"["&amp;$C40&amp;"]["&amp;$D40&amp;"]["&amp;$F40&amp;"]"</f>
        <v>[S02_CompetentAuthorityRoles][3][CAForInstallationTask]</v>
      </c>
    </row>
    <row r="41" spans="1:15" x14ac:dyDescent="0.3">
      <c r="A41" t="s">
        <v>1793</v>
      </c>
      <c r="B41" t="s">
        <v>1858</v>
      </c>
      <c r="C41" t="s">
        <v>1859</v>
      </c>
      <c r="D41">
        <v>4</v>
      </c>
      <c r="E41" t="s">
        <v>1447</v>
      </c>
      <c r="F41" t="s">
        <v>1860</v>
      </c>
      <c r="G41" t="s">
        <v>1797</v>
      </c>
      <c r="H41" t="s">
        <v>1815</v>
      </c>
      <c r="I41" t="s">
        <v>1799</v>
      </c>
      <c r="J41" t="s">
        <v>1799</v>
      </c>
      <c r="K41" t="s">
        <v>1799</v>
      </c>
      <c r="L41" t="s">
        <v>1799</v>
      </c>
      <c r="M41" t="s">
        <v>1799</v>
      </c>
      <c r="N41" t="s">
        <v>1799</v>
      </c>
      <c r="O41" s="184" t="str">
        <f>"["&amp;$C41&amp;"]["&amp;$D41&amp;"]["&amp;$F41&amp;"]"</f>
        <v>[S02_CompetentAuthorityRoles][4][CAForInstallationTask]</v>
      </c>
    </row>
    <row r="42" spans="1:15" x14ac:dyDescent="0.3">
      <c r="A42" t="s">
        <v>1793</v>
      </c>
      <c r="B42" t="s">
        <v>1858</v>
      </c>
      <c r="C42" t="s">
        <v>1859</v>
      </c>
      <c r="D42">
        <v>6</v>
      </c>
      <c r="E42" t="s">
        <v>1447</v>
      </c>
      <c r="F42" t="s">
        <v>1860</v>
      </c>
      <c r="G42" t="s">
        <v>1797</v>
      </c>
      <c r="H42" t="s">
        <v>1817</v>
      </c>
      <c r="I42" t="s">
        <v>1799</v>
      </c>
      <c r="J42" t="s">
        <v>1799</v>
      </c>
      <c r="K42" t="s">
        <v>1799</v>
      </c>
      <c r="L42" t="s">
        <v>1799</v>
      </c>
      <c r="M42" t="s">
        <v>1799</v>
      </c>
      <c r="N42" t="s">
        <v>1799</v>
      </c>
      <c r="O42" s="184" t="str">
        <f>"["&amp;$C42&amp;"]["&amp;$D42&amp;"]["&amp;$F42&amp;"]"</f>
        <v>[S02_CompetentAuthorityRoles][6][CAForInstallationTask]</v>
      </c>
    </row>
    <row r="43" spans="1:15" x14ac:dyDescent="0.3">
      <c r="A43" t="s">
        <v>1793</v>
      </c>
      <c r="B43" t="s">
        <v>1858</v>
      </c>
      <c r="C43" t="s">
        <v>1859</v>
      </c>
      <c r="D43">
        <v>7</v>
      </c>
      <c r="E43" t="s">
        <v>1447</v>
      </c>
      <c r="F43" t="s">
        <v>1860</v>
      </c>
      <c r="G43" t="s">
        <v>1797</v>
      </c>
      <c r="H43" t="s">
        <v>1815</v>
      </c>
      <c r="I43" t="s">
        <v>1799</v>
      </c>
      <c r="J43" t="s">
        <v>1799</v>
      </c>
      <c r="K43" t="s">
        <v>1799</v>
      </c>
      <c r="L43" t="s">
        <v>1799</v>
      </c>
      <c r="M43" t="s">
        <v>1799</v>
      </c>
      <c r="N43" t="s">
        <v>1799</v>
      </c>
      <c r="O43" s="184" t="str">
        <f>"["&amp;$C43&amp;"]["&amp;$D43&amp;"]["&amp;$F43&amp;"]"</f>
        <v>[S02_CompetentAuthorityRoles][7][CAForInstallationTask]</v>
      </c>
    </row>
    <row r="44" spans="1:15" x14ac:dyDescent="0.3">
      <c r="A44" t="s">
        <v>1793</v>
      </c>
      <c r="B44" t="s">
        <v>1858</v>
      </c>
      <c r="C44" t="s">
        <v>1859</v>
      </c>
      <c r="D44">
        <v>8</v>
      </c>
      <c r="E44" t="s">
        <v>1447</v>
      </c>
      <c r="F44" t="s">
        <v>1860</v>
      </c>
      <c r="G44" t="s">
        <v>1797</v>
      </c>
      <c r="H44" t="s">
        <v>1815</v>
      </c>
      <c r="I44" t="s">
        <v>1799</v>
      </c>
      <c r="J44" t="s">
        <v>1799</v>
      </c>
      <c r="K44" t="s">
        <v>1799</v>
      </c>
      <c r="L44" t="s">
        <v>1799</v>
      </c>
      <c r="M44" t="s">
        <v>1799</v>
      </c>
      <c r="N44" t="s">
        <v>1799</v>
      </c>
      <c r="O44" s="184" t="str">
        <f>"["&amp;$C44&amp;"]["&amp;$D44&amp;"]["&amp;$F44&amp;"]"</f>
        <v>[S02_CompetentAuthorityRoles][8][CAForInstallationTask]</v>
      </c>
    </row>
    <row r="45" spans="1:15" x14ac:dyDescent="0.3">
      <c r="A45" t="s">
        <v>1793</v>
      </c>
      <c r="B45" t="s">
        <v>1858</v>
      </c>
      <c r="C45" t="s">
        <v>1859</v>
      </c>
      <c r="D45">
        <v>9</v>
      </c>
      <c r="E45" t="s">
        <v>1447</v>
      </c>
      <c r="F45" t="s">
        <v>1860</v>
      </c>
      <c r="G45" t="s">
        <v>1797</v>
      </c>
      <c r="H45" t="s">
        <v>1815</v>
      </c>
      <c r="I45" t="s">
        <v>1799</v>
      </c>
      <c r="J45" t="s">
        <v>1799</v>
      </c>
      <c r="K45" t="s">
        <v>1799</v>
      </c>
      <c r="L45" t="s">
        <v>1799</v>
      </c>
      <c r="M45" t="s">
        <v>1799</v>
      </c>
      <c r="N45" t="s">
        <v>1799</v>
      </c>
      <c r="O45" s="184" t="str">
        <f>"["&amp;$C45&amp;"]["&amp;$D45&amp;"]["&amp;$F45&amp;"]"</f>
        <v>[S02_CompetentAuthorityRoles][9][CAForInstallationTask]</v>
      </c>
    </row>
    <row r="46" spans="1:15" x14ac:dyDescent="0.3">
      <c r="A46" t="s">
        <v>1793</v>
      </c>
      <c r="B46" t="s">
        <v>1858</v>
      </c>
      <c r="C46" t="s">
        <v>1859</v>
      </c>
      <c r="D46">
        <v>10</v>
      </c>
      <c r="E46" t="s">
        <v>1447</v>
      </c>
      <c r="F46" t="s">
        <v>1860</v>
      </c>
      <c r="G46" t="s">
        <v>1797</v>
      </c>
      <c r="H46" t="s">
        <v>1815</v>
      </c>
      <c r="I46" t="s">
        <v>1799</v>
      </c>
      <c r="J46" t="s">
        <v>1799</v>
      </c>
      <c r="K46" t="s">
        <v>1799</v>
      </c>
      <c r="L46" t="s">
        <v>1799</v>
      </c>
      <c r="M46" t="s">
        <v>1799</v>
      </c>
      <c r="N46" t="s">
        <v>1799</v>
      </c>
      <c r="O46" s="184" t="str">
        <f>"["&amp;$C46&amp;"]["&amp;$D46&amp;"]["&amp;$F46&amp;"]"</f>
        <v>[S02_CompetentAuthorityRoles][10][CAForInstallationTask]</v>
      </c>
    </row>
    <row r="47" spans="1:15" x14ac:dyDescent="0.3">
      <c r="A47" t="s">
        <v>1793</v>
      </c>
      <c r="B47" t="s">
        <v>1858</v>
      </c>
      <c r="C47" t="s">
        <v>1859</v>
      </c>
      <c r="D47">
        <v>11</v>
      </c>
      <c r="E47" t="s">
        <v>1447</v>
      </c>
      <c r="F47" t="s">
        <v>1860</v>
      </c>
      <c r="G47" t="s">
        <v>1797</v>
      </c>
      <c r="H47" t="s">
        <v>1816</v>
      </c>
      <c r="I47" t="s">
        <v>1799</v>
      </c>
      <c r="J47" t="s">
        <v>1799</v>
      </c>
      <c r="K47" t="s">
        <v>1799</v>
      </c>
      <c r="L47" t="s">
        <v>1799</v>
      </c>
      <c r="M47" t="s">
        <v>1799</v>
      </c>
      <c r="N47" t="s">
        <v>1799</v>
      </c>
      <c r="O47" s="184" t="str">
        <f>"["&amp;$C47&amp;"]["&amp;$D47&amp;"]["&amp;$F47&amp;"]"</f>
        <v>[S02_CompetentAuthorityRoles][11][CAForInstallationTask]</v>
      </c>
    </row>
    <row r="48" spans="1:15" x14ac:dyDescent="0.3">
      <c r="A48" t="s">
        <v>1793</v>
      </c>
      <c r="B48" t="s">
        <v>1858</v>
      </c>
      <c r="C48" t="s">
        <v>1859</v>
      </c>
      <c r="D48">
        <v>12</v>
      </c>
      <c r="E48" t="s">
        <v>1447</v>
      </c>
      <c r="F48" t="s">
        <v>1860</v>
      </c>
      <c r="G48" t="s">
        <v>1797</v>
      </c>
      <c r="H48" t="s">
        <v>1815</v>
      </c>
      <c r="I48" t="s">
        <v>1799</v>
      </c>
      <c r="J48" t="s">
        <v>1799</v>
      </c>
      <c r="K48" t="s">
        <v>1799</v>
      </c>
      <c r="L48" t="s">
        <v>1799</v>
      </c>
      <c r="M48" t="s">
        <v>1799</v>
      </c>
      <c r="N48" t="s">
        <v>1799</v>
      </c>
      <c r="O48" s="184" t="str">
        <f>"["&amp;$C48&amp;"]["&amp;$D48&amp;"]["&amp;$F48&amp;"]"</f>
        <v>[S02_CompetentAuthorityRoles][12][CAForInstallationTask]</v>
      </c>
    </row>
    <row r="49" spans="1:15" x14ac:dyDescent="0.3">
      <c r="A49" t="s">
        <v>1793</v>
      </c>
      <c r="B49" t="s">
        <v>1858</v>
      </c>
      <c r="C49" t="s">
        <v>1859</v>
      </c>
      <c r="D49">
        <v>13</v>
      </c>
      <c r="E49" t="s">
        <v>1447</v>
      </c>
      <c r="F49" t="s">
        <v>1860</v>
      </c>
      <c r="G49" t="s">
        <v>1797</v>
      </c>
      <c r="H49" t="s">
        <v>1815</v>
      </c>
      <c r="I49" t="s">
        <v>1799</v>
      </c>
      <c r="J49" t="s">
        <v>1799</v>
      </c>
      <c r="K49" t="s">
        <v>1799</v>
      </c>
      <c r="L49" t="s">
        <v>1799</v>
      </c>
      <c r="M49" t="s">
        <v>1799</v>
      </c>
      <c r="N49" t="s">
        <v>1799</v>
      </c>
      <c r="O49" s="184" t="str">
        <f>"["&amp;$C49&amp;"]["&amp;$D49&amp;"]["&amp;$F49&amp;"]"</f>
        <v>[S02_CompetentAuthorityRoles][13][CAForInstallationTask]</v>
      </c>
    </row>
    <row r="50" spans="1:15" x14ac:dyDescent="0.3">
      <c r="A50" t="s">
        <v>1793</v>
      </c>
      <c r="B50" t="s">
        <v>1858</v>
      </c>
      <c r="C50" t="s">
        <v>1859</v>
      </c>
      <c r="D50">
        <v>5</v>
      </c>
      <c r="E50" t="s">
        <v>1447</v>
      </c>
      <c r="F50" t="s">
        <v>1861</v>
      </c>
      <c r="G50" t="s">
        <v>1797</v>
      </c>
      <c r="H50" t="s">
        <v>1815</v>
      </c>
      <c r="I50" t="s">
        <v>1799</v>
      </c>
      <c r="J50" t="s">
        <v>1799</v>
      </c>
      <c r="K50" t="s">
        <v>1799</v>
      </c>
      <c r="L50" t="s">
        <v>1799</v>
      </c>
      <c r="M50" t="s">
        <v>1799</v>
      </c>
      <c r="N50" t="s">
        <v>1799</v>
      </c>
      <c r="O50" s="184" t="str">
        <f>"["&amp;$C50&amp;"]["&amp;$D50&amp;"]["&amp;$F50&amp;"]"</f>
        <v>[S02_CompetentAuthorityRoles][5][CAForAviationTask]</v>
      </c>
    </row>
    <row r="51" spans="1:15" x14ac:dyDescent="0.3">
      <c r="A51" t="s">
        <v>1793</v>
      </c>
      <c r="B51" t="s">
        <v>1858</v>
      </c>
      <c r="C51" t="s">
        <v>1859</v>
      </c>
      <c r="D51">
        <v>6</v>
      </c>
      <c r="E51" t="s">
        <v>1447</v>
      </c>
      <c r="F51" t="s">
        <v>1861</v>
      </c>
      <c r="G51" t="s">
        <v>1797</v>
      </c>
      <c r="H51" t="s">
        <v>1817</v>
      </c>
      <c r="I51" t="s">
        <v>1799</v>
      </c>
      <c r="J51" t="s">
        <v>1799</v>
      </c>
      <c r="K51" t="s">
        <v>1799</v>
      </c>
      <c r="L51" t="s">
        <v>1799</v>
      </c>
      <c r="M51" t="s">
        <v>1799</v>
      </c>
      <c r="N51" t="s">
        <v>1799</v>
      </c>
      <c r="O51" s="184" t="str">
        <f>"["&amp;$C51&amp;"]["&amp;$D51&amp;"]["&amp;$F51&amp;"]"</f>
        <v>[S02_CompetentAuthorityRoles][6][CAForAviationTask]</v>
      </c>
    </row>
    <row r="52" spans="1:15" x14ac:dyDescent="0.3">
      <c r="A52" t="s">
        <v>1793</v>
      </c>
      <c r="B52" t="s">
        <v>1858</v>
      </c>
      <c r="C52" t="s">
        <v>1859</v>
      </c>
      <c r="D52">
        <v>7</v>
      </c>
      <c r="E52" t="s">
        <v>1447</v>
      </c>
      <c r="F52" t="s">
        <v>1861</v>
      </c>
      <c r="G52" t="s">
        <v>1797</v>
      </c>
      <c r="H52" t="s">
        <v>1815</v>
      </c>
      <c r="I52" t="s">
        <v>1799</v>
      </c>
      <c r="J52" t="s">
        <v>1799</v>
      </c>
      <c r="K52" t="s">
        <v>1799</v>
      </c>
      <c r="L52" t="s">
        <v>1799</v>
      </c>
      <c r="M52" t="s">
        <v>1799</v>
      </c>
      <c r="N52" t="s">
        <v>1799</v>
      </c>
      <c r="O52" s="184" t="str">
        <f>"["&amp;$C52&amp;"]["&amp;$D52&amp;"]["&amp;$F52&amp;"]"</f>
        <v>[S02_CompetentAuthorityRoles][7][CAForAviationTask]</v>
      </c>
    </row>
    <row r="53" spans="1:15" x14ac:dyDescent="0.3">
      <c r="A53" t="s">
        <v>1793</v>
      </c>
      <c r="B53" t="s">
        <v>1858</v>
      </c>
      <c r="C53" t="s">
        <v>1859</v>
      </c>
      <c r="D53">
        <v>8</v>
      </c>
      <c r="E53" t="s">
        <v>1447</v>
      </c>
      <c r="F53" t="s">
        <v>1861</v>
      </c>
      <c r="G53" t="s">
        <v>1797</v>
      </c>
      <c r="H53" t="s">
        <v>1815</v>
      </c>
      <c r="I53" t="s">
        <v>1799</v>
      </c>
      <c r="J53" t="s">
        <v>1799</v>
      </c>
      <c r="K53" t="s">
        <v>1799</v>
      </c>
      <c r="L53" t="s">
        <v>1799</v>
      </c>
      <c r="M53" t="s">
        <v>1799</v>
      </c>
      <c r="N53" t="s">
        <v>1799</v>
      </c>
      <c r="O53" s="184" t="str">
        <f>"["&amp;$C53&amp;"]["&amp;$D53&amp;"]["&amp;$F53&amp;"]"</f>
        <v>[S02_CompetentAuthorityRoles][8][CAForAviationTask]</v>
      </c>
    </row>
    <row r="54" spans="1:15" x14ac:dyDescent="0.3">
      <c r="A54" t="s">
        <v>1793</v>
      </c>
      <c r="B54" t="s">
        <v>1858</v>
      </c>
      <c r="C54" t="s">
        <v>1859</v>
      </c>
      <c r="D54">
        <v>9</v>
      </c>
      <c r="E54" t="s">
        <v>1447</v>
      </c>
      <c r="F54" t="s">
        <v>1861</v>
      </c>
      <c r="G54" t="s">
        <v>1797</v>
      </c>
      <c r="H54" t="s">
        <v>1815</v>
      </c>
      <c r="I54" t="s">
        <v>1799</v>
      </c>
      <c r="J54" t="s">
        <v>1799</v>
      </c>
      <c r="K54" t="s">
        <v>1799</v>
      </c>
      <c r="L54" t="s">
        <v>1799</v>
      </c>
      <c r="M54" t="s">
        <v>1799</v>
      </c>
      <c r="N54" t="s">
        <v>1799</v>
      </c>
      <c r="O54" s="184" t="str">
        <f>"["&amp;$C54&amp;"]["&amp;$D54&amp;"]["&amp;$F54&amp;"]"</f>
        <v>[S02_CompetentAuthorityRoles][9][CAForAviationTask]</v>
      </c>
    </row>
    <row r="55" spans="1:15" x14ac:dyDescent="0.3">
      <c r="A55" t="s">
        <v>1793</v>
      </c>
      <c r="B55" t="s">
        <v>1858</v>
      </c>
      <c r="C55" t="s">
        <v>1859</v>
      </c>
      <c r="D55">
        <v>10</v>
      </c>
      <c r="E55" t="s">
        <v>1447</v>
      </c>
      <c r="F55" t="s">
        <v>1861</v>
      </c>
      <c r="G55" t="s">
        <v>1797</v>
      </c>
      <c r="H55" t="s">
        <v>1815</v>
      </c>
      <c r="I55" t="s">
        <v>1799</v>
      </c>
      <c r="J55" t="s">
        <v>1799</v>
      </c>
      <c r="K55" t="s">
        <v>1799</v>
      </c>
      <c r="L55" t="s">
        <v>1799</v>
      </c>
      <c r="M55" t="s">
        <v>1799</v>
      </c>
      <c r="N55" t="s">
        <v>1799</v>
      </c>
      <c r="O55" s="184" t="str">
        <f>"["&amp;$C55&amp;"]["&amp;$D55&amp;"]["&amp;$F55&amp;"]"</f>
        <v>[S02_CompetentAuthorityRoles][10][CAForAviationTask]</v>
      </c>
    </row>
    <row r="56" spans="1:15" x14ac:dyDescent="0.3">
      <c r="A56" t="s">
        <v>1793</v>
      </c>
      <c r="B56" t="s">
        <v>1858</v>
      </c>
      <c r="C56" t="s">
        <v>1859</v>
      </c>
      <c r="D56">
        <v>11</v>
      </c>
      <c r="E56" t="s">
        <v>1447</v>
      </c>
      <c r="F56" t="s">
        <v>1861</v>
      </c>
      <c r="G56" t="s">
        <v>1797</v>
      </c>
      <c r="H56" t="s">
        <v>1816</v>
      </c>
      <c r="I56" t="s">
        <v>1799</v>
      </c>
      <c r="J56" t="s">
        <v>1799</v>
      </c>
      <c r="K56" t="s">
        <v>1799</v>
      </c>
      <c r="L56" t="s">
        <v>1799</v>
      </c>
      <c r="M56" t="s">
        <v>1799</v>
      </c>
      <c r="N56" t="s">
        <v>1799</v>
      </c>
      <c r="O56" s="184" t="str">
        <f>"["&amp;$C56&amp;"]["&amp;$D56&amp;"]["&amp;$F56&amp;"]"</f>
        <v>[S02_CompetentAuthorityRoles][11][CAForAviationTask]</v>
      </c>
    </row>
    <row r="57" spans="1:15" x14ac:dyDescent="0.3">
      <c r="A57" t="s">
        <v>1793</v>
      </c>
      <c r="B57" t="s">
        <v>1862</v>
      </c>
      <c r="C57" t="s">
        <v>1863</v>
      </c>
      <c r="D57">
        <v>0</v>
      </c>
      <c r="E57" t="s">
        <v>1447</v>
      </c>
      <c r="F57" t="s">
        <v>1864</v>
      </c>
      <c r="G57" t="s">
        <v>1797</v>
      </c>
      <c r="H57" t="s">
        <v>1815</v>
      </c>
      <c r="I57" t="s">
        <v>1799</v>
      </c>
      <c r="J57" t="s">
        <v>1799</v>
      </c>
      <c r="K57" t="s">
        <v>1799</v>
      </c>
      <c r="L57" t="s">
        <v>1799</v>
      </c>
      <c r="M57" t="s">
        <v>1799</v>
      </c>
      <c r="N57" t="s">
        <v>1799</v>
      </c>
      <c r="O57" s="184" t="str">
        <f>"["&amp;$C57&amp;"]["&amp;$D57&amp;"]["&amp;$F57&amp;"]"</f>
        <v>[S02_CAFocalPoint][0][CAArt70]</v>
      </c>
    </row>
    <row r="58" spans="1:15" x14ac:dyDescent="0.3">
      <c r="A58" t="s">
        <v>1793</v>
      </c>
      <c r="B58" t="s">
        <v>1862</v>
      </c>
      <c r="C58" t="s">
        <v>1863</v>
      </c>
      <c r="D58">
        <v>0</v>
      </c>
      <c r="E58" t="s">
        <v>1447</v>
      </c>
      <c r="F58" t="s">
        <v>1865</v>
      </c>
      <c r="G58" t="s">
        <v>1797</v>
      </c>
      <c r="H58" t="s">
        <v>1819</v>
      </c>
      <c r="I58" t="s">
        <v>1799</v>
      </c>
      <c r="J58" t="s">
        <v>1799</v>
      </c>
      <c r="K58" t="s">
        <v>1799</v>
      </c>
      <c r="L58" t="s">
        <v>1799</v>
      </c>
      <c r="M58" t="s">
        <v>1799</v>
      </c>
      <c r="N58" t="s">
        <v>1799</v>
      </c>
      <c r="O58" s="184" t="str">
        <f>"["&amp;$C58&amp;"]["&amp;$D58&amp;"]["&amp;$F58&amp;"]"</f>
        <v>[S02_CAFocalPoint][0][CAArt70Abbrev]</v>
      </c>
    </row>
    <row r="59" spans="1:15" x14ac:dyDescent="0.3">
      <c r="A59" t="s">
        <v>1793</v>
      </c>
      <c r="B59" t="s">
        <v>1862</v>
      </c>
      <c r="C59" t="s">
        <v>1866</v>
      </c>
      <c r="D59">
        <v>1</v>
      </c>
      <c r="E59" t="s">
        <v>1447</v>
      </c>
      <c r="F59" t="s">
        <v>1867</v>
      </c>
      <c r="G59" t="s">
        <v>1836</v>
      </c>
      <c r="H59" t="s">
        <v>1799</v>
      </c>
      <c r="I59" t="s">
        <v>1799</v>
      </c>
      <c r="J59" t="s">
        <v>1799</v>
      </c>
      <c r="K59" t="s">
        <v>1799</v>
      </c>
      <c r="L59" t="s">
        <v>1419</v>
      </c>
      <c r="M59" t="s">
        <v>1799</v>
      </c>
      <c r="N59" t="s">
        <v>1799</v>
      </c>
      <c r="O59" s="184" t="str">
        <f>"["&amp;$C59&amp;"]["&amp;$D59&amp;"]["&amp;$F59&amp;"]"</f>
        <v>[S02_CompetentAuthorityCoordination][1][CACoordinationYesNo]</v>
      </c>
    </row>
    <row r="60" spans="1:15" x14ac:dyDescent="0.3">
      <c r="A60" t="s">
        <v>1793</v>
      </c>
      <c r="B60" t="s">
        <v>1862</v>
      </c>
      <c r="C60" t="s">
        <v>1866</v>
      </c>
      <c r="D60">
        <v>2</v>
      </c>
      <c r="E60" t="s">
        <v>1447</v>
      </c>
      <c r="F60" t="s">
        <v>1867</v>
      </c>
      <c r="G60" t="s">
        <v>1836</v>
      </c>
      <c r="H60" t="s">
        <v>1799</v>
      </c>
      <c r="I60" t="s">
        <v>1799</v>
      </c>
      <c r="J60" t="s">
        <v>1799</v>
      </c>
      <c r="K60" t="s">
        <v>1799</v>
      </c>
      <c r="L60" t="s">
        <v>1447</v>
      </c>
      <c r="M60" t="s">
        <v>1799</v>
      </c>
      <c r="N60" t="s">
        <v>1799</v>
      </c>
      <c r="O60" s="184" t="str">
        <f>"["&amp;$C60&amp;"]["&amp;$D60&amp;"]["&amp;$F60&amp;"]"</f>
        <v>[S02_CompetentAuthorityCoordination][2][CACoordinationYesNo]</v>
      </c>
    </row>
    <row r="61" spans="1:15" x14ac:dyDescent="0.3">
      <c r="A61" t="s">
        <v>1793</v>
      </c>
      <c r="B61" t="s">
        <v>1862</v>
      </c>
      <c r="C61" t="s">
        <v>1866</v>
      </c>
      <c r="D61">
        <v>3</v>
      </c>
      <c r="E61" t="s">
        <v>1447</v>
      </c>
      <c r="F61" t="s">
        <v>1867</v>
      </c>
      <c r="G61" t="s">
        <v>1836</v>
      </c>
      <c r="H61" t="s">
        <v>1799</v>
      </c>
      <c r="I61" t="s">
        <v>1799</v>
      </c>
      <c r="J61" t="s">
        <v>1799</v>
      </c>
      <c r="K61" t="s">
        <v>1799</v>
      </c>
      <c r="L61" t="s">
        <v>1447</v>
      </c>
      <c r="M61" t="s">
        <v>1799</v>
      </c>
      <c r="N61" t="s">
        <v>1799</v>
      </c>
      <c r="O61" s="184" t="str">
        <f>"["&amp;$C61&amp;"]["&amp;$D61&amp;"]["&amp;$F61&amp;"]"</f>
        <v>[S02_CompetentAuthorityCoordination][3][CACoordinationYesNo]</v>
      </c>
    </row>
    <row r="62" spans="1:15" x14ac:dyDescent="0.3">
      <c r="A62" t="s">
        <v>1793</v>
      </c>
      <c r="B62" t="s">
        <v>1862</v>
      </c>
      <c r="C62" t="s">
        <v>1866</v>
      </c>
      <c r="D62">
        <v>6</v>
      </c>
      <c r="E62" t="s">
        <v>1447</v>
      </c>
      <c r="F62" t="s">
        <v>1867</v>
      </c>
      <c r="G62" t="s">
        <v>1836</v>
      </c>
      <c r="H62" t="s">
        <v>1799</v>
      </c>
      <c r="I62" t="s">
        <v>1799</v>
      </c>
      <c r="J62" t="s">
        <v>1799</v>
      </c>
      <c r="K62" t="s">
        <v>1799</v>
      </c>
      <c r="L62" t="s">
        <v>1419</v>
      </c>
      <c r="M62" t="s">
        <v>1799</v>
      </c>
      <c r="N62" t="s">
        <v>1799</v>
      </c>
      <c r="O62" s="184" t="str">
        <f>"["&amp;$C62&amp;"]["&amp;$D62&amp;"]["&amp;$F62&amp;"]"</f>
        <v>[S02_CompetentAuthorityCoordination][6][CACoordinationYesNo]</v>
      </c>
    </row>
    <row r="63" spans="1:15" x14ac:dyDescent="0.3">
      <c r="A63" t="s">
        <v>1793</v>
      </c>
      <c r="B63" t="s">
        <v>1862</v>
      </c>
      <c r="C63" t="s">
        <v>1866</v>
      </c>
      <c r="D63">
        <v>7</v>
      </c>
      <c r="E63" t="s">
        <v>1419</v>
      </c>
      <c r="F63" t="s">
        <v>1868</v>
      </c>
      <c r="G63" t="s">
        <v>1797</v>
      </c>
      <c r="H63" t="s">
        <v>1447</v>
      </c>
      <c r="I63" t="s">
        <v>1799</v>
      </c>
      <c r="J63" t="s">
        <v>1799</v>
      </c>
      <c r="K63" t="s">
        <v>1799</v>
      </c>
      <c r="L63" t="s">
        <v>1799</v>
      </c>
      <c r="M63" t="s">
        <v>1799</v>
      </c>
      <c r="N63" t="s">
        <v>1799</v>
      </c>
      <c r="O63" s="184" t="str">
        <f>"["&amp;$C63&amp;"]["&amp;$D63&amp;"]["&amp;$F63&amp;"]"</f>
        <v>[S02_CompetentAuthorityCoordination][7][OtherDescription]</v>
      </c>
    </row>
    <row r="64" spans="1:15" x14ac:dyDescent="0.3">
      <c r="A64" t="s">
        <v>1793</v>
      </c>
      <c r="B64" t="s">
        <v>1862</v>
      </c>
      <c r="C64" t="s">
        <v>1866</v>
      </c>
      <c r="D64">
        <v>2</v>
      </c>
      <c r="E64" t="s">
        <v>1447</v>
      </c>
      <c r="F64" t="s">
        <v>1869</v>
      </c>
      <c r="G64" t="s">
        <v>1870</v>
      </c>
      <c r="H64" t="s">
        <v>1799</v>
      </c>
      <c r="I64" t="s">
        <v>1799</v>
      </c>
      <c r="J64" t="s">
        <v>1799</v>
      </c>
      <c r="K64" t="s">
        <v>1871</v>
      </c>
      <c r="L64" t="s">
        <v>1799</v>
      </c>
      <c r="M64" t="s">
        <v>1799</v>
      </c>
      <c r="N64" t="s">
        <v>1799</v>
      </c>
      <c r="O64" s="184" t="str">
        <f>"["&amp;$C64&amp;"]["&amp;$D64&amp;"]["&amp;$F64&amp;"]"</f>
        <v>[S02_CompetentAuthorityCoordination][2][CACoordinationComment]</v>
      </c>
    </row>
    <row r="65" spans="1:15" x14ac:dyDescent="0.3">
      <c r="A65" t="s">
        <v>1793</v>
      </c>
      <c r="B65" t="s">
        <v>1862</v>
      </c>
      <c r="C65" t="s">
        <v>1866</v>
      </c>
      <c r="D65">
        <v>4</v>
      </c>
      <c r="E65" t="s">
        <v>1447</v>
      </c>
      <c r="F65" t="s">
        <v>1869</v>
      </c>
      <c r="G65" t="s">
        <v>1870</v>
      </c>
      <c r="H65" t="s">
        <v>1799</v>
      </c>
      <c r="I65" t="s">
        <v>1799</v>
      </c>
      <c r="J65" t="s">
        <v>1799</v>
      </c>
      <c r="K65" t="s">
        <v>1872</v>
      </c>
      <c r="L65" t="s">
        <v>1799</v>
      </c>
      <c r="M65" t="s">
        <v>1799</v>
      </c>
      <c r="N65" t="s">
        <v>1799</v>
      </c>
      <c r="O65" s="184" t="str">
        <f>"["&amp;$C65&amp;"]["&amp;$D65&amp;"]["&amp;$F65&amp;"]"</f>
        <v>[S02_CompetentAuthorityCoordination][4][CACoordinationComment]</v>
      </c>
    </row>
    <row r="66" spans="1:15" x14ac:dyDescent="0.3">
      <c r="A66" t="s">
        <v>1793</v>
      </c>
      <c r="B66" t="s">
        <v>1862</v>
      </c>
      <c r="C66" t="s">
        <v>1866</v>
      </c>
      <c r="D66">
        <v>5</v>
      </c>
      <c r="E66" t="s">
        <v>1447</v>
      </c>
      <c r="F66" t="s">
        <v>1869</v>
      </c>
      <c r="G66" t="s">
        <v>1870</v>
      </c>
      <c r="H66" t="s">
        <v>1799</v>
      </c>
      <c r="I66" t="s">
        <v>1799</v>
      </c>
      <c r="J66" t="s">
        <v>1799</v>
      </c>
      <c r="K66" t="s">
        <v>1872</v>
      </c>
      <c r="L66" t="s">
        <v>1799</v>
      </c>
      <c r="M66" t="s">
        <v>1799</v>
      </c>
      <c r="N66" t="s">
        <v>1799</v>
      </c>
      <c r="O66" s="184" t="str">
        <f>"["&amp;$C66&amp;"]["&amp;$D66&amp;"]["&amp;$F66&amp;"]"</f>
        <v>[S02_CompetentAuthorityCoordination][5][CACoordinationComment]</v>
      </c>
    </row>
    <row r="67" spans="1:15" x14ac:dyDescent="0.3">
      <c r="A67" t="s">
        <v>1793</v>
      </c>
      <c r="B67" t="s">
        <v>1862</v>
      </c>
      <c r="C67" t="s">
        <v>1866</v>
      </c>
      <c r="D67">
        <v>6</v>
      </c>
      <c r="E67" t="s">
        <v>1447</v>
      </c>
      <c r="F67" t="s">
        <v>1869</v>
      </c>
      <c r="G67" t="s">
        <v>1870</v>
      </c>
      <c r="H67" t="s">
        <v>1799</v>
      </c>
      <c r="I67" t="s">
        <v>1799</v>
      </c>
      <c r="J67" t="s">
        <v>1799</v>
      </c>
      <c r="K67" t="s">
        <v>1873</v>
      </c>
      <c r="L67" t="s">
        <v>1799</v>
      </c>
      <c r="M67" t="s">
        <v>1799</v>
      </c>
      <c r="N67" t="s">
        <v>1799</v>
      </c>
      <c r="O67" s="184" t="str">
        <f>"["&amp;$C67&amp;"]["&amp;$D67&amp;"]["&amp;$F67&amp;"]"</f>
        <v>[S02_CompetentAuthorityCoordination][6][CACoordinationComment]</v>
      </c>
    </row>
    <row r="68" spans="1:15" x14ac:dyDescent="0.3">
      <c r="A68" t="s">
        <v>1793</v>
      </c>
      <c r="B68" t="s">
        <v>1874</v>
      </c>
      <c r="C68" t="s">
        <v>1875</v>
      </c>
      <c r="D68">
        <v>1</v>
      </c>
      <c r="E68" t="s">
        <v>1447</v>
      </c>
      <c r="F68" t="s">
        <v>1876</v>
      </c>
      <c r="G68" t="s">
        <v>1836</v>
      </c>
      <c r="H68" t="s">
        <v>1799</v>
      </c>
      <c r="I68" t="s">
        <v>1799</v>
      </c>
      <c r="J68" t="s">
        <v>1799</v>
      </c>
      <c r="K68" t="s">
        <v>1799</v>
      </c>
      <c r="L68" t="s">
        <v>1419</v>
      </c>
      <c r="M68" t="s">
        <v>1799</v>
      </c>
      <c r="N68" t="s">
        <v>1799</v>
      </c>
      <c r="O68" s="184" t="str">
        <f>"["&amp;$C68&amp;"]["&amp;$D68&amp;"]["&amp;$F68&amp;"]"</f>
        <v>[S02_InformationExchangeAccBodyAndCA][1][InfoExchangeYesNo]</v>
      </c>
    </row>
    <row r="69" spans="1:15" x14ac:dyDescent="0.3">
      <c r="A69" t="s">
        <v>1793</v>
      </c>
      <c r="B69" t="s">
        <v>1874</v>
      </c>
      <c r="C69" t="s">
        <v>1875</v>
      </c>
      <c r="D69">
        <v>2</v>
      </c>
      <c r="E69" t="s">
        <v>1447</v>
      </c>
      <c r="F69" t="s">
        <v>1876</v>
      </c>
      <c r="G69" t="s">
        <v>1836</v>
      </c>
      <c r="H69" t="s">
        <v>1799</v>
      </c>
      <c r="I69" t="s">
        <v>1799</v>
      </c>
      <c r="J69" t="s">
        <v>1799</v>
      </c>
      <c r="K69" t="s">
        <v>1799</v>
      </c>
      <c r="L69" t="s">
        <v>1419</v>
      </c>
      <c r="M69" t="s">
        <v>1799</v>
      </c>
      <c r="N69" t="s">
        <v>1799</v>
      </c>
      <c r="O69" s="184" t="str">
        <f>"["&amp;$C69&amp;"]["&amp;$D69&amp;"]["&amp;$F69&amp;"]"</f>
        <v>[S02_InformationExchangeAccBodyAndCA][2][InfoExchangeYesNo]</v>
      </c>
    </row>
    <row r="70" spans="1:15" x14ac:dyDescent="0.3">
      <c r="A70" t="s">
        <v>1793</v>
      </c>
      <c r="B70" t="s">
        <v>1874</v>
      </c>
      <c r="C70" t="s">
        <v>1875</v>
      </c>
      <c r="D70">
        <v>3</v>
      </c>
      <c r="E70" t="s">
        <v>1447</v>
      </c>
      <c r="F70" t="s">
        <v>1876</v>
      </c>
      <c r="G70" t="s">
        <v>1836</v>
      </c>
      <c r="H70" t="s">
        <v>1799</v>
      </c>
      <c r="I70" t="s">
        <v>1799</v>
      </c>
      <c r="J70" t="s">
        <v>1799</v>
      </c>
      <c r="K70" t="s">
        <v>1799</v>
      </c>
      <c r="L70" t="s">
        <v>1419</v>
      </c>
      <c r="M70" t="s">
        <v>1799</v>
      </c>
      <c r="N70" t="s">
        <v>1799</v>
      </c>
      <c r="O70" s="184" t="str">
        <f>"["&amp;$C70&amp;"]["&amp;$D70&amp;"]["&amp;$F70&amp;"]"</f>
        <v>[S02_InformationExchangeAccBodyAndCA][3][InfoExchangeYesNo]</v>
      </c>
    </row>
    <row r="71" spans="1:15" x14ac:dyDescent="0.3">
      <c r="A71" t="s">
        <v>1793</v>
      </c>
      <c r="B71" t="s">
        <v>1874</v>
      </c>
      <c r="C71" t="s">
        <v>1875</v>
      </c>
      <c r="D71">
        <v>4</v>
      </c>
      <c r="E71" t="s">
        <v>1447</v>
      </c>
      <c r="F71" t="s">
        <v>1868</v>
      </c>
      <c r="G71" t="s">
        <v>1797</v>
      </c>
      <c r="H71" t="s">
        <v>1447</v>
      </c>
      <c r="I71" t="s">
        <v>1799</v>
      </c>
      <c r="J71" t="s">
        <v>1799</v>
      </c>
      <c r="K71" t="s">
        <v>1799</v>
      </c>
      <c r="L71" t="s">
        <v>1799</v>
      </c>
      <c r="M71" t="s">
        <v>1799</v>
      </c>
      <c r="N71" t="s">
        <v>1799</v>
      </c>
      <c r="O71" s="184" t="str">
        <f>"["&amp;$C71&amp;"]["&amp;$D71&amp;"]["&amp;$F71&amp;"]"</f>
        <v>[S02_InformationExchangeAccBodyAndCA][4][OtherDescription]</v>
      </c>
    </row>
    <row r="72" spans="1:15" x14ac:dyDescent="0.3">
      <c r="A72" t="s">
        <v>1793</v>
      </c>
      <c r="B72" t="s">
        <v>1874</v>
      </c>
      <c r="C72" t="s">
        <v>1875</v>
      </c>
      <c r="D72">
        <v>1</v>
      </c>
      <c r="E72" t="s">
        <v>1447</v>
      </c>
      <c r="F72" t="s">
        <v>1877</v>
      </c>
      <c r="G72" t="s">
        <v>1870</v>
      </c>
      <c r="H72" t="s">
        <v>1799</v>
      </c>
      <c r="I72" t="s">
        <v>1799</v>
      </c>
      <c r="J72" t="s">
        <v>1799</v>
      </c>
      <c r="K72" t="s">
        <v>1878</v>
      </c>
      <c r="L72" t="s">
        <v>1799</v>
      </c>
      <c r="M72" t="s">
        <v>1799</v>
      </c>
      <c r="N72" t="s">
        <v>1799</v>
      </c>
      <c r="O72" s="184" t="str">
        <f>"["&amp;$C72&amp;"]["&amp;$D72&amp;"]["&amp;$F72&amp;"]"</f>
        <v>[S02_InformationExchangeAccBodyAndCA][1][InfoExchangeComment]</v>
      </c>
    </row>
    <row r="73" spans="1:15" x14ac:dyDescent="0.3">
      <c r="A73" t="s">
        <v>1793</v>
      </c>
      <c r="B73" t="s">
        <v>1874</v>
      </c>
      <c r="C73" t="s">
        <v>1875</v>
      </c>
      <c r="D73">
        <v>2</v>
      </c>
      <c r="E73" t="s">
        <v>1447</v>
      </c>
      <c r="F73" t="s">
        <v>1877</v>
      </c>
      <c r="G73" t="s">
        <v>1870</v>
      </c>
      <c r="H73" t="s">
        <v>1799</v>
      </c>
      <c r="I73" t="s">
        <v>1799</v>
      </c>
      <c r="J73" t="s">
        <v>1799</v>
      </c>
      <c r="K73" t="s">
        <v>1878</v>
      </c>
      <c r="L73" t="s">
        <v>1799</v>
      </c>
      <c r="M73" t="s">
        <v>1799</v>
      </c>
      <c r="N73" t="s">
        <v>1799</v>
      </c>
      <c r="O73" s="184" t="str">
        <f>"["&amp;$C73&amp;"]["&amp;$D73&amp;"]["&amp;$F73&amp;"]"</f>
        <v>[S02_InformationExchangeAccBodyAndCA][2][InfoExchangeComment]</v>
      </c>
    </row>
    <row r="74" spans="1:15" x14ac:dyDescent="0.3">
      <c r="A74" t="s">
        <v>1793</v>
      </c>
      <c r="B74" t="s">
        <v>1879</v>
      </c>
      <c r="C74" t="s">
        <v>1880</v>
      </c>
      <c r="D74">
        <v>1</v>
      </c>
      <c r="E74" t="s">
        <v>1447</v>
      </c>
      <c r="F74" t="s">
        <v>1881</v>
      </c>
      <c r="G74" t="s">
        <v>1811</v>
      </c>
      <c r="H74" t="s">
        <v>1799</v>
      </c>
      <c r="I74">
        <v>45</v>
      </c>
      <c r="J74" t="s">
        <v>1799</v>
      </c>
      <c r="K74" t="s">
        <v>1799</v>
      </c>
      <c r="L74" t="s">
        <v>1799</v>
      </c>
      <c r="M74" t="s">
        <v>1799</v>
      </c>
      <c r="N74" t="s">
        <v>1799</v>
      </c>
      <c r="O74" s="184" t="str">
        <f>"["&amp;$C74&amp;"]["&amp;$D74&amp;"]["&amp;$F74&amp;"]"</f>
        <v>[S03_EmittingInstallations][1][NumberOfInstallations]</v>
      </c>
    </row>
    <row r="75" spans="1:15" x14ac:dyDescent="0.3">
      <c r="A75" t="s">
        <v>1793</v>
      </c>
      <c r="B75" t="s">
        <v>1879</v>
      </c>
      <c r="C75" t="s">
        <v>1880</v>
      </c>
      <c r="D75">
        <v>2</v>
      </c>
      <c r="E75" t="s">
        <v>1447</v>
      </c>
      <c r="F75" t="s">
        <v>1881</v>
      </c>
      <c r="G75" t="s">
        <v>1811</v>
      </c>
      <c r="H75" t="s">
        <v>1799</v>
      </c>
      <c r="I75">
        <v>22</v>
      </c>
      <c r="J75" t="s">
        <v>1799</v>
      </c>
      <c r="K75" t="s">
        <v>1799</v>
      </c>
      <c r="L75" t="s">
        <v>1799</v>
      </c>
      <c r="M75" t="s">
        <v>1799</v>
      </c>
      <c r="N75" t="s">
        <v>1799</v>
      </c>
      <c r="O75" s="184" t="str">
        <f>"["&amp;$C75&amp;"]["&amp;$D75&amp;"]["&amp;$F75&amp;"]"</f>
        <v>[S03_EmittingInstallations][2][NumberOfInstallations]</v>
      </c>
    </row>
    <row r="76" spans="1:15" x14ac:dyDescent="0.3">
      <c r="A76" t="s">
        <v>1793</v>
      </c>
      <c r="B76" t="s">
        <v>1879</v>
      </c>
      <c r="C76" t="s">
        <v>1880</v>
      </c>
      <c r="D76">
        <v>3</v>
      </c>
      <c r="E76" t="s">
        <v>1447</v>
      </c>
      <c r="F76" t="s">
        <v>1881</v>
      </c>
      <c r="G76" t="s">
        <v>1811</v>
      </c>
      <c r="H76" t="s">
        <v>1799</v>
      </c>
      <c r="I76">
        <v>16</v>
      </c>
      <c r="J76" t="s">
        <v>1799</v>
      </c>
      <c r="K76" t="s">
        <v>1799</v>
      </c>
      <c r="L76" t="s">
        <v>1799</v>
      </c>
      <c r="M76" t="s">
        <v>1799</v>
      </c>
      <c r="N76" t="s">
        <v>1799</v>
      </c>
      <c r="O76" s="184" t="str">
        <f>"["&amp;$C76&amp;"]["&amp;$D76&amp;"]["&amp;$F76&amp;"]"</f>
        <v>[S03_EmittingInstallations][3][NumberOfInstallations]</v>
      </c>
    </row>
    <row r="77" spans="1:15" x14ac:dyDescent="0.3">
      <c r="A77" t="s">
        <v>1793</v>
      </c>
      <c r="B77" t="s">
        <v>1879</v>
      </c>
      <c r="C77" t="s">
        <v>1880</v>
      </c>
      <c r="D77">
        <v>4</v>
      </c>
      <c r="E77" t="s">
        <v>1447</v>
      </c>
      <c r="F77" t="s">
        <v>1881</v>
      </c>
      <c r="G77" t="s">
        <v>1811</v>
      </c>
      <c r="H77" t="s">
        <v>1799</v>
      </c>
      <c r="I77">
        <v>7</v>
      </c>
      <c r="J77" t="s">
        <v>1799</v>
      </c>
      <c r="K77" t="s">
        <v>1799</v>
      </c>
      <c r="L77" t="s">
        <v>1799</v>
      </c>
      <c r="M77" t="s">
        <v>1799</v>
      </c>
      <c r="N77" t="s">
        <v>1799</v>
      </c>
      <c r="O77" s="184" t="str">
        <f>"["&amp;$C77&amp;"]["&amp;$D77&amp;"]["&amp;$F77&amp;"]"</f>
        <v>[S03_EmittingInstallations][4][NumberOfInstallations]</v>
      </c>
    </row>
    <row r="78" spans="1:15" x14ac:dyDescent="0.3">
      <c r="A78" t="s">
        <v>1793</v>
      </c>
      <c r="B78" t="s">
        <v>1879</v>
      </c>
      <c r="C78" t="s">
        <v>1880</v>
      </c>
      <c r="D78">
        <v>5</v>
      </c>
      <c r="E78" t="s">
        <v>1447</v>
      </c>
      <c r="F78" t="s">
        <v>1881</v>
      </c>
      <c r="G78" t="s">
        <v>1811</v>
      </c>
      <c r="H78" t="s">
        <v>1799</v>
      </c>
      <c r="I78">
        <v>16</v>
      </c>
      <c r="J78" t="s">
        <v>1799</v>
      </c>
      <c r="K78" t="s">
        <v>1799</v>
      </c>
      <c r="L78" t="s">
        <v>1799</v>
      </c>
      <c r="M78" t="s">
        <v>1799</v>
      </c>
      <c r="N78" t="s">
        <v>1799</v>
      </c>
      <c r="O78" s="184" t="str">
        <f>"["&amp;$C78&amp;"]["&amp;$D78&amp;"]["&amp;$F78&amp;"]"</f>
        <v>[S03_EmittingInstallations][5][NumberOfInstallations]</v>
      </c>
    </row>
    <row r="79" spans="1:15" x14ac:dyDescent="0.3">
      <c r="A79" t="s">
        <v>1793</v>
      </c>
      <c r="B79" t="s">
        <v>1879</v>
      </c>
      <c r="C79" t="s">
        <v>1882</v>
      </c>
      <c r="D79">
        <v>1</v>
      </c>
      <c r="E79" t="s">
        <v>1447</v>
      </c>
      <c r="F79" t="s">
        <v>1883</v>
      </c>
      <c r="G79" t="s">
        <v>1836</v>
      </c>
      <c r="H79" t="s">
        <v>1799</v>
      </c>
      <c r="I79" t="s">
        <v>1799</v>
      </c>
      <c r="J79" t="s">
        <v>1799</v>
      </c>
      <c r="K79" t="s">
        <v>1799</v>
      </c>
      <c r="L79" t="s">
        <v>1419</v>
      </c>
      <c r="M79" t="s">
        <v>1799</v>
      </c>
      <c r="N79" t="s">
        <v>1799</v>
      </c>
      <c r="O79" s="184" t="str">
        <f>"["&amp;$C79&amp;"]["&amp;$D79&amp;"]["&amp;$F79&amp;"]"</f>
        <v>[S03_ActivityPermits][1][ActivityPermitsIssued]</v>
      </c>
    </row>
    <row r="80" spans="1:15" x14ac:dyDescent="0.3">
      <c r="A80" t="s">
        <v>1793</v>
      </c>
      <c r="B80" t="s">
        <v>1879</v>
      </c>
      <c r="C80" t="s">
        <v>1882</v>
      </c>
      <c r="D80">
        <v>2</v>
      </c>
      <c r="E80" t="s">
        <v>1447</v>
      </c>
      <c r="F80" t="s">
        <v>1883</v>
      </c>
      <c r="G80" t="s">
        <v>1836</v>
      </c>
      <c r="H80" t="s">
        <v>1799</v>
      </c>
      <c r="I80" t="s">
        <v>1799</v>
      </c>
      <c r="J80" t="s">
        <v>1799</v>
      </c>
      <c r="K80" t="s">
        <v>1799</v>
      </c>
      <c r="L80" t="s">
        <v>1419</v>
      </c>
      <c r="M80" t="s">
        <v>1799</v>
      </c>
      <c r="N80" t="s">
        <v>1799</v>
      </c>
      <c r="O80" s="184" t="str">
        <f>"["&amp;$C80&amp;"]["&amp;$D80&amp;"]["&amp;$F80&amp;"]"</f>
        <v>[S03_ActivityPermits][2][ActivityPermitsIssued]</v>
      </c>
    </row>
    <row r="81" spans="1:15" x14ac:dyDescent="0.3">
      <c r="A81" t="s">
        <v>1793</v>
      </c>
      <c r="B81" t="s">
        <v>1879</v>
      </c>
      <c r="C81" t="s">
        <v>1882</v>
      </c>
      <c r="D81">
        <v>3</v>
      </c>
      <c r="E81" t="s">
        <v>1447</v>
      </c>
      <c r="F81" t="s">
        <v>1883</v>
      </c>
      <c r="G81" t="s">
        <v>1836</v>
      </c>
      <c r="H81" t="s">
        <v>1799</v>
      </c>
      <c r="I81" t="s">
        <v>1799</v>
      </c>
      <c r="J81" t="s">
        <v>1799</v>
      </c>
      <c r="K81" t="s">
        <v>1799</v>
      </c>
      <c r="L81" t="s">
        <v>1447</v>
      </c>
      <c r="M81" t="s">
        <v>1799</v>
      </c>
      <c r="N81" t="s">
        <v>1799</v>
      </c>
      <c r="O81" s="184" t="str">
        <f>"["&amp;$C81&amp;"]["&amp;$D81&amp;"]["&amp;$F81&amp;"]"</f>
        <v>[S03_ActivityPermits][3][ActivityPermitsIssued]</v>
      </c>
    </row>
    <row r="82" spans="1:15" x14ac:dyDescent="0.3">
      <c r="A82" t="s">
        <v>1793</v>
      </c>
      <c r="B82" t="s">
        <v>1879</v>
      </c>
      <c r="C82" t="s">
        <v>1882</v>
      </c>
      <c r="D82">
        <v>4</v>
      </c>
      <c r="E82" t="s">
        <v>1447</v>
      </c>
      <c r="F82" t="s">
        <v>1883</v>
      </c>
      <c r="G82" t="s">
        <v>1836</v>
      </c>
      <c r="H82" t="s">
        <v>1799</v>
      </c>
      <c r="I82" t="s">
        <v>1799</v>
      </c>
      <c r="J82" t="s">
        <v>1799</v>
      </c>
      <c r="K82" t="s">
        <v>1799</v>
      </c>
      <c r="L82" t="s">
        <v>1447</v>
      </c>
      <c r="M82" t="s">
        <v>1799</v>
      </c>
      <c r="N82" t="s">
        <v>1799</v>
      </c>
      <c r="O82" s="184" t="str">
        <f>"["&amp;$C82&amp;"]["&amp;$D82&amp;"]["&amp;$F82&amp;"]"</f>
        <v>[S03_ActivityPermits][4][ActivityPermitsIssued]</v>
      </c>
    </row>
    <row r="83" spans="1:15" x14ac:dyDescent="0.3">
      <c r="A83" t="s">
        <v>1793</v>
      </c>
      <c r="B83" t="s">
        <v>1879</v>
      </c>
      <c r="C83" t="s">
        <v>1882</v>
      </c>
      <c r="D83">
        <v>5</v>
      </c>
      <c r="E83" t="s">
        <v>1447</v>
      </c>
      <c r="F83" t="s">
        <v>1883</v>
      </c>
      <c r="G83" t="s">
        <v>1836</v>
      </c>
      <c r="H83" t="s">
        <v>1799</v>
      </c>
      <c r="I83" t="s">
        <v>1799</v>
      </c>
      <c r="J83" t="s">
        <v>1799</v>
      </c>
      <c r="K83" t="s">
        <v>1799</v>
      </c>
      <c r="L83" t="s">
        <v>1419</v>
      </c>
      <c r="M83" t="s">
        <v>1799</v>
      </c>
      <c r="N83" t="s">
        <v>1799</v>
      </c>
      <c r="O83" s="184" t="str">
        <f>"["&amp;$C83&amp;"]["&amp;$D83&amp;"]["&amp;$F83&amp;"]"</f>
        <v>[S03_ActivityPermits][5][ActivityPermitsIssued]</v>
      </c>
    </row>
    <row r="84" spans="1:15" x14ac:dyDescent="0.3">
      <c r="A84" t="s">
        <v>1793</v>
      </c>
      <c r="B84" t="s">
        <v>1879</v>
      </c>
      <c r="C84" t="s">
        <v>1882</v>
      </c>
      <c r="D84">
        <v>6</v>
      </c>
      <c r="E84" t="s">
        <v>1447</v>
      </c>
      <c r="F84" t="s">
        <v>1883</v>
      </c>
      <c r="G84" t="s">
        <v>1836</v>
      </c>
      <c r="H84" t="s">
        <v>1799</v>
      </c>
      <c r="I84" t="s">
        <v>1799</v>
      </c>
      <c r="J84" t="s">
        <v>1799</v>
      </c>
      <c r="K84" t="s">
        <v>1799</v>
      </c>
      <c r="L84" t="s">
        <v>1447</v>
      </c>
      <c r="M84" t="s">
        <v>1799</v>
      </c>
      <c r="N84" t="s">
        <v>1799</v>
      </c>
      <c r="O84" s="184" t="str">
        <f>"["&amp;$C84&amp;"]["&amp;$D84&amp;"]["&amp;$F84&amp;"]"</f>
        <v>[S03_ActivityPermits][6][ActivityPermitsIssued]</v>
      </c>
    </row>
    <row r="85" spans="1:15" x14ac:dyDescent="0.3">
      <c r="A85" t="s">
        <v>1793</v>
      </c>
      <c r="B85" t="s">
        <v>1879</v>
      </c>
      <c r="C85" t="s">
        <v>1882</v>
      </c>
      <c r="D85">
        <v>7</v>
      </c>
      <c r="E85" t="s">
        <v>1447</v>
      </c>
      <c r="F85" t="s">
        <v>1883</v>
      </c>
      <c r="G85" t="s">
        <v>1836</v>
      </c>
      <c r="H85" t="s">
        <v>1799</v>
      </c>
      <c r="I85" t="s">
        <v>1799</v>
      </c>
      <c r="J85" t="s">
        <v>1799</v>
      </c>
      <c r="K85" t="s">
        <v>1799</v>
      </c>
      <c r="L85" t="s">
        <v>1447</v>
      </c>
      <c r="M85" t="s">
        <v>1799</v>
      </c>
      <c r="N85" t="s">
        <v>1799</v>
      </c>
      <c r="O85" s="184" t="str">
        <f>"["&amp;$C85&amp;"]["&amp;$D85&amp;"]["&amp;$F85&amp;"]"</f>
        <v>[S03_ActivityPermits][7][ActivityPermitsIssued]</v>
      </c>
    </row>
    <row r="86" spans="1:15" x14ac:dyDescent="0.3">
      <c r="A86" t="s">
        <v>1793</v>
      </c>
      <c r="B86" t="s">
        <v>1879</v>
      </c>
      <c r="C86" t="s">
        <v>1882</v>
      </c>
      <c r="D86">
        <v>8</v>
      </c>
      <c r="E86" t="s">
        <v>1447</v>
      </c>
      <c r="F86" t="s">
        <v>1883</v>
      </c>
      <c r="G86" t="s">
        <v>1836</v>
      </c>
      <c r="H86" t="s">
        <v>1799</v>
      </c>
      <c r="I86" t="s">
        <v>1799</v>
      </c>
      <c r="J86" t="s">
        <v>1799</v>
      </c>
      <c r="K86" t="s">
        <v>1799</v>
      </c>
      <c r="L86" t="s">
        <v>1419</v>
      </c>
      <c r="M86" t="s">
        <v>1799</v>
      </c>
      <c r="N86" t="s">
        <v>1799</v>
      </c>
      <c r="O86" s="184" t="str">
        <f>"["&amp;$C86&amp;"]["&amp;$D86&amp;"]["&amp;$F86&amp;"]"</f>
        <v>[S03_ActivityPermits][8][ActivityPermitsIssued]</v>
      </c>
    </row>
    <row r="87" spans="1:15" x14ac:dyDescent="0.3">
      <c r="A87" t="s">
        <v>1793</v>
      </c>
      <c r="B87" t="s">
        <v>1879</v>
      </c>
      <c r="C87" t="s">
        <v>1882</v>
      </c>
      <c r="D87">
        <v>9</v>
      </c>
      <c r="E87" t="s">
        <v>1447</v>
      </c>
      <c r="F87" t="s">
        <v>1883</v>
      </c>
      <c r="G87" t="s">
        <v>1836</v>
      </c>
      <c r="H87" t="s">
        <v>1799</v>
      </c>
      <c r="I87" t="s">
        <v>1799</v>
      </c>
      <c r="J87" t="s">
        <v>1799</v>
      </c>
      <c r="K87" t="s">
        <v>1799</v>
      </c>
      <c r="L87" t="s">
        <v>1447</v>
      </c>
      <c r="M87" t="s">
        <v>1799</v>
      </c>
      <c r="N87" t="s">
        <v>1799</v>
      </c>
      <c r="O87" s="184" t="str">
        <f>"["&amp;$C87&amp;"]["&amp;$D87&amp;"]["&amp;$F87&amp;"]"</f>
        <v>[S03_ActivityPermits][9][ActivityPermitsIssued]</v>
      </c>
    </row>
    <row r="88" spans="1:15" x14ac:dyDescent="0.3">
      <c r="A88" t="s">
        <v>1793</v>
      </c>
      <c r="B88" t="s">
        <v>1879</v>
      </c>
      <c r="C88" t="s">
        <v>1882</v>
      </c>
      <c r="D88">
        <v>10</v>
      </c>
      <c r="E88" t="s">
        <v>1447</v>
      </c>
      <c r="F88" t="s">
        <v>1883</v>
      </c>
      <c r="G88" t="s">
        <v>1836</v>
      </c>
      <c r="H88" t="s">
        <v>1799</v>
      </c>
      <c r="I88" t="s">
        <v>1799</v>
      </c>
      <c r="J88" t="s">
        <v>1799</v>
      </c>
      <c r="K88" t="s">
        <v>1799</v>
      </c>
      <c r="L88" t="s">
        <v>1419</v>
      </c>
      <c r="M88" t="s">
        <v>1799</v>
      </c>
      <c r="N88" t="s">
        <v>1799</v>
      </c>
      <c r="O88" s="184" t="str">
        <f>"["&amp;$C88&amp;"]["&amp;$D88&amp;"]["&amp;$F88&amp;"]"</f>
        <v>[S03_ActivityPermits][10][ActivityPermitsIssued]</v>
      </c>
    </row>
    <row r="89" spans="1:15" x14ac:dyDescent="0.3">
      <c r="A89" t="s">
        <v>1793</v>
      </c>
      <c r="B89" t="s">
        <v>1879</v>
      </c>
      <c r="C89" t="s">
        <v>1882</v>
      </c>
      <c r="D89">
        <v>11</v>
      </c>
      <c r="E89" t="s">
        <v>1447</v>
      </c>
      <c r="F89" t="s">
        <v>1883</v>
      </c>
      <c r="G89" t="s">
        <v>1836</v>
      </c>
      <c r="H89" t="s">
        <v>1799</v>
      </c>
      <c r="I89" t="s">
        <v>1799</v>
      </c>
      <c r="J89" t="s">
        <v>1799</v>
      </c>
      <c r="K89" t="s">
        <v>1799</v>
      </c>
      <c r="L89" t="s">
        <v>1419</v>
      </c>
      <c r="M89" t="s">
        <v>1799</v>
      </c>
      <c r="N89" t="s">
        <v>1799</v>
      </c>
      <c r="O89" s="184" t="str">
        <f>"["&amp;$C89&amp;"]["&amp;$D89&amp;"]["&amp;$F89&amp;"]"</f>
        <v>[S03_ActivityPermits][11][ActivityPermitsIssued]</v>
      </c>
    </row>
    <row r="90" spans="1:15" x14ac:dyDescent="0.3">
      <c r="A90" t="s">
        <v>1793</v>
      </c>
      <c r="B90" t="s">
        <v>1879</v>
      </c>
      <c r="C90" t="s">
        <v>1882</v>
      </c>
      <c r="D90">
        <v>12</v>
      </c>
      <c r="E90" t="s">
        <v>1447</v>
      </c>
      <c r="F90" t="s">
        <v>1883</v>
      </c>
      <c r="G90" t="s">
        <v>1836</v>
      </c>
      <c r="H90" t="s">
        <v>1799</v>
      </c>
      <c r="I90" t="s">
        <v>1799</v>
      </c>
      <c r="J90" t="s">
        <v>1799</v>
      </c>
      <c r="K90" t="s">
        <v>1799</v>
      </c>
      <c r="L90" t="s">
        <v>1419</v>
      </c>
      <c r="M90" t="s">
        <v>1799</v>
      </c>
      <c r="N90" t="s">
        <v>1799</v>
      </c>
      <c r="O90" s="184" t="str">
        <f>"["&amp;$C90&amp;"]["&amp;$D90&amp;"]["&amp;$F90&amp;"]"</f>
        <v>[S03_ActivityPermits][12][ActivityPermitsIssued]</v>
      </c>
    </row>
    <row r="91" spans="1:15" x14ac:dyDescent="0.3">
      <c r="A91" t="s">
        <v>1793</v>
      </c>
      <c r="B91" t="s">
        <v>1879</v>
      </c>
      <c r="C91" t="s">
        <v>1882</v>
      </c>
      <c r="D91">
        <v>13</v>
      </c>
      <c r="E91" t="s">
        <v>1447</v>
      </c>
      <c r="F91" t="s">
        <v>1883</v>
      </c>
      <c r="G91" t="s">
        <v>1836</v>
      </c>
      <c r="H91" t="s">
        <v>1799</v>
      </c>
      <c r="I91" t="s">
        <v>1799</v>
      </c>
      <c r="J91" t="s">
        <v>1799</v>
      </c>
      <c r="K91" t="s">
        <v>1799</v>
      </c>
      <c r="L91" t="s">
        <v>1419</v>
      </c>
      <c r="M91" t="s">
        <v>1799</v>
      </c>
      <c r="N91" t="s">
        <v>1799</v>
      </c>
      <c r="O91" s="184" t="str">
        <f>"["&amp;$C91&amp;"]["&amp;$D91&amp;"]["&amp;$F91&amp;"]"</f>
        <v>[S03_ActivityPermits][13][ActivityPermitsIssued]</v>
      </c>
    </row>
    <row r="92" spans="1:15" x14ac:dyDescent="0.3">
      <c r="A92" t="s">
        <v>1793</v>
      </c>
      <c r="B92" t="s">
        <v>1879</v>
      </c>
      <c r="C92" t="s">
        <v>1882</v>
      </c>
      <c r="D92">
        <v>14</v>
      </c>
      <c r="E92" t="s">
        <v>1447</v>
      </c>
      <c r="F92" t="s">
        <v>1883</v>
      </c>
      <c r="G92" t="s">
        <v>1836</v>
      </c>
      <c r="H92" t="s">
        <v>1799</v>
      </c>
      <c r="I92" t="s">
        <v>1799</v>
      </c>
      <c r="J92" t="s">
        <v>1799</v>
      </c>
      <c r="K92" t="s">
        <v>1799</v>
      </c>
      <c r="L92" t="s">
        <v>1419</v>
      </c>
      <c r="M92" t="s">
        <v>1799</v>
      </c>
      <c r="N92" t="s">
        <v>1799</v>
      </c>
      <c r="O92" s="184" t="str">
        <f>"["&amp;$C92&amp;"]["&amp;$D92&amp;"]["&amp;$F92&amp;"]"</f>
        <v>[S03_ActivityPermits][14][ActivityPermitsIssued]</v>
      </c>
    </row>
    <row r="93" spans="1:15" x14ac:dyDescent="0.3">
      <c r="A93" t="s">
        <v>1793</v>
      </c>
      <c r="B93" t="s">
        <v>1879</v>
      </c>
      <c r="C93" t="s">
        <v>1882</v>
      </c>
      <c r="D93">
        <v>15</v>
      </c>
      <c r="E93" t="s">
        <v>1447</v>
      </c>
      <c r="F93" t="s">
        <v>1883</v>
      </c>
      <c r="G93" t="s">
        <v>1836</v>
      </c>
      <c r="H93" t="s">
        <v>1799</v>
      </c>
      <c r="I93" t="s">
        <v>1799</v>
      </c>
      <c r="J93" t="s">
        <v>1799</v>
      </c>
      <c r="K93" t="s">
        <v>1799</v>
      </c>
      <c r="L93" t="s">
        <v>1447</v>
      </c>
      <c r="M93" t="s">
        <v>1799</v>
      </c>
      <c r="N93" t="s">
        <v>1799</v>
      </c>
      <c r="O93" s="184" t="str">
        <f>"["&amp;$C93&amp;"]["&amp;$D93&amp;"]["&amp;$F93&amp;"]"</f>
        <v>[S03_ActivityPermits][15][ActivityPermitsIssued]</v>
      </c>
    </row>
    <row r="94" spans="1:15" x14ac:dyDescent="0.3">
      <c r="A94" t="s">
        <v>1793</v>
      </c>
      <c r="B94" t="s">
        <v>1879</v>
      </c>
      <c r="C94" t="s">
        <v>1882</v>
      </c>
      <c r="D94">
        <v>16</v>
      </c>
      <c r="E94" t="s">
        <v>1447</v>
      </c>
      <c r="F94" t="s">
        <v>1883</v>
      </c>
      <c r="G94" t="s">
        <v>1836</v>
      </c>
      <c r="H94" t="s">
        <v>1799</v>
      </c>
      <c r="I94" t="s">
        <v>1799</v>
      </c>
      <c r="J94" t="s">
        <v>1799</v>
      </c>
      <c r="K94" t="s">
        <v>1799</v>
      </c>
      <c r="L94" t="s">
        <v>1419</v>
      </c>
      <c r="M94" t="s">
        <v>1799</v>
      </c>
      <c r="N94" t="s">
        <v>1799</v>
      </c>
      <c r="O94" s="184" t="str">
        <f>"["&amp;$C94&amp;"]["&amp;$D94&amp;"]["&amp;$F94&amp;"]"</f>
        <v>[S03_ActivityPermits][16][ActivityPermitsIssued]</v>
      </c>
    </row>
    <row r="95" spans="1:15" x14ac:dyDescent="0.3">
      <c r="A95" t="s">
        <v>1793</v>
      </c>
      <c r="B95" t="s">
        <v>1879</v>
      </c>
      <c r="C95" t="s">
        <v>1882</v>
      </c>
      <c r="D95">
        <v>17</v>
      </c>
      <c r="E95" t="s">
        <v>1447</v>
      </c>
      <c r="F95" t="s">
        <v>1883</v>
      </c>
      <c r="G95" t="s">
        <v>1836</v>
      </c>
      <c r="H95" t="s">
        <v>1799</v>
      </c>
      <c r="I95" t="s">
        <v>1799</v>
      </c>
      <c r="J95" t="s">
        <v>1799</v>
      </c>
      <c r="K95" t="s">
        <v>1799</v>
      </c>
      <c r="L95" t="s">
        <v>1419</v>
      </c>
      <c r="M95" t="s">
        <v>1799</v>
      </c>
      <c r="N95" t="s">
        <v>1799</v>
      </c>
      <c r="O95" s="184" t="str">
        <f>"["&amp;$C95&amp;"]["&amp;$D95&amp;"]["&amp;$F95&amp;"]"</f>
        <v>[S03_ActivityPermits][17][ActivityPermitsIssued]</v>
      </c>
    </row>
    <row r="96" spans="1:15" x14ac:dyDescent="0.3">
      <c r="A96" t="s">
        <v>1793</v>
      </c>
      <c r="B96" t="s">
        <v>1879</v>
      </c>
      <c r="C96" t="s">
        <v>1882</v>
      </c>
      <c r="D96">
        <v>18</v>
      </c>
      <c r="E96" t="s">
        <v>1447</v>
      </c>
      <c r="F96" t="s">
        <v>1883</v>
      </c>
      <c r="G96" t="s">
        <v>1836</v>
      </c>
      <c r="H96" t="s">
        <v>1799</v>
      </c>
      <c r="I96" t="s">
        <v>1799</v>
      </c>
      <c r="J96" t="s">
        <v>1799</v>
      </c>
      <c r="K96" t="s">
        <v>1799</v>
      </c>
      <c r="L96" t="s">
        <v>1419</v>
      </c>
      <c r="M96" t="s">
        <v>1799</v>
      </c>
      <c r="N96" t="s">
        <v>1799</v>
      </c>
      <c r="O96" s="184" t="str">
        <f>"["&amp;$C96&amp;"]["&amp;$D96&amp;"]["&amp;$F96&amp;"]"</f>
        <v>[S03_ActivityPermits][18][ActivityPermitsIssued]</v>
      </c>
    </row>
    <row r="97" spans="1:15" x14ac:dyDescent="0.3">
      <c r="A97" t="s">
        <v>1793</v>
      </c>
      <c r="B97" t="s">
        <v>1879</v>
      </c>
      <c r="C97" t="s">
        <v>1882</v>
      </c>
      <c r="D97">
        <v>19</v>
      </c>
      <c r="E97" t="s">
        <v>1447</v>
      </c>
      <c r="F97" t="s">
        <v>1883</v>
      </c>
      <c r="G97" t="s">
        <v>1836</v>
      </c>
      <c r="H97" t="s">
        <v>1799</v>
      </c>
      <c r="I97" t="s">
        <v>1799</v>
      </c>
      <c r="J97" t="s">
        <v>1799</v>
      </c>
      <c r="K97" t="s">
        <v>1799</v>
      </c>
      <c r="L97" t="s">
        <v>1419</v>
      </c>
      <c r="M97" t="s">
        <v>1799</v>
      </c>
      <c r="N97" t="s">
        <v>1799</v>
      </c>
      <c r="O97" s="184" t="str">
        <f>"["&amp;$C97&amp;"]["&amp;$D97&amp;"]["&amp;$F97&amp;"]"</f>
        <v>[S03_ActivityPermits][19][ActivityPermitsIssued]</v>
      </c>
    </row>
    <row r="98" spans="1:15" x14ac:dyDescent="0.3">
      <c r="A98" t="s">
        <v>1793</v>
      </c>
      <c r="B98" t="s">
        <v>1879</v>
      </c>
      <c r="C98" t="s">
        <v>1882</v>
      </c>
      <c r="D98">
        <v>20</v>
      </c>
      <c r="E98" t="s">
        <v>1447</v>
      </c>
      <c r="F98" t="s">
        <v>1883</v>
      </c>
      <c r="G98" t="s">
        <v>1836</v>
      </c>
      <c r="H98" t="s">
        <v>1799</v>
      </c>
      <c r="I98" t="s">
        <v>1799</v>
      </c>
      <c r="J98" t="s">
        <v>1799</v>
      </c>
      <c r="K98" t="s">
        <v>1799</v>
      </c>
      <c r="L98" t="s">
        <v>1447</v>
      </c>
      <c r="M98" t="s">
        <v>1799</v>
      </c>
      <c r="N98" t="s">
        <v>1799</v>
      </c>
      <c r="O98" s="184" t="str">
        <f>"["&amp;$C98&amp;"]["&amp;$D98&amp;"]["&amp;$F98&amp;"]"</f>
        <v>[S03_ActivityPermits][20][ActivityPermitsIssued]</v>
      </c>
    </row>
    <row r="99" spans="1:15" x14ac:dyDescent="0.3">
      <c r="A99" t="s">
        <v>1793</v>
      </c>
      <c r="B99" t="s">
        <v>1879</v>
      </c>
      <c r="C99" t="s">
        <v>1882</v>
      </c>
      <c r="D99">
        <v>21</v>
      </c>
      <c r="E99" t="s">
        <v>1447</v>
      </c>
      <c r="F99" t="s">
        <v>1883</v>
      </c>
      <c r="G99" t="s">
        <v>1836</v>
      </c>
      <c r="H99" t="s">
        <v>1799</v>
      </c>
      <c r="I99" t="s">
        <v>1799</v>
      </c>
      <c r="J99" t="s">
        <v>1799</v>
      </c>
      <c r="K99" t="s">
        <v>1799</v>
      </c>
      <c r="L99" t="s">
        <v>1447</v>
      </c>
      <c r="M99" t="s">
        <v>1799</v>
      </c>
      <c r="N99" t="s">
        <v>1799</v>
      </c>
      <c r="O99" s="184" t="str">
        <f>"["&amp;$C99&amp;"]["&amp;$D99&amp;"]["&amp;$F99&amp;"]"</f>
        <v>[S03_ActivityPermits][21][ActivityPermitsIssued]</v>
      </c>
    </row>
    <row r="100" spans="1:15" x14ac:dyDescent="0.3">
      <c r="A100" t="s">
        <v>1793</v>
      </c>
      <c r="B100" t="s">
        <v>1879</v>
      </c>
      <c r="C100" t="s">
        <v>1882</v>
      </c>
      <c r="D100">
        <v>22</v>
      </c>
      <c r="E100" t="s">
        <v>1447</v>
      </c>
      <c r="F100" t="s">
        <v>1883</v>
      </c>
      <c r="G100" t="s">
        <v>1836</v>
      </c>
      <c r="H100" t="s">
        <v>1799</v>
      </c>
      <c r="I100" t="s">
        <v>1799</v>
      </c>
      <c r="J100" t="s">
        <v>1799</v>
      </c>
      <c r="K100" t="s">
        <v>1799</v>
      </c>
      <c r="L100" t="s">
        <v>1419</v>
      </c>
      <c r="M100" t="s">
        <v>1799</v>
      </c>
      <c r="N100" t="s">
        <v>1799</v>
      </c>
      <c r="O100" s="184" t="str">
        <f>"["&amp;$C100&amp;"]["&amp;$D100&amp;"]["&amp;$F100&amp;"]"</f>
        <v>[S03_ActivityPermits][22][ActivityPermitsIssued]</v>
      </c>
    </row>
    <row r="101" spans="1:15" x14ac:dyDescent="0.3">
      <c r="A101" t="s">
        <v>1793</v>
      </c>
      <c r="B101" t="s">
        <v>1879</v>
      </c>
      <c r="C101" t="s">
        <v>1882</v>
      </c>
      <c r="D101">
        <v>23</v>
      </c>
      <c r="E101" t="s">
        <v>1447</v>
      </c>
      <c r="F101" t="s">
        <v>1883</v>
      </c>
      <c r="G101" t="s">
        <v>1836</v>
      </c>
      <c r="H101" t="s">
        <v>1799</v>
      </c>
      <c r="I101" t="s">
        <v>1799</v>
      </c>
      <c r="J101" t="s">
        <v>1799</v>
      </c>
      <c r="K101" t="s">
        <v>1799</v>
      </c>
      <c r="L101" t="s">
        <v>1447</v>
      </c>
      <c r="M101" t="s">
        <v>1799</v>
      </c>
      <c r="N101" t="s">
        <v>1799</v>
      </c>
      <c r="O101" s="184" t="str">
        <f>"["&amp;$C101&amp;"]["&amp;$D101&amp;"]["&amp;$F101&amp;"]"</f>
        <v>[S03_ActivityPermits][23][ActivityPermitsIssued]</v>
      </c>
    </row>
    <row r="102" spans="1:15" x14ac:dyDescent="0.3">
      <c r="A102" t="s">
        <v>1793</v>
      </c>
      <c r="B102" t="s">
        <v>1879</v>
      </c>
      <c r="C102" t="s">
        <v>1882</v>
      </c>
      <c r="D102">
        <v>24</v>
      </c>
      <c r="E102" t="s">
        <v>1447</v>
      </c>
      <c r="F102" t="s">
        <v>1883</v>
      </c>
      <c r="G102" t="s">
        <v>1836</v>
      </c>
      <c r="H102" t="s">
        <v>1799</v>
      </c>
      <c r="I102" t="s">
        <v>1799</v>
      </c>
      <c r="J102" t="s">
        <v>1799</v>
      </c>
      <c r="K102" t="s">
        <v>1799</v>
      </c>
      <c r="L102" t="s">
        <v>1447</v>
      </c>
      <c r="M102" t="s">
        <v>1799</v>
      </c>
      <c r="N102" t="s">
        <v>1799</v>
      </c>
      <c r="O102" s="184" t="str">
        <f>"["&amp;$C102&amp;"]["&amp;$D102&amp;"]["&amp;$F102&amp;"]"</f>
        <v>[S03_ActivityPermits][24][ActivityPermitsIssued]</v>
      </c>
    </row>
    <row r="103" spans="1:15" x14ac:dyDescent="0.3">
      <c r="A103" t="s">
        <v>1793</v>
      </c>
      <c r="B103" t="s">
        <v>1879</v>
      </c>
      <c r="C103" t="s">
        <v>1882</v>
      </c>
      <c r="D103">
        <v>25</v>
      </c>
      <c r="E103" t="s">
        <v>1447</v>
      </c>
      <c r="F103" t="s">
        <v>1883</v>
      </c>
      <c r="G103" t="s">
        <v>1836</v>
      </c>
      <c r="H103" t="s">
        <v>1799</v>
      </c>
      <c r="I103" t="s">
        <v>1799</v>
      </c>
      <c r="J103" t="s">
        <v>1799</v>
      </c>
      <c r="K103" t="s">
        <v>1799</v>
      </c>
      <c r="L103" t="s">
        <v>1447</v>
      </c>
      <c r="M103" t="s">
        <v>1799</v>
      </c>
      <c r="N103" t="s">
        <v>1799</v>
      </c>
      <c r="O103" s="184" t="str">
        <f>"["&amp;$C103&amp;"]["&amp;$D103&amp;"]["&amp;$F103&amp;"]"</f>
        <v>[S03_ActivityPermits][25][ActivityPermitsIssued]</v>
      </c>
    </row>
    <row r="104" spans="1:15" x14ac:dyDescent="0.3">
      <c r="A104" t="s">
        <v>1793</v>
      </c>
      <c r="B104" t="s">
        <v>1879</v>
      </c>
      <c r="C104" t="s">
        <v>1882</v>
      </c>
      <c r="D104">
        <v>26</v>
      </c>
      <c r="E104" t="s">
        <v>1447</v>
      </c>
      <c r="F104" t="s">
        <v>1883</v>
      </c>
      <c r="G104" t="s">
        <v>1836</v>
      </c>
      <c r="H104" t="s">
        <v>1799</v>
      </c>
      <c r="I104" t="s">
        <v>1799</v>
      </c>
      <c r="J104" t="s">
        <v>1799</v>
      </c>
      <c r="K104" t="s">
        <v>1799</v>
      </c>
      <c r="L104" t="s">
        <v>1447</v>
      </c>
      <c r="M104" t="s">
        <v>1799</v>
      </c>
      <c r="N104" t="s">
        <v>1799</v>
      </c>
      <c r="O104" s="184" t="str">
        <f>"["&amp;$C104&amp;"]["&amp;$D104&amp;"]["&amp;$F104&amp;"]"</f>
        <v>[S03_ActivityPermits][26][ActivityPermitsIssued]</v>
      </c>
    </row>
    <row r="105" spans="1:15" x14ac:dyDescent="0.3">
      <c r="A105" t="s">
        <v>1793</v>
      </c>
      <c r="B105" t="s">
        <v>1879</v>
      </c>
      <c r="C105" t="s">
        <v>1882</v>
      </c>
      <c r="D105">
        <v>27</v>
      </c>
      <c r="E105" t="s">
        <v>1447</v>
      </c>
      <c r="F105" t="s">
        <v>1883</v>
      </c>
      <c r="G105" t="s">
        <v>1836</v>
      </c>
      <c r="H105" t="s">
        <v>1799</v>
      </c>
      <c r="I105" t="s">
        <v>1799</v>
      </c>
      <c r="J105" t="s">
        <v>1799</v>
      </c>
      <c r="K105" t="s">
        <v>1799</v>
      </c>
      <c r="L105" t="s">
        <v>1447</v>
      </c>
      <c r="M105" t="s">
        <v>1799</v>
      </c>
      <c r="N105" t="s">
        <v>1799</v>
      </c>
      <c r="O105" s="184" t="str">
        <f>"["&amp;$C105&amp;"]["&amp;$D105&amp;"]["&amp;$F105&amp;"]"</f>
        <v>[S03_ActivityPermits][27][ActivityPermitsIssued]</v>
      </c>
    </row>
    <row r="106" spans="1:15" x14ac:dyDescent="0.3">
      <c r="A106" t="s">
        <v>1793</v>
      </c>
      <c r="B106" t="s">
        <v>1879</v>
      </c>
      <c r="C106" t="s">
        <v>1882</v>
      </c>
      <c r="D106">
        <v>28</v>
      </c>
      <c r="E106" t="s">
        <v>1447</v>
      </c>
      <c r="F106" t="s">
        <v>1883</v>
      </c>
      <c r="G106" t="s">
        <v>1836</v>
      </c>
      <c r="H106" t="s">
        <v>1799</v>
      </c>
      <c r="I106" t="s">
        <v>1799</v>
      </c>
      <c r="J106" t="s">
        <v>1799</v>
      </c>
      <c r="K106" t="s">
        <v>1799</v>
      </c>
      <c r="L106" t="s">
        <v>1447</v>
      </c>
      <c r="M106" t="s">
        <v>1799</v>
      </c>
      <c r="N106" t="s">
        <v>1799</v>
      </c>
      <c r="O106" s="184" t="str">
        <f>"["&amp;$C106&amp;"]["&amp;$D106&amp;"]["&amp;$F106&amp;"]"</f>
        <v>[S03_ActivityPermits][28][ActivityPermitsIssued]</v>
      </c>
    </row>
    <row r="107" spans="1:15" x14ac:dyDescent="0.3">
      <c r="A107" t="s">
        <v>1793</v>
      </c>
      <c r="B107" t="s">
        <v>1884</v>
      </c>
      <c r="C107" t="s">
        <v>1885</v>
      </c>
      <c r="D107">
        <v>0</v>
      </c>
      <c r="E107" t="s">
        <v>1447</v>
      </c>
      <c r="F107" t="s">
        <v>1885</v>
      </c>
      <c r="G107" t="s">
        <v>1836</v>
      </c>
      <c r="H107" t="s">
        <v>1799</v>
      </c>
      <c r="I107" t="s">
        <v>1799</v>
      </c>
      <c r="J107" t="s">
        <v>1799</v>
      </c>
      <c r="K107" t="s">
        <v>1799</v>
      </c>
      <c r="L107" t="s">
        <v>1419</v>
      </c>
      <c r="M107" t="s">
        <v>1799</v>
      </c>
      <c r="N107" t="s">
        <v>1799</v>
      </c>
      <c r="O107" s="184" t="str">
        <f>"["&amp;$C107&amp;"]["&amp;$D107&amp;"]["&amp;$F107&amp;"]"</f>
        <v>[InstallationsExcludedArt27][0][InstallationsExcludedArt27]</v>
      </c>
    </row>
    <row r="108" spans="1:15" x14ac:dyDescent="0.3">
      <c r="A108" t="s">
        <v>1793</v>
      </c>
      <c r="B108" t="s">
        <v>1884</v>
      </c>
      <c r="C108" t="s">
        <v>1886</v>
      </c>
      <c r="D108">
        <v>1</v>
      </c>
      <c r="E108" t="s">
        <v>1447</v>
      </c>
      <c r="F108" t="s">
        <v>1887</v>
      </c>
      <c r="G108" t="s">
        <v>1737</v>
      </c>
      <c r="H108" t="s">
        <v>1799</v>
      </c>
      <c r="I108" t="s">
        <v>1799</v>
      </c>
      <c r="J108" t="s">
        <v>1799</v>
      </c>
      <c r="K108" t="s">
        <v>1799</v>
      </c>
      <c r="L108" t="s">
        <v>1423</v>
      </c>
      <c r="M108" t="s">
        <v>1799</v>
      </c>
      <c r="N108" t="s">
        <v>1799</v>
      </c>
      <c r="O108" s="184" t="str">
        <f>"["&amp;$C108&amp;"]["&amp;$D108&amp;"]["&amp;$F108&amp;"]"</f>
        <v>[S03_InstallationsExcludedArt27Detail][1][ExclusionArticle]</v>
      </c>
    </row>
    <row r="109" spans="1:15" x14ac:dyDescent="0.3">
      <c r="A109" t="s">
        <v>1793</v>
      </c>
      <c r="B109" t="s">
        <v>1884</v>
      </c>
      <c r="C109" t="s">
        <v>1886</v>
      </c>
      <c r="D109">
        <v>2</v>
      </c>
      <c r="E109" t="s">
        <v>1447</v>
      </c>
      <c r="F109" t="s">
        <v>1887</v>
      </c>
      <c r="G109" t="s">
        <v>1737</v>
      </c>
      <c r="H109" t="s">
        <v>1799</v>
      </c>
      <c r="I109" t="s">
        <v>1799</v>
      </c>
      <c r="J109" t="s">
        <v>1799</v>
      </c>
      <c r="K109" t="s">
        <v>1799</v>
      </c>
      <c r="L109" t="s">
        <v>1451</v>
      </c>
      <c r="M109" t="s">
        <v>1799</v>
      </c>
      <c r="N109" t="s">
        <v>1799</v>
      </c>
      <c r="O109" s="184" t="str">
        <f>"["&amp;$C109&amp;"]["&amp;$D109&amp;"]["&amp;$F109&amp;"]"</f>
        <v>[S03_InstallationsExcludedArt27Detail][2][ExclusionArticle]</v>
      </c>
    </row>
    <row r="110" spans="1:15" x14ac:dyDescent="0.3">
      <c r="A110" t="s">
        <v>1793</v>
      </c>
      <c r="B110" t="s">
        <v>1884</v>
      </c>
      <c r="C110" t="s">
        <v>1886</v>
      </c>
      <c r="D110">
        <v>3</v>
      </c>
      <c r="E110" t="s">
        <v>1447</v>
      </c>
      <c r="F110" t="s">
        <v>1887</v>
      </c>
      <c r="G110" t="s">
        <v>1737</v>
      </c>
      <c r="H110" t="s">
        <v>1799</v>
      </c>
      <c r="I110" t="s">
        <v>1799</v>
      </c>
      <c r="J110" t="s">
        <v>1799</v>
      </c>
      <c r="K110" t="s">
        <v>1799</v>
      </c>
      <c r="L110" t="s">
        <v>1480</v>
      </c>
      <c r="M110" t="s">
        <v>1799</v>
      </c>
      <c r="N110" t="s">
        <v>1799</v>
      </c>
      <c r="O110" s="184" t="str">
        <f>"["&amp;$C110&amp;"]["&amp;$D110&amp;"]["&amp;$F110&amp;"]"</f>
        <v>[S03_InstallationsExcludedArt27Detail][3][ExclusionArticle]</v>
      </c>
    </row>
    <row r="111" spans="1:15" x14ac:dyDescent="0.3">
      <c r="A111" t="s">
        <v>1793</v>
      </c>
      <c r="B111" t="s">
        <v>1884</v>
      </c>
      <c r="C111" t="s">
        <v>1886</v>
      </c>
      <c r="D111">
        <v>1</v>
      </c>
      <c r="E111" t="s">
        <v>1447</v>
      </c>
      <c r="F111" t="s">
        <v>1888</v>
      </c>
      <c r="G111" t="s">
        <v>1889</v>
      </c>
      <c r="H111" t="s">
        <v>1799</v>
      </c>
      <c r="I111" t="s">
        <v>1799</v>
      </c>
      <c r="J111">
        <v>9151</v>
      </c>
      <c r="K111" t="s">
        <v>1799</v>
      </c>
      <c r="L111" t="s">
        <v>1799</v>
      </c>
      <c r="M111" t="s">
        <v>1799</v>
      </c>
      <c r="N111" t="s">
        <v>1799</v>
      </c>
      <c r="O111" s="184" t="str">
        <f>"["&amp;$C111&amp;"]["&amp;$D111&amp;"]["&amp;$F111&amp;"]"</f>
        <v>[S03_InstallationsExcludedArt27Detail][1][InstallationsExcludedEmissions]</v>
      </c>
    </row>
    <row r="112" spans="1:15" x14ac:dyDescent="0.3">
      <c r="A112" t="s">
        <v>1793</v>
      </c>
      <c r="B112" t="s">
        <v>1884</v>
      </c>
      <c r="C112" t="s">
        <v>1886</v>
      </c>
      <c r="D112">
        <v>2</v>
      </c>
      <c r="E112" t="s">
        <v>1447</v>
      </c>
      <c r="F112" t="s">
        <v>1888</v>
      </c>
      <c r="G112" t="s">
        <v>1889</v>
      </c>
      <c r="H112" t="s">
        <v>1799</v>
      </c>
      <c r="I112" t="s">
        <v>1799</v>
      </c>
      <c r="J112">
        <v>2074</v>
      </c>
      <c r="K112" t="s">
        <v>1799</v>
      </c>
      <c r="L112" t="s">
        <v>1799</v>
      </c>
      <c r="M112" t="s">
        <v>1799</v>
      </c>
      <c r="N112" t="s">
        <v>1799</v>
      </c>
      <c r="O112" s="184" t="str">
        <f>"["&amp;$C112&amp;"]["&amp;$D112&amp;"]["&amp;$F112&amp;"]"</f>
        <v>[S03_InstallationsExcludedArt27Detail][2][InstallationsExcludedEmissions]</v>
      </c>
    </row>
    <row r="113" spans="1:15" x14ac:dyDescent="0.3">
      <c r="A113" t="s">
        <v>1793</v>
      </c>
      <c r="B113" t="s">
        <v>1884</v>
      </c>
      <c r="C113" t="s">
        <v>1886</v>
      </c>
      <c r="D113">
        <v>3</v>
      </c>
      <c r="E113" t="s">
        <v>1447</v>
      </c>
      <c r="F113" t="s">
        <v>1888</v>
      </c>
      <c r="G113" t="s">
        <v>1889</v>
      </c>
      <c r="H113" t="s">
        <v>1799</v>
      </c>
      <c r="I113" t="s">
        <v>1799</v>
      </c>
      <c r="J113">
        <v>0</v>
      </c>
      <c r="K113" t="s">
        <v>1799</v>
      </c>
      <c r="L113" t="s">
        <v>1799</v>
      </c>
      <c r="M113" t="s">
        <v>1799</v>
      </c>
      <c r="N113" t="s">
        <v>1799</v>
      </c>
      <c r="O113" s="184" t="str">
        <f>"["&amp;$C113&amp;"]["&amp;$D113&amp;"]["&amp;$F113&amp;"]"</f>
        <v>[S03_InstallationsExcludedArt27Detail][3][InstallationsExcludedEmissions]</v>
      </c>
    </row>
    <row r="114" spans="1:15" x14ac:dyDescent="0.3">
      <c r="A114" t="s">
        <v>1793</v>
      </c>
      <c r="B114" t="s">
        <v>1884</v>
      </c>
      <c r="C114" t="s">
        <v>1886</v>
      </c>
      <c r="D114">
        <v>1</v>
      </c>
      <c r="E114" t="s">
        <v>1447</v>
      </c>
      <c r="F114" t="s">
        <v>1890</v>
      </c>
      <c r="G114" t="s">
        <v>1811</v>
      </c>
      <c r="H114" t="s">
        <v>1799</v>
      </c>
      <c r="I114">
        <v>0</v>
      </c>
      <c r="J114" t="s">
        <v>1799</v>
      </c>
      <c r="K114" t="s">
        <v>1799</v>
      </c>
      <c r="L114" t="s">
        <v>1799</v>
      </c>
      <c r="M114" t="s">
        <v>1799</v>
      </c>
      <c r="N114" t="s">
        <v>1799</v>
      </c>
      <c r="O114" s="184" t="str">
        <f>"["&amp;$C114&amp;"]["&amp;$D114&amp;"]["&amp;$F114&amp;"]"</f>
        <v>[S03_InstallationsExcludedArt27Detail][1][InstallationsExceededThreshold]</v>
      </c>
    </row>
    <row r="115" spans="1:15" x14ac:dyDescent="0.3">
      <c r="A115" t="s">
        <v>1793</v>
      </c>
      <c r="B115" t="s">
        <v>1884</v>
      </c>
      <c r="C115" t="s">
        <v>1886</v>
      </c>
      <c r="D115">
        <v>2</v>
      </c>
      <c r="E115" t="s">
        <v>1447</v>
      </c>
      <c r="F115" t="s">
        <v>1890</v>
      </c>
      <c r="G115" t="s">
        <v>1811</v>
      </c>
      <c r="H115" t="s">
        <v>1799</v>
      </c>
      <c r="I115">
        <v>0</v>
      </c>
      <c r="J115" t="s">
        <v>1799</v>
      </c>
      <c r="K115" t="s">
        <v>1799</v>
      </c>
      <c r="L115" t="s">
        <v>1799</v>
      </c>
      <c r="M115" t="s">
        <v>1799</v>
      </c>
      <c r="N115" t="s">
        <v>1799</v>
      </c>
      <c r="O115" s="184" t="str">
        <f>"["&amp;$C115&amp;"]["&amp;$D115&amp;"]["&amp;$F115&amp;"]"</f>
        <v>[S03_InstallationsExcludedArt27Detail][2][InstallationsExceededThreshold]</v>
      </c>
    </row>
    <row r="116" spans="1:15" x14ac:dyDescent="0.3">
      <c r="A116" t="s">
        <v>1793</v>
      </c>
      <c r="B116" t="s">
        <v>1884</v>
      </c>
      <c r="C116" t="s">
        <v>1886</v>
      </c>
      <c r="D116">
        <v>3</v>
      </c>
      <c r="E116" t="s">
        <v>1447</v>
      </c>
      <c r="F116" t="s">
        <v>1890</v>
      </c>
      <c r="G116" t="s">
        <v>1811</v>
      </c>
      <c r="H116" t="s">
        <v>1799</v>
      </c>
      <c r="I116">
        <v>0</v>
      </c>
      <c r="J116" t="s">
        <v>1799</v>
      </c>
      <c r="K116" t="s">
        <v>1799</v>
      </c>
      <c r="L116" t="s">
        <v>1799</v>
      </c>
      <c r="M116" t="s">
        <v>1799</v>
      </c>
      <c r="N116" t="s">
        <v>1799</v>
      </c>
      <c r="O116" s="184" t="str">
        <f>"["&amp;$C116&amp;"]["&amp;$D116&amp;"]["&amp;$F116&amp;"]"</f>
        <v>[S03_InstallationsExcludedArt27Detail][3][InstallationsExceededThreshold]</v>
      </c>
    </row>
    <row r="117" spans="1:15" x14ac:dyDescent="0.3">
      <c r="A117" t="s">
        <v>1793</v>
      </c>
      <c r="B117" t="s">
        <v>1884</v>
      </c>
      <c r="C117" t="s">
        <v>1891</v>
      </c>
      <c r="D117">
        <v>0</v>
      </c>
      <c r="E117" t="s">
        <v>1447</v>
      </c>
      <c r="F117" t="s">
        <v>1892</v>
      </c>
      <c r="G117" t="s">
        <v>1811</v>
      </c>
      <c r="H117" t="s">
        <v>1799</v>
      </c>
      <c r="I117">
        <v>0</v>
      </c>
      <c r="J117" t="s">
        <v>1799</v>
      </c>
      <c r="K117" t="s">
        <v>1799</v>
      </c>
      <c r="L117" t="s">
        <v>1799</v>
      </c>
      <c r="M117" t="s">
        <v>1799</v>
      </c>
      <c r="N117" t="s">
        <v>1799</v>
      </c>
      <c r="O117" s="184" t="str">
        <f>"["&amp;$C117&amp;"]["&amp;$D117&amp;"]["&amp;$F117&amp;"]"</f>
        <v>[S03_InstallationsExcludedClosed][0][ClosedArt27]</v>
      </c>
    </row>
    <row r="118" spans="1:15" x14ac:dyDescent="0.3">
      <c r="A118" t="s">
        <v>1793</v>
      </c>
      <c r="B118" t="s">
        <v>1884</v>
      </c>
      <c r="C118" t="s">
        <v>1891</v>
      </c>
      <c r="D118">
        <v>0</v>
      </c>
      <c r="E118" t="s">
        <v>1447</v>
      </c>
      <c r="F118" t="s">
        <v>1893</v>
      </c>
      <c r="G118" t="s">
        <v>1811</v>
      </c>
      <c r="H118" t="s">
        <v>1799</v>
      </c>
      <c r="I118">
        <v>0</v>
      </c>
      <c r="J118" t="s">
        <v>1799</v>
      </c>
      <c r="K118" t="s">
        <v>1799</v>
      </c>
      <c r="L118" t="s">
        <v>1799</v>
      </c>
      <c r="M118" t="s">
        <v>1799</v>
      </c>
      <c r="N118" t="s">
        <v>1799</v>
      </c>
      <c r="O118" s="184" t="str">
        <f>"["&amp;$C118&amp;"]["&amp;$D118&amp;"]["&amp;$F118&amp;"]"</f>
        <v>[S03_InstallationsExcludedClosed][0][ClosedArt27a]</v>
      </c>
    </row>
    <row r="119" spans="1:15" x14ac:dyDescent="0.3">
      <c r="A119" t="s">
        <v>1793</v>
      </c>
      <c r="B119" t="s">
        <v>1894</v>
      </c>
      <c r="C119" t="s">
        <v>1895</v>
      </c>
      <c r="D119">
        <v>1</v>
      </c>
      <c r="E119" t="s">
        <v>1447</v>
      </c>
      <c r="F119" t="s">
        <v>1896</v>
      </c>
      <c r="G119" t="s">
        <v>1811</v>
      </c>
      <c r="H119" t="s">
        <v>1799</v>
      </c>
      <c r="I119">
        <v>2</v>
      </c>
      <c r="J119" t="s">
        <v>1799</v>
      </c>
      <c r="K119" t="s">
        <v>1799</v>
      </c>
      <c r="L119" t="s">
        <v>1799</v>
      </c>
      <c r="M119" t="s">
        <v>1799</v>
      </c>
      <c r="N119" t="s">
        <v>1799</v>
      </c>
      <c r="O119" s="184" t="str">
        <f>"["&amp;$C119&amp;"]["&amp;$D119&amp;"]["&amp;$F119&amp;"]"</f>
        <v>[S03_AircraftAnnex1Activities][1][NumberCommercialOperators]</v>
      </c>
    </row>
    <row r="120" spans="1:15" x14ac:dyDescent="0.3">
      <c r="A120" t="s">
        <v>1793</v>
      </c>
      <c r="B120" t="s">
        <v>1894</v>
      </c>
      <c r="C120" t="s">
        <v>1895</v>
      </c>
      <c r="D120">
        <v>2</v>
      </c>
      <c r="E120" t="s">
        <v>1447</v>
      </c>
      <c r="F120" t="s">
        <v>1896</v>
      </c>
      <c r="G120" t="s">
        <v>1811</v>
      </c>
      <c r="H120" t="s">
        <v>1799</v>
      </c>
      <c r="I120">
        <v>1</v>
      </c>
      <c r="J120" t="s">
        <v>1799</v>
      </c>
      <c r="K120" t="s">
        <v>1799</v>
      </c>
      <c r="L120" t="s">
        <v>1799</v>
      </c>
      <c r="M120" t="s">
        <v>1799</v>
      </c>
      <c r="N120" t="s">
        <v>1799</v>
      </c>
      <c r="O120" s="184" t="str">
        <f>"["&amp;$C120&amp;"]["&amp;$D120&amp;"]["&amp;$F120&amp;"]"</f>
        <v>[S03_AircraftAnnex1Activities][2][NumberCommercialOperators]</v>
      </c>
    </row>
    <row r="121" spans="1:15" x14ac:dyDescent="0.3">
      <c r="A121" t="s">
        <v>1793</v>
      </c>
      <c r="B121" t="s">
        <v>1894</v>
      </c>
      <c r="C121" t="s">
        <v>1895</v>
      </c>
      <c r="D121">
        <v>3</v>
      </c>
      <c r="E121" t="s">
        <v>1447</v>
      </c>
      <c r="F121" t="s">
        <v>1896</v>
      </c>
      <c r="G121" t="s">
        <v>1811</v>
      </c>
      <c r="H121" t="s">
        <v>1799</v>
      </c>
      <c r="I121">
        <v>3</v>
      </c>
      <c r="J121" t="s">
        <v>1799</v>
      </c>
      <c r="K121" t="s">
        <v>1799</v>
      </c>
      <c r="L121" t="s">
        <v>1799</v>
      </c>
      <c r="M121" t="s">
        <v>1799</v>
      </c>
      <c r="N121" t="s">
        <v>1799</v>
      </c>
      <c r="O121" s="184" t="str">
        <f>"["&amp;$C121&amp;"]["&amp;$D121&amp;"]["&amp;$F121&amp;"]"</f>
        <v>[S03_AircraftAnnex1Activities][3][NumberCommercialOperators]</v>
      </c>
    </row>
    <row r="122" spans="1:15" x14ac:dyDescent="0.3">
      <c r="A122" t="s">
        <v>1793</v>
      </c>
      <c r="B122" t="s">
        <v>1894</v>
      </c>
      <c r="C122" t="s">
        <v>1895</v>
      </c>
      <c r="D122">
        <v>1</v>
      </c>
      <c r="E122" t="s">
        <v>1447</v>
      </c>
      <c r="F122" t="s">
        <v>1897</v>
      </c>
      <c r="G122" t="s">
        <v>1811</v>
      </c>
      <c r="H122" t="s">
        <v>1799</v>
      </c>
      <c r="I122">
        <v>0</v>
      </c>
      <c r="J122" t="s">
        <v>1799</v>
      </c>
      <c r="K122" t="s">
        <v>1799</v>
      </c>
      <c r="L122" t="s">
        <v>1799</v>
      </c>
      <c r="M122" t="s">
        <v>1799</v>
      </c>
      <c r="N122" t="s">
        <v>1799</v>
      </c>
      <c r="O122" s="184" t="str">
        <f>"["&amp;$C122&amp;"]["&amp;$D122&amp;"]["&amp;$F122&amp;"]"</f>
        <v>[S03_AircraftAnnex1Activities][1][NumberNonCommercialOperators]</v>
      </c>
    </row>
    <row r="123" spans="1:15" x14ac:dyDescent="0.3">
      <c r="A123" t="s">
        <v>1793</v>
      </c>
      <c r="B123" t="s">
        <v>1894</v>
      </c>
      <c r="C123" t="s">
        <v>1895</v>
      </c>
      <c r="D123">
        <v>2</v>
      </c>
      <c r="E123" t="s">
        <v>1447</v>
      </c>
      <c r="F123" t="s">
        <v>1897</v>
      </c>
      <c r="G123" t="s">
        <v>1811</v>
      </c>
      <c r="H123" t="s">
        <v>1799</v>
      </c>
      <c r="I123">
        <v>0</v>
      </c>
      <c r="J123" t="s">
        <v>1799</v>
      </c>
      <c r="K123" t="s">
        <v>1799</v>
      </c>
      <c r="L123" t="s">
        <v>1799</v>
      </c>
      <c r="M123" t="s">
        <v>1799</v>
      </c>
      <c r="N123" t="s">
        <v>1799</v>
      </c>
      <c r="O123" s="184" t="str">
        <f>"["&amp;$C123&amp;"]["&amp;$D123&amp;"]["&amp;$F123&amp;"]"</f>
        <v>[S03_AircraftAnnex1Activities][2][NumberNonCommercialOperators]</v>
      </c>
    </row>
    <row r="124" spans="1:15" x14ac:dyDescent="0.3">
      <c r="A124" t="s">
        <v>1793</v>
      </c>
      <c r="B124" t="s">
        <v>1894</v>
      </c>
      <c r="C124" t="s">
        <v>1895</v>
      </c>
      <c r="D124">
        <v>3</v>
      </c>
      <c r="E124" t="s">
        <v>1447</v>
      </c>
      <c r="F124" t="s">
        <v>1897</v>
      </c>
      <c r="G124" t="s">
        <v>1811</v>
      </c>
      <c r="H124" t="s">
        <v>1799</v>
      </c>
      <c r="I124">
        <v>0</v>
      </c>
      <c r="J124" t="s">
        <v>1799</v>
      </c>
      <c r="K124" t="s">
        <v>1799</v>
      </c>
      <c r="L124" t="s">
        <v>1799</v>
      </c>
      <c r="M124" t="s">
        <v>1799</v>
      </c>
      <c r="N124" t="s">
        <v>1799</v>
      </c>
      <c r="O124" s="184" t="str">
        <f>"["&amp;$C124&amp;"]["&amp;$D124&amp;"]["&amp;$F124&amp;"]"</f>
        <v>[S03_AircraftAnnex1Activities][3][NumberNonCommercialOperators]</v>
      </c>
    </row>
    <row r="125" spans="1:15" x14ac:dyDescent="0.3">
      <c r="A125" t="s">
        <v>1793</v>
      </c>
      <c r="B125" t="s">
        <v>1894</v>
      </c>
      <c r="C125" t="s">
        <v>1895</v>
      </c>
      <c r="D125">
        <v>1</v>
      </c>
      <c r="E125" t="s">
        <v>1447</v>
      </c>
      <c r="F125" t="s">
        <v>1898</v>
      </c>
      <c r="G125" t="s">
        <v>1811</v>
      </c>
      <c r="H125" t="s">
        <v>1799</v>
      </c>
      <c r="I125">
        <v>2</v>
      </c>
      <c r="J125" t="s">
        <v>1799</v>
      </c>
      <c r="K125" t="s">
        <v>1799</v>
      </c>
      <c r="L125" t="s">
        <v>1799</v>
      </c>
      <c r="M125" t="s">
        <v>1799</v>
      </c>
      <c r="N125" t="s">
        <v>1799</v>
      </c>
      <c r="O125" s="184" t="str">
        <f>"["&amp;$C125&amp;"]["&amp;$D125&amp;"]["&amp;$F125&amp;"]"</f>
        <v>[S03_AircraftAnnex1Activities][1][NumberTotalOperators]</v>
      </c>
    </row>
    <row r="126" spans="1:15" x14ac:dyDescent="0.3">
      <c r="A126" t="s">
        <v>1793</v>
      </c>
      <c r="B126" t="s">
        <v>1894</v>
      </c>
      <c r="C126" t="s">
        <v>1895</v>
      </c>
      <c r="D126">
        <v>2</v>
      </c>
      <c r="E126" t="s">
        <v>1447</v>
      </c>
      <c r="F126" t="s">
        <v>1898</v>
      </c>
      <c r="G126" t="s">
        <v>1811</v>
      </c>
      <c r="H126" t="s">
        <v>1799</v>
      </c>
      <c r="I126">
        <v>1</v>
      </c>
      <c r="J126" t="s">
        <v>1799</v>
      </c>
      <c r="K126" t="s">
        <v>1799</v>
      </c>
      <c r="L126" t="s">
        <v>1799</v>
      </c>
      <c r="M126" t="s">
        <v>1799</v>
      </c>
      <c r="N126" t="s">
        <v>1799</v>
      </c>
      <c r="O126" s="184" t="str">
        <f>"["&amp;$C126&amp;"]["&amp;$D126&amp;"]["&amp;$F126&amp;"]"</f>
        <v>[S03_AircraftAnnex1Activities][2][NumberTotalOperators]</v>
      </c>
    </row>
    <row r="127" spans="1:15" x14ac:dyDescent="0.3">
      <c r="A127" t="s">
        <v>1793</v>
      </c>
      <c r="B127" t="s">
        <v>1894</v>
      </c>
      <c r="C127" t="s">
        <v>1895</v>
      </c>
      <c r="D127">
        <v>3</v>
      </c>
      <c r="E127" t="s">
        <v>1447</v>
      </c>
      <c r="F127" t="s">
        <v>1898</v>
      </c>
      <c r="G127" t="s">
        <v>1811</v>
      </c>
      <c r="H127" t="s">
        <v>1799</v>
      </c>
      <c r="I127">
        <v>3</v>
      </c>
      <c r="J127" t="s">
        <v>1799</v>
      </c>
      <c r="K127" t="s">
        <v>1799</v>
      </c>
      <c r="L127" t="s">
        <v>1799</v>
      </c>
      <c r="M127" t="s">
        <v>1799</v>
      </c>
      <c r="N127" t="s">
        <v>1799</v>
      </c>
      <c r="O127" s="184" t="str">
        <f>"["&amp;$C127&amp;"]["&amp;$D127&amp;"]["&amp;$F127&amp;"]"</f>
        <v>[S03_AircraftAnnex1Activities][3][NumberTotalOperators]</v>
      </c>
    </row>
    <row r="128" spans="1:15" x14ac:dyDescent="0.3">
      <c r="A128" t="s">
        <v>1793</v>
      </c>
      <c r="B128" t="s">
        <v>1899</v>
      </c>
      <c r="C128" t="s">
        <v>1900</v>
      </c>
      <c r="D128">
        <v>1</v>
      </c>
      <c r="E128" t="s">
        <v>1447</v>
      </c>
      <c r="F128" t="s">
        <v>1901</v>
      </c>
      <c r="G128" t="s">
        <v>1737</v>
      </c>
      <c r="H128" t="s">
        <v>1799</v>
      </c>
      <c r="I128" t="s">
        <v>1799</v>
      </c>
      <c r="J128" t="s">
        <v>1799</v>
      </c>
      <c r="K128" t="s">
        <v>1799</v>
      </c>
      <c r="L128" t="s">
        <v>1447</v>
      </c>
      <c r="M128" t="s">
        <v>1799</v>
      </c>
      <c r="N128" t="s">
        <v>1799</v>
      </c>
      <c r="O128" s="184" t="str">
        <f>"["&amp;$C128&amp;"]["&amp;$D128&amp;"]["&amp;$F128&amp;"]"</f>
        <v>[S04_IEDProcedureRequirementsIntegratedYes][1][IntegrationYesNo]</v>
      </c>
    </row>
    <row r="129" spans="1:15" x14ac:dyDescent="0.3">
      <c r="A129" t="s">
        <v>1793</v>
      </c>
      <c r="B129" t="s">
        <v>1899</v>
      </c>
      <c r="C129" t="s">
        <v>1900</v>
      </c>
      <c r="D129">
        <v>2</v>
      </c>
      <c r="E129" t="s">
        <v>1447</v>
      </c>
      <c r="F129" t="s">
        <v>1901</v>
      </c>
      <c r="G129" t="s">
        <v>1737</v>
      </c>
      <c r="H129" t="s">
        <v>1799</v>
      </c>
      <c r="I129" t="s">
        <v>1799</v>
      </c>
      <c r="J129" t="s">
        <v>1799</v>
      </c>
      <c r="K129" t="s">
        <v>1799</v>
      </c>
      <c r="L129" t="s">
        <v>1447</v>
      </c>
      <c r="M129" t="s">
        <v>1799</v>
      </c>
      <c r="N129" t="s">
        <v>1799</v>
      </c>
      <c r="O129" s="184" t="str">
        <f>"["&amp;$C129&amp;"]["&amp;$D129&amp;"]["&amp;$F129&amp;"]"</f>
        <v>[S04_IEDProcedureRequirementsIntegratedYes][2][IntegrationYesNo]</v>
      </c>
    </row>
    <row r="130" spans="1:15" x14ac:dyDescent="0.3">
      <c r="A130" t="s">
        <v>1793</v>
      </c>
      <c r="B130" t="s">
        <v>1899</v>
      </c>
      <c r="C130" t="s">
        <v>1900</v>
      </c>
      <c r="D130">
        <v>3</v>
      </c>
      <c r="E130" t="s">
        <v>1447</v>
      </c>
      <c r="F130" t="s">
        <v>1901</v>
      </c>
      <c r="G130" t="s">
        <v>1737</v>
      </c>
      <c r="H130" t="s">
        <v>1799</v>
      </c>
      <c r="I130" t="s">
        <v>1799</v>
      </c>
      <c r="J130" t="s">
        <v>1799</v>
      </c>
      <c r="K130" t="s">
        <v>1799</v>
      </c>
      <c r="L130" t="s">
        <v>1477</v>
      </c>
      <c r="M130" t="s">
        <v>1799</v>
      </c>
      <c r="N130" t="s">
        <v>1799</v>
      </c>
      <c r="O130" s="184" t="str">
        <f>"["&amp;$C130&amp;"]["&amp;$D130&amp;"]["&amp;$F130&amp;"]"</f>
        <v>[S04_IEDProcedureRequirementsIntegratedYes][3][IntegrationYesNo]</v>
      </c>
    </row>
    <row r="131" spans="1:15" x14ac:dyDescent="0.3">
      <c r="A131" t="s">
        <v>1793</v>
      </c>
      <c r="B131" t="s">
        <v>1899</v>
      </c>
      <c r="C131" t="s">
        <v>1900</v>
      </c>
      <c r="D131">
        <v>4</v>
      </c>
      <c r="E131" t="s">
        <v>1447</v>
      </c>
      <c r="F131" t="s">
        <v>1901</v>
      </c>
      <c r="G131" t="s">
        <v>1737</v>
      </c>
      <c r="H131" t="s">
        <v>1799</v>
      </c>
      <c r="I131" t="s">
        <v>1799</v>
      </c>
      <c r="J131" t="s">
        <v>1799</v>
      </c>
      <c r="K131" t="s">
        <v>1799</v>
      </c>
      <c r="L131" t="s">
        <v>1447</v>
      </c>
      <c r="M131" t="s">
        <v>1799</v>
      </c>
      <c r="N131" t="s">
        <v>1799</v>
      </c>
      <c r="O131" s="184" t="str">
        <f>"["&amp;$C131&amp;"]["&amp;$D131&amp;"]["&amp;$F131&amp;"]"</f>
        <v>[S04_IEDProcedureRequirementsIntegratedYes][4][IntegrationYesNo]</v>
      </c>
    </row>
    <row r="132" spans="1:15" x14ac:dyDescent="0.3">
      <c r="A132" t="s">
        <v>1793</v>
      </c>
      <c r="B132" t="s">
        <v>1899</v>
      </c>
      <c r="C132" t="s">
        <v>1900</v>
      </c>
      <c r="D132">
        <v>5</v>
      </c>
      <c r="E132" t="s">
        <v>1447</v>
      </c>
      <c r="F132" t="s">
        <v>1901</v>
      </c>
      <c r="G132" t="s">
        <v>1737</v>
      </c>
      <c r="H132" t="s">
        <v>1799</v>
      </c>
      <c r="I132" t="s">
        <v>1799</v>
      </c>
      <c r="J132" t="s">
        <v>1799</v>
      </c>
      <c r="K132" t="s">
        <v>1799</v>
      </c>
      <c r="L132" t="s">
        <v>1447</v>
      </c>
      <c r="M132" t="s">
        <v>1799</v>
      </c>
      <c r="N132" t="s">
        <v>1799</v>
      </c>
      <c r="O132" s="184" t="str">
        <f>"["&amp;$C132&amp;"]["&amp;$D132&amp;"]["&amp;$F132&amp;"]"</f>
        <v>[S04_IEDProcedureRequirementsIntegratedYes][5][IntegrationYesNo]</v>
      </c>
    </row>
    <row r="133" spans="1:15" x14ac:dyDescent="0.3">
      <c r="A133" t="s">
        <v>1793</v>
      </c>
      <c r="B133" t="s">
        <v>1899</v>
      </c>
      <c r="C133" t="s">
        <v>1900</v>
      </c>
      <c r="D133">
        <v>6</v>
      </c>
      <c r="E133" t="s">
        <v>1447</v>
      </c>
      <c r="F133" t="s">
        <v>1901</v>
      </c>
      <c r="G133" t="s">
        <v>1737</v>
      </c>
      <c r="H133" t="s">
        <v>1799</v>
      </c>
      <c r="I133" t="s">
        <v>1799</v>
      </c>
      <c r="J133" t="s">
        <v>1799</v>
      </c>
      <c r="K133" t="s">
        <v>1799</v>
      </c>
      <c r="L133" t="s">
        <v>1447</v>
      </c>
      <c r="M133" t="s">
        <v>1799</v>
      </c>
      <c r="N133" t="s">
        <v>1799</v>
      </c>
      <c r="O133" s="184" t="str">
        <f>"["&amp;$C133&amp;"]["&amp;$D133&amp;"]["&amp;$F133&amp;"]"</f>
        <v>[S04_IEDProcedureRequirementsIntegratedYes][6][IntegrationYesNo]</v>
      </c>
    </row>
    <row r="134" spans="1:15" x14ac:dyDescent="0.3">
      <c r="A134" t="s">
        <v>1793</v>
      </c>
      <c r="B134" t="s">
        <v>1899</v>
      </c>
      <c r="C134" t="s">
        <v>1900</v>
      </c>
      <c r="D134">
        <v>7</v>
      </c>
      <c r="E134" t="s">
        <v>1447</v>
      </c>
      <c r="F134" t="s">
        <v>1901</v>
      </c>
      <c r="G134" t="s">
        <v>1737</v>
      </c>
      <c r="H134" t="s">
        <v>1799</v>
      </c>
      <c r="I134" t="s">
        <v>1799</v>
      </c>
      <c r="J134" t="s">
        <v>1799</v>
      </c>
      <c r="K134" t="s">
        <v>1799</v>
      </c>
      <c r="L134" t="s">
        <v>1447</v>
      </c>
      <c r="M134" t="s">
        <v>1799</v>
      </c>
      <c r="N134" t="s">
        <v>1799</v>
      </c>
      <c r="O134" s="184" t="str">
        <f>"["&amp;$C134&amp;"]["&amp;$D134&amp;"]["&amp;$F134&amp;"]"</f>
        <v>[S04_IEDProcedureRequirementsIntegratedYes][7][IntegrationYesNo]</v>
      </c>
    </row>
    <row r="135" spans="1:15" x14ac:dyDescent="0.3">
      <c r="A135" t="s">
        <v>1793</v>
      </c>
      <c r="B135" t="s">
        <v>1899</v>
      </c>
      <c r="C135" t="s">
        <v>1900</v>
      </c>
      <c r="D135">
        <v>8</v>
      </c>
      <c r="E135" t="s">
        <v>1447</v>
      </c>
      <c r="F135" t="s">
        <v>1901</v>
      </c>
      <c r="G135" t="s">
        <v>1737</v>
      </c>
      <c r="H135" t="s">
        <v>1799</v>
      </c>
      <c r="I135" t="s">
        <v>1799</v>
      </c>
      <c r="J135" t="s">
        <v>1799</v>
      </c>
      <c r="K135" t="s">
        <v>1799</v>
      </c>
      <c r="L135" t="s">
        <v>1447</v>
      </c>
      <c r="M135" t="s">
        <v>1799</v>
      </c>
      <c r="N135" t="s">
        <v>1799</v>
      </c>
      <c r="O135" s="184" t="str">
        <f>"["&amp;$C135&amp;"]["&amp;$D135&amp;"]["&amp;$F135&amp;"]"</f>
        <v>[S04_IEDProcedureRequirementsIntegratedYes][8][IntegrationYesNo]</v>
      </c>
    </row>
    <row r="136" spans="1:15" x14ac:dyDescent="0.3">
      <c r="A136" t="s">
        <v>1793</v>
      </c>
      <c r="B136" t="s">
        <v>1902</v>
      </c>
      <c r="C136" t="s">
        <v>1903</v>
      </c>
      <c r="D136">
        <v>1</v>
      </c>
      <c r="E136" t="s">
        <v>1447</v>
      </c>
      <c r="F136" t="s">
        <v>1904</v>
      </c>
      <c r="G136" t="s">
        <v>1797</v>
      </c>
      <c r="H136" t="s">
        <v>1905</v>
      </c>
      <c r="I136" t="s">
        <v>1799</v>
      </c>
      <c r="J136" t="s">
        <v>1799</v>
      </c>
      <c r="K136" t="s">
        <v>1799</v>
      </c>
      <c r="L136" t="s">
        <v>1799</v>
      </c>
      <c r="M136" t="s">
        <v>1799</v>
      </c>
      <c r="N136" t="s">
        <v>1799</v>
      </c>
      <c r="O136" s="184" t="str">
        <f>"["&amp;$C136&amp;"]["&amp;$D136&amp;"]["&amp;$F136&amp;"]"</f>
        <v>[S04_NationalLawPermitUpdate][1][PermitUpdateNationalLawDetail]</v>
      </c>
    </row>
    <row r="137" spans="1:15" x14ac:dyDescent="0.3">
      <c r="A137" t="s">
        <v>1793</v>
      </c>
      <c r="B137" t="s">
        <v>1902</v>
      </c>
      <c r="C137" t="s">
        <v>1903</v>
      </c>
      <c r="D137">
        <v>2</v>
      </c>
      <c r="E137" t="s">
        <v>1447</v>
      </c>
      <c r="F137" t="s">
        <v>1904</v>
      </c>
      <c r="G137" t="s">
        <v>1797</v>
      </c>
      <c r="H137" t="s">
        <v>1447</v>
      </c>
      <c r="I137" t="s">
        <v>1799</v>
      </c>
      <c r="J137" t="s">
        <v>1799</v>
      </c>
      <c r="K137" t="s">
        <v>1799</v>
      </c>
      <c r="L137" t="s">
        <v>1799</v>
      </c>
      <c r="M137" t="s">
        <v>1799</v>
      </c>
      <c r="N137" t="s">
        <v>1799</v>
      </c>
      <c r="O137" s="184" t="str">
        <f>"["&amp;$C137&amp;"]["&amp;$D137&amp;"]["&amp;$F137&amp;"]"</f>
        <v>[S04_NationalLawPermitUpdate][2][PermitUpdateNationalLawDetail]</v>
      </c>
    </row>
    <row r="138" spans="1:15" x14ac:dyDescent="0.3">
      <c r="A138" t="s">
        <v>1793</v>
      </c>
      <c r="B138" t="s">
        <v>1902</v>
      </c>
      <c r="C138" t="s">
        <v>1903</v>
      </c>
      <c r="D138">
        <v>3</v>
      </c>
      <c r="E138" t="s">
        <v>1447</v>
      </c>
      <c r="F138" t="s">
        <v>1904</v>
      </c>
      <c r="G138" t="s">
        <v>1797</v>
      </c>
      <c r="H138" t="s">
        <v>1906</v>
      </c>
      <c r="I138" t="s">
        <v>1799</v>
      </c>
      <c r="J138" t="s">
        <v>1799</v>
      </c>
      <c r="K138" t="s">
        <v>1799</v>
      </c>
      <c r="L138" t="s">
        <v>1799</v>
      </c>
      <c r="M138" t="s">
        <v>1799</v>
      </c>
      <c r="N138" t="s">
        <v>1799</v>
      </c>
      <c r="O138" s="184" t="str">
        <f>"["&amp;$C138&amp;"]["&amp;$D138&amp;"]["&amp;$F138&amp;"]"</f>
        <v>[S04_NationalLawPermitUpdate][3][PermitUpdateNationalLawDetail]</v>
      </c>
    </row>
    <row r="139" spans="1:15" x14ac:dyDescent="0.3">
      <c r="A139" t="s">
        <v>1793</v>
      </c>
      <c r="B139" t="s">
        <v>1902</v>
      </c>
      <c r="C139" t="s">
        <v>1903</v>
      </c>
      <c r="D139">
        <v>4</v>
      </c>
      <c r="E139" t="s">
        <v>1447</v>
      </c>
      <c r="F139" t="s">
        <v>1904</v>
      </c>
      <c r="G139" t="s">
        <v>1797</v>
      </c>
      <c r="H139" t="s">
        <v>1906</v>
      </c>
      <c r="I139" t="s">
        <v>1799</v>
      </c>
      <c r="J139" t="s">
        <v>1799</v>
      </c>
      <c r="K139" t="s">
        <v>1799</v>
      </c>
      <c r="L139" t="s">
        <v>1799</v>
      </c>
      <c r="M139" t="s">
        <v>1799</v>
      </c>
      <c r="N139" t="s">
        <v>1799</v>
      </c>
      <c r="O139" s="184" t="str">
        <f>"["&amp;$C139&amp;"]["&amp;$D139&amp;"]["&amp;$F139&amp;"]"</f>
        <v>[S04_NationalLawPermitUpdate][4][PermitUpdateNationalLawDetail]</v>
      </c>
    </row>
    <row r="140" spans="1:15" x14ac:dyDescent="0.3">
      <c r="A140" t="s">
        <v>1793</v>
      </c>
      <c r="B140" t="s">
        <v>1902</v>
      </c>
      <c r="C140" t="s">
        <v>1903</v>
      </c>
      <c r="D140">
        <v>5</v>
      </c>
      <c r="E140" t="s">
        <v>1447</v>
      </c>
      <c r="F140" t="s">
        <v>1904</v>
      </c>
      <c r="G140" t="s">
        <v>1797</v>
      </c>
      <c r="H140" t="s">
        <v>1906</v>
      </c>
      <c r="I140" t="s">
        <v>1799</v>
      </c>
      <c r="J140" t="s">
        <v>1799</v>
      </c>
      <c r="K140" t="s">
        <v>1799</v>
      </c>
      <c r="L140" t="s">
        <v>1799</v>
      </c>
      <c r="M140" t="s">
        <v>1799</v>
      </c>
      <c r="N140" t="s">
        <v>1799</v>
      </c>
      <c r="O140" s="184" t="str">
        <f>"["&amp;$C140&amp;"]["&amp;$D140&amp;"]["&amp;$F140&amp;"]"</f>
        <v>[S04_NationalLawPermitUpdate][5][PermitUpdateNationalLawDetail]</v>
      </c>
    </row>
    <row r="141" spans="1:15" x14ac:dyDescent="0.3">
      <c r="A141" t="s">
        <v>1793</v>
      </c>
      <c r="B141" t="s">
        <v>1902</v>
      </c>
      <c r="C141" t="s">
        <v>1903</v>
      </c>
      <c r="D141">
        <v>6</v>
      </c>
      <c r="E141" t="s">
        <v>1447</v>
      </c>
      <c r="F141" t="s">
        <v>1904</v>
      </c>
      <c r="G141" t="s">
        <v>1797</v>
      </c>
      <c r="H141" t="s">
        <v>1907</v>
      </c>
      <c r="I141" t="s">
        <v>1799</v>
      </c>
      <c r="J141" t="s">
        <v>1799</v>
      </c>
      <c r="K141" t="s">
        <v>1799</v>
      </c>
      <c r="L141" t="s">
        <v>1799</v>
      </c>
      <c r="M141" t="s">
        <v>1799</v>
      </c>
      <c r="N141" t="s">
        <v>1799</v>
      </c>
      <c r="O141" s="184" t="str">
        <f>"["&amp;$C141&amp;"]["&amp;$D141&amp;"]["&amp;$F141&amp;"]"</f>
        <v>[S04_NationalLawPermitUpdate][6][PermitUpdateNationalLawDetail]</v>
      </c>
    </row>
    <row r="142" spans="1:15" x14ac:dyDescent="0.3">
      <c r="A142" t="s">
        <v>1793</v>
      </c>
      <c r="B142" t="s">
        <v>1902</v>
      </c>
      <c r="C142" t="s">
        <v>1908</v>
      </c>
      <c r="D142">
        <v>0</v>
      </c>
      <c r="E142" t="s">
        <v>1447</v>
      </c>
      <c r="F142" t="s">
        <v>1908</v>
      </c>
      <c r="G142" t="s">
        <v>1811</v>
      </c>
      <c r="H142" t="s">
        <v>1799</v>
      </c>
      <c r="I142">
        <v>11</v>
      </c>
      <c r="J142" t="s">
        <v>1799</v>
      </c>
      <c r="K142" t="s">
        <v>1799</v>
      </c>
      <c r="L142" t="s">
        <v>1799</v>
      </c>
      <c r="M142" t="s">
        <v>1799</v>
      </c>
      <c r="N142" t="s">
        <v>1799</v>
      </c>
      <c r="O142" s="184" t="str">
        <f>"["&amp;$C142&amp;"]["&amp;$D142&amp;"]["&amp;$F142&amp;"]"</f>
        <v>[PermitUpdateTotalNumber][0][PermitUpdateTotalNumber]</v>
      </c>
    </row>
    <row r="143" spans="1:15" x14ac:dyDescent="0.3">
      <c r="A143" t="s">
        <v>1793</v>
      </c>
      <c r="B143" t="s">
        <v>1909</v>
      </c>
      <c r="C143" t="s">
        <v>1910</v>
      </c>
      <c r="D143">
        <v>0</v>
      </c>
      <c r="E143" t="s">
        <v>1447</v>
      </c>
      <c r="F143" t="s">
        <v>1910</v>
      </c>
      <c r="G143" t="s">
        <v>1836</v>
      </c>
      <c r="H143" t="s">
        <v>1799</v>
      </c>
      <c r="I143" t="s">
        <v>1799</v>
      </c>
      <c r="J143" t="s">
        <v>1799</v>
      </c>
      <c r="K143" t="s">
        <v>1799</v>
      </c>
      <c r="L143" t="s">
        <v>1447</v>
      </c>
      <c r="M143" t="s">
        <v>1799</v>
      </c>
      <c r="N143" t="s">
        <v>1799</v>
      </c>
      <c r="O143" s="184" t="str">
        <f>"["&amp;$C143&amp;"]["&amp;$D143&amp;"]["&amp;$F143&amp;"]"</f>
        <v>[AdditionalNationalLegislation][0][AdditionalNationalLegislation]</v>
      </c>
    </row>
    <row r="144" spans="1:15" x14ac:dyDescent="0.3">
      <c r="A144" t="s">
        <v>1793</v>
      </c>
      <c r="B144" t="s">
        <v>1909</v>
      </c>
      <c r="C144" t="s">
        <v>1911</v>
      </c>
      <c r="D144">
        <v>0</v>
      </c>
      <c r="E144" t="s">
        <v>1447</v>
      </c>
      <c r="F144" t="s">
        <v>1911</v>
      </c>
      <c r="G144" t="s">
        <v>1836</v>
      </c>
      <c r="H144" t="s">
        <v>1799</v>
      </c>
      <c r="I144" t="s">
        <v>1799</v>
      </c>
      <c r="J144" t="s">
        <v>1799</v>
      </c>
      <c r="K144" t="s">
        <v>1799</v>
      </c>
      <c r="L144" t="s">
        <v>1447</v>
      </c>
      <c r="M144" t="s">
        <v>1799</v>
      </c>
      <c r="N144" t="s">
        <v>1799</v>
      </c>
      <c r="O144" s="184" t="str">
        <f>"["&amp;$C144&amp;"]["&amp;$D144&amp;"]["&amp;$F144&amp;"]"</f>
        <v>[AdditionalNationalGuidance][0][AdditionalNationalGuidance]</v>
      </c>
    </row>
    <row r="145" spans="1:15" x14ac:dyDescent="0.3">
      <c r="A145" t="s">
        <v>1793</v>
      </c>
      <c r="B145" t="s">
        <v>1912</v>
      </c>
      <c r="C145" t="s">
        <v>1913</v>
      </c>
      <c r="D145">
        <v>1</v>
      </c>
      <c r="E145" t="s">
        <v>1447</v>
      </c>
      <c r="F145" t="s">
        <v>1914</v>
      </c>
      <c r="G145" t="s">
        <v>1836</v>
      </c>
      <c r="H145" t="s">
        <v>1799</v>
      </c>
      <c r="I145" t="s">
        <v>1799</v>
      </c>
      <c r="J145" t="s">
        <v>1799</v>
      </c>
      <c r="K145" t="s">
        <v>1799</v>
      </c>
      <c r="L145" t="s">
        <v>1419</v>
      </c>
      <c r="M145" t="s">
        <v>1799</v>
      </c>
      <c r="N145" t="s">
        <v>1799</v>
      </c>
      <c r="O145" s="184" t="str">
        <f>"["&amp;$C145&amp;"]["&amp;$D145&amp;"]["&amp;$F145&amp;"]"</f>
        <v>[MeasuresStreamline][1][MeasuresStreamlineYesNo]</v>
      </c>
    </row>
    <row r="146" spans="1:15" x14ac:dyDescent="0.3">
      <c r="A146" t="s">
        <v>1793</v>
      </c>
      <c r="B146" t="s">
        <v>1912</v>
      </c>
      <c r="C146" t="s">
        <v>1913</v>
      </c>
      <c r="D146">
        <v>2</v>
      </c>
      <c r="E146" t="s">
        <v>1447</v>
      </c>
      <c r="F146" t="s">
        <v>1914</v>
      </c>
      <c r="G146" t="s">
        <v>1836</v>
      </c>
      <c r="H146" t="s">
        <v>1799</v>
      </c>
      <c r="I146" t="s">
        <v>1799</v>
      </c>
      <c r="J146" t="s">
        <v>1799</v>
      </c>
      <c r="K146" t="s">
        <v>1799</v>
      </c>
      <c r="L146" t="s">
        <v>1419</v>
      </c>
      <c r="M146" t="s">
        <v>1799</v>
      </c>
      <c r="N146" t="s">
        <v>1799</v>
      </c>
      <c r="O146" s="184" t="str">
        <f>"["&amp;$C146&amp;"]["&amp;$D146&amp;"]["&amp;$F146&amp;"]"</f>
        <v>[MeasuresStreamline][2][MeasuresStreamlineYesNo]</v>
      </c>
    </row>
    <row r="147" spans="1:15" x14ac:dyDescent="0.3">
      <c r="A147" t="s">
        <v>1793</v>
      </c>
      <c r="B147" t="s">
        <v>1912</v>
      </c>
      <c r="C147" t="s">
        <v>1913</v>
      </c>
      <c r="D147">
        <v>3</v>
      </c>
      <c r="E147" t="s">
        <v>1447</v>
      </c>
      <c r="F147" t="s">
        <v>1914</v>
      </c>
      <c r="G147" t="s">
        <v>1836</v>
      </c>
      <c r="H147" t="s">
        <v>1799</v>
      </c>
      <c r="I147" t="s">
        <v>1799</v>
      </c>
      <c r="J147" t="s">
        <v>1799</v>
      </c>
      <c r="K147" t="s">
        <v>1799</v>
      </c>
      <c r="L147" t="s">
        <v>1419</v>
      </c>
      <c r="M147" t="s">
        <v>1799</v>
      </c>
      <c r="N147" t="s">
        <v>1799</v>
      </c>
      <c r="O147" s="184" t="str">
        <f>"["&amp;$C147&amp;"]["&amp;$D147&amp;"]["&amp;$F147&amp;"]"</f>
        <v>[MeasuresStreamline][3][MeasuresStreamlineYesNo]</v>
      </c>
    </row>
    <row r="148" spans="1:15" x14ac:dyDescent="0.3">
      <c r="A148" t="s">
        <v>1793</v>
      </c>
      <c r="B148" t="s">
        <v>1912</v>
      </c>
      <c r="C148" t="s">
        <v>1913</v>
      </c>
      <c r="D148">
        <v>4</v>
      </c>
      <c r="E148" t="s">
        <v>1447</v>
      </c>
      <c r="F148" t="s">
        <v>1914</v>
      </c>
      <c r="G148" t="s">
        <v>1836</v>
      </c>
      <c r="H148" t="s">
        <v>1799</v>
      </c>
      <c r="I148" t="s">
        <v>1799</v>
      </c>
      <c r="J148" t="s">
        <v>1799</v>
      </c>
      <c r="K148" t="s">
        <v>1799</v>
      </c>
      <c r="L148" t="s">
        <v>1419</v>
      </c>
      <c r="M148" t="s">
        <v>1799</v>
      </c>
      <c r="N148" t="s">
        <v>1799</v>
      </c>
      <c r="O148" s="184" t="str">
        <f>"["&amp;$C148&amp;"]["&amp;$D148&amp;"]["&amp;$F148&amp;"]"</f>
        <v>[MeasuresStreamline][4][MeasuresStreamlineYesNo]</v>
      </c>
    </row>
    <row r="149" spans="1:15" x14ac:dyDescent="0.3">
      <c r="A149" t="s">
        <v>1793</v>
      </c>
      <c r="B149" t="s">
        <v>1912</v>
      </c>
      <c r="C149" t="s">
        <v>1913</v>
      </c>
      <c r="D149">
        <v>5</v>
      </c>
      <c r="E149" t="s">
        <v>1447</v>
      </c>
      <c r="F149" t="s">
        <v>1914</v>
      </c>
      <c r="G149" t="s">
        <v>1836</v>
      </c>
      <c r="H149" t="s">
        <v>1799</v>
      </c>
      <c r="I149" t="s">
        <v>1799</v>
      </c>
      <c r="J149" t="s">
        <v>1799</v>
      </c>
      <c r="K149" t="s">
        <v>1799</v>
      </c>
      <c r="L149" t="s">
        <v>1447</v>
      </c>
      <c r="M149" t="s">
        <v>1799</v>
      </c>
      <c r="N149" t="s">
        <v>1799</v>
      </c>
      <c r="O149" s="184" t="str">
        <f>"["&amp;$C149&amp;"]["&amp;$D149&amp;"]["&amp;$F149&amp;"]"</f>
        <v>[MeasuresStreamline][5][MeasuresStreamlineYesNo]</v>
      </c>
    </row>
    <row r="150" spans="1:15" x14ac:dyDescent="0.3">
      <c r="A150" t="s">
        <v>1793</v>
      </c>
      <c r="B150" t="s">
        <v>1912</v>
      </c>
      <c r="C150" t="s">
        <v>1913</v>
      </c>
      <c r="D150">
        <v>6</v>
      </c>
      <c r="E150" t="s">
        <v>1447</v>
      </c>
      <c r="F150" t="s">
        <v>1914</v>
      </c>
      <c r="G150" t="s">
        <v>1836</v>
      </c>
      <c r="H150" t="s">
        <v>1799</v>
      </c>
      <c r="I150" t="s">
        <v>1799</v>
      </c>
      <c r="J150" t="s">
        <v>1799</v>
      </c>
      <c r="K150" t="s">
        <v>1799</v>
      </c>
      <c r="L150" t="s">
        <v>1419</v>
      </c>
      <c r="M150" t="s">
        <v>1799</v>
      </c>
      <c r="N150" t="s">
        <v>1799</v>
      </c>
      <c r="O150" s="184" t="str">
        <f>"["&amp;$C150&amp;"]["&amp;$D150&amp;"]["&amp;$F150&amp;"]"</f>
        <v>[MeasuresStreamline][6][MeasuresStreamlineYesNo]</v>
      </c>
    </row>
    <row r="151" spans="1:15" x14ac:dyDescent="0.3">
      <c r="A151" t="s">
        <v>1793</v>
      </c>
      <c r="B151" t="s">
        <v>1912</v>
      </c>
      <c r="C151" t="s">
        <v>1913</v>
      </c>
      <c r="D151">
        <v>7</v>
      </c>
      <c r="E151" t="s">
        <v>1447</v>
      </c>
      <c r="F151" t="s">
        <v>1914</v>
      </c>
      <c r="G151" t="s">
        <v>1836</v>
      </c>
      <c r="H151" t="s">
        <v>1799</v>
      </c>
      <c r="I151" t="s">
        <v>1799</v>
      </c>
      <c r="J151" t="s">
        <v>1799</v>
      </c>
      <c r="K151" t="s">
        <v>1799</v>
      </c>
      <c r="L151" t="s">
        <v>1419</v>
      </c>
      <c r="M151" t="s">
        <v>1799</v>
      </c>
      <c r="N151" t="s">
        <v>1799</v>
      </c>
      <c r="O151" s="184" t="str">
        <f>"["&amp;$C151&amp;"]["&amp;$D151&amp;"]["&amp;$F151&amp;"]"</f>
        <v>[MeasuresStreamline][7][MeasuresStreamlineYesNo]</v>
      </c>
    </row>
    <row r="152" spans="1:15" x14ac:dyDescent="0.3">
      <c r="A152" t="s">
        <v>1793</v>
      </c>
      <c r="B152" t="s">
        <v>1912</v>
      </c>
      <c r="C152" t="s">
        <v>1913</v>
      </c>
      <c r="D152">
        <v>7</v>
      </c>
      <c r="E152" t="s">
        <v>1447</v>
      </c>
      <c r="F152" t="s">
        <v>1915</v>
      </c>
      <c r="G152" t="s">
        <v>1870</v>
      </c>
      <c r="H152" t="s">
        <v>1799</v>
      </c>
      <c r="I152" t="s">
        <v>1799</v>
      </c>
      <c r="J152" t="s">
        <v>1799</v>
      </c>
      <c r="K152" t="s">
        <v>1916</v>
      </c>
      <c r="L152" t="s">
        <v>1799</v>
      </c>
      <c r="M152" t="s">
        <v>1799</v>
      </c>
      <c r="N152" t="s">
        <v>1799</v>
      </c>
      <c r="O152" s="184" t="str">
        <f>"["&amp;$C152&amp;"]["&amp;$D152&amp;"]["&amp;$F152&amp;"]"</f>
        <v>[MeasuresStreamline][7][MeasuresStreamlineComments]</v>
      </c>
    </row>
    <row r="153" spans="1:15" x14ac:dyDescent="0.3">
      <c r="A153" t="s">
        <v>1793</v>
      </c>
      <c r="B153" t="s">
        <v>1917</v>
      </c>
      <c r="C153" t="s">
        <v>1918</v>
      </c>
      <c r="D153">
        <v>0</v>
      </c>
      <c r="E153" t="s">
        <v>1447</v>
      </c>
      <c r="F153" t="s">
        <v>1918</v>
      </c>
      <c r="G153" t="s">
        <v>1836</v>
      </c>
      <c r="H153" t="s">
        <v>1799</v>
      </c>
      <c r="I153" t="s">
        <v>1799</v>
      </c>
      <c r="J153" t="s">
        <v>1799</v>
      </c>
      <c r="K153" t="s">
        <v>1799</v>
      </c>
      <c r="L153" t="s">
        <v>1419</v>
      </c>
      <c r="M153" t="s">
        <v>1799</v>
      </c>
      <c r="N153" t="s">
        <v>1799</v>
      </c>
      <c r="O153" s="184" t="str">
        <f>"["&amp;$C153&amp;"]["&amp;$D153&amp;"]["&amp;$F153&amp;"]"</f>
        <v>[CommissionTemplatesMRR][0][CommissionTemplatesMRR]</v>
      </c>
    </row>
    <row r="154" spans="1:15" x14ac:dyDescent="0.3">
      <c r="A154" t="s">
        <v>1793</v>
      </c>
      <c r="B154" t="s">
        <v>1919</v>
      </c>
      <c r="C154" t="s">
        <v>1920</v>
      </c>
      <c r="D154">
        <v>0</v>
      </c>
      <c r="E154" t="s">
        <v>1447</v>
      </c>
      <c r="F154" t="s">
        <v>1920</v>
      </c>
      <c r="G154" t="s">
        <v>1836</v>
      </c>
      <c r="H154" t="s">
        <v>1799</v>
      </c>
      <c r="I154" t="s">
        <v>1799</v>
      </c>
      <c r="J154" t="s">
        <v>1799</v>
      </c>
      <c r="K154" t="s">
        <v>1799</v>
      </c>
      <c r="L154" t="s">
        <v>1447</v>
      </c>
      <c r="M154" t="s">
        <v>1799</v>
      </c>
      <c r="N154" t="s">
        <v>1799</v>
      </c>
      <c r="O154" s="184" t="str">
        <f>"["&amp;$C154&amp;"]["&amp;$D154&amp;"]["&amp;$F154&amp;"]"</f>
        <v>[AutomatedSystemInformationExchange][0][AutomatedSystemInformationExchange]</v>
      </c>
    </row>
    <row r="155" spans="1:15" x14ac:dyDescent="0.3">
      <c r="A155" t="s">
        <v>1793</v>
      </c>
      <c r="B155" t="s">
        <v>1921</v>
      </c>
      <c r="C155" t="s">
        <v>1922</v>
      </c>
      <c r="D155">
        <v>1</v>
      </c>
      <c r="E155" t="s">
        <v>1447</v>
      </c>
      <c r="F155" t="s">
        <v>1923</v>
      </c>
      <c r="G155" t="s">
        <v>1889</v>
      </c>
      <c r="H155" t="s">
        <v>1799</v>
      </c>
      <c r="I155" t="s">
        <v>1799</v>
      </c>
      <c r="J155">
        <v>16579.144250052501</v>
      </c>
      <c r="K155" t="s">
        <v>1799</v>
      </c>
      <c r="L155" t="s">
        <v>1799</v>
      </c>
      <c r="M155" t="s">
        <v>1799</v>
      </c>
      <c r="N155" t="s">
        <v>1799</v>
      </c>
      <c r="O155" s="184" t="str">
        <f>"["&amp;$C155&amp;"]["&amp;$D155&amp;"]["&amp;$F155&amp;"]"</f>
        <v>[S05_InstallationFuelConsEmissions][1][FuelConsumption]</v>
      </c>
    </row>
    <row r="156" spans="1:15" x14ac:dyDescent="0.3">
      <c r="A156" t="s">
        <v>1793</v>
      </c>
      <c r="B156" t="s">
        <v>1921</v>
      </c>
      <c r="C156" t="s">
        <v>1922</v>
      </c>
      <c r="D156">
        <v>2</v>
      </c>
      <c r="E156" t="s">
        <v>1447</v>
      </c>
      <c r="F156" t="s">
        <v>1923</v>
      </c>
      <c r="G156" t="s">
        <v>1889</v>
      </c>
      <c r="H156" t="s">
        <v>1799</v>
      </c>
      <c r="I156" t="s">
        <v>1799</v>
      </c>
      <c r="J156">
        <v>4.7868238999999999</v>
      </c>
      <c r="K156" t="s">
        <v>1799</v>
      </c>
      <c r="L156" t="s">
        <v>1799</v>
      </c>
      <c r="M156" t="s">
        <v>1799</v>
      </c>
      <c r="N156" t="s">
        <v>1799</v>
      </c>
      <c r="O156" s="184" t="str">
        <f>"["&amp;$C156&amp;"]["&amp;$D156&amp;"]["&amp;$F156&amp;"]"</f>
        <v>[S05_InstallationFuelConsEmissions][2][FuelConsumption]</v>
      </c>
    </row>
    <row r="157" spans="1:15" x14ac:dyDescent="0.3">
      <c r="A157" t="s">
        <v>1793</v>
      </c>
      <c r="B157" t="s">
        <v>1921</v>
      </c>
      <c r="C157" t="s">
        <v>1922</v>
      </c>
      <c r="D157">
        <v>4</v>
      </c>
      <c r="E157" t="s">
        <v>1447</v>
      </c>
      <c r="F157" t="s">
        <v>1923</v>
      </c>
      <c r="G157" t="s">
        <v>1889</v>
      </c>
      <c r="H157" t="s">
        <v>1799</v>
      </c>
      <c r="I157" t="s">
        <v>1799</v>
      </c>
      <c r="J157">
        <v>822.88793222879997</v>
      </c>
      <c r="K157" t="s">
        <v>1799</v>
      </c>
      <c r="L157" t="s">
        <v>1799</v>
      </c>
      <c r="M157" t="s">
        <v>1799</v>
      </c>
      <c r="N157" t="s">
        <v>1799</v>
      </c>
      <c r="O157" s="184" t="str">
        <f>"["&amp;$C157&amp;"]["&amp;$D157&amp;"]["&amp;$F157&amp;"]"</f>
        <v>[S05_InstallationFuelConsEmissions][4][FuelConsumption]</v>
      </c>
    </row>
    <row r="158" spans="1:15" x14ac:dyDescent="0.3">
      <c r="A158" t="s">
        <v>1793</v>
      </c>
      <c r="B158" t="s">
        <v>1921</v>
      </c>
      <c r="C158" t="s">
        <v>1922</v>
      </c>
      <c r="D158">
        <v>5</v>
      </c>
      <c r="E158" t="s">
        <v>1447</v>
      </c>
      <c r="F158" t="s">
        <v>1923</v>
      </c>
      <c r="G158" t="s">
        <v>1889</v>
      </c>
      <c r="H158" t="s">
        <v>1799</v>
      </c>
      <c r="I158" t="s">
        <v>1799</v>
      </c>
      <c r="J158">
        <v>45806.472075084501</v>
      </c>
      <c r="K158" t="s">
        <v>1799</v>
      </c>
      <c r="L158" t="s">
        <v>1799</v>
      </c>
      <c r="M158" t="s">
        <v>1799</v>
      </c>
      <c r="N158" t="s">
        <v>1799</v>
      </c>
      <c r="O158" s="184" t="str">
        <f>"["&amp;$C158&amp;"]["&amp;$D158&amp;"]["&amp;$F158&amp;"]"</f>
        <v>[S05_InstallationFuelConsEmissions][5][FuelConsumption]</v>
      </c>
    </row>
    <row r="159" spans="1:15" x14ac:dyDescent="0.3">
      <c r="A159" t="s">
        <v>1793</v>
      </c>
      <c r="B159" t="s">
        <v>1921</v>
      </c>
      <c r="C159" t="s">
        <v>1922</v>
      </c>
      <c r="D159">
        <v>8</v>
      </c>
      <c r="E159" t="s">
        <v>1447</v>
      </c>
      <c r="F159" t="s">
        <v>1923</v>
      </c>
      <c r="G159" t="s">
        <v>1889</v>
      </c>
      <c r="H159" t="s">
        <v>1799</v>
      </c>
      <c r="I159" t="s">
        <v>1799</v>
      </c>
      <c r="J159">
        <v>3899.61907406</v>
      </c>
      <c r="K159" t="s">
        <v>1799</v>
      </c>
      <c r="L159" t="s">
        <v>1799</v>
      </c>
      <c r="M159" t="s">
        <v>1799</v>
      </c>
      <c r="N159" t="s">
        <v>1799</v>
      </c>
      <c r="O159" s="184" t="str">
        <f>"["&amp;$C159&amp;"]["&amp;$D159&amp;"]["&amp;$F159&amp;"]"</f>
        <v>[S05_InstallationFuelConsEmissions][8][FuelConsumption]</v>
      </c>
    </row>
    <row r="160" spans="1:15" x14ac:dyDescent="0.3">
      <c r="A160" t="s">
        <v>1793</v>
      </c>
      <c r="B160" t="s">
        <v>1921</v>
      </c>
      <c r="C160" t="s">
        <v>1922</v>
      </c>
      <c r="D160">
        <v>9</v>
      </c>
      <c r="E160" t="s">
        <v>1447</v>
      </c>
      <c r="F160" t="s">
        <v>1923</v>
      </c>
      <c r="G160" t="s">
        <v>1889</v>
      </c>
      <c r="H160" t="s">
        <v>1799</v>
      </c>
      <c r="I160" t="s">
        <v>1799</v>
      </c>
      <c r="J160">
        <v>301.87974610999999</v>
      </c>
      <c r="K160" t="s">
        <v>1799</v>
      </c>
      <c r="L160" t="s">
        <v>1799</v>
      </c>
      <c r="M160" t="s">
        <v>1799</v>
      </c>
      <c r="N160" t="s">
        <v>1799</v>
      </c>
      <c r="O160" s="184" t="str">
        <f>"["&amp;$C160&amp;"]["&amp;$D160&amp;"]["&amp;$F160&amp;"]"</f>
        <v>[S05_InstallationFuelConsEmissions][9][FuelConsumption]</v>
      </c>
    </row>
    <row r="161" spans="1:15" x14ac:dyDescent="0.3">
      <c r="A161" t="s">
        <v>1793</v>
      </c>
      <c r="B161" t="s">
        <v>1921</v>
      </c>
      <c r="C161" t="s">
        <v>1922</v>
      </c>
      <c r="D161">
        <v>10</v>
      </c>
      <c r="E161" t="s">
        <v>1447</v>
      </c>
      <c r="F161" t="s">
        <v>1923</v>
      </c>
      <c r="G161" t="s">
        <v>1889</v>
      </c>
      <c r="H161" t="s">
        <v>1799</v>
      </c>
      <c r="I161" t="s">
        <v>1799</v>
      </c>
      <c r="J161">
        <v>9.0497700000000004E-3</v>
      </c>
      <c r="K161" t="s">
        <v>1799</v>
      </c>
      <c r="L161" t="s">
        <v>1799</v>
      </c>
      <c r="M161" t="s">
        <v>1799</v>
      </c>
      <c r="N161" t="s">
        <v>1799</v>
      </c>
      <c r="O161" s="184" t="str">
        <f>"["&amp;$C161&amp;"]["&amp;$D161&amp;"]["&amp;$F161&amp;"]"</f>
        <v>[S05_InstallationFuelConsEmissions][10][FuelConsumption]</v>
      </c>
    </row>
    <row r="162" spans="1:15" x14ac:dyDescent="0.3">
      <c r="A162" t="s">
        <v>1793</v>
      </c>
      <c r="B162" t="s">
        <v>1924</v>
      </c>
      <c r="C162" t="s">
        <v>1922</v>
      </c>
      <c r="D162">
        <v>11</v>
      </c>
      <c r="E162" t="s">
        <v>1447</v>
      </c>
      <c r="F162" t="s">
        <v>1923</v>
      </c>
      <c r="G162" t="s">
        <v>1889</v>
      </c>
      <c r="H162" t="s">
        <v>1799</v>
      </c>
      <c r="I162" t="s">
        <v>1799</v>
      </c>
      <c r="J162">
        <v>3064.431373166</v>
      </c>
      <c r="K162" t="s">
        <v>1799</v>
      </c>
      <c r="L162" t="s">
        <v>1799</v>
      </c>
      <c r="M162" t="s">
        <v>1799</v>
      </c>
      <c r="N162" t="s">
        <v>1799</v>
      </c>
      <c r="O162" s="184" t="str">
        <f>"["&amp;$C162&amp;"]["&amp;$D162&amp;"]["&amp;$F162&amp;"]"</f>
        <v>[S05_InstallationFuelConsEmissions][11][FuelConsumption]</v>
      </c>
    </row>
    <row r="163" spans="1:15" x14ac:dyDescent="0.3">
      <c r="A163" t="s">
        <v>1793</v>
      </c>
      <c r="B163" t="s">
        <v>1925</v>
      </c>
      <c r="C163" t="s">
        <v>1922</v>
      </c>
      <c r="D163">
        <v>12</v>
      </c>
      <c r="E163" t="s">
        <v>1447</v>
      </c>
      <c r="F163" t="s">
        <v>1923</v>
      </c>
      <c r="G163" t="s">
        <v>1889</v>
      </c>
      <c r="H163" t="s">
        <v>1799</v>
      </c>
      <c r="I163" t="s">
        <v>1799</v>
      </c>
      <c r="J163">
        <v>1786.2860000000001</v>
      </c>
      <c r="K163" t="s">
        <v>1799</v>
      </c>
      <c r="L163" t="s">
        <v>1799</v>
      </c>
      <c r="M163" t="s">
        <v>1799</v>
      </c>
      <c r="N163" t="s">
        <v>1799</v>
      </c>
      <c r="O163" s="184" t="str">
        <f>"["&amp;$C163&amp;"]["&amp;$D163&amp;"]["&amp;$F163&amp;"]"</f>
        <v>[S05_InstallationFuelConsEmissions][12][FuelConsumption]</v>
      </c>
    </row>
    <row r="164" spans="1:15" x14ac:dyDescent="0.3">
      <c r="A164" t="s">
        <v>1793</v>
      </c>
      <c r="B164" t="s">
        <v>1921</v>
      </c>
      <c r="C164" t="s">
        <v>1922</v>
      </c>
      <c r="D164">
        <v>1</v>
      </c>
      <c r="E164" t="s">
        <v>1447</v>
      </c>
      <c r="F164" t="s">
        <v>1926</v>
      </c>
      <c r="G164" t="s">
        <v>1889</v>
      </c>
      <c r="H164" t="s">
        <v>1799</v>
      </c>
      <c r="I164" t="s">
        <v>1799</v>
      </c>
      <c r="J164">
        <v>1546135.82114902</v>
      </c>
      <c r="K164" t="s">
        <v>1799</v>
      </c>
      <c r="L164" t="s">
        <v>1799</v>
      </c>
      <c r="M164" t="s">
        <v>1799</v>
      </c>
      <c r="N164" t="s">
        <v>1799</v>
      </c>
      <c r="O164" s="184" t="str">
        <f>"["&amp;$C164&amp;"]["&amp;$D164&amp;"]["&amp;$F164&amp;"]"</f>
        <v>[S05_InstallationFuelConsEmissions][1][FuelAnnualEmissions]</v>
      </c>
    </row>
    <row r="165" spans="1:15" x14ac:dyDescent="0.3">
      <c r="A165" t="s">
        <v>1793</v>
      </c>
      <c r="B165" t="s">
        <v>1921</v>
      </c>
      <c r="C165" t="s">
        <v>1922</v>
      </c>
      <c r="D165">
        <v>2</v>
      </c>
      <c r="E165" t="s">
        <v>1447</v>
      </c>
      <c r="F165" t="s">
        <v>1926</v>
      </c>
      <c r="G165" t="s">
        <v>1889</v>
      </c>
      <c r="H165" t="s">
        <v>1799</v>
      </c>
      <c r="I165" t="s">
        <v>1799</v>
      </c>
      <c r="J165">
        <v>460.01377679000001</v>
      </c>
      <c r="K165" t="s">
        <v>1799</v>
      </c>
      <c r="L165" t="s">
        <v>1799</v>
      </c>
      <c r="M165" t="s">
        <v>1799</v>
      </c>
      <c r="N165" t="s">
        <v>1799</v>
      </c>
      <c r="O165" s="184" t="str">
        <f>"["&amp;$C165&amp;"]["&amp;$D165&amp;"]["&amp;$F165&amp;"]"</f>
        <v>[S05_InstallationFuelConsEmissions][2][FuelAnnualEmissions]</v>
      </c>
    </row>
    <row r="166" spans="1:15" x14ac:dyDescent="0.3">
      <c r="A166" t="s">
        <v>1793</v>
      </c>
      <c r="B166" t="s">
        <v>1921</v>
      </c>
      <c r="C166" t="s">
        <v>1922</v>
      </c>
      <c r="D166">
        <v>4</v>
      </c>
      <c r="E166" t="s">
        <v>1447</v>
      </c>
      <c r="F166" t="s">
        <v>1926</v>
      </c>
      <c r="G166" t="s">
        <v>1889</v>
      </c>
      <c r="H166" t="s">
        <v>1799</v>
      </c>
      <c r="I166" t="s">
        <v>1799</v>
      </c>
      <c r="J166">
        <v>89065.188861658695</v>
      </c>
      <c r="K166" t="s">
        <v>1799</v>
      </c>
      <c r="L166" t="s">
        <v>1799</v>
      </c>
      <c r="M166" t="s">
        <v>1799</v>
      </c>
      <c r="N166" t="s">
        <v>1799</v>
      </c>
      <c r="O166" s="184" t="str">
        <f>"["&amp;$C166&amp;"]["&amp;$D166&amp;"]["&amp;$F166&amp;"]"</f>
        <v>[S05_InstallationFuelConsEmissions][4][FuelAnnualEmissions]</v>
      </c>
    </row>
    <row r="167" spans="1:15" x14ac:dyDescent="0.3">
      <c r="A167" t="s">
        <v>1793</v>
      </c>
      <c r="B167" t="s">
        <v>1921</v>
      </c>
      <c r="C167" t="s">
        <v>1922</v>
      </c>
      <c r="D167">
        <v>5</v>
      </c>
      <c r="E167" t="s">
        <v>1447</v>
      </c>
      <c r="F167" t="s">
        <v>1926</v>
      </c>
      <c r="G167" t="s">
        <v>1889</v>
      </c>
      <c r="H167" t="s">
        <v>1799</v>
      </c>
      <c r="I167" t="s">
        <v>1799</v>
      </c>
      <c r="J167">
        <v>2536768.9891482699</v>
      </c>
      <c r="K167" t="s">
        <v>1799</v>
      </c>
      <c r="L167" t="s">
        <v>1799</v>
      </c>
      <c r="M167" t="s">
        <v>1799</v>
      </c>
      <c r="N167" t="s">
        <v>1799</v>
      </c>
      <c r="O167" s="184" t="str">
        <f>"["&amp;$C167&amp;"]["&amp;$D167&amp;"]["&amp;$F167&amp;"]"</f>
        <v>[S05_InstallationFuelConsEmissions][5][FuelAnnualEmissions]</v>
      </c>
    </row>
    <row r="168" spans="1:15" x14ac:dyDescent="0.3">
      <c r="A168" t="s">
        <v>1793</v>
      </c>
      <c r="B168" t="s">
        <v>1921</v>
      </c>
      <c r="C168" t="s">
        <v>1922</v>
      </c>
      <c r="D168">
        <v>8</v>
      </c>
      <c r="E168" t="s">
        <v>1447</v>
      </c>
      <c r="F168" t="s">
        <v>1926</v>
      </c>
      <c r="G168" t="s">
        <v>1889</v>
      </c>
      <c r="H168" t="s">
        <v>1799</v>
      </c>
      <c r="I168" t="s">
        <v>1799</v>
      </c>
      <c r="J168">
        <v>204708.523642154</v>
      </c>
      <c r="K168" t="s">
        <v>1799</v>
      </c>
      <c r="L168" t="s">
        <v>1799</v>
      </c>
      <c r="M168" t="s">
        <v>1799</v>
      </c>
      <c r="N168" t="s">
        <v>1799</v>
      </c>
      <c r="O168" s="184" t="str">
        <f>"["&amp;$C168&amp;"]["&amp;$D168&amp;"]["&amp;$F168&amp;"]"</f>
        <v>[S05_InstallationFuelConsEmissions][8][FuelAnnualEmissions]</v>
      </c>
    </row>
    <row r="169" spans="1:15" x14ac:dyDescent="0.3">
      <c r="A169" t="s">
        <v>1793</v>
      </c>
      <c r="B169" t="s">
        <v>1921</v>
      </c>
      <c r="C169" t="s">
        <v>1922</v>
      </c>
      <c r="D169">
        <v>9</v>
      </c>
      <c r="E169" t="s">
        <v>1447</v>
      </c>
      <c r="F169" t="s">
        <v>1926</v>
      </c>
      <c r="G169" t="s">
        <v>1889</v>
      </c>
      <c r="H169" t="s">
        <v>1799</v>
      </c>
      <c r="I169" t="s">
        <v>1799</v>
      </c>
      <c r="J169">
        <v>23997.358237860801</v>
      </c>
      <c r="K169" t="s">
        <v>1799</v>
      </c>
      <c r="L169" t="s">
        <v>1799</v>
      </c>
      <c r="M169" t="s">
        <v>1799</v>
      </c>
      <c r="N169" t="s">
        <v>1799</v>
      </c>
      <c r="O169" s="184" t="str">
        <f>"["&amp;$C169&amp;"]["&amp;$D169&amp;"]["&amp;$F169&amp;"]"</f>
        <v>[S05_InstallationFuelConsEmissions][9][FuelAnnualEmissions]</v>
      </c>
    </row>
    <row r="170" spans="1:15" x14ac:dyDescent="0.3">
      <c r="A170" t="s">
        <v>1793</v>
      </c>
      <c r="B170" t="s">
        <v>1921</v>
      </c>
      <c r="C170" t="s">
        <v>1922</v>
      </c>
      <c r="D170">
        <v>10</v>
      </c>
      <c r="E170" t="s">
        <v>1447</v>
      </c>
      <c r="F170" t="s">
        <v>1926</v>
      </c>
      <c r="G170" t="s">
        <v>1889</v>
      </c>
      <c r="H170" t="s">
        <v>1799</v>
      </c>
      <c r="I170" t="s">
        <v>1799</v>
      </c>
      <c r="J170">
        <v>0.57104048699999999</v>
      </c>
      <c r="K170" t="s">
        <v>1799</v>
      </c>
      <c r="L170" t="s">
        <v>1799</v>
      </c>
      <c r="M170" t="s">
        <v>1799</v>
      </c>
      <c r="N170" t="s">
        <v>1799</v>
      </c>
      <c r="O170" s="184" t="str">
        <f>"["&amp;$C170&amp;"]["&amp;$D170&amp;"]["&amp;$F170&amp;"]"</f>
        <v>[S05_InstallationFuelConsEmissions][10][FuelAnnualEmissions]</v>
      </c>
    </row>
    <row r="171" spans="1:15" x14ac:dyDescent="0.3">
      <c r="A171" t="s">
        <v>1793</v>
      </c>
      <c r="B171" t="s">
        <v>1921</v>
      </c>
      <c r="C171" t="s">
        <v>1922</v>
      </c>
      <c r="D171">
        <v>11</v>
      </c>
      <c r="E171" t="s">
        <v>1447</v>
      </c>
      <c r="F171" t="s">
        <v>1926</v>
      </c>
      <c r="G171" t="s">
        <v>1889</v>
      </c>
      <c r="H171" t="s">
        <v>1799</v>
      </c>
      <c r="I171" t="s">
        <v>1799</v>
      </c>
      <c r="J171">
        <v>285934.45949574298</v>
      </c>
      <c r="K171" t="s">
        <v>1799</v>
      </c>
      <c r="L171" t="s">
        <v>1799</v>
      </c>
      <c r="M171" t="s">
        <v>1799</v>
      </c>
      <c r="N171" t="s">
        <v>1799</v>
      </c>
      <c r="O171" s="184" t="str">
        <f>"["&amp;$C171&amp;"]["&amp;$D171&amp;"]["&amp;$F171&amp;"]"</f>
        <v>[S05_InstallationFuelConsEmissions][11][FuelAnnualEmissions]</v>
      </c>
    </row>
    <row r="172" spans="1:15" x14ac:dyDescent="0.3">
      <c r="A172" t="s">
        <v>1793</v>
      </c>
      <c r="B172" t="s">
        <v>1921</v>
      </c>
      <c r="C172" t="s">
        <v>1922</v>
      </c>
      <c r="D172">
        <v>12</v>
      </c>
      <c r="E172" t="s">
        <v>1447</v>
      </c>
      <c r="F172" t="s">
        <v>1926</v>
      </c>
      <c r="G172" t="s">
        <v>1889</v>
      </c>
      <c r="H172" t="s">
        <v>1799</v>
      </c>
      <c r="I172" t="s">
        <v>1799</v>
      </c>
      <c r="J172">
        <v>139313.69899999999</v>
      </c>
      <c r="K172" t="s">
        <v>1799</v>
      </c>
      <c r="L172" t="s">
        <v>1799</v>
      </c>
      <c r="M172" t="s">
        <v>1799</v>
      </c>
      <c r="N172" t="s">
        <v>1799</v>
      </c>
      <c r="O172" s="184" t="str">
        <f>"["&amp;$C172&amp;"]["&amp;$D172&amp;"]["&amp;$F172&amp;"]"</f>
        <v>[S05_InstallationFuelConsEmissions][12][FuelAnnualEmissions]</v>
      </c>
    </row>
    <row r="173" spans="1:15" x14ac:dyDescent="0.3">
      <c r="A173" t="s">
        <v>1793</v>
      </c>
      <c r="B173" t="s">
        <v>1924</v>
      </c>
      <c r="C173" t="s">
        <v>1927</v>
      </c>
      <c r="D173">
        <v>1</v>
      </c>
      <c r="E173" t="s">
        <v>1447</v>
      </c>
      <c r="F173" t="s">
        <v>1928</v>
      </c>
      <c r="G173" t="s">
        <v>1737</v>
      </c>
      <c r="H173" t="s">
        <v>1799</v>
      </c>
      <c r="I173" t="s">
        <v>1799</v>
      </c>
      <c r="J173" t="s">
        <v>1799</v>
      </c>
      <c r="K173" t="s">
        <v>1799</v>
      </c>
      <c r="L173" t="s">
        <v>1569</v>
      </c>
      <c r="M173" t="s">
        <v>1799</v>
      </c>
      <c r="N173" t="s">
        <v>1799</v>
      </c>
      <c r="O173" s="184" t="str">
        <f>"["&amp;$C173&amp;"]["&amp;$D173&amp;"]["&amp;$F173&amp;"]"</f>
        <v>[S05_AggregateTotalEmissionsByCRF][1][CRFCategory1]</v>
      </c>
    </row>
    <row r="174" spans="1:15" x14ac:dyDescent="0.3">
      <c r="A174" t="s">
        <v>1793</v>
      </c>
      <c r="B174" t="s">
        <v>1924</v>
      </c>
      <c r="C174" t="s">
        <v>1927</v>
      </c>
      <c r="D174">
        <v>2</v>
      </c>
      <c r="E174" t="s">
        <v>1447</v>
      </c>
      <c r="F174" t="s">
        <v>1928</v>
      </c>
      <c r="G174" t="s">
        <v>1737</v>
      </c>
      <c r="H174" t="s">
        <v>1799</v>
      </c>
      <c r="I174" t="s">
        <v>1799</v>
      </c>
      <c r="J174" t="s">
        <v>1799</v>
      </c>
      <c r="K174" t="s">
        <v>1799</v>
      </c>
      <c r="L174" t="s">
        <v>1569</v>
      </c>
      <c r="M174" t="s">
        <v>1799</v>
      </c>
      <c r="N174" t="s">
        <v>1799</v>
      </c>
      <c r="O174" s="184" t="str">
        <f>"["&amp;$C174&amp;"]["&amp;$D174&amp;"]["&amp;$F174&amp;"]"</f>
        <v>[S05_AggregateTotalEmissionsByCRF][2][CRFCategory1]</v>
      </c>
    </row>
    <row r="175" spans="1:15" x14ac:dyDescent="0.3">
      <c r="A175" t="s">
        <v>1793</v>
      </c>
      <c r="B175" t="s">
        <v>1924</v>
      </c>
      <c r="C175" t="s">
        <v>1927</v>
      </c>
      <c r="D175">
        <v>3</v>
      </c>
      <c r="E175" t="s">
        <v>1447</v>
      </c>
      <c r="F175" t="s">
        <v>1928</v>
      </c>
      <c r="G175" t="s">
        <v>1737</v>
      </c>
      <c r="H175" t="s">
        <v>1799</v>
      </c>
      <c r="I175" t="s">
        <v>1799</v>
      </c>
      <c r="J175" t="s">
        <v>1799</v>
      </c>
      <c r="K175" t="s">
        <v>1799</v>
      </c>
      <c r="L175" t="s">
        <v>1569</v>
      </c>
      <c r="M175" t="s">
        <v>1799</v>
      </c>
      <c r="N175" t="s">
        <v>1799</v>
      </c>
      <c r="O175" s="184" t="str">
        <f>"["&amp;$C175&amp;"]["&amp;$D175&amp;"]["&amp;$F175&amp;"]"</f>
        <v>[S05_AggregateTotalEmissionsByCRF][3][CRFCategory1]</v>
      </c>
    </row>
    <row r="176" spans="1:15" x14ac:dyDescent="0.3">
      <c r="A176" t="s">
        <v>1793</v>
      </c>
      <c r="B176" t="s">
        <v>1924</v>
      </c>
      <c r="C176" t="s">
        <v>1927</v>
      </c>
      <c r="D176">
        <v>4</v>
      </c>
      <c r="E176" t="s">
        <v>1447</v>
      </c>
      <c r="F176" t="s">
        <v>1928</v>
      </c>
      <c r="G176" t="s">
        <v>1737</v>
      </c>
      <c r="H176" t="s">
        <v>1799</v>
      </c>
      <c r="I176" t="s">
        <v>1799</v>
      </c>
      <c r="J176" t="s">
        <v>1799</v>
      </c>
      <c r="K176" t="s">
        <v>1799</v>
      </c>
      <c r="L176" t="s">
        <v>1569</v>
      </c>
      <c r="M176" t="s">
        <v>1799</v>
      </c>
      <c r="N176" t="s">
        <v>1799</v>
      </c>
      <c r="O176" s="184" t="str">
        <f>"["&amp;$C176&amp;"]["&amp;$D176&amp;"]["&amp;$F176&amp;"]"</f>
        <v>[S05_AggregateTotalEmissionsByCRF][4][CRFCategory1]</v>
      </c>
    </row>
    <row r="177" spans="1:15" x14ac:dyDescent="0.3">
      <c r="A177" t="s">
        <v>1793</v>
      </c>
      <c r="B177" t="s">
        <v>1924</v>
      </c>
      <c r="C177" t="s">
        <v>1927</v>
      </c>
      <c r="D177">
        <v>5</v>
      </c>
      <c r="E177" t="s">
        <v>1447</v>
      </c>
      <c r="F177" t="s">
        <v>1928</v>
      </c>
      <c r="G177" t="s">
        <v>1737</v>
      </c>
      <c r="H177" t="s">
        <v>1799</v>
      </c>
      <c r="I177" t="s">
        <v>1799</v>
      </c>
      <c r="J177" t="s">
        <v>1799</v>
      </c>
      <c r="K177" t="s">
        <v>1799</v>
      </c>
      <c r="L177" t="s">
        <v>1574</v>
      </c>
      <c r="M177" t="s">
        <v>1799</v>
      </c>
      <c r="N177" t="s">
        <v>1799</v>
      </c>
      <c r="O177" s="184" t="str">
        <f>"["&amp;$C177&amp;"]["&amp;$D177&amp;"]["&amp;$F177&amp;"]"</f>
        <v>[S05_AggregateTotalEmissionsByCRF][5][CRFCategory1]</v>
      </c>
    </row>
    <row r="178" spans="1:15" x14ac:dyDescent="0.3">
      <c r="A178" t="s">
        <v>1793</v>
      </c>
      <c r="B178" t="s">
        <v>1924</v>
      </c>
      <c r="C178" t="s">
        <v>1927</v>
      </c>
      <c r="D178">
        <v>6</v>
      </c>
      <c r="E178" t="s">
        <v>1447</v>
      </c>
      <c r="F178" t="s">
        <v>1928</v>
      </c>
      <c r="G178" t="s">
        <v>1737</v>
      </c>
      <c r="H178" t="s">
        <v>1799</v>
      </c>
      <c r="I178" t="s">
        <v>1799</v>
      </c>
      <c r="J178" t="s">
        <v>1799</v>
      </c>
      <c r="K178" t="s">
        <v>1799</v>
      </c>
      <c r="L178" t="s">
        <v>1563</v>
      </c>
      <c r="M178" t="s">
        <v>1799</v>
      </c>
      <c r="N178" t="s">
        <v>1799</v>
      </c>
      <c r="O178" s="184" t="str">
        <f>"["&amp;$C178&amp;"]["&amp;$D178&amp;"]["&amp;$F178&amp;"]"</f>
        <v>[S05_AggregateTotalEmissionsByCRF][6][CRFCategory1]</v>
      </c>
    </row>
    <row r="179" spans="1:15" x14ac:dyDescent="0.3">
      <c r="A179" t="s">
        <v>1793</v>
      </c>
      <c r="B179" t="s">
        <v>1924</v>
      </c>
      <c r="C179" t="s">
        <v>1927</v>
      </c>
      <c r="D179">
        <v>7</v>
      </c>
      <c r="E179" t="s">
        <v>1447</v>
      </c>
      <c r="F179" t="s">
        <v>1928</v>
      </c>
      <c r="G179" t="s">
        <v>1737</v>
      </c>
      <c r="H179" t="s">
        <v>1799</v>
      </c>
      <c r="I179" t="s">
        <v>1799</v>
      </c>
      <c r="J179" t="s">
        <v>1799</v>
      </c>
      <c r="K179" t="s">
        <v>1799</v>
      </c>
      <c r="L179" t="s">
        <v>1558</v>
      </c>
      <c r="M179" t="s">
        <v>1799</v>
      </c>
      <c r="N179" t="s">
        <v>1799</v>
      </c>
      <c r="O179" s="184" t="str">
        <f>"["&amp;$C179&amp;"]["&amp;$D179&amp;"]["&amp;$F179&amp;"]"</f>
        <v>[S05_AggregateTotalEmissionsByCRF][7][CRFCategory1]</v>
      </c>
    </row>
    <row r="180" spans="1:15" x14ac:dyDescent="0.3">
      <c r="A180" t="s">
        <v>1793</v>
      </c>
      <c r="B180" t="s">
        <v>1924</v>
      </c>
      <c r="C180" t="s">
        <v>1927</v>
      </c>
      <c r="D180">
        <v>8</v>
      </c>
      <c r="E180" t="s">
        <v>1447</v>
      </c>
      <c r="F180" t="s">
        <v>1928</v>
      </c>
      <c r="G180" t="s">
        <v>1737</v>
      </c>
      <c r="H180" t="s">
        <v>1799</v>
      </c>
      <c r="I180" t="s">
        <v>1799</v>
      </c>
      <c r="J180" t="s">
        <v>1799</v>
      </c>
      <c r="K180" t="s">
        <v>1799</v>
      </c>
      <c r="L180" t="s">
        <v>1558</v>
      </c>
      <c r="M180" t="s">
        <v>1799</v>
      </c>
      <c r="N180" t="s">
        <v>1799</v>
      </c>
      <c r="O180" s="184" t="str">
        <f>"["&amp;$C180&amp;"]["&amp;$D180&amp;"]["&amp;$F180&amp;"]"</f>
        <v>[S05_AggregateTotalEmissionsByCRF][8][CRFCategory1]</v>
      </c>
    </row>
    <row r="181" spans="1:15" x14ac:dyDescent="0.3">
      <c r="A181" t="s">
        <v>1793</v>
      </c>
      <c r="B181" t="s">
        <v>1924</v>
      </c>
      <c r="C181" t="s">
        <v>1927</v>
      </c>
      <c r="D181">
        <v>9</v>
      </c>
      <c r="E181" t="s">
        <v>1447</v>
      </c>
      <c r="F181" t="s">
        <v>1928</v>
      </c>
      <c r="G181" t="s">
        <v>1737</v>
      </c>
      <c r="H181" t="s">
        <v>1799</v>
      </c>
      <c r="I181" t="s">
        <v>1799</v>
      </c>
      <c r="J181" t="s">
        <v>1799</v>
      </c>
      <c r="K181" t="s">
        <v>1799</v>
      </c>
      <c r="L181" t="s">
        <v>1550</v>
      </c>
      <c r="M181" t="s">
        <v>1799</v>
      </c>
      <c r="N181" t="s">
        <v>1799</v>
      </c>
      <c r="O181" s="184" t="str">
        <f>"["&amp;$C181&amp;"]["&amp;$D181&amp;"]["&amp;$F181&amp;"]"</f>
        <v>[S05_AggregateTotalEmissionsByCRF][9][CRFCategory1]</v>
      </c>
    </row>
    <row r="182" spans="1:15" x14ac:dyDescent="0.3">
      <c r="A182" t="s">
        <v>1793</v>
      </c>
      <c r="B182" t="s">
        <v>1924</v>
      </c>
      <c r="C182" t="s">
        <v>1927</v>
      </c>
      <c r="D182">
        <v>10</v>
      </c>
      <c r="E182" t="s">
        <v>1447</v>
      </c>
      <c r="F182" t="s">
        <v>1928</v>
      </c>
      <c r="G182" t="s">
        <v>1737</v>
      </c>
      <c r="H182" t="s">
        <v>1799</v>
      </c>
      <c r="I182" t="s">
        <v>1799</v>
      </c>
      <c r="J182" t="s">
        <v>1799</v>
      </c>
      <c r="K182" t="s">
        <v>1799</v>
      </c>
      <c r="L182" t="s">
        <v>1550</v>
      </c>
      <c r="M182" t="s">
        <v>1799</v>
      </c>
      <c r="N182" t="s">
        <v>1799</v>
      </c>
      <c r="O182" s="184" t="str">
        <f>"["&amp;$C182&amp;"]["&amp;$D182&amp;"]["&amp;$F182&amp;"]"</f>
        <v>[S05_AggregateTotalEmissionsByCRF][10][CRFCategory1]</v>
      </c>
    </row>
    <row r="183" spans="1:15" x14ac:dyDescent="0.3">
      <c r="A183" t="s">
        <v>1793</v>
      </c>
      <c r="B183" t="s">
        <v>1924</v>
      </c>
      <c r="C183" t="s">
        <v>1927</v>
      </c>
      <c r="D183">
        <v>11</v>
      </c>
      <c r="E183" t="s">
        <v>1447</v>
      </c>
      <c r="F183" t="s">
        <v>1928</v>
      </c>
      <c r="G183" t="s">
        <v>1737</v>
      </c>
      <c r="H183" t="s">
        <v>1799</v>
      </c>
      <c r="I183" t="s">
        <v>1799</v>
      </c>
      <c r="J183" t="s">
        <v>1799</v>
      </c>
      <c r="K183" t="s">
        <v>1799</v>
      </c>
      <c r="L183" t="s">
        <v>1550</v>
      </c>
      <c r="M183" t="s">
        <v>1799</v>
      </c>
      <c r="N183" t="s">
        <v>1799</v>
      </c>
      <c r="O183" s="184" t="str">
        <f>"["&amp;$C183&amp;"]["&amp;$D183&amp;"]["&amp;$F183&amp;"]"</f>
        <v>[S05_AggregateTotalEmissionsByCRF][11][CRFCategory1]</v>
      </c>
    </row>
    <row r="184" spans="1:15" x14ac:dyDescent="0.3">
      <c r="A184" t="s">
        <v>1793</v>
      </c>
      <c r="B184" t="s">
        <v>1924</v>
      </c>
      <c r="C184" t="s">
        <v>1927</v>
      </c>
      <c r="D184">
        <v>12</v>
      </c>
      <c r="E184" t="s">
        <v>1447</v>
      </c>
      <c r="F184" t="s">
        <v>1928</v>
      </c>
      <c r="G184" t="s">
        <v>1737</v>
      </c>
      <c r="H184" t="s">
        <v>1799</v>
      </c>
      <c r="I184" t="s">
        <v>1799</v>
      </c>
      <c r="J184" t="s">
        <v>1799</v>
      </c>
      <c r="K184" t="s">
        <v>1799</v>
      </c>
      <c r="L184" t="s">
        <v>1569</v>
      </c>
      <c r="M184" t="s">
        <v>1799</v>
      </c>
      <c r="N184" t="s">
        <v>1799</v>
      </c>
      <c r="O184" s="184" t="str">
        <f>"["&amp;$C184&amp;"]["&amp;$D184&amp;"]["&amp;$F184&amp;"]"</f>
        <v>[S05_AggregateTotalEmissionsByCRF][12][CRFCategory1]</v>
      </c>
    </row>
    <row r="185" spans="1:15" x14ac:dyDescent="0.3">
      <c r="A185" t="s">
        <v>1793</v>
      </c>
      <c r="B185" t="s">
        <v>1924</v>
      </c>
      <c r="C185" t="s">
        <v>1927</v>
      </c>
      <c r="D185">
        <v>13</v>
      </c>
      <c r="E185" t="s">
        <v>1447</v>
      </c>
      <c r="F185" t="s">
        <v>1928</v>
      </c>
      <c r="G185" t="s">
        <v>1737</v>
      </c>
      <c r="H185" t="s">
        <v>1799</v>
      </c>
      <c r="I185" t="s">
        <v>1799</v>
      </c>
      <c r="J185" t="s">
        <v>1799</v>
      </c>
      <c r="K185" t="s">
        <v>1799</v>
      </c>
      <c r="L185" t="s">
        <v>1531</v>
      </c>
      <c r="M185" t="s">
        <v>1799</v>
      </c>
      <c r="N185" t="s">
        <v>1799</v>
      </c>
      <c r="O185" s="184" t="str">
        <f>"["&amp;$C185&amp;"]["&amp;$D185&amp;"]["&amp;$F185&amp;"]"</f>
        <v>[S05_AggregateTotalEmissionsByCRF][13][CRFCategory1]</v>
      </c>
    </row>
    <row r="186" spans="1:15" x14ac:dyDescent="0.3">
      <c r="A186" t="s">
        <v>1793</v>
      </c>
      <c r="B186" t="s">
        <v>1924</v>
      </c>
      <c r="C186" t="s">
        <v>1927</v>
      </c>
      <c r="D186">
        <v>14</v>
      </c>
      <c r="E186" t="s">
        <v>1447</v>
      </c>
      <c r="F186" t="s">
        <v>1928</v>
      </c>
      <c r="G186" t="s">
        <v>1737</v>
      </c>
      <c r="H186" t="s">
        <v>1799</v>
      </c>
      <c r="I186" t="s">
        <v>1799</v>
      </c>
      <c r="J186" t="s">
        <v>1799</v>
      </c>
      <c r="K186" t="s">
        <v>1799</v>
      </c>
      <c r="L186" t="s">
        <v>1541</v>
      </c>
      <c r="M186" t="s">
        <v>1799</v>
      </c>
      <c r="N186" t="s">
        <v>1799</v>
      </c>
      <c r="O186" s="184" t="str">
        <f>"["&amp;$C186&amp;"]["&amp;$D186&amp;"]["&amp;$F186&amp;"]"</f>
        <v>[S05_AggregateTotalEmissionsByCRF][14][CRFCategory1]</v>
      </c>
    </row>
    <row r="187" spans="1:15" x14ac:dyDescent="0.3">
      <c r="A187" t="s">
        <v>1793</v>
      </c>
      <c r="B187" t="s">
        <v>1924</v>
      </c>
      <c r="C187" t="s">
        <v>1927</v>
      </c>
      <c r="D187">
        <v>15</v>
      </c>
      <c r="E187" t="s">
        <v>1447</v>
      </c>
      <c r="F187" t="s">
        <v>1928</v>
      </c>
      <c r="G187" t="s">
        <v>1737</v>
      </c>
      <c r="H187" t="s">
        <v>1799</v>
      </c>
      <c r="I187" t="s">
        <v>1799</v>
      </c>
      <c r="J187" t="s">
        <v>1799</v>
      </c>
      <c r="K187" t="s">
        <v>1799</v>
      </c>
      <c r="L187" t="s">
        <v>1503</v>
      </c>
      <c r="M187" t="s">
        <v>1799</v>
      </c>
      <c r="N187" t="s">
        <v>1799</v>
      </c>
      <c r="O187" s="184" t="str">
        <f>"["&amp;$C187&amp;"]["&amp;$D187&amp;"]["&amp;$F187&amp;"]"</f>
        <v>[S05_AggregateTotalEmissionsByCRF][15][CRFCategory1]</v>
      </c>
    </row>
    <row r="188" spans="1:15" x14ac:dyDescent="0.3">
      <c r="A188" t="s">
        <v>1793</v>
      </c>
      <c r="B188" t="s">
        <v>1924</v>
      </c>
      <c r="C188" t="s">
        <v>1927</v>
      </c>
      <c r="D188">
        <v>16</v>
      </c>
      <c r="E188" t="s">
        <v>1447</v>
      </c>
      <c r="F188" t="s">
        <v>1928</v>
      </c>
      <c r="G188" t="s">
        <v>1737</v>
      </c>
      <c r="H188" t="s">
        <v>1799</v>
      </c>
      <c r="I188" t="s">
        <v>1799</v>
      </c>
      <c r="J188" t="s">
        <v>1799</v>
      </c>
      <c r="K188" t="s">
        <v>1799</v>
      </c>
      <c r="L188" t="s">
        <v>1481</v>
      </c>
      <c r="M188" t="s">
        <v>1799</v>
      </c>
      <c r="N188" t="s">
        <v>1799</v>
      </c>
      <c r="O188" s="184" t="str">
        <f>"["&amp;$C188&amp;"]["&amp;$D188&amp;"]["&amp;$F188&amp;"]"</f>
        <v>[S05_AggregateTotalEmissionsByCRF][16][CRFCategory1]</v>
      </c>
    </row>
    <row r="189" spans="1:15" x14ac:dyDescent="0.3">
      <c r="A189" t="s">
        <v>1793</v>
      </c>
      <c r="B189" t="s">
        <v>1924</v>
      </c>
      <c r="C189" t="s">
        <v>1927</v>
      </c>
      <c r="D189">
        <v>17</v>
      </c>
      <c r="E189" t="s">
        <v>1447</v>
      </c>
      <c r="F189" t="s">
        <v>1928</v>
      </c>
      <c r="G189" t="s">
        <v>1737</v>
      </c>
      <c r="H189" t="s">
        <v>1799</v>
      </c>
      <c r="I189" t="s">
        <v>1799</v>
      </c>
      <c r="J189" t="s">
        <v>1799</v>
      </c>
      <c r="K189" t="s">
        <v>1799</v>
      </c>
      <c r="L189" t="s">
        <v>1453</v>
      </c>
      <c r="M189" t="s">
        <v>1799</v>
      </c>
      <c r="N189" t="s">
        <v>1799</v>
      </c>
      <c r="O189" s="184" t="str">
        <f>"["&amp;$C189&amp;"]["&amp;$D189&amp;"]["&amp;$F189&amp;"]"</f>
        <v>[S05_AggregateTotalEmissionsByCRF][17][CRFCategory1]</v>
      </c>
    </row>
    <row r="190" spans="1:15" x14ac:dyDescent="0.3">
      <c r="A190" t="s">
        <v>1793</v>
      </c>
      <c r="B190" t="s">
        <v>1924</v>
      </c>
      <c r="C190" t="s">
        <v>1927</v>
      </c>
      <c r="D190">
        <v>18</v>
      </c>
      <c r="E190" t="s">
        <v>1447</v>
      </c>
      <c r="F190" t="s">
        <v>1928</v>
      </c>
      <c r="G190" t="s">
        <v>1737</v>
      </c>
      <c r="H190" t="s">
        <v>1799</v>
      </c>
      <c r="I190" t="s">
        <v>1799</v>
      </c>
      <c r="J190" t="s">
        <v>1799</v>
      </c>
      <c r="K190" t="s">
        <v>1799</v>
      </c>
      <c r="L190" t="s">
        <v>1453</v>
      </c>
      <c r="M190" t="s">
        <v>1799</v>
      </c>
      <c r="N190" t="s">
        <v>1799</v>
      </c>
      <c r="O190" s="184" t="str">
        <f>"["&amp;$C190&amp;"]["&amp;$D190&amp;"]["&amp;$F190&amp;"]"</f>
        <v>[S05_AggregateTotalEmissionsByCRF][18][CRFCategory1]</v>
      </c>
    </row>
    <row r="191" spans="1:15" x14ac:dyDescent="0.3">
      <c r="A191" t="s">
        <v>1793</v>
      </c>
      <c r="B191" t="s">
        <v>1924</v>
      </c>
      <c r="C191" t="s">
        <v>1927</v>
      </c>
      <c r="D191">
        <v>1</v>
      </c>
      <c r="E191" t="s">
        <v>1447</v>
      </c>
      <c r="F191" t="s">
        <v>1929</v>
      </c>
      <c r="G191" t="s">
        <v>1737</v>
      </c>
      <c r="H191" t="s">
        <v>1799</v>
      </c>
      <c r="I191" t="s">
        <v>1799</v>
      </c>
      <c r="J191" t="s">
        <v>1799</v>
      </c>
      <c r="K191" t="s">
        <v>1799</v>
      </c>
      <c r="L191" t="s">
        <v>1426</v>
      </c>
      <c r="M191" t="s">
        <v>1799</v>
      </c>
      <c r="N191" t="s">
        <v>1799</v>
      </c>
      <c r="O191" s="184" t="str">
        <f>"["&amp;$C191&amp;"]["&amp;$D191&amp;"]["&amp;$F191&amp;"]"</f>
        <v>[S05_AggregateTotalEmissionsByCRF][1][CRFCategory2]</v>
      </c>
    </row>
    <row r="192" spans="1:15" x14ac:dyDescent="0.3">
      <c r="A192" t="s">
        <v>1793</v>
      </c>
      <c r="B192" t="s">
        <v>1924</v>
      </c>
      <c r="C192" t="s">
        <v>1927</v>
      </c>
      <c r="D192">
        <v>2</v>
      </c>
      <c r="E192" t="s">
        <v>1447</v>
      </c>
      <c r="F192" t="s">
        <v>1929</v>
      </c>
      <c r="G192" t="s">
        <v>1737</v>
      </c>
      <c r="H192" t="s">
        <v>1799</v>
      </c>
      <c r="I192" t="s">
        <v>1799</v>
      </c>
      <c r="J192" t="s">
        <v>1799</v>
      </c>
      <c r="K192" t="s">
        <v>1799</v>
      </c>
      <c r="L192" t="s">
        <v>1504</v>
      </c>
      <c r="M192" t="s">
        <v>1799</v>
      </c>
      <c r="N192" t="s">
        <v>1799</v>
      </c>
      <c r="O192" s="184" t="str">
        <f>"["&amp;$C192&amp;"]["&amp;$D192&amp;"]["&amp;$F192&amp;"]"</f>
        <v>[S05_AggregateTotalEmissionsByCRF][2][CRFCategory2]</v>
      </c>
    </row>
    <row r="193" spans="1:15" x14ac:dyDescent="0.3">
      <c r="A193" t="s">
        <v>1793</v>
      </c>
      <c r="B193" t="s">
        <v>1924</v>
      </c>
      <c r="C193" t="s">
        <v>1927</v>
      </c>
      <c r="D193">
        <v>3</v>
      </c>
      <c r="E193" t="s">
        <v>1447</v>
      </c>
      <c r="F193" t="s">
        <v>1929</v>
      </c>
      <c r="G193" t="s">
        <v>1737</v>
      </c>
      <c r="H193" t="s">
        <v>1799</v>
      </c>
      <c r="I193" t="s">
        <v>1799</v>
      </c>
      <c r="J193" t="s">
        <v>1799</v>
      </c>
      <c r="K193" t="s">
        <v>1799</v>
      </c>
      <c r="L193" t="s">
        <v>1454</v>
      </c>
      <c r="M193" t="s">
        <v>1799</v>
      </c>
      <c r="N193" t="s">
        <v>1799</v>
      </c>
      <c r="O193" s="184" t="str">
        <f>"["&amp;$C193&amp;"]["&amp;$D193&amp;"]["&amp;$F193&amp;"]"</f>
        <v>[S05_AggregateTotalEmissionsByCRF][3][CRFCategory2]</v>
      </c>
    </row>
    <row r="194" spans="1:15" x14ac:dyDescent="0.3">
      <c r="A194" t="s">
        <v>1793</v>
      </c>
      <c r="B194" t="s">
        <v>1924</v>
      </c>
      <c r="C194" t="s">
        <v>1927</v>
      </c>
      <c r="D194">
        <v>4</v>
      </c>
      <c r="E194" t="s">
        <v>1447</v>
      </c>
      <c r="F194" t="s">
        <v>1929</v>
      </c>
      <c r="G194" t="s">
        <v>1737</v>
      </c>
      <c r="H194" t="s">
        <v>1799</v>
      </c>
      <c r="I194" t="s">
        <v>1799</v>
      </c>
      <c r="J194" t="s">
        <v>1799</v>
      </c>
      <c r="K194" t="s">
        <v>1799</v>
      </c>
      <c r="L194" t="s">
        <v>1482</v>
      </c>
      <c r="M194" t="s">
        <v>1799</v>
      </c>
      <c r="N194" t="s">
        <v>1799</v>
      </c>
      <c r="O194" s="184" t="str">
        <f>"["&amp;$C194&amp;"]["&amp;$D194&amp;"]["&amp;$F194&amp;"]"</f>
        <v>[S05_AggregateTotalEmissionsByCRF][4][CRFCategory2]</v>
      </c>
    </row>
    <row r="195" spans="1:15" x14ac:dyDescent="0.3">
      <c r="A195" t="s">
        <v>1793</v>
      </c>
      <c r="B195" t="s">
        <v>1924</v>
      </c>
      <c r="C195" t="s">
        <v>1927</v>
      </c>
      <c r="D195">
        <v>6</v>
      </c>
      <c r="E195" t="s">
        <v>1447</v>
      </c>
      <c r="F195" t="s">
        <v>1929</v>
      </c>
      <c r="G195" t="s">
        <v>1737</v>
      </c>
      <c r="H195" t="s">
        <v>1799</v>
      </c>
      <c r="I195" t="s">
        <v>1799</v>
      </c>
      <c r="J195" t="s">
        <v>1799</v>
      </c>
      <c r="K195" t="s">
        <v>1799</v>
      </c>
      <c r="L195" t="s">
        <v>1676</v>
      </c>
      <c r="M195" t="s">
        <v>1799</v>
      </c>
      <c r="N195" t="s">
        <v>1799</v>
      </c>
      <c r="O195" s="184" t="str">
        <f>"["&amp;$C195&amp;"]["&amp;$D195&amp;"]["&amp;$F195&amp;"]"</f>
        <v>[S05_AggregateTotalEmissionsByCRF][6][CRFCategory2]</v>
      </c>
    </row>
    <row r="196" spans="1:15" x14ac:dyDescent="0.3">
      <c r="A196" t="s">
        <v>1793</v>
      </c>
      <c r="B196" t="s">
        <v>1924</v>
      </c>
      <c r="C196" t="s">
        <v>1927</v>
      </c>
      <c r="D196">
        <v>7</v>
      </c>
      <c r="E196" t="s">
        <v>1447</v>
      </c>
      <c r="F196" t="s">
        <v>1929</v>
      </c>
      <c r="G196" t="s">
        <v>1737</v>
      </c>
      <c r="H196" t="s">
        <v>1799</v>
      </c>
      <c r="I196" t="s">
        <v>1799</v>
      </c>
      <c r="J196" t="s">
        <v>1799</v>
      </c>
      <c r="K196" t="s">
        <v>1799</v>
      </c>
      <c r="L196" t="s">
        <v>1676</v>
      </c>
      <c r="M196" t="s">
        <v>1799</v>
      </c>
      <c r="N196" t="s">
        <v>1799</v>
      </c>
      <c r="O196" s="184" t="str">
        <f>"["&amp;$C196&amp;"]["&amp;$D196&amp;"]["&amp;$F196&amp;"]"</f>
        <v>[S05_AggregateTotalEmissionsByCRF][7][CRFCategory2]</v>
      </c>
    </row>
    <row r="197" spans="1:15" x14ac:dyDescent="0.3">
      <c r="A197" t="s">
        <v>1793</v>
      </c>
      <c r="B197" t="s">
        <v>1924</v>
      </c>
      <c r="C197" t="s">
        <v>1927</v>
      </c>
      <c r="D197">
        <v>8</v>
      </c>
      <c r="E197" t="s">
        <v>1447</v>
      </c>
      <c r="F197" t="s">
        <v>1929</v>
      </c>
      <c r="G197" t="s">
        <v>1737</v>
      </c>
      <c r="H197" t="s">
        <v>1799</v>
      </c>
      <c r="I197" t="s">
        <v>1799</v>
      </c>
      <c r="J197" t="s">
        <v>1799</v>
      </c>
      <c r="K197" t="s">
        <v>1799</v>
      </c>
      <c r="L197" t="s">
        <v>1584</v>
      </c>
      <c r="M197" t="s">
        <v>1799</v>
      </c>
      <c r="N197" t="s">
        <v>1799</v>
      </c>
      <c r="O197" s="184" t="str">
        <f>"["&amp;$C197&amp;"]["&amp;$D197&amp;"]["&amp;$F197&amp;"]"</f>
        <v>[S05_AggregateTotalEmissionsByCRF][8][CRFCategory2]</v>
      </c>
    </row>
    <row r="198" spans="1:15" x14ac:dyDescent="0.3">
      <c r="A198" t="s">
        <v>1793</v>
      </c>
      <c r="B198" t="s">
        <v>1924</v>
      </c>
      <c r="C198" t="s">
        <v>1927</v>
      </c>
      <c r="D198">
        <v>9</v>
      </c>
      <c r="E198" t="s">
        <v>1447</v>
      </c>
      <c r="F198" t="s">
        <v>1929</v>
      </c>
      <c r="G198" t="s">
        <v>1737</v>
      </c>
      <c r="H198" t="s">
        <v>1799</v>
      </c>
      <c r="I198" t="s">
        <v>1799</v>
      </c>
      <c r="J198" t="s">
        <v>1799</v>
      </c>
      <c r="K198" t="s">
        <v>1799</v>
      </c>
      <c r="L198" t="s">
        <v>1520</v>
      </c>
      <c r="M198" t="s">
        <v>1799</v>
      </c>
      <c r="N198" t="s">
        <v>1799</v>
      </c>
      <c r="O198" s="184" t="str">
        <f>"["&amp;$C198&amp;"]["&amp;$D198&amp;"]["&amp;$F198&amp;"]"</f>
        <v>[S05_AggregateTotalEmissionsByCRF][9][CRFCategory2]</v>
      </c>
    </row>
    <row r="199" spans="1:15" x14ac:dyDescent="0.3">
      <c r="A199" t="s">
        <v>1793</v>
      </c>
      <c r="B199" t="s">
        <v>1924</v>
      </c>
      <c r="C199" t="s">
        <v>1927</v>
      </c>
      <c r="D199">
        <v>10</v>
      </c>
      <c r="E199" t="s">
        <v>1447</v>
      </c>
      <c r="F199" t="s">
        <v>1929</v>
      </c>
      <c r="G199" t="s">
        <v>1737</v>
      </c>
      <c r="H199" t="s">
        <v>1799</v>
      </c>
      <c r="I199" t="s">
        <v>1799</v>
      </c>
      <c r="J199" t="s">
        <v>1799</v>
      </c>
      <c r="K199" t="s">
        <v>1799</v>
      </c>
      <c r="L199" t="s">
        <v>1532</v>
      </c>
      <c r="M199" t="s">
        <v>1799</v>
      </c>
      <c r="N199" t="s">
        <v>1799</v>
      </c>
      <c r="O199" s="184" t="str">
        <f>"["&amp;$C199&amp;"]["&amp;$D199&amp;"]["&amp;$F199&amp;"]"</f>
        <v>[S05_AggregateTotalEmissionsByCRF][10][CRFCategory2]</v>
      </c>
    </row>
    <row r="200" spans="1:15" x14ac:dyDescent="0.3">
      <c r="A200" t="s">
        <v>1793</v>
      </c>
      <c r="B200" t="s">
        <v>1924</v>
      </c>
      <c r="C200" t="s">
        <v>1927</v>
      </c>
      <c r="D200">
        <v>11</v>
      </c>
      <c r="E200" t="s">
        <v>1447</v>
      </c>
      <c r="F200" t="s">
        <v>1929</v>
      </c>
      <c r="G200" t="s">
        <v>1737</v>
      </c>
      <c r="H200" t="s">
        <v>1799</v>
      </c>
      <c r="I200" t="s">
        <v>1799</v>
      </c>
      <c r="J200" t="s">
        <v>1799</v>
      </c>
      <c r="K200" t="s">
        <v>1799</v>
      </c>
      <c r="L200" t="s">
        <v>1575</v>
      </c>
      <c r="M200" t="s">
        <v>1799</v>
      </c>
      <c r="N200" t="s">
        <v>1799</v>
      </c>
      <c r="O200" s="184" t="str">
        <f>"["&amp;$C200&amp;"]["&amp;$D200&amp;"]["&amp;$F200&amp;"]"</f>
        <v>[S05_AggregateTotalEmissionsByCRF][11][CRFCategory2]</v>
      </c>
    </row>
    <row r="201" spans="1:15" x14ac:dyDescent="0.3">
      <c r="A201" t="s">
        <v>1793</v>
      </c>
      <c r="B201" t="s">
        <v>1924</v>
      </c>
      <c r="C201" t="s">
        <v>1927</v>
      </c>
      <c r="D201">
        <v>13</v>
      </c>
      <c r="E201" t="s">
        <v>1447</v>
      </c>
      <c r="F201" t="s">
        <v>1929</v>
      </c>
      <c r="G201" t="s">
        <v>1737</v>
      </c>
      <c r="H201" t="s">
        <v>1799</v>
      </c>
      <c r="I201" t="s">
        <v>1799</v>
      </c>
      <c r="J201" t="s">
        <v>1799</v>
      </c>
      <c r="K201" t="s">
        <v>1799</v>
      </c>
      <c r="L201" t="s">
        <v>1589</v>
      </c>
      <c r="M201" t="s">
        <v>1799</v>
      </c>
      <c r="N201" t="s">
        <v>1799</v>
      </c>
      <c r="O201" s="184" t="str">
        <f>"["&amp;$C201&amp;"]["&amp;$D201&amp;"]["&amp;$F201&amp;"]"</f>
        <v>[S05_AggregateTotalEmissionsByCRF][13][CRFCategory2]</v>
      </c>
    </row>
    <row r="202" spans="1:15" x14ac:dyDescent="0.3">
      <c r="A202" t="s">
        <v>1793</v>
      </c>
      <c r="B202" t="s">
        <v>1924</v>
      </c>
      <c r="C202" t="s">
        <v>1927</v>
      </c>
      <c r="D202">
        <v>14</v>
      </c>
      <c r="E202" t="s">
        <v>1447</v>
      </c>
      <c r="F202" t="s">
        <v>1929</v>
      </c>
      <c r="G202" t="s">
        <v>1737</v>
      </c>
      <c r="H202" t="s">
        <v>1799</v>
      </c>
      <c r="I202" t="s">
        <v>1799</v>
      </c>
      <c r="J202" t="s">
        <v>1799</v>
      </c>
      <c r="K202" t="s">
        <v>1799</v>
      </c>
      <c r="L202" t="s">
        <v>1599</v>
      </c>
      <c r="M202" t="s">
        <v>1799</v>
      </c>
      <c r="N202" t="s">
        <v>1799</v>
      </c>
      <c r="O202" s="184" t="str">
        <f>"["&amp;$C202&amp;"]["&amp;$D202&amp;"]["&amp;$F202&amp;"]"</f>
        <v>[S05_AggregateTotalEmissionsByCRF][14][CRFCategory2]</v>
      </c>
    </row>
    <row r="203" spans="1:15" x14ac:dyDescent="0.3">
      <c r="A203" t="s">
        <v>1793</v>
      </c>
      <c r="B203" t="s">
        <v>1924</v>
      </c>
      <c r="C203" t="s">
        <v>1927</v>
      </c>
      <c r="D203">
        <v>17</v>
      </c>
      <c r="E203" t="s">
        <v>1447</v>
      </c>
      <c r="F203" t="s">
        <v>1929</v>
      </c>
      <c r="G203" t="s">
        <v>1737</v>
      </c>
      <c r="H203" t="s">
        <v>1799</v>
      </c>
      <c r="I203" t="s">
        <v>1799</v>
      </c>
      <c r="J203" t="s">
        <v>1799</v>
      </c>
      <c r="K203" t="s">
        <v>1799</v>
      </c>
      <c r="L203" t="s">
        <v>1504</v>
      </c>
      <c r="M203" t="s">
        <v>1799</v>
      </c>
      <c r="N203" t="s">
        <v>1799</v>
      </c>
      <c r="O203" s="184" t="str">
        <f>"["&amp;$C203&amp;"]["&amp;$D203&amp;"]["&amp;$F203&amp;"]"</f>
        <v>[S05_AggregateTotalEmissionsByCRF][17][CRFCategory2]</v>
      </c>
    </row>
    <row r="204" spans="1:15" x14ac:dyDescent="0.3">
      <c r="A204" t="s">
        <v>1793</v>
      </c>
      <c r="B204" t="s">
        <v>1924</v>
      </c>
      <c r="C204" t="s">
        <v>1927</v>
      </c>
      <c r="D204">
        <v>1</v>
      </c>
      <c r="E204" t="s">
        <v>1447</v>
      </c>
      <c r="F204" t="s">
        <v>1930</v>
      </c>
      <c r="G204" t="s">
        <v>1889</v>
      </c>
      <c r="H204" t="s">
        <v>1799</v>
      </c>
      <c r="I204" t="s">
        <v>1799</v>
      </c>
      <c r="J204">
        <v>1950372.81495214</v>
      </c>
      <c r="K204" t="s">
        <v>1799</v>
      </c>
      <c r="L204" t="s">
        <v>1799</v>
      </c>
      <c r="M204" t="s">
        <v>1799</v>
      </c>
      <c r="N204" t="s">
        <v>1799</v>
      </c>
      <c r="O204" s="184" t="str">
        <f>"["&amp;$C204&amp;"]["&amp;$D204&amp;"]["&amp;$F204&amp;"]"</f>
        <v>[S05_AggregateTotalEmissionsByCRF][1][TotalEmissionsTCo2e]</v>
      </c>
    </row>
    <row r="205" spans="1:15" x14ac:dyDescent="0.3">
      <c r="A205" t="s">
        <v>1793</v>
      </c>
      <c r="B205" t="s">
        <v>1924</v>
      </c>
      <c r="C205" t="s">
        <v>1927</v>
      </c>
      <c r="D205">
        <v>2</v>
      </c>
      <c r="E205" t="s">
        <v>1447</v>
      </c>
      <c r="F205" t="s">
        <v>1930</v>
      </c>
      <c r="G205" t="s">
        <v>1889</v>
      </c>
      <c r="H205" t="s">
        <v>1799</v>
      </c>
      <c r="I205" t="s">
        <v>1799</v>
      </c>
      <c r="J205">
        <v>158984.63421770799</v>
      </c>
      <c r="K205" t="s">
        <v>1799</v>
      </c>
      <c r="L205" t="s">
        <v>1799</v>
      </c>
      <c r="M205" t="s">
        <v>1799</v>
      </c>
      <c r="N205" t="s">
        <v>1799</v>
      </c>
      <c r="O205" s="184" t="str">
        <f>"["&amp;$C205&amp;"]["&amp;$D205&amp;"]["&amp;$F205&amp;"]"</f>
        <v>[S05_AggregateTotalEmissionsByCRF][2][TotalEmissionsTCo2e]</v>
      </c>
    </row>
    <row r="206" spans="1:15" x14ac:dyDescent="0.3">
      <c r="A206" t="s">
        <v>1793</v>
      </c>
      <c r="B206" t="s">
        <v>1924</v>
      </c>
      <c r="C206" t="s">
        <v>1927</v>
      </c>
      <c r="D206">
        <v>3</v>
      </c>
      <c r="E206" t="s">
        <v>1447</v>
      </c>
      <c r="F206" t="s">
        <v>1930</v>
      </c>
      <c r="G206" t="s">
        <v>1889</v>
      </c>
      <c r="H206" t="s">
        <v>1799</v>
      </c>
      <c r="I206" t="s">
        <v>1799</v>
      </c>
      <c r="J206">
        <v>148899.33505091901</v>
      </c>
      <c r="K206" t="s">
        <v>1799</v>
      </c>
      <c r="L206" t="s">
        <v>1799</v>
      </c>
      <c r="M206" t="s">
        <v>1799</v>
      </c>
      <c r="N206" t="s">
        <v>1799</v>
      </c>
      <c r="O206" s="184" t="str">
        <f>"["&amp;$C206&amp;"]["&amp;$D206&amp;"]["&amp;$F206&amp;"]"</f>
        <v>[S05_AggregateTotalEmissionsByCRF][3][TotalEmissionsTCo2e]</v>
      </c>
    </row>
    <row r="207" spans="1:15" x14ac:dyDescent="0.3">
      <c r="A207" t="s">
        <v>1793</v>
      </c>
      <c r="B207" t="s">
        <v>1924</v>
      </c>
      <c r="C207" t="s">
        <v>1927</v>
      </c>
      <c r="D207">
        <v>4</v>
      </c>
      <c r="E207" t="s">
        <v>1447</v>
      </c>
      <c r="F207" t="s">
        <v>1930</v>
      </c>
      <c r="G207" t="s">
        <v>1889</v>
      </c>
      <c r="H207" t="s">
        <v>1799</v>
      </c>
      <c r="I207" t="s">
        <v>1799</v>
      </c>
      <c r="J207">
        <v>111834.14064425199</v>
      </c>
      <c r="K207" t="s">
        <v>1799</v>
      </c>
      <c r="L207" t="s">
        <v>1799</v>
      </c>
      <c r="M207" t="s">
        <v>1799</v>
      </c>
      <c r="N207" t="s">
        <v>1799</v>
      </c>
      <c r="O207" s="184" t="str">
        <f>"["&amp;$C207&amp;"]["&amp;$D207&amp;"]["&amp;$F207&amp;"]"</f>
        <v>[S05_AggregateTotalEmissionsByCRF][4][TotalEmissionsTCo2e]</v>
      </c>
    </row>
    <row r="208" spans="1:15" x14ac:dyDescent="0.3">
      <c r="A208" t="s">
        <v>1793</v>
      </c>
      <c r="B208" t="s">
        <v>1924</v>
      </c>
      <c r="C208" t="s">
        <v>1927</v>
      </c>
      <c r="D208">
        <v>5</v>
      </c>
      <c r="E208" t="s">
        <v>1447</v>
      </c>
      <c r="F208" t="s">
        <v>1930</v>
      </c>
      <c r="G208" t="s">
        <v>1889</v>
      </c>
      <c r="H208" t="s">
        <v>1799</v>
      </c>
      <c r="I208" t="s">
        <v>1799</v>
      </c>
      <c r="J208">
        <v>16851.052709911</v>
      </c>
      <c r="K208" t="s">
        <v>1799</v>
      </c>
      <c r="L208" t="s">
        <v>1799</v>
      </c>
      <c r="M208" t="s">
        <v>1799</v>
      </c>
      <c r="N208" t="s">
        <v>1799</v>
      </c>
      <c r="O208" s="184" t="str">
        <f>"["&amp;$C208&amp;"]["&amp;$D208&amp;"]["&amp;$F208&amp;"]"</f>
        <v>[S05_AggregateTotalEmissionsByCRF][5][TotalEmissionsTCo2e]</v>
      </c>
    </row>
    <row r="209" spans="1:15" x14ac:dyDescent="0.3">
      <c r="A209" t="s">
        <v>1793</v>
      </c>
      <c r="B209" t="s">
        <v>1924</v>
      </c>
      <c r="C209" t="s">
        <v>1927</v>
      </c>
      <c r="D209">
        <v>6</v>
      </c>
      <c r="E209" t="s">
        <v>1447</v>
      </c>
      <c r="F209" t="s">
        <v>1930</v>
      </c>
      <c r="G209" t="s">
        <v>1889</v>
      </c>
      <c r="H209" t="s">
        <v>1799</v>
      </c>
      <c r="I209" t="s">
        <v>1799</v>
      </c>
      <c r="J209">
        <v>64898</v>
      </c>
      <c r="K209" t="s">
        <v>1799</v>
      </c>
      <c r="L209" t="s">
        <v>1799</v>
      </c>
      <c r="M209" t="s">
        <v>1799</v>
      </c>
      <c r="N209" t="s">
        <v>1799</v>
      </c>
      <c r="O209" s="184" t="str">
        <f>"["&amp;$C209&amp;"]["&amp;$D209&amp;"]["&amp;$F209&amp;"]"</f>
        <v>[S05_AggregateTotalEmissionsByCRF][6][TotalEmissionsTCo2e]</v>
      </c>
    </row>
    <row r="210" spans="1:15" x14ac:dyDescent="0.3">
      <c r="A210" t="s">
        <v>1793</v>
      </c>
      <c r="B210" t="s">
        <v>1924</v>
      </c>
      <c r="C210" t="s">
        <v>1927</v>
      </c>
      <c r="D210">
        <v>7</v>
      </c>
      <c r="E210" t="s">
        <v>1447</v>
      </c>
      <c r="F210" t="s">
        <v>1930</v>
      </c>
      <c r="G210" t="s">
        <v>1889</v>
      </c>
      <c r="H210" t="s">
        <v>1799</v>
      </c>
      <c r="I210" t="s">
        <v>1799</v>
      </c>
      <c r="J210">
        <v>100902.548615778</v>
      </c>
      <c r="K210" t="s">
        <v>1799</v>
      </c>
      <c r="L210" t="s">
        <v>1799</v>
      </c>
      <c r="M210" t="s">
        <v>1799</v>
      </c>
      <c r="N210" t="s">
        <v>1799</v>
      </c>
      <c r="O210" s="184" t="str">
        <f>"["&amp;$C210&amp;"]["&amp;$D210&amp;"]["&amp;$F210&amp;"]"</f>
        <v>[S05_AggregateTotalEmissionsByCRF][7][TotalEmissionsTCo2e]</v>
      </c>
    </row>
    <row r="211" spans="1:15" x14ac:dyDescent="0.3">
      <c r="A211" t="s">
        <v>1793</v>
      </c>
      <c r="B211" t="s">
        <v>1924</v>
      </c>
      <c r="C211" t="s">
        <v>1927</v>
      </c>
      <c r="D211">
        <v>8</v>
      </c>
      <c r="E211" t="s">
        <v>1447</v>
      </c>
      <c r="F211" t="s">
        <v>1930</v>
      </c>
      <c r="G211" t="s">
        <v>1889</v>
      </c>
      <c r="H211" t="s">
        <v>1799</v>
      </c>
      <c r="I211" t="s">
        <v>1799</v>
      </c>
      <c r="J211">
        <v>13707.655511200101</v>
      </c>
      <c r="K211" t="s">
        <v>1799</v>
      </c>
      <c r="L211" t="s">
        <v>1799</v>
      </c>
      <c r="M211" t="s">
        <v>1799</v>
      </c>
      <c r="N211" t="s">
        <v>1799</v>
      </c>
      <c r="O211" s="184" t="str">
        <f>"["&amp;$C211&amp;"]["&amp;$D211&amp;"]["&amp;$F211&amp;"]"</f>
        <v>[S05_AggregateTotalEmissionsByCRF][8][TotalEmissionsTCo2e]</v>
      </c>
    </row>
    <row r="212" spans="1:15" x14ac:dyDescent="0.3">
      <c r="A212" t="s">
        <v>1793</v>
      </c>
      <c r="B212" t="s">
        <v>1924</v>
      </c>
      <c r="C212" t="s">
        <v>1927</v>
      </c>
      <c r="D212">
        <v>9</v>
      </c>
      <c r="E212" t="s">
        <v>1447</v>
      </c>
      <c r="F212" t="s">
        <v>1930</v>
      </c>
      <c r="G212" t="s">
        <v>1889</v>
      </c>
      <c r="H212" t="s">
        <v>1799</v>
      </c>
      <c r="I212" t="s">
        <v>1799</v>
      </c>
      <c r="J212">
        <v>362688.995780461</v>
      </c>
      <c r="K212" t="s">
        <v>1799</v>
      </c>
      <c r="L212" t="s">
        <v>1799</v>
      </c>
      <c r="M212" t="s">
        <v>1799</v>
      </c>
      <c r="N212" t="s">
        <v>1799</v>
      </c>
      <c r="O212" s="184" t="str">
        <f>"["&amp;$C212&amp;"]["&amp;$D212&amp;"]["&amp;$F212&amp;"]"</f>
        <v>[S05_AggregateTotalEmissionsByCRF][9][TotalEmissionsTCo2e]</v>
      </c>
    </row>
    <row r="213" spans="1:15" x14ac:dyDescent="0.3">
      <c r="A213" t="s">
        <v>1793</v>
      </c>
      <c r="B213" t="s">
        <v>1924</v>
      </c>
      <c r="C213" t="s">
        <v>1927</v>
      </c>
      <c r="D213">
        <v>10</v>
      </c>
      <c r="E213" t="s">
        <v>1447</v>
      </c>
      <c r="F213" t="s">
        <v>1930</v>
      </c>
      <c r="G213" t="s">
        <v>1889</v>
      </c>
      <c r="H213" t="s">
        <v>1799</v>
      </c>
      <c r="I213" t="s">
        <v>1799</v>
      </c>
      <c r="J213">
        <v>36274.7241980861</v>
      </c>
      <c r="K213" t="s">
        <v>1799</v>
      </c>
      <c r="L213" t="s">
        <v>1799</v>
      </c>
      <c r="M213" t="s">
        <v>1799</v>
      </c>
      <c r="N213" t="s">
        <v>1799</v>
      </c>
      <c r="O213" s="184" t="str">
        <f>"["&amp;$C213&amp;"]["&amp;$D213&amp;"]["&amp;$F213&amp;"]"</f>
        <v>[S05_AggregateTotalEmissionsByCRF][10][TotalEmissionsTCo2e]</v>
      </c>
    </row>
    <row r="214" spans="1:15" x14ac:dyDescent="0.3">
      <c r="A214" t="s">
        <v>1793</v>
      </c>
      <c r="B214" t="s">
        <v>1924</v>
      </c>
      <c r="C214" t="s">
        <v>1927</v>
      </c>
      <c r="D214">
        <v>12</v>
      </c>
      <c r="E214" t="s">
        <v>1447</v>
      </c>
      <c r="F214" t="s">
        <v>1930</v>
      </c>
      <c r="G214" t="s">
        <v>1889</v>
      </c>
      <c r="H214" t="s">
        <v>1799</v>
      </c>
      <c r="I214" t="s">
        <v>1799</v>
      </c>
      <c r="J214">
        <v>433686.41847701499</v>
      </c>
      <c r="K214" t="s">
        <v>1799</v>
      </c>
      <c r="L214" t="s">
        <v>1799</v>
      </c>
      <c r="M214" t="s">
        <v>1799</v>
      </c>
      <c r="N214" t="s">
        <v>1799</v>
      </c>
      <c r="O214" s="184" t="str">
        <f>"["&amp;$C214&amp;"]["&amp;$D214&amp;"]["&amp;$F214&amp;"]"</f>
        <v>[S05_AggregateTotalEmissionsByCRF][12][TotalEmissionsTCo2e]</v>
      </c>
    </row>
    <row r="215" spans="1:15" x14ac:dyDescent="0.3">
      <c r="A215" t="s">
        <v>1793</v>
      </c>
      <c r="B215" t="s">
        <v>1924</v>
      </c>
      <c r="C215" t="s">
        <v>1927</v>
      </c>
      <c r="D215">
        <v>13</v>
      </c>
      <c r="E215" t="s">
        <v>1447</v>
      </c>
      <c r="F215" t="s">
        <v>1930</v>
      </c>
      <c r="G215" t="s">
        <v>1889</v>
      </c>
      <c r="H215" t="s">
        <v>1799</v>
      </c>
      <c r="I215" t="s">
        <v>1799</v>
      </c>
      <c r="J215">
        <v>25511.593853906099</v>
      </c>
      <c r="K215" t="s">
        <v>1799</v>
      </c>
      <c r="L215" t="s">
        <v>1799</v>
      </c>
      <c r="M215" t="s">
        <v>1799</v>
      </c>
      <c r="N215" t="s">
        <v>1799</v>
      </c>
      <c r="O215" s="184" t="str">
        <f>"["&amp;$C215&amp;"]["&amp;$D215&amp;"]["&amp;$F215&amp;"]"</f>
        <v>[S05_AggregateTotalEmissionsByCRF][13][TotalEmissionsTCo2e]</v>
      </c>
    </row>
    <row r="216" spans="1:15" x14ac:dyDescent="0.3">
      <c r="A216" t="s">
        <v>1793</v>
      </c>
      <c r="B216" t="s">
        <v>1924</v>
      </c>
      <c r="C216" t="s">
        <v>1927</v>
      </c>
      <c r="D216">
        <v>14</v>
      </c>
      <c r="E216" t="s">
        <v>1447</v>
      </c>
      <c r="F216" t="s">
        <v>1930</v>
      </c>
      <c r="G216" t="s">
        <v>1889</v>
      </c>
      <c r="H216" t="s">
        <v>1799</v>
      </c>
      <c r="I216" t="s">
        <v>1799</v>
      </c>
      <c r="J216">
        <v>16873.824504677999</v>
      </c>
      <c r="K216" t="s">
        <v>1799</v>
      </c>
      <c r="L216" t="s">
        <v>1799</v>
      </c>
      <c r="M216" t="s">
        <v>1799</v>
      </c>
      <c r="N216" t="s">
        <v>1799</v>
      </c>
      <c r="O216" s="184" t="str">
        <f>"["&amp;$C216&amp;"]["&amp;$D216&amp;"]["&amp;$F216&amp;"]"</f>
        <v>[S05_AggregateTotalEmissionsByCRF][14][TotalEmissionsTCo2e]</v>
      </c>
    </row>
    <row r="217" spans="1:15" x14ac:dyDescent="0.3">
      <c r="A217" t="s">
        <v>1793</v>
      </c>
      <c r="B217" t="s">
        <v>1924</v>
      </c>
      <c r="C217" t="s">
        <v>1927</v>
      </c>
      <c r="D217">
        <v>15</v>
      </c>
      <c r="E217" t="s">
        <v>1447</v>
      </c>
      <c r="F217" t="s">
        <v>1930</v>
      </c>
      <c r="G217" t="s">
        <v>1889</v>
      </c>
      <c r="H217" t="s">
        <v>1799</v>
      </c>
      <c r="I217" t="s">
        <v>1799</v>
      </c>
      <c r="J217">
        <v>126248.793269085</v>
      </c>
      <c r="K217" t="s">
        <v>1799</v>
      </c>
      <c r="L217" t="s">
        <v>1799</v>
      </c>
      <c r="M217" t="s">
        <v>1799</v>
      </c>
      <c r="N217" t="s">
        <v>1799</v>
      </c>
      <c r="O217" s="184" t="str">
        <f>"["&amp;$C217&amp;"]["&amp;$D217&amp;"]["&amp;$F217&amp;"]"</f>
        <v>[S05_AggregateTotalEmissionsByCRF][15][TotalEmissionsTCo2e]</v>
      </c>
    </row>
    <row r="218" spans="1:15" x14ac:dyDescent="0.3">
      <c r="A218" t="s">
        <v>1793</v>
      </c>
      <c r="B218" t="s">
        <v>1924</v>
      </c>
      <c r="C218" t="s">
        <v>1927</v>
      </c>
      <c r="D218">
        <v>16</v>
      </c>
      <c r="E218" t="s">
        <v>1447</v>
      </c>
      <c r="F218" t="s">
        <v>1930</v>
      </c>
      <c r="G218" t="s">
        <v>1889</v>
      </c>
      <c r="H218" t="s">
        <v>1799</v>
      </c>
      <c r="I218" t="s">
        <v>1799</v>
      </c>
      <c r="J218">
        <v>733818.91860545997</v>
      </c>
      <c r="K218" t="s">
        <v>1799</v>
      </c>
      <c r="L218" t="s">
        <v>1799</v>
      </c>
      <c r="M218" t="s">
        <v>1799</v>
      </c>
      <c r="N218" t="s">
        <v>1799</v>
      </c>
      <c r="O218" s="184" t="str">
        <f>"["&amp;$C218&amp;"]["&amp;$D218&amp;"]["&amp;$F218&amp;"]"</f>
        <v>[S05_AggregateTotalEmissionsByCRF][16][TotalEmissionsTCo2e]</v>
      </c>
    </row>
    <row r="219" spans="1:15" x14ac:dyDescent="0.3">
      <c r="A219" t="s">
        <v>1793</v>
      </c>
      <c r="B219" t="s">
        <v>1924</v>
      </c>
      <c r="C219" t="s">
        <v>1927</v>
      </c>
      <c r="D219">
        <v>17</v>
      </c>
      <c r="E219" t="s">
        <v>1447</v>
      </c>
      <c r="F219" t="s">
        <v>1930</v>
      </c>
      <c r="G219" t="s">
        <v>1889</v>
      </c>
      <c r="H219" t="s">
        <v>1799</v>
      </c>
      <c r="I219" t="s">
        <v>1799</v>
      </c>
      <c r="J219">
        <v>1221243.12668996</v>
      </c>
      <c r="K219" t="s">
        <v>1799</v>
      </c>
      <c r="L219" t="s">
        <v>1799</v>
      </c>
      <c r="M219" t="s">
        <v>1799</v>
      </c>
      <c r="N219" t="s">
        <v>1799</v>
      </c>
      <c r="O219" s="184" t="str">
        <f>"["&amp;$C219&amp;"]["&amp;$D219&amp;"]["&amp;$F219&amp;"]"</f>
        <v>[S05_AggregateTotalEmissionsByCRF][17][TotalEmissionsTCo2e]</v>
      </c>
    </row>
    <row r="220" spans="1:15" x14ac:dyDescent="0.3">
      <c r="A220" t="s">
        <v>1793</v>
      </c>
      <c r="B220" t="s">
        <v>1924</v>
      </c>
      <c r="C220" t="s">
        <v>1927</v>
      </c>
      <c r="D220">
        <v>18</v>
      </c>
      <c r="E220" t="s">
        <v>1447</v>
      </c>
      <c r="F220" t="s">
        <v>1930</v>
      </c>
      <c r="G220" t="s">
        <v>1889</v>
      </c>
      <c r="H220" t="s">
        <v>1799</v>
      </c>
      <c r="I220" t="s">
        <v>1799</v>
      </c>
      <c r="J220">
        <v>1473896.40717412</v>
      </c>
      <c r="K220" t="s">
        <v>1799</v>
      </c>
      <c r="L220" t="s">
        <v>1799</v>
      </c>
      <c r="M220" t="s">
        <v>1799</v>
      </c>
      <c r="N220" t="s">
        <v>1799</v>
      </c>
      <c r="O220" s="184" t="str">
        <f>"["&amp;$C220&amp;"]["&amp;$D220&amp;"]["&amp;$F220&amp;"]"</f>
        <v>[S05_AggregateTotalEmissionsByCRF][18][TotalEmissionsTCo2e]</v>
      </c>
    </row>
    <row r="221" spans="1:15" x14ac:dyDescent="0.3">
      <c r="A221" t="s">
        <v>1793</v>
      </c>
      <c r="B221" t="s">
        <v>1924</v>
      </c>
      <c r="C221" t="s">
        <v>1927</v>
      </c>
      <c r="D221">
        <v>1</v>
      </c>
      <c r="E221" t="s">
        <v>1447</v>
      </c>
      <c r="F221" t="s">
        <v>1931</v>
      </c>
      <c r="G221" t="s">
        <v>1889</v>
      </c>
      <c r="H221" t="s">
        <v>1799</v>
      </c>
      <c r="I221" t="s">
        <v>1799</v>
      </c>
      <c r="J221">
        <v>745526.08467947796</v>
      </c>
      <c r="K221" t="s">
        <v>1799</v>
      </c>
      <c r="L221" t="s">
        <v>1799</v>
      </c>
      <c r="M221" t="s">
        <v>1799</v>
      </c>
      <c r="N221" t="s">
        <v>1799</v>
      </c>
      <c r="O221" s="184" t="str">
        <f>"["&amp;$C221&amp;"]["&amp;$D221&amp;"]["&amp;$F221&amp;"]"</f>
        <v>[S05_AggregateTotalEmissionsByCRF][1][TotalCombustionEmissionsTCo2e]</v>
      </c>
    </row>
    <row r="222" spans="1:15" x14ac:dyDescent="0.3">
      <c r="A222" t="s">
        <v>1793</v>
      </c>
      <c r="B222" t="s">
        <v>1924</v>
      </c>
      <c r="C222" t="s">
        <v>1927</v>
      </c>
      <c r="D222">
        <v>2</v>
      </c>
      <c r="E222" t="s">
        <v>1447</v>
      </c>
      <c r="F222" t="s">
        <v>1931</v>
      </c>
      <c r="G222" t="s">
        <v>1889</v>
      </c>
      <c r="H222" t="s">
        <v>1799</v>
      </c>
      <c r="I222" t="s">
        <v>1799</v>
      </c>
      <c r="J222">
        <v>145720.27190442701</v>
      </c>
      <c r="K222" t="s">
        <v>1799</v>
      </c>
      <c r="L222" t="s">
        <v>1799</v>
      </c>
      <c r="M222" t="s">
        <v>1799</v>
      </c>
      <c r="N222" t="s">
        <v>1799</v>
      </c>
      <c r="O222" s="184" t="str">
        <f>"["&amp;$C222&amp;"]["&amp;$D222&amp;"]["&amp;$F222&amp;"]"</f>
        <v>[S05_AggregateTotalEmissionsByCRF][2][TotalCombustionEmissionsTCo2e]</v>
      </c>
    </row>
    <row r="223" spans="1:15" x14ac:dyDescent="0.3">
      <c r="A223" t="s">
        <v>1793</v>
      </c>
      <c r="B223" t="s">
        <v>1924</v>
      </c>
      <c r="C223" t="s">
        <v>1927</v>
      </c>
      <c r="D223">
        <v>3</v>
      </c>
      <c r="E223" t="s">
        <v>1447</v>
      </c>
      <c r="F223" t="s">
        <v>1931</v>
      </c>
      <c r="G223" t="s">
        <v>1889</v>
      </c>
      <c r="H223" t="s">
        <v>1799</v>
      </c>
      <c r="I223" t="s">
        <v>1799</v>
      </c>
      <c r="J223">
        <v>25910.505852503298</v>
      </c>
      <c r="K223" t="s">
        <v>1799</v>
      </c>
      <c r="L223" t="s">
        <v>1799</v>
      </c>
      <c r="M223" t="s">
        <v>1799</v>
      </c>
      <c r="N223" t="s">
        <v>1799</v>
      </c>
      <c r="O223" s="184" t="str">
        <f>"["&amp;$C223&amp;"]["&amp;$D223&amp;"]["&amp;$F223&amp;"]"</f>
        <v>[S05_AggregateTotalEmissionsByCRF][3][TotalCombustionEmissionsTCo2e]</v>
      </c>
    </row>
    <row r="224" spans="1:15" x14ac:dyDescent="0.3">
      <c r="A224" t="s">
        <v>1793</v>
      </c>
      <c r="B224" t="s">
        <v>1924</v>
      </c>
      <c r="C224" t="s">
        <v>1927</v>
      </c>
      <c r="D224">
        <v>4</v>
      </c>
      <c r="E224" t="s">
        <v>1447</v>
      </c>
      <c r="F224" t="s">
        <v>1931</v>
      </c>
      <c r="G224" t="s">
        <v>1889</v>
      </c>
      <c r="H224" t="s">
        <v>1799</v>
      </c>
      <c r="I224" t="s">
        <v>1799</v>
      </c>
      <c r="J224">
        <v>82980.748338381803</v>
      </c>
      <c r="K224" t="s">
        <v>1799</v>
      </c>
      <c r="L224" t="s">
        <v>1799</v>
      </c>
      <c r="M224" t="s">
        <v>1799</v>
      </c>
      <c r="N224" t="s">
        <v>1799</v>
      </c>
      <c r="O224" s="184" t="str">
        <f>"["&amp;$C224&amp;"]["&amp;$D224&amp;"]["&amp;$F224&amp;"]"</f>
        <v>[S05_AggregateTotalEmissionsByCRF][4][TotalCombustionEmissionsTCo2e]</v>
      </c>
    </row>
    <row r="225" spans="1:15" x14ac:dyDescent="0.3">
      <c r="A225" t="s">
        <v>1793</v>
      </c>
      <c r="B225" t="s">
        <v>1924</v>
      </c>
      <c r="C225" t="s">
        <v>1927</v>
      </c>
      <c r="D225">
        <v>5</v>
      </c>
      <c r="E225" t="s">
        <v>1447</v>
      </c>
      <c r="F225" t="s">
        <v>1931</v>
      </c>
      <c r="G225" t="s">
        <v>1889</v>
      </c>
      <c r="H225" t="s">
        <v>1799</v>
      </c>
      <c r="I225" t="s">
        <v>1799</v>
      </c>
      <c r="J225">
        <v>16851.052709911</v>
      </c>
      <c r="K225" t="s">
        <v>1799</v>
      </c>
      <c r="L225" t="s">
        <v>1799</v>
      </c>
      <c r="M225" t="s">
        <v>1799</v>
      </c>
      <c r="N225" t="s">
        <v>1799</v>
      </c>
      <c r="O225" s="184" t="str">
        <f>"["&amp;$C225&amp;"]["&amp;$D225&amp;"]["&amp;$F225&amp;"]"</f>
        <v>[S05_AggregateTotalEmissionsByCRF][5][TotalCombustionEmissionsTCo2e]</v>
      </c>
    </row>
    <row r="226" spans="1:15" x14ac:dyDescent="0.3">
      <c r="A226" t="s">
        <v>1793</v>
      </c>
      <c r="B226" t="s">
        <v>1924</v>
      </c>
      <c r="C226" t="s">
        <v>1927</v>
      </c>
      <c r="D226">
        <v>6</v>
      </c>
      <c r="E226" t="s">
        <v>1447</v>
      </c>
      <c r="F226" t="s">
        <v>1931</v>
      </c>
      <c r="G226" t="s">
        <v>1889</v>
      </c>
      <c r="H226" t="s">
        <v>1799</v>
      </c>
      <c r="I226" t="s">
        <v>1799</v>
      </c>
      <c r="J226">
        <v>64898</v>
      </c>
      <c r="K226" t="s">
        <v>1799</v>
      </c>
      <c r="L226" t="s">
        <v>1799</v>
      </c>
      <c r="M226" t="s">
        <v>1799</v>
      </c>
      <c r="N226" t="s">
        <v>1799</v>
      </c>
      <c r="O226" s="184" t="str">
        <f>"["&amp;$C226&amp;"]["&amp;$D226&amp;"]["&amp;$F226&amp;"]"</f>
        <v>[S05_AggregateTotalEmissionsByCRF][6][TotalCombustionEmissionsTCo2e]</v>
      </c>
    </row>
    <row r="227" spans="1:15" x14ac:dyDescent="0.3">
      <c r="A227" t="s">
        <v>1793</v>
      </c>
      <c r="B227" t="s">
        <v>1924</v>
      </c>
      <c r="C227" t="s">
        <v>1927</v>
      </c>
      <c r="D227">
        <v>7</v>
      </c>
      <c r="E227" t="s">
        <v>1447</v>
      </c>
      <c r="F227" t="s">
        <v>1931</v>
      </c>
      <c r="G227" t="s">
        <v>1889</v>
      </c>
      <c r="H227" t="s">
        <v>1799</v>
      </c>
      <c r="I227" t="s">
        <v>1799</v>
      </c>
      <c r="J227">
        <v>100902.548615778</v>
      </c>
      <c r="K227" t="s">
        <v>1799</v>
      </c>
      <c r="L227" t="s">
        <v>1799</v>
      </c>
      <c r="M227" t="s">
        <v>1799</v>
      </c>
      <c r="N227" t="s">
        <v>1799</v>
      </c>
      <c r="O227" s="184" t="str">
        <f>"["&amp;$C227&amp;"]["&amp;$D227&amp;"]["&amp;$F227&amp;"]"</f>
        <v>[S05_AggregateTotalEmissionsByCRF][7][TotalCombustionEmissionsTCo2e]</v>
      </c>
    </row>
    <row r="228" spans="1:15" x14ac:dyDescent="0.3">
      <c r="A228" t="s">
        <v>1793</v>
      </c>
      <c r="B228" t="s">
        <v>1924</v>
      </c>
      <c r="C228" t="s">
        <v>1927</v>
      </c>
      <c r="D228">
        <v>8</v>
      </c>
      <c r="E228" t="s">
        <v>1447</v>
      </c>
      <c r="F228" t="s">
        <v>1931</v>
      </c>
      <c r="G228" t="s">
        <v>1889</v>
      </c>
      <c r="H228" t="s">
        <v>1799</v>
      </c>
      <c r="I228" t="s">
        <v>1799</v>
      </c>
      <c r="J228">
        <v>13707.655511200101</v>
      </c>
      <c r="K228" t="s">
        <v>1799</v>
      </c>
      <c r="L228" t="s">
        <v>1799</v>
      </c>
      <c r="M228" t="s">
        <v>1799</v>
      </c>
      <c r="N228" t="s">
        <v>1799</v>
      </c>
      <c r="O228" s="184" t="str">
        <f>"["&amp;$C228&amp;"]["&amp;$D228&amp;"]["&amp;$F228&amp;"]"</f>
        <v>[S05_AggregateTotalEmissionsByCRF][8][TotalCombustionEmissionsTCo2e]</v>
      </c>
    </row>
    <row r="229" spans="1:15" x14ac:dyDescent="0.3">
      <c r="A229" t="s">
        <v>1793</v>
      </c>
      <c r="B229" t="s">
        <v>1924</v>
      </c>
      <c r="C229" t="s">
        <v>1927</v>
      </c>
      <c r="D229">
        <v>12</v>
      </c>
      <c r="E229" t="s">
        <v>1447</v>
      </c>
      <c r="F229" t="s">
        <v>1931</v>
      </c>
      <c r="G229" t="s">
        <v>1889</v>
      </c>
      <c r="H229" t="s">
        <v>1799</v>
      </c>
      <c r="I229" t="s">
        <v>1799</v>
      </c>
      <c r="J229">
        <v>433686.41847701499</v>
      </c>
      <c r="K229" t="s">
        <v>1799</v>
      </c>
      <c r="L229" t="s">
        <v>1799</v>
      </c>
      <c r="M229" t="s">
        <v>1799</v>
      </c>
      <c r="N229" t="s">
        <v>1799</v>
      </c>
      <c r="O229" s="184" t="str">
        <f>"["&amp;$C229&amp;"]["&amp;$D229&amp;"]["&amp;$F229&amp;"]"</f>
        <v>[S05_AggregateTotalEmissionsByCRF][12][TotalCombustionEmissionsTCo2e]</v>
      </c>
    </row>
    <row r="230" spans="1:15" x14ac:dyDescent="0.3">
      <c r="A230" t="s">
        <v>1793</v>
      </c>
      <c r="B230" t="s">
        <v>1924</v>
      </c>
      <c r="C230" t="s">
        <v>1927</v>
      </c>
      <c r="D230">
        <v>13</v>
      </c>
      <c r="E230" t="s">
        <v>1447</v>
      </c>
      <c r="F230" t="s">
        <v>1931</v>
      </c>
      <c r="G230" t="s">
        <v>1889</v>
      </c>
      <c r="H230" t="s">
        <v>1799</v>
      </c>
      <c r="I230" t="s">
        <v>1799</v>
      </c>
      <c r="J230">
        <v>7631.2817140896004</v>
      </c>
      <c r="K230" t="s">
        <v>1799</v>
      </c>
      <c r="L230" t="s">
        <v>1799</v>
      </c>
      <c r="M230" t="s">
        <v>1799</v>
      </c>
      <c r="N230" t="s">
        <v>1799</v>
      </c>
      <c r="O230" s="184" t="str">
        <f>"["&amp;$C230&amp;"]["&amp;$D230&amp;"]["&amp;$F230&amp;"]"</f>
        <v>[S05_AggregateTotalEmissionsByCRF][13][TotalCombustionEmissionsTCo2e]</v>
      </c>
    </row>
    <row r="231" spans="1:15" x14ac:dyDescent="0.3">
      <c r="A231" t="s">
        <v>1793</v>
      </c>
      <c r="B231" t="s">
        <v>1924</v>
      </c>
      <c r="C231" t="s">
        <v>1927</v>
      </c>
      <c r="D231">
        <v>14</v>
      </c>
      <c r="E231" t="s">
        <v>1447</v>
      </c>
      <c r="F231" t="s">
        <v>1931</v>
      </c>
      <c r="G231" t="s">
        <v>1889</v>
      </c>
      <c r="H231" t="s">
        <v>1799</v>
      </c>
      <c r="I231" t="s">
        <v>1799</v>
      </c>
      <c r="J231">
        <v>16873.824504677999</v>
      </c>
      <c r="K231" t="s">
        <v>1799</v>
      </c>
      <c r="L231" t="s">
        <v>1799</v>
      </c>
      <c r="M231" t="s">
        <v>1799</v>
      </c>
      <c r="N231" t="s">
        <v>1799</v>
      </c>
      <c r="O231" s="184" t="str">
        <f>"["&amp;$C231&amp;"]["&amp;$D231&amp;"]["&amp;$F231&amp;"]"</f>
        <v>[S05_AggregateTotalEmissionsByCRF][14][TotalCombustionEmissionsTCo2e]</v>
      </c>
    </row>
    <row r="232" spans="1:15" x14ac:dyDescent="0.3">
      <c r="A232" t="s">
        <v>1793</v>
      </c>
      <c r="B232" t="s">
        <v>1924</v>
      </c>
      <c r="C232" t="s">
        <v>1927</v>
      </c>
      <c r="D232">
        <v>15</v>
      </c>
      <c r="E232" t="s">
        <v>1447</v>
      </c>
      <c r="F232" t="s">
        <v>1931</v>
      </c>
      <c r="G232" t="s">
        <v>1889</v>
      </c>
      <c r="H232" t="s">
        <v>1799</v>
      </c>
      <c r="I232" t="s">
        <v>1799</v>
      </c>
      <c r="J232">
        <v>126248.793269085</v>
      </c>
      <c r="K232" t="s">
        <v>1799</v>
      </c>
      <c r="L232" t="s">
        <v>1799</v>
      </c>
      <c r="M232" t="s">
        <v>1799</v>
      </c>
      <c r="N232" t="s">
        <v>1799</v>
      </c>
      <c r="O232" s="184" t="str">
        <f>"["&amp;$C232&amp;"]["&amp;$D232&amp;"]["&amp;$F232&amp;"]"</f>
        <v>[S05_AggregateTotalEmissionsByCRF][15][TotalCombustionEmissionsTCo2e]</v>
      </c>
    </row>
    <row r="233" spans="1:15" x14ac:dyDescent="0.3">
      <c r="A233" t="s">
        <v>1793</v>
      </c>
      <c r="B233" t="s">
        <v>1924</v>
      </c>
      <c r="C233" t="s">
        <v>1927</v>
      </c>
      <c r="D233">
        <v>16</v>
      </c>
      <c r="E233" t="s">
        <v>1447</v>
      </c>
      <c r="F233" t="s">
        <v>1931</v>
      </c>
      <c r="G233" t="s">
        <v>1889</v>
      </c>
      <c r="H233" t="s">
        <v>1799</v>
      </c>
      <c r="I233" t="s">
        <v>1799</v>
      </c>
      <c r="J233">
        <v>523485.09428317402</v>
      </c>
      <c r="K233" t="s">
        <v>1799</v>
      </c>
      <c r="L233" t="s">
        <v>1799</v>
      </c>
      <c r="M233" t="s">
        <v>1799</v>
      </c>
      <c r="N233" t="s">
        <v>1799</v>
      </c>
      <c r="O233" s="184" t="str">
        <f>"["&amp;$C233&amp;"]["&amp;$D233&amp;"]["&amp;$F233&amp;"]"</f>
        <v>[S05_AggregateTotalEmissionsByCRF][16][TotalCombustionEmissionsTCo2e]</v>
      </c>
    </row>
    <row r="234" spans="1:15" x14ac:dyDescent="0.3">
      <c r="A234" t="s">
        <v>1793</v>
      </c>
      <c r="B234" t="s">
        <v>1924</v>
      </c>
      <c r="C234" t="s">
        <v>1927</v>
      </c>
      <c r="D234">
        <v>17</v>
      </c>
      <c r="E234" t="s">
        <v>1447</v>
      </c>
      <c r="F234" t="s">
        <v>1931</v>
      </c>
      <c r="G234" t="s">
        <v>1889</v>
      </c>
      <c r="H234" t="s">
        <v>1799</v>
      </c>
      <c r="I234" t="s">
        <v>1799</v>
      </c>
      <c r="J234">
        <v>1218978.84708996</v>
      </c>
      <c r="K234" t="s">
        <v>1799</v>
      </c>
      <c r="L234" t="s">
        <v>1799</v>
      </c>
      <c r="M234" t="s">
        <v>1799</v>
      </c>
      <c r="N234" t="s">
        <v>1799</v>
      </c>
      <c r="O234" s="184" t="str">
        <f>"["&amp;$C234&amp;"]["&amp;$D234&amp;"]["&amp;$F234&amp;"]"</f>
        <v>[S05_AggregateTotalEmissionsByCRF][17][TotalCombustionEmissionsTCo2e]</v>
      </c>
    </row>
    <row r="235" spans="1:15" x14ac:dyDescent="0.3">
      <c r="A235" t="s">
        <v>1793</v>
      </c>
      <c r="B235" t="s">
        <v>1924</v>
      </c>
      <c r="C235" t="s">
        <v>1927</v>
      </c>
      <c r="D235">
        <v>18</v>
      </c>
      <c r="E235" t="s">
        <v>1447</v>
      </c>
      <c r="F235" t="s">
        <v>1931</v>
      </c>
      <c r="G235" t="s">
        <v>1889</v>
      </c>
      <c r="H235" t="s">
        <v>1799</v>
      </c>
      <c r="I235" t="s">
        <v>1799</v>
      </c>
      <c r="J235">
        <v>1473896.40717412</v>
      </c>
      <c r="K235" t="s">
        <v>1799</v>
      </c>
      <c r="L235" t="s">
        <v>1799</v>
      </c>
      <c r="M235" t="s">
        <v>1799</v>
      </c>
      <c r="N235" t="s">
        <v>1799</v>
      </c>
      <c r="O235" s="184" t="str">
        <f>"["&amp;$C235&amp;"]["&amp;$D235&amp;"]["&amp;$F235&amp;"]"</f>
        <v>[S05_AggregateTotalEmissionsByCRF][18][TotalCombustionEmissionsTCo2e]</v>
      </c>
    </row>
    <row r="236" spans="1:15" x14ac:dyDescent="0.3">
      <c r="A236" t="s">
        <v>1793</v>
      </c>
      <c r="B236" t="s">
        <v>1924</v>
      </c>
      <c r="C236" t="s">
        <v>1927</v>
      </c>
      <c r="D236">
        <v>1</v>
      </c>
      <c r="E236" t="s">
        <v>1447</v>
      </c>
      <c r="F236" t="s">
        <v>1932</v>
      </c>
      <c r="G236" t="s">
        <v>1889</v>
      </c>
      <c r="H236" t="s">
        <v>1799</v>
      </c>
      <c r="I236" t="s">
        <v>1799</v>
      </c>
      <c r="J236">
        <v>1204846.73027266</v>
      </c>
      <c r="K236" t="s">
        <v>1799</v>
      </c>
      <c r="L236" t="s">
        <v>1799</v>
      </c>
      <c r="M236" t="s">
        <v>1799</v>
      </c>
      <c r="N236" t="s">
        <v>1799</v>
      </c>
      <c r="O236" s="184" t="str">
        <f>"["&amp;$C236&amp;"]["&amp;$D236&amp;"]["&amp;$F236&amp;"]"</f>
        <v>[S05_AggregateTotalEmissionsByCRF][1][TotalProcessEmissionsTCo2e]</v>
      </c>
    </row>
    <row r="237" spans="1:15" x14ac:dyDescent="0.3">
      <c r="A237" t="s">
        <v>1793</v>
      </c>
      <c r="B237" t="s">
        <v>1924</v>
      </c>
      <c r="C237" t="s">
        <v>1927</v>
      </c>
      <c r="D237">
        <v>2</v>
      </c>
      <c r="E237" t="s">
        <v>1447</v>
      </c>
      <c r="F237" t="s">
        <v>1932</v>
      </c>
      <c r="G237" t="s">
        <v>1889</v>
      </c>
      <c r="H237" t="s">
        <v>1799</v>
      </c>
      <c r="I237" t="s">
        <v>1799</v>
      </c>
      <c r="J237">
        <v>13264.3623132801</v>
      </c>
      <c r="K237" t="s">
        <v>1799</v>
      </c>
      <c r="L237" t="s">
        <v>1799</v>
      </c>
      <c r="M237" t="s">
        <v>1799</v>
      </c>
      <c r="N237" t="s">
        <v>1799</v>
      </c>
      <c r="O237" s="184" t="str">
        <f>"["&amp;$C237&amp;"]["&amp;$D237&amp;"]["&amp;$F237&amp;"]"</f>
        <v>[S05_AggregateTotalEmissionsByCRF][2][TotalProcessEmissionsTCo2e]</v>
      </c>
    </row>
    <row r="238" spans="1:15" x14ac:dyDescent="0.3">
      <c r="A238" t="s">
        <v>1793</v>
      </c>
      <c r="B238" t="s">
        <v>1924</v>
      </c>
      <c r="C238" t="s">
        <v>1927</v>
      </c>
      <c r="D238">
        <v>3</v>
      </c>
      <c r="E238" t="s">
        <v>1447</v>
      </c>
      <c r="F238" t="s">
        <v>1932</v>
      </c>
      <c r="G238" t="s">
        <v>1889</v>
      </c>
      <c r="H238" t="s">
        <v>1799</v>
      </c>
      <c r="I238" t="s">
        <v>1799</v>
      </c>
      <c r="J238">
        <v>122988.829198416</v>
      </c>
      <c r="K238" t="s">
        <v>1799</v>
      </c>
      <c r="L238" t="s">
        <v>1799</v>
      </c>
      <c r="M238" t="s">
        <v>1799</v>
      </c>
      <c r="N238" t="s">
        <v>1799</v>
      </c>
      <c r="O238" s="184" t="str">
        <f>"["&amp;$C238&amp;"]["&amp;$D238&amp;"]["&amp;$F238&amp;"]"</f>
        <v>[S05_AggregateTotalEmissionsByCRF][3][TotalProcessEmissionsTCo2e]</v>
      </c>
    </row>
    <row r="239" spans="1:15" x14ac:dyDescent="0.3">
      <c r="A239" t="s">
        <v>1793</v>
      </c>
      <c r="B239" t="s">
        <v>1924</v>
      </c>
      <c r="C239" t="s">
        <v>1927</v>
      </c>
      <c r="D239">
        <v>4</v>
      </c>
      <c r="E239" t="s">
        <v>1447</v>
      </c>
      <c r="F239" t="s">
        <v>1932</v>
      </c>
      <c r="G239" t="s">
        <v>1889</v>
      </c>
      <c r="H239" t="s">
        <v>1799</v>
      </c>
      <c r="I239" t="s">
        <v>1799</v>
      </c>
      <c r="J239">
        <v>28853.392305869998</v>
      </c>
      <c r="K239" t="s">
        <v>1799</v>
      </c>
      <c r="L239" t="s">
        <v>1799</v>
      </c>
      <c r="M239" t="s">
        <v>1799</v>
      </c>
      <c r="N239" t="s">
        <v>1799</v>
      </c>
      <c r="O239" s="184" t="str">
        <f>"["&amp;$C239&amp;"]["&amp;$D239&amp;"]["&amp;$F239&amp;"]"</f>
        <v>[S05_AggregateTotalEmissionsByCRF][4][TotalProcessEmissionsTCo2e]</v>
      </c>
    </row>
    <row r="240" spans="1:15" x14ac:dyDescent="0.3">
      <c r="A240" t="s">
        <v>1793</v>
      </c>
      <c r="B240" t="s">
        <v>1924</v>
      </c>
      <c r="C240" t="s">
        <v>1927</v>
      </c>
      <c r="D240">
        <v>9</v>
      </c>
      <c r="E240" t="s">
        <v>1447</v>
      </c>
      <c r="F240" t="s">
        <v>1932</v>
      </c>
      <c r="G240" t="s">
        <v>1889</v>
      </c>
      <c r="H240" t="s">
        <v>1799</v>
      </c>
      <c r="I240" t="s">
        <v>1799</v>
      </c>
      <c r="J240">
        <v>362688.995780461</v>
      </c>
      <c r="K240" t="s">
        <v>1799</v>
      </c>
      <c r="L240" t="s">
        <v>1799</v>
      </c>
      <c r="M240" t="s">
        <v>1799</v>
      </c>
      <c r="N240" t="s">
        <v>1799</v>
      </c>
      <c r="O240" s="184" t="str">
        <f>"["&amp;$C240&amp;"]["&amp;$D240&amp;"]["&amp;$F240&amp;"]"</f>
        <v>[S05_AggregateTotalEmissionsByCRF][9][TotalProcessEmissionsTCo2e]</v>
      </c>
    </row>
    <row r="241" spans="1:15" x14ac:dyDescent="0.3">
      <c r="A241" t="s">
        <v>1793</v>
      </c>
      <c r="B241" t="s">
        <v>1924</v>
      </c>
      <c r="C241" t="s">
        <v>1927</v>
      </c>
      <c r="D241">
        <v>10</v>
      </c>
      <c r="E241" t="s">
        <v>1447</v>
      </c>
      <c r="F241" t="s">
        <v>1932</v>
      </c>
      <c r="G241" t="s">
        <v>1889</v>
      </c>
      <c r="H241" t="s">
        <v>1799</v>
      </c>
      <c r="I241" t="s">
        <v>1799</v>
      </c>
      <c r="J241">
        <v>36274.7241980861</v>
      </c>
      <c r="K241" t="s">
        <v>1799</v>
      </c>
      <c r="L241" t="s">
        <v>1799</v>
      </c>
      <c r="M241" t="s">
        <v>1799</v>
      </c>
      <c r="N241" t="s">
        <v>1799</v>
      </c>
      <c r="O241" s="184" t="str">
        <f>"["&amp;$C241&amp;"]["&amp;$D241&amp;"]["&amp;$F241&amp;"]"</f>
        <v>[S05_AggregateTotalEmissionsByCRF][10][TotalProcessEmissionsTCo2e]</v>
      </c>
    </row>
    <row r="242" spans="1:15" x14ac:dyDescent="0.3">
      <c r="A242" t="s">
        <v>1793</v>
      </c>
      <c r="B242" t="s">
        <v>1924</v>
      </c>
      <c r="C242" t="s">
        <v>1927</v>
      </c>
      <c r="D242">
        <v>13</v>
      </c>
      <c r="E242" t="s">
        <v>1447</v>
      </c>
      <c r="F242" t="s">
        <v>1932</v>
      </c>
      <c r="G242" t="s">
        <v>1889</v>
      </c>
      <c r="H242" t="s">
        <v>1799</v>
      </c>
      <c r="I242" t="s">
        <v>1799</v>
      </c>
      <c r="J242">
        <v>17880.312139816499</v>
      </c>
      <c r="K242" t="s">
        <v>1799</v>
      </c>
      <c r="L242" t="s">
        <v>1799</v>
      </c>
      <c r="M242" t="s">
        <v>1799</v>
      </c>
      <c r="N242" t="s">
        <v>1799</v>
      </c>
      <c r="O242" s="184" t="str">
        <f>"["&amp;$C242&amp;"]["&amp;$D242&amp;"]["&amp;$F242&amp;"]"</f>
        <v>[S05_AggregateTotalEmissionsByCRF][13][TotalProcessEmissionsTCo2e]</v>
      </c>
    </row>
    <row r="243" spans="1:15" x14ac:dyDescent="0.3">
      <c r="A243" t="s">
        <v>1793</v>
      </c>
      <c r="B243" t="s">
        <v>1924</v>
      </c>
      <c r="C243" t="s">
        <v>1927</v>
      </c>
      <c r="D243">
        <v>16</v>
      </c>
      <c r="E243" t="s">
        <v>1447</v>
      </c>
      <c r="F243" t="s">
        <v>1932</v>
      </c>
      <c r="G243" t="s">
        <v>1889</v>
      </c>
      <c r="H243" t="s">
        <v>1799</v>
      </c>
      <c r="I243" t="s">
        <v>1799</v>
      </c>
      <c r="J243">
        <v>210333.824322286</v>
      </c>
      <c r="K243" t="s">
        <v>1799</v>
      </c>
      <c r="L243" t="s">
        <v>1799</v>
      </c>
      <c r="M243" t="s">
        <v>1799</v>
      </c>
      <c r="N243" t="s">
        <v>1799</v>
      </c>
      <c r="O243" s="184" t="str">
        <f>"["&amp;$C243&amp;"]["&amp;$D243&amp;"]["&amp;$F243&amp;"]"</f>
        <v>[S05_AggregateTotalEmissionsByCRF][16][TotalProcessEmissionsTCo2e]</v>
      </c>
    </row>
    <row r="244" spans="1:15" x14ac:dyDescent="0.3">
      <c r="A244" t="s">
        <v>1793</v>
      </c>
      <c r="B244" t="s">
        <v>1924</v>
      </c>
      <c r="C244" t="s">
        <v>1927</v>
      </c>
      <c r="D244">
        <v>17</v>
      </c>
      <c r="E244" t="s">
        <v>1447</v>
      </c>
      <c r="F244" t="s">
        <v>1932</v>
      </c>
      <c r="G244" t="s">
        <v>1889</v>
      </c>
      <c r="H244" t="s">
        <v>1799</v>
      </c>
      <c r="I244" t="s">
        <v>1799</v>
      </c>
      <c r="J244">
        <v>2264.2795999999998</v>
      </c>
      <c r="K244" t="s">
        <v>1799</v>
      </c>
      <c r="L244" t="s">
        <v>1799</v>
      </c>
      <c r="M244" t="s">
        <v>1799</v>
      </c>
      <c r="N244" t="s">
        <v>1799</v>
      </c>
      <c r="O244" s="184" t="str">
        <f>"["&amp;$C244&amp;"]["&amp;$D244&amp;"]["&amp;$F244&amp;"]"</f>
        <v>[S05_AggregateTotalEmissionsByCRF][17][TotalProcessEmissionsTCo2e]</v>
      </c>
    </row>
    <row r="245" spans="1:15" x14ac:dyDescent="0.3">
      <c r="A245" t="s">
        <v>1793</v>
      </c>
      <c r="B245" t="s">
        <v>1925</v>
      </c>
      <c r="C245" t="s">
        <v>1933</v>
      </c>
      <c r="D245">
        <v>1</v>
      </c>
      <c r="E245" t="s">
        <v>1447</v>
      </c>
      <c r="F245" t="s">
        <v>1934</v>
      </c>
      <c r="G245" t="s">
        <v>1737</v>
      </c>
      <c r="H245" t="s">
        <v>1799</v>
      </c>
      <c r="I245" t="s">
        <v>1799</v>
      </c>
      <c r="J245" t="s">
        <v>1799</v>
      </c>
      <c r="K245" t="s">
        <v>1799</v>
      </c>
      <c r="L245" t="s">
        <v>1483</v>
      </c>
      <c r="M245" t="s">
        <v>1799</v>
      </c>
      <c r="N245" t="s">
        <v>1799</v>
      </c>
      <c r="O245" s="184" t="str">
        <f>"["&amp;$C245&amp;"]["&amp;$D245&amp;"]["&amp;$F245&amp;"]"</f>
        <v>[S05_DefaultValues][1][InstallationCategory]</v>
      </c>
    </row>
    <row r="246" spans="1:15" x14ac:dyDescent="0.3">
      <c r="A246" t="s">
        <v>1793</v>
      </c>
      <c r="B246" t="s">
        <v>1925</v>
      </c>
      <c r="C246" t="s">
        <v>1933</v>
      </c>
      <c r="D246">
        <v>2</v>
      </c>
      <c r="E246" t="s">
        <v>1447</v>
      </c>
      <c r="F246" t="s">
        <v>1934</v>
      </c>
      <c r="G246" t="s">
        <v>1737</v>
      </c>
      <c r="H246" t="s">
        <v>1799</v>
      </c>
      <c r="I246" t="s">
        <v>1799</v>
      </c>
      <c r="J246" t="s">
        <v>1799</v>
      </c>
      <c r="K246" t="s">
        <v>1799</v>
      </c>
      <c r="L246" t="s">
        <v>1483</v>
      </c>
      <c r="M246" t="s">
        <v>1799</v>
      </c>
      <c r="N246" t="s">
        <v>1799</v>
      </c>
      <c r="O246" s="184" t="str">
        <f>"["&amp;$C246&amp;"]["&amp;$D246&amp;"]["&amp;$F246&amp;"]"</f>
        <v>[S05_DefaultValues][2][InstallationCategory]</v>
      </c>
    </row>
    <row r="247" spans="1:15" x14ac:dyDescent="0.3">
      <c r="A247" t="s">
        <v>1793</v>
      </c>
      <c r="B247" t="s">
        <v>1925</v>
      </c>
      <c r="C247" t="s">
        <v>1933</v>
      </c>
      <c r="D247">
        <v>3</v>
      </c>
      <c r="E247" t="s">
        <v>1447</v>
      </c>
      <c r="F247" t="s">
        <v>1934</v>
      </c>
      <c r="G247" t="s">
        <v>1737</v>
      </c>
      <c r="H247" t="s">
        <v>1799</v>
      </c>
      <c r="I247" t="s">
        <v>1799</v>
      </c>
      <c r="J247" t="s">
        <v>1799</v>
      </c>
      <c r="K247" t="s">
        <v>1799</v>
      </c>
      <c r="L247" t="s">
        <v>1483</v>
      </c>
      <c r="M247" t="s">
        <v>1799</v>
      </c>
      <c r="N247" t="s">
        <v>1799</v>
      </c>
      <c r="O247" s="184" t="str">
        <f>"["&amp;$C247&amp;"]["&amp;$D247&amp;"]["&amp;$F247&amp;"]"</f>
        <v>[S05_DefaultValues][3][InstallationCategory]</v>
      </c>
    </row>
    <row r="248" spans="1:15" x14ac:dyDescent="0.3">
      <c r="A248" t="s">
        <v>1793</v>
      </c>
      <c r="B248" t="s">
        <v>1925</v>
      </c>
      <c r="C248" t="s">
        <v>1933</v>
      </c>
      <c r="D248">
        <v>4</v>
      </c>
      <c r="E248" t="s">
        <v>1447</v>
      </c>
      <c r="F248" t="s">
        <v>1934</v>
      </c>
      <c r="G248" t="s">
        <v>1737</v>
      </c>
      <c r="H248" t="s">
        <v>1799</v>
      </c>
      <c r="I248" t="s">
        <v>1799</v>
      </c>
      <c r="J248" t="s">
        <v>1799</v>
      </c>
      <c r="K248" t="s">
        <v>1799</v>
      </c>
      <c r="L248" t="s">
        <v>1483</v>
      </c>
      <c r="M248" t="s">
        <v>1799</v>
      </c>
      <c r="N248" t="s">
        <v>1799</v>
      </c>
      <c r="O248" s="184" t="str">
        <f>"["&amp;$C248&amp;"]["&amp;$D248&amp;"]["&amp;$F248&amp;"]"</f>
        <v>[S05_DefaultValues][4][InstallationCategory]</v>
      </c>
    </row>
    <row r="249" spans="1:15" x14ac:dyDescent="0.3">
      <c r="A249" t="s">
        <v>1793</v>
      </c>
      <c r="B249" t="s">
        <v>1925</v>
      </c>
      <c r="C249" t="s">
        <v>1933</v>
      </c>
      <c r="D249">
        <v>5</v>
      </c>
      <c r="E249" t="s">
        <v>1447</v>
      </c>
      <c r="F249" t="s">
        <v>1934</v>
      </c>
      <c r="G249" t="s">
        <v>1737</v>
      </c>
      <c r="H249" t="s">
        <v>1799</v>
      </c>
      <c r="I249" t="s">
        <v>1799</v>
      </c>
      <c r="J249" t="s">
        <v>1799</v>
      </c>
      <c r="K249" t="s">
        <v>1799</v>
      </c>
      <c r="L249" t="s">
        <v>1483</v>
      </c>
      <c r="M249" t="s">
        <v>1799</v>
      </c>
      <c r="N249" t="s">
        <v>1799</v>
      </c>
      <c r="O249" s="184" t="str">
        <f>"["&amp;$C249&amp;"]["&amp;$D249&amp;"]["&amp;$F249&amp;"]"</f>
        <v>[S05_DefaultValues][5][InstallationCategory]</v>
      </c>
    </row>
    <row r="250" spans="1:15" x14ac:dyDescent="0.3">
      <c r="A250" t="s">
        <v>1793</v>
      </c>
      <c r="B250" t="s">
        <v>1925</v>
      </c>
      <c r="C250" t="s">
        <v>1933</v>
      </c>
      <c r="D250">
        <v>6</v>
      </c>
      <c r="E250" t="s">
        <v>1447</v>
      </c>
      <c r="F250" t="s">
        <v>1934</v>
      </c>
      <c r="G250" t="s">
        <v>1737</v>
      </c>
      <c r="H250" t="s">
        <v>1799</v>
      </c>
      <c r="I250" t="s">
        <v>1799</v>
      </c>
      <c r="J250" t="s">
        <v>1799</v>
      </c>
      <c r="K250" t="s">
        <v>1799</v>
      </c>
      <c r="L250" t="s">
        <v>1483</v>
      </c>
      <c r="M250" t="s">
        <v>1799</v>
      </c>
      <c r="N250" t="s">
        <v>1799</v>
      </c>
      <c r="O250" s="184" t="str">
        <f>"["&amp;$C250&amp;"]["&amp;$D250&amp;"]["&amp;$F250&amp;"]"</f>
        <v>[S05_DefaultValues][6][InstallationCategory]</v>
      </c>
    </row>
    <row r="251" spans="1:15" x14ac:dyDescent="0.3">
      <c r="A251" t="s">
        <v>1793</v>
      </c>
      <c r="B251" t="s">
        <v>1925</v>
      </c>
      <c r="C251" t="s">
        <v>1933</v>
      </c>
      <c r="D251">
        <v>7</v>
      </c>
      <c r="E251" t="s">
        <v>1447</v>
      </c>
      <c r="F251" t="s">
        <v>1934</v>
      </c>
      <c r="G251" t="s">
        <v>1737</v>
      </c>
      <c r="H251" t="s">
        <v>1799</v>
      </c>
      <c r="I251" t="s">
        <v>1799</v>
      </c>
      <c r="J251" t="s">
        <v>1799</v>
      </c>
      <c r="K251" t="s">
        <v>1799</v>
      </c>
      <c r="L251" t="s">
        <v>1483</v>
      </c>
      <c r="M251" t="s">
        <v>1799</v>
      </c>
      <c r="N251" t="s">
        <v>1799</v>
      </c>
      <c r="O251" s="184" t="str">
        <f>"["&amp;$C251&amp;"]["&amp;$D251&amp;"]["&amp;$F251&amp;"]"</f>
        <v>[S05_DefaultValues][7][InstallationCategory]</v>
      </c>
    </row>
    <row r="252" spans="1:15" x14ac:dyDescent="0.3">
      <c r="A252" t="s">
        <v>1793</v>
      </c>
      <c r="B252" t="s">
        <v>1925</v>
      </c>
      <c r="C252" t="s">
        <v>1933</v>
      </c>
      <c r="D252">
        <v>8</v>
      </c>
      <c r="E252" t="s">
        <v>1447</v>
      </c>
      <c r="F252" t="s">
        <v>1934</v>
      </c>
      <c r="G252" t="s">
        <v>1737</v>
      </c>
      <c r="H252" t="s">
        <v>1799</v>
      </c>
      <c r="I252" t="s">
        <v>1799</v>
      </c>
      <c r="J252" t="s">
        <v>1799</v>
      </c>
      <c r="K252" t="s">
        <v>1799</v>
      </c>
      <c r="L252" t="s">
        <v>1455</v>
      </c>
      <c r="M252" t="s">
        <v>1799</v>
      </c>
      <c r="N252" t="s">
        <v>1799</v>
      </c>
      <c r="O252" s="184" t="str">
        <f>"["&amp;$C252&amp;"]["&amp;$D252&amp;"]["&amp;$F252&amp;"]"</f>
        <v>[S05_DefaultValues][8][InstallationCategory]</v>
      </c>
    </row>
    <row r="253" spans="1:15" x14ac:dyDescent="0.3">
      <c r="A253" t="s">
        <v>1793</v>
      </c>
      <c r="B253" t="s">
        <v>1925</v>
      </c>
      <c r="C253" t="s">
        <v>1933</v>
      </c>
      <c r="D253">
        <v>9</v>
      </c>
      <c r="E253" t="s">
        <v>1447</v>
      </c>
      <c r="F253" t="s">
        <v>1934</v>
      </c>
      <c r="G253" t="s">
        <v>1737</v>
      </c>
      <c r="H253" t="s">
        <v>1799</v>
      </c>
      <c r="I253" t="s">
        <v>1799</v>
      </c>
      <c r="J253" t="s">
        <v>1799</v>
      </c>
      <c r="K253" t="s">
        <v>1799</v>
      </c>
      <c r="L253" t="s">
        <v>1455</v>
      </c>
      <c r="M253" t="s">
        <v>1799</v>
      </c>
      <c r="N253" t="s">
        <v>1799</v>
      </c>
      <c r="O253" s="184" t="str">
        <f>"["&amp;$C253&amp;"]["&amp;$D253&amp;"]["&amp;$F253&amp;"]"</f>
        <v>[S05_DefaultValues][9][InstallationCategory]</v>
      </c>
    </row>
    <row r="254" spans="1:15" x14ac:dyDescent="0.3">
      <c r="A254" t="s">
        <v>1793</v>
      </c>
      <c r="B254" t="s">
        <v>1925</v>
      </c>
      <c r="C254" t="s">
        <v>1933</v>
      </c>
      <c r="D254">
        <v>10</v>
      </c>
      <c r="E254" t="s">
        <v>1447</v>
      </c>
      <c r="F254" t="s">
        <v>1934</v>
      </c>
      <c r="G254" t="s">
        <v>1737</v>
      </c>
      <c r="H254" t="s">
        <v>1799</v>
      </c>
      <c r="I254" t="s">
        <v>1799</v>
      </c>
      <c r="J254" t="s">
        <v>1799</v>
      </c>
      <c r="K254" t="s">
        <v>1799</v>
      </c>
      <c r="L254" t="s">
        <v>1455</v>
      </c>
      <c r="M254" t="s">
        <v>1799</v>
      </c>
      <c r="N254" t="s">
        <v>1799</v>
      </c>
      <c r="O254" s="184" t="str">
        <f>"["&amp;$C254&amp;"]["&amp;$D254&amp;"]["&amp;$F254&amp;"]"</f>
        <v>[S05_DefaultValues][10][InstallationCategory]</v>
      </c>
    </row>
    <row r="255" spans="1:15" x14ac:dyDescent="0.3">
      <c r="A255" t="s">
        <v>1793</v>
      </c>
      <c r="B255" t="s">
        <v>1925</v>
      </c>
      <c r="C255" t="s">
        <v>1933</v>
      </c>
      <c r="D255">
        <v>11</v>
      </c>
      <c r="E255" t="s">
        <v>1447</v>
      </c>
      <c r="F255" t="s">
        <v>1934</v>
      </c>
      <c r="G255" t="s">
        <v>1737</v>
      </c>
      <c r="H255" t="s">
        <v>1799</v>
      </c>
      <c r="I255" t="s">
        <v>1799</v>
      </c>
      <c r="J255" t="s">
        <v>1799</v>
      </c>
      <c r="K255" t="s">
        <v>1799</v>
      </c>
      <c r="L255" t="s">
        <v>1455</v>
      </c>
      <c r="M255" t="s">
        <v>1799</v>
      </c>
      <c r="N255" t="s">
        <v>1799</v>
      </c>
      <c r="O255" s="184" t="str">
        <f>"["&amp;$C255&amp;"]["&amp;$D255&amp;"]["&amp;$F255&amp;"]"</f>
        <v>[S05_DefaultValues][11][InstallationCategory]</v>
      </c>
    </row>
    <row r="256" spans="1:15" x14ac:dyDescent="0.3">
      <c r="A256" t="s">
        <v>1793</v>
      </c>
      <c r="B256" t="s">
        <v>1925</v>
      </c>
      <c r="C256" t="s">
        <v>1933</v>
      </c>
      <c r="D256">
        <v>12</v>
      </c>
      <c r="E256" t="s">
        <v>1447</v>
      </c>
      <c r="F256" t="s">
        <v>1934</v>
      </c>
      <c r="G256" t="s">
        <v>1737</v>
      </c>
      <c r="H256" t="s">
        <v>1799</v>
      </c>
      <c r="I256" t="s">
        <v>1799</v>
      </c>
      <c r="J256" t="s">
        <v>1799</v>
      </c>
      <c r="K256" t="s">
        <v>1799</v>
      </c>
      <c r="L256" t="s">
        <v>1455</v>
      </c>
      <c r="M256" t="s">
        <v>1799</v>
      </c>
      <c r="N256" t="s">
        <v>1799</v>
      </c>
      <c r="O256" s="184" t="str">
        <f>"["&amp;$C256&amp;"]["&amp;$D256&amp;"]["&amp;$F256&amp;"]"</f>
        <v>[S05_DefaultValues][12][InstallationCategory]</v>
      </c>
    </row>
    <row r="257" spans="1:15" x14ac:dyDescent="0.3">
      <c r="A257" t="s">
        <v>1793</v>
      </c>
      <c r="B257" t="s">
        <v>1925</v>
      </c>
      <c r="C257" t="s">
        <v>1933</v>
      </c>
      <c r="D257">
        <v>13</v>
      </c>
      <c r="E257" t="s">
        <v>1447</v>
      </c>
      <c r="F257" t="s">
        <v>1934</v>
      </c>
      <c r="G257" t="s">
        <v>1737</v>
      </c>
      <c r="H257" t="s">
        <v>1799</v>
      </c>
      <c r="I257" t="s">
        <v>1799</v>
      </c>
      <c r="J257" t="s">
        <v>1799</v>
      </c>
      <c r="K257" t="s">
        <v>1799</v>
      </c>
      <c r="L257" t="s">
        <v>1455</v>
      </c>
      <c r="M257" t="s">
        <v>1799</v>
      </c>
      <c r="N257" t="s">
        <v>1799</v>
      </c>
      <c r="O257" s="184" t="str">
        <f>"["&amp;$C257&amp;"]["&amp;$D257&amp;"]["&amp;$F257&amp;"]"</f>
        <v>[S05_DefaultValues][13][InstallationCategory]</v>
      </c>
    </row>
    <row r="258" spans="1:15" x14ac:dyDescent="0.3">
      <c r="A258" t="s">
        <v>1793</v>
      </c>
      <c r="B258" t="s">
        <v>1925</v>
      </c>
      <c r="C258" t="s">
        <v>1933</v>
      </c>
      <c r="D258">
        <v>14</v>
      </c>
      <c r="E258" t="s">
        <v>1447</v>
      </c>
      <c r="F258" t="s">
        <v>1934</v>
      </c>
      <c r="G258" t="s">
        <v>1737</v>
      </c>
      <c r="H258" t="s">
        <v>1799</v>
      </c>
      <c r="I258" t="s">
        <v>1799</v>
      </c>
      <c r="J258" t="s">
        <v>1799</v>
      </c>
      <c r="K258" t="s">
        <v>1799</v>
      </c>
      <c r="L258" t="s">
        <v>1455</v>
      </c>
      <c r="M258" t="s">
        <v>1799</v>
      </c>
      <c r="N258" t="s">
        <v>1799</v>
      </c>
      <c r="O258" s="184" t="str">
        <f>"["&amp;$C258&amp;"]["&amp;$D258&amp;"]["&amp;$F258&amp;"]"</f>
        <v>[S05_DefaultValues][14][InstallationCategory]</v>
      </c>
    </row>
    <row r="259" spans="1:15" x14ac:dyDescent="0.3">
      <c r="A259" t="s">
        <v>1793</v>
      </c>
      <c r="B259" t="s">
        <v>1925</v>
      </c>
      <c r="C259" t="s">
        <v>1933</v>
      </c>
      <c r="D259">
        <v>15</v>
      </c>
      <c r="E259" t="s">
        <v>1447</v>
      </c>
      <c r="F259" t="s">
        <v>1934</v>
      </c>
      <c r="G259" t="s">
        <v>1737</v>
      </c>
      <c r="H259" t="s">
        <v>1799</v>
      </c>
      <c r="I259" t="s">
        <v>1799</v>
      </c>
      <c r="J259" t="s">
        <v>1799</v>
      </c>
      <c r="K259" t="s">
        <v>1799</v>
      </c>
      <c r="L259" t="s">
        <v>1455</v>
      </c>
      <c r="M259" t="s">
        <v>1799</v>
      </c>
      <c r="N259" t="s">
        <v>1799</v>
      </c>
      <c r="O259" s="184" t="str">
        <f>"["&amp;$C259&amp;"]["&amp;$D259&amp;"]["&amp;$F259&amp;"]"</f>
        <v>[S05_DefaultValues][15][InstallationCategory]</v>
      </c>
    </row>
    <row r="260" spans="1:15" x14ac:dyDescent="0.3">
      <c r="A260" t="s">
        <v>1793</v>
      </c>
      <c r="B260" t="s">
        <v>1925</v>
      </c>
      <c r="C260" t="s">
        <v>1933</v>
      </c>
      <c r="D260">
        <v>16</v>
      </c>
      <c r="E260" t="s">
        <v>1447</v>
      </c>
      <c r="F260" t="s">
        <v>1934</v>
      </c>
      <c r="G260" t="s">
        <v>1737</v>
      </c>
      <c r="H260" t="s">
        <v>1799</v>
      </c>
      <c r="I260" t="s">
        <v>1799</v>
      </c>
      <c r="J260" t="s">
        <v>1799</v>
      </c>
      <c r="K260" t="s">
        <v>1799</v>
      </c>
      <c r="L260" t="s">
        <v>1455</v>
      </c>
      <c r="M260" t="s">
        <v>1799</v>
      </c>
      <c r="N260" t="s">
        <v>1799</v>
      </c>
      <c r="O260" s="184" t="str">
        <f>"["&amp;$C260&amp;"]["&amp;$D260&amp;"]["&amp;$F260&amp;"]"</f>
        <v>[S05_DefaultValues][16][InstallationCategory]</v>
      </c>
    </row>
    <row r="261" spans="1:15" x14ac:dyDescent="0.3">
      <c r="A261" t="s">
        <v>1793</v>
      </c>
      <c r="B261" t="s">
        <v>1925</v>
      </c>
      <c r="C261" t="s">
        <v>1933</v>
      </c>
      <c r="D261">
        <v>17</v>
      </c>
      <c r="E261" t="s">
        <v>1447</v>
      </c>
      <c r="F261" t="s">
        <v>1934</v>
      </c>
      <c r="G261" t="s">
        <v>1737</v>
      </c>
      <c r="H261" t="s">
        <v>1799</v>
      </c>
      <c r="I261" t="s">
        <v>1799</v>
      </c>
      <c r="J261" t="s">
        <v>1799</v>
      </c>
      <c r="K261" t="s">
        <v>1799</v>
      </c>
      <c r="L261" t="s">
        <v>1455</v>
      </c>
      <c r="M261" t="s">
        <v>1799</v>
      </c>
      <c r="N261" t="s">
        <v>1799</v>
      </c>
      <c r="O261" s="184" t="str">
        <f>"["&amp;$C261&amp;"]["&amp;$D261&amp;"]["&amp;$F261&amp;"]"</f>
        <v>[S05_DefaultValues][17][InstallationCategory]</v>
      </c>
    </row>
    <row r="262" spans="1:15" x14ac:dyDescent="0.3">
      <c r="A262" t="s">
        <v>1793</v>
      </c>
      <c r="B262" t="s">
        <v>1925</v>
      </c>
      <c r="C262" t="s">
        <v>1933</v>
      </c>
      <c r="D262">
        <v>18</v>
      </c>
      <c r="E262" t="s">
        <v>1447</v>
      </c>
      <c r="F262" t="s">
        <v>1934</v>
      </c>
      <c r="G262" t="s">
        <v>1737</v>
      </c>
      <c r="H262" t="s">
        <v>1799</v>
      </c>
      <c r="I262" t="s">
        <v>1799</v>
      </c>
      <c r="J262" t="s">
        <v>1799</v>
      </c>
      <c r="K262" t="s">
        <v>1799</v>
      </c>
      <c r="L262" t="s">
        <v>1455</v>
      </c>
      <c r="M262" t="s">
        <v>1799</v>
      </c>
      <c r="N262" t="s">
        <v>1799</v>
      </c>
      <c r="O262" s="184" t="str">
        <f>"["&amp;$C262&amp;"]["&amp;$D262&amp;"]["&amp;$F262&amp;"]"</f>
        <v>[S05_DefaultValues][18][InstallationCategory]</v>
      </c>
    </row>
    <row r="263" spans="1:15" x14ac:dyDescent="0.3">
      <c r="A263" t="s">
        <v>1793</v>
      </c>
      <c r="B263" t="s">
        <v>1925</v>
      </c>
      <c r="C263" t="s">
        <v>1933</v>
      </c>
      <c r="D263">
        <v>19</v>
      </c>
      <c r="E263" t="s">
        <v>1447</v>
      </c>
      <c r="F263" t="s">
        <v>1934</v>
      </c>
      <c r="G263" t="s">
        <v>1737</v>
      </c>
      <c r="H263" t="s">
        <v>1799</v>
      </c>
      <c r="I263" t="s">
        <v>1799</v>
      </c>
      <c r="J263" t="s">
        <v>1799</v>
      </c>
      <c r="K263" t="s">
        <v>1799</v>
      </c>
      <c r="L263" t="s">
        <v>1455</v>
      </c>
      <c r="M263" t="s">
        <v>1799</v>
      </c>
      <c r="N263" t="s">
        <v>1799</v>
      </c>
      <c r="O263" s="184" t="str">
        <f>"["&amp;$C263&amp;"]["&amp;$D263&amp;"]["&amp;$F263&amp;"]"</f>
        <v>[S05_DefaultValues][19][InstallationCategory]</v>
      </c>
    </row>
    <row r="264" spans="1:15" x14ac:dyDescent="0.3">
      <c r="A264" t="s">
        <v>1793</v>
      </c>
      <c r="B264" t="s">
        <v>1925</v>
      </c>
      <c r="C264" t="s">
        <v>1933</v>
      </c>
      <c r="D264">
        <v>20</v>
      </c>
      <c r="E264" t="s">
        <v>1447</v>
      </c>
      <c r="F264" t="s">
        <v>1934</v>
      </c>
      <c r="G264" t="s">
        <v>1737</v>
      </c>
      <c r="H264" t="s">
        <v>1799</v>
      </c>
      <c r="I264" t="s">
        <v>1799</v>
      </c>
      <c r="J264" t="s">
        <v>1799</v>
      </c>
      <c r="K264" t="s">
        <v>1799</v>
      </c>
      <c r="L264" t="s">
        <v>1455</v>
      </c>
      <c r="M264" t="s">
        <v>1799</v>
      </c>
      <c r="N264" t="s">
        <v>1799</v>
      </c>
      <c r="O264" s="184" t="str">
        <f>"["&amp;$C264&amp;"]["&amp;$D264&amp;"]["&amp;$F264&amp;"]"</f>
        <v>[S05_DefaultValues][20][InstallationCategory]</v>
      </c>
    </row>
    <row r="265" spans="1:15" x14ac:dyDescent="0.3">
      <c r="A265" t="s">
        <v>1793</v>
      </c>
      <c r="B265" t="s">
        <v>1925</v>
      </c>
      <c r="C265" t="s">
        <v>1933</v>
      </c>
      <c r="D265">
        <v>21</v>
      </c>
      <c r="E265" t="s">
        <v>1447</v>
      </c>
      <c r="F265" t="s">
        <v>1934</v>
      </c>
      <c r="G265" t="s">
        <v>1737</v>
      </c>
      <c r="H265" t="s">
        <v>1799</v>
      </c>
      <c r="I265" t="s">
        <v>1799</v>
      </c>
      <c r="J265" t="s">
        <v>1799</v>
      </c>
      <c r="K265" t="s">
        <v>1799</v>
      </c>
      <c r="L265" t="s">
        <v>1427</v>
      </c>
      <c r="M265" t="s">
        <v>1799</v>
      </c>
      <c r="N265" t="s">
        <v>1799</v>
      </c>
      <c r="O265" s="184" t="str">
        <f>"["&amp;$C265&amp;"]["&amp;$D265&amp;"]["&amp;$F265&amp;"]"</f>
        <v>[S05_DefaultValues][21][InstallationCategory]</v>
      </c>
    </row>
    <row r="266" spans="1:15" x14ac:dyDescent="0.3">
      <c r="A266" t="s">
        <v>1793</v>
      </c>
      <c r="B266" t="s">
        <v>1925</v>
      </c>
      <c r="C266" t="s">
        <v>1933</v>
      </c>
      <c r="D266">
        <v>22</v>
      </c>
      <c r="E266" t="s">
        <v>1447</v>
      </c>
      <c r="F266" t="s">
        <v>1934</v>
      </c>
      <c r="G266" t="s">
        <v>1737</v>
      </c>
      <c r="H266" t="s">
        <v>1799</v>
      </c>
      <c r="I266" t="s">
        <v>1799</v>
      </c>
      <c r="J266" t="s">
        <v>1799</v>
      </c>
      <c r="K266" t="s">
        <v>1799</v>
      </c>
      <c r="L266" t="s">
        <v>1427</v>
      </c>
      <c r="M266" t="s">
        <v>1799</v>
      </c>
      <c r="N266" t="s">
        <v>1799</v>
      </c>
      <c r="O266" s="184" t="str">
        <f>"["&amp;$C266&amp;"]["&amp;$D266&amp;"]["&amp;$F266&amp;"]"</f>
        <v>[S05_DefaultValues][22][InstallationCategory]</v>
      </c>
    </row>
    <row r="267" spans="1:15" x14ac:dyDescent="0.3">
      <c r="A267" t="s">
        <v>1793</v>
      </c>
      <c r="B267" t="s">
        <v>1925</v>
      </c>
      <c r="C267" t="s">
        <v>1933</v>
      </c>
      <c r="D267">
        <v>23</v>
      </c>
      <c r="E267" t="s">
        <v>1447</v>
      </c>
      <c r="F267" t="s">
        <v>1934</v>
      </c>
      <c r="G267" t="s">
        <v>1737</v>
      </c>
      <c r="H267" t="s">
        <v>1799</v>
      </c>
      <c r="I267" t="s">
        <v>1799</v>
      </c>
      <c r="J267" t="s">
        <v>1799</v>
      </c>
      <c r="K267" t="s">
        <v>1799</v>
      </c>
      <c r="L267" t="s">
        <v>1505</v>
      </c>
      <c r="M267" t="s">
        <v>1799</v>
      </c>
      <c r="N267" t="s">
        <v>1799</v>
      </c>
      <c r="O267" s="184" t="str">
        <f>"["&amp;$C267&amp;"]["&amp;$D267&amp;"]["&amp;$F267&amp;"]"</f>
        <v>[S05_DefaultValues][23][InstallationCategory]</v>
      </c>
    </row>
    <row r="268" spans="1:15" x14ac:dyDescent="0.3">
      <c r="A268" t="s">
        <v>1793</v>
      </c>
      <c r="B268" t="s">
        <v>1925</v>
      </c>
      <c r="C268" t="s">
        <v>1933</v>
      </c>
      <c r="D268">
        <v>24</v>
      </c>
      <c r="E268" t="s">
        <v>1447</v>
      </c>
      <c r="F268" t="s">
        <v>1934</v>
      </c>
      <c r="G268" t="s">
        <v>1737</v>
      </c>
      <c r="H268" t="s">
        <v>1799</v>
      </c>
      <c r="I268" t="s">
        <v>1799</v>
      </c>
      <c r="J268" t="s">
        <v>1799</v>
      </c>
      <c r="K268" t="s">
        <v>1799</v>
      </c>
      <c r="L268" t="s">
        <v>1505</v>
      </c>
      <c r="M268" t="s">
        <v>1799</v>
      </c>
      <c r="N268" t="s">
        <v>1799</v>
      </c>
      <c r="O268" s="184" t="str">
        <f>"["&amp;$C268&amp;"]["&amp;$D268&amp;"]["&amp;$F268&amp;"]"</f>
        <v>[S05_DefaultValues][24][InstallationCategory]</v>
      </c>
    </row>
    <row r="269" spans="1:15" x14ac:dyDescent="0.3">
      <c r="A269" t="s">
        <v>1793</v>
      </c>
      <c r="B269" t="s">
        <v>1925</v>
      </c>
      <c r="C269" t="s">
        <v>1933</v>
      </c>
      <c r="D269">
        <v>25</v>
      </c>
      <c r="E269" t="s">
        <v>1447</v>
      </c>
      <c r="F269" t="s">
        <v>1934</v>
      </c>
      <c r="G269" t="s">
        <v>1737</v>
      </c>
      <c r="H269" t="s">
        <v>1799</v>
      </c>
      <c r="I269" t="s">
        <v>1799</v>
      </c>
      <c r="J269" t="s">
        <v>1799</v>
      </c>
      <c r="K269" t="s">
        <v>1799</v>
      </c>
      <c r="L269" t="s">
        <v>1505</v>
      </c>
      <c r="M269" t="s">
        <v>1799</v>
      </c>
      <c r="N269" t="s">
        <v>1799</v>
      </c>
      <c r="O269" s="184" t="str">
        <f>"["&amp;$C269&amp;"]["&amp;$D269&amp;"]["&amp;$F269&amp;"]"</f>
        <v>[S05_DefaultValues][25][InstallationCategory]</v>
      </c>
    </row>
    <row r="270" spans="1:15" x14ac:dyDescent="0.3">
      <c r="A270" t="s">
        <v>1793</v>
      </c>
      <c r="B270" t="s">
        <v>1925</v>
      </c>
      <c r="C270" t="s">
        <v>1933</v>
      </c>
      <c r="D270">
        <v>26</v>
      </c>
      <c r="E270" t="s">
        <v>1447</v>
      </c>
      <c r="F270" t="s">
        <v>1934</v>
      </c>
      <c r="G270" t="s">
        <v>1737</v>
      </c>
      <c r="H270" t="s">
        <v>1799</v>
      </c>
      <c r="I270" t="s">
        <v>1799</v>
      </c>
      <c r="J270" t="s">
        <v>1799</v>
      </c>
      <c r="K270" t="s">
        <v>1799</v>
      </c>
      <c r="L270" t="s">
        <v>1505</v>
      </c>
      <c r="M270" t="s">
        <v>1799</v>
      </c>
      <c r="N270" t="s">
        <v>1799</v>
      </c>
      <c r="O270" s="184" t="str">
        <f>"["&amp;$C270&amp;"]["&amp;$D270&amp;"]["&amp;$F270&amp;"]"</f>
        <v>[S05_DefaultValues][26][InstallationCategory]</v>
      </c>
    </row>
    <row r="271" spans="1:15" x14ac:dyDescent="0.3">
      <c r="A271" t="s">
        <v>1793</v>
      </c>
      <c r="B271" t="s">
        <v>1925</v>
      </c>
      <c r="C271" t="s">
        <v>1933</v>
      </c>
      <c r="D271">
        <v>27</v>
      </c>
      <c r="E271" t="s">
        <v>1447</v>
      </c>
      <c r="F271" t="s">
        <v>1934</v>
      </c>
      <c r="G271" t="s">
        <v>1737</v>
      </c>
      <c r="H271" t="s">
        <v>1799</v>
      </c>
      <c r="I271" t="s">
        <v>1799</v>
      </c>
      <c r="J271" t="s">
        <v>1799</v>
      </c>
      <c r="K271" t="s">
        <v>1799</v>
      </c>
      <c r="L271" t="s">
        <v>1505</v>
      </c>
      <c r="M271" t="s">
        <v>1799</v>
      </c>
      <c r="N271" t="s">
        <v>1799</v>
      </c>
      <c r="O271" s="184" t="str">
        <f>"["&amp;$C271&amp;"]["&amp;$D271&amp;"]["&amp;$F271&amp;"]"</f>
        <v>[S05_DefaultValues][27][InstallationCategory]</v>
      </c>
    </row>
    <row r="272" spans="1:15" x14ac:dyDescent="0.3">
      <c r="A272" t="s">
        <v>1793</v>
      </c>
      <c r="B272" t="s">
        <v>1925</v>
      </c>
      <c r="C272" t="s">
        <v>1933</v>
      </c>
      <c r="D272">
        <v>1</v>
      </c>
      <c r="E272" t="s">
        <v>1447</v>
      </c>
      <c r="F272" t="s">
        <v>1935</v>
      </c>
      <c r="G272" t="s">
        <v>1797</v>
      </c>
      <c r="H272" t="s">
        <v>1936</v>
      </c>
      <c r="I272" t="s">
        <v>1799</v>
      </c>
      <c r="J272" t="s">
        <v>1799</v>
      </c>
      <c r="K272" t="s">
        <v>1799</v>
      </c>
      <c r="L272" t="s">
        <v>1799</v>
      </c>
      <c r="M272" t="s">
        <v>1799</v>
      </c>
      <c r="N272" t="s">
        <v>1799</v>
      </c>
      <c r="O272" s="184" t="str">
        <f>"["&amp;$C272&amp;"]["&amp;$D272&amp;"]["&amp;$F272&amp;"]"</f>
        <v>[S05_DefaultValues][1][FuelMaterialType]</v>
      </c>
    </row>
    <row r="273" spans="1:15" x14ac:dyDescent="0.3">
      <c r="A273" t="s">
        <v>1793</v>
      </c>
      <c r="B273" t="s">
        <v>1925</v>
      </c>
      <c r="C273" t="s">
        <v>1933</v>
      </c>
      <c r="D273">
        <v>2</v>
      </c>
      <c r="E273" t="s">
        <v>1447</v>
      </c>
      <c r="F273" t="s">
        <v>1935</v>
      </c>
      <c r="G273" t="s">
        <v>1797</v>
      </c>
      <c r="H273" t="s">
        <v>1937</v>
      </c>
      <c r="I273" t="s">
        <v>1799</v>
      </c>
      <c r="J273" t="s">
        <v>1799</v>
      </c>
      <c r="K273" t="s">
        <v>1799</v>
      </c>
      <c r="L273" t="s">
        <v>1799</v>
      </c>
      <c r="M273" t="s">
        <v>1799</v>
      </c>
      <c r="N273" t="s">
        <v>1799</v>
      </c>
      <c r="O273" s="184" t="str">
        <f>"["&amp;$C273&amp;"]["&amp;$D273&amp;"]["&amp;$F273&amp;"]"</f>
        <v>[S05_DefaultValues][2][FuelMaterialType]</v>
      </c>
    </row>
    <row r="274" spans="1:15" x14ac:dyDescent="0.3">
      <c r="A274" t="s">
        <v>1793</v>
      </c>
      <c r="B274" t="s">
        <v>1925</v>
      </c>
      <c r="C274" t="s">
        <v>1933</v>
      </c>
      <c r="D274">
        <v>3</v>
      </c>
      <c r="E274" t="s">
        <v>1447</v>
      </c>
      <c r="F274" t="s">
        <v>1935</v>
      </c>
      <c r="G274" t="s">
        <v>1797</v>
      </c>
      <c r="H274" t="s">
        <v>1938</v>
      </c>
      <c r="I274" t="s">
        <v>1799</v>
      </c>
      <c r="J274" t="s">
        <v>1799</v>
      </c>
      <c r="K274" t="s">
        <v>1799</v>
      </c>
      <c r="L274" t="s">
        <v>1799</v>
      </c>
      <c r="M274" t="s">
        <v>1799</v>
      </c>
      <c r="N274" t="s">
        <v>1799</v>
      </c>
      <c r="O274" s="184" t="str">
        <f>"["&amp;$C274&amp;"]["&amp;$D274&amp;"]["&amp;$F274&amp;"]"</f>
        <v>[S05_DefaultValues][3][FuelMaterialType]</v>
      </c>
    </row>
    <row r="275" spans="1:15" x14ac:dyDescent="0.3">
      <c r="A275" t="s">
        <v>1793</v>
      </c>
      <c r="B275" t="s">
        <v>1925</v>
      </c>
      <c r="C275" t="s">
        <v>1933</v>
      </c>
      <c r="D275">
        <v>4</v>
      </c>
      <c r="E275" t="s">
        <v>1447</v>
      </c>
      <c r="F275" t="s">
        <v>1935</v>
      </c>
      <c r="G275" t="s">
        <v>1797</v>
      </c>
      <c r="H275" t="s">
        <v>1939</v>
      </c>
      <c r="I275" t="s">
        <v>1799</v>
      </c>
      <c r="J275" t="s">
        <v>1799</v>
      </c>
      <c r="K275" t="s">
        <v>1799</v>
      </c>
      <c r="L275" t="s">
        <v>1799</v>
      </c>
      <c r="M275" t="s">
        <v>1799</v>
      </c>
      <c r="N275" t="s">
        <v>1799</v>
      </c>
      <c r="O275" s="184" t="str">
        <f>"["&amp;$C275&amp;"]["&amp;$D275&amp;"]["&amp;$F275&amp;"]"</f>
        <v>[S05_DefaultValues][4][FuelMaterialType]</v>
      </c>
    </row>
    <row r="276" spans="1:15" x14ac:dyDescent="0.3">
      <c r="A276" t="s">
        <v>1793</v>
      </c>
      <c r="B276" t="s">
        <v>1925</v>
      </c>
      <c r="C276" t="s">
        <v>1933</v>
      </c>
      <c r="D276">
        <v>5</v>
      </c>
      <c r="E276" t="s">
        <v>1447</v>
      </c>
      <c r="F276" t="s">
        <v>1935</v>
      </c>
      <c r="G276" t="s">
        <v>1797</v>
      </c>
      <c r="H276" t="s">
        <v>1940</v>
      </c>
      <c r="I276" t="s">
        <v>1799</v>
      </c>
      <c r="J276" t="s">
        <v>1799</v>
      </c>
      <c r="K276" t="s">
        <v>1799</v>
      </c>
      <c r="L276" t="s">
        <v>1799</v>
      </c>
      <c r="M276" t="s">
        <v>1799</v>
      </c>
      <c r="N276" t="s">
        <v>1799</v>
      </c>
      <c r="O276" s="184" t="str">
        <f>"["&amp;$C276&amp;"]["&amp;$D276&amp;"]["&amp;$F276&amp;"]"</f>
        <v>[S05_DefaultValues][5][FuelMaterialType]</v>
      </c>
    </row>
    <row r="277" spans="1:15" x14ac:dyDescent="0.3">
      <c r="A277" t="s">
        <v>1793</v>
      </c>
      <c r="B277" t="s">
        <v>1925</v>
      </c>
      <c r="C277" t="s">
        <v>1933</v>
      </c>
      <c r="D277">
        <v>6</v>
      </c>
      <c r="E277" t="s">
        <v>1447</v>
      </c>
      <c r="F277" t="s">
        <v>1935</v>
      </c>
      <c r="G277" t="s">
        <v>1797</v>
      </c>
      <c r="H277" t="s">
        <v>1941</v>
      </c>
      <c r="I277" t="s">
        <v>1799</v>
      </c>
      <c r="J277" t="s">
        <v>1799</v>
      </c>
      <c r="K277" t="s">
        <v>1799</v>
      </c>
      <c r="L277" t="s">
        <v>1799</v>
      </c>
      <c r="M277" t="s">
        <v>1799</v>
      </c>
      <c r="N277" t="s">
        <v>1799</v>
      </c>
      <c r="O277" s="184" t="str">
        <f>"["&amp;$C277&amp;"]["&amp;$D277&amp;"]["&amp;$F277&amp;"]"</f>
        <v>[S05_DefaultValues][6][FuelMaterialType]</v>
      </c>
    </row>
    <row r="278" spans="1:15" x14ac:dyDescent="0.3">
      <c r="A278" t="s">
        <v>1793</v>
      </c>
      <c r="B278" t="s">
        <v>1925</v>
      </c>
      <c r="C278" t="s">
        <v>1933</v>
      </c>
      <c r="D278">
        <v>7</v>
      </c>
      <c r="E278" t="s">
        <v>1447</v>
      </c>
      <c r="F278" t="s">
        <v>1935</v>
      </c>
      <c r="G278" t="s">
        <v>1797</v>
      </c>
      <c r="H278" t="s">
        <v>1942</v>
      </c>
      <c r="I278" t="s">
        <v>1799</v>
      </c>
      <c r="J278" t="s">
        <v>1799</v>
      </c>
      <c r="K278" t="s">
        <v>1799</v>
      </c>
      <c r="L278" t="s">
        <v>1799</v>
      </c>
      <c r="M278" t="s">
        <v>1799</v>
      </c>
      <c r="N278" t="s">
        <v>1799</v>
      </c>
      <c r="O278" s="184" t="str">
        <f>"["&amp;$C278&amp;"]["&amp;$D278&amp;"]["&amp;$F278&amp;"]"</f>
        <v>[S05_DefaultValues][7][FuelMaterialType]</v>
      </c>
    </row>
    <row r="279" spans="1:15" x14ac:dyDescent="0.3">
      <c r="A279" t="s">
        <v>1793</v>
      </c>
      <c r="B279" t="s">
        <v>1925</v>
      </c>
      <c r="C279" t="s">
        <v>1933</v>
      </c>
      <c r="D279">
        <v>8</v>
      </c>
      <c r="E279" t="s">
        <v>1447</v>
      </c>
      <c r="F279" t="s">
        <v>1935</v>
      </c>
      <c r="G279" t="s">
        <v>1797</v>
      </c>
      <c r="H279" t="s">
        <v>1943</v>
      </c>
      <c r="I279" t="s">
        <v>1799</v>
      </c>
      <c r="J279" t="s">
        <v>1799</v>
      </c>
      <c r="K279" t="s">
        <v>1799</v>
      </c>
      <c r="L279" t="s">
        <v>1799</v>
      </c>
      <c r="M279" t="s">
        <v>1799</v>
      </c>
      <c r="N279" t="s">
        <v>1799</v>
      </c>
      <c r="O279" s="184" t="str">
        <f>"["&amp;$C279&amp;"]["&amp;$D279&amp;"]["&amp;$F279&amp;"]"</f>
        <v>[S05_DefaultValues][8][FuelMaterialType]</v>
      </c>
    </row>
    <row r="280" spans="1:15" x14ac:dyDescent="0.3">
      <c r="A280" t="s">
        <v>1793</v>
      </c>
      <c r="B280" t="s">
        <v>1925</v>
      </c>
      <c r="C280" t="s">
        <v>1933</v>
      </c>
      <c r="D280">
        <v>9</v>
      </c>
      <c r="E280" t="s">
        <v>1447</v>
      </c>
      <c r="F280" t="s">
        <v>1935</v>
      </c>
      <c r="G280" t="s">
        <v>1797</v>
      </c>
      <c r="H280" t="s">
        <v>1944</v>
      </c>
      <c r="I280" t="s">
        <v>1799</v>
      </c>
      <c r="J280" t="s">
        <v>1799</v>
      </c>
      <c r="K280" t="s">
        <v>1799</v>
      </c>
      <c r="L280" t="s">
        <v>1799</v>
      </c>
      <c r="M280" t="s">
        <v>1799</v>
      </c>
      <c r="N280" t="s">
        <v>1799</v>
      </c>
      <c r="O280" s="184" t="str">
        <f>"["&amp;$C280&amp;"]["&amp;$D280&amp;"]["&amp;$F280&amp;"]"</f>
        <v>[S05_DefaultValues][9][FuelMaterialType]</v>
      </c>
    </row>
    <row r="281" spans="1:15" x14ac:dyDescent="0.3">
      <c r="A281" t="s">
        <v>1793</v>
      </c>
      <c r="B281" t="s">
        <v>1925</v>
      </c>
      <c r="C281" t="s">
        <v>1933</v>
      </c>
      <c r="D281">
        <v>10</v>
      </c>
      <c r="E281" t="s">
        <v>1447</v>
      </c>
      <c r="F281" t="s">
        <v>1935</v>
      </c>
      <c r="G281" t="s">
        <v>1797</v>
      </c>
      <c r="H281" t="s">
        <v>1942</v>
      </c>
      <c r="I281" t="s">
        <v>1799</v>
      </c>
      <c r="J281" t="s">
        <v>1799</v>
      </c>
      <c r="K281" t="s">
        <v>1799</v>
      </c>
      <c r="L281" t="s">
        <v>1799</v>
      </c>
      <c r="M281" t="s">
        <v>1799</v>
      </c>
      <c r="N281" t="s">
        <v>1799</v>
      </c>
      <c r="O281" s="184" t="str">
        <f>"["&amp;$C281&amp;"]["&amp;$D281&amp;"]["&amp;$F281&amp;"]"</f>
        <v>[S05_DefaultValues][10][FuelMaterialType]</v>
      </c>
    </row>
    <row r="282" spans="1:15" x14ac:dyDescent="0.3">
      <c r="A282" t="s">
        <v>1793</v>
      </c>
      <c r="B282" t="s">
        <v>1925</v>
      </c>
      <c r="C282" t="s">
        <v>1933</v>
      </c>
      <c r="D282">
        <v>11</v>
      </c>
      <c r="E282" t="s">
        <v>1447</v>
      </c>
      <c r="F282" t="s">
        <v>1935</v>
      </c>
      <c r="G282" t="s">
        <v>1797</v>
      </c>
      <c r="H282" t="s">
        <v>1940</v>
      </c>
      <c r="I282" t="s">
        <v>1799</v>
      </c>
      <c r="J282" t="s">
        <v>1799</v>
      </c>
      <c r="K282" t="s">
        <v>1799</v>
      </c>
      <c r="L282" t="s">
        <v>1799</v>
      </c>
      <c r="M282" t="s">
        <v>1799</v>
      </c>
      <c r="N282" t="s">
        <v>1799</v>
      </c>
      <c r="O282" s="184" t="str">
        <f>"["&amp;$C282&amp;"]["&amp;$D282&amp;"]["&amp;$F282&amp;"]"</f>
        <v>[S05_DefaultValues][11][FuelMaterialType]</v>
      </c>
    </row>
    <row r="283" spans="1:15" x14ac:dyDescent="0.3">
      <c r="A283" t="s">
        <v>1793</v>
      </c>
      <c r="B283" t="s">
        <v>1925</v>
      </c>
      <c r="C283" t="s">
        <v>1933</v>
      </c>
      <c r="D283">
        <v>12</v>
      </c>
      <c r="E283" t="s">
        <v>1447</v>
      </c>
      <c r="F283" t="s">
        <v>1935</v>
      </c>
      <c r="G283" t="s">
        <v>1797</v>
      </c>
      <c r="H283" t="s">
        <v>1945</v>
      </c>
      <c r="I283" t="s">
        <v>1799</v>
      </c>
      <c r="J283" t="s">
        <v>1799</v>
      </c>
      <c r="K283" t="s">
        <v>1799</v>
      </c>
      <c r="L283" t="s">
        <v>1799</v>
      </c>
      <c r="M283" t="s">
        <v>1799</v>
      </c>
      <c r="N283" t="s">
        <v>1799</v>
      </c>
      <c r="O283" s="184" t="str">
        <f>"["&amp;$C283&amp;"]["&amp;$D283&amp;"]["&amp;$F283&amp;"]"</f>
        <v>[S05_DefaultValues][12][FuelMaterialType]</v>
      </c>
    </row>
    <row r="284" spans="1:15" x14ac:dyDescent="0.3">
      <c r="A284" t="s">
        <v>1793</v>
      </c>
      <c r="B284" t="s">
        <v>1925</v>
      </c>
      <c r="C284" t="s">
        <v>1933</v>
      </c>
      <c r="D284">
        <v>13</v>
      </c>
      <c r="E284" t="s">
        <v>1447</v>
      </c>
      <c r="F284" t="s">
        <v>1935</v>
      </c>
      <c r="G284" t="s">
        <v>1797</v>
      </c>
      <c r="H284" t="s">
        <v>1946</v>
      </c>
      <c r="I284" t="s">
        <v>1799</v>
      </c>
      <c r="J284" t="s">
        <v>1799</v>
      </c>
      <c r="K284" t="s">
        <v>1799</v>
      </c>
      <c r="L284" t="s">
        <v>1799</v>
      </c>
      <c r="M284" t="s">
        <v>1799</v>
      </c>
      <c r="N284" t="s">
        <v>1799</v>
      </c>
      <c r="O284" s="184" t="str">
        <f>"["&amp;$C284&amp;"]["&amp;$D284&amp;"]["&amp;$F284&amp;"]"</f>
        <v>[S05_DefaultValues][13][FuelMaterialType]</v>
      </c>
    </row>
    <row r="285" spans="1:15" x14ac:dyDescent="0.3">
      <c r="A285" t="s">
        <v>1793</v>
      </c>
      <c r="B285" t="s">
        <v>1925</v>
      </c>
      <c r="C285" t="s">
        <v>1933</v>
      </c>
      <c r="D285">
        <v>14</v>
      </c>
      <c r="E285" t="s">
        <v>1447</v>
      </c>
      <c r="F285" t="s">
        <v>1935</v>
      </c>
      <c r="G285" t="s">
        <v>1797</v>
      </c>
      <c r="H285" t="s">
        <v>1947</v>
      </c>
      <c r="I285" t="s">
        <v>1799</v>
      </c>
      <c r="J285" t="s">
        <v>1799</v>
      </c>
      <c r="K285" t="s">
        <v>1799</v>
      </c>
      <c r="L285" t="s">
        <v>1799</v>
      </c>
      <c r="M285" t="s">
        <v>1799</v>
      </c>
      <c r="N285" t="s">
        <v>1799</v>
      </c>
      <c r="O285" s="184" t="str">
        <f>"["&amp;$C285&amp;"]["&amp;$D285&amp;"]["&amp;$F285&amp;"]"</f>
        <v>[S05_DefaultValues][14][FuelMaterialType]</v>
      </c>
    </row>
    <row r="286" spans="1:15" x14ac:dyDescent="0.3">
      <c r="A286" t="s">
        <v>1793</v>
      </c>
      <c r="B286" t="s">
        <v>1925</v>
      </c>
      <c r="C286" t="s">
        <v>1933</v>
      </c>
      <c r="D286">
        <v>15</v>
      </c>
      <c r="E286" t="s">
        <v>1447</v>
      </c>
      <c r="F286" t="s">
        <v>1935</v>
      </c>
      <c r="G286" t="s">
        <v>1797</v>
      </c>
      <c r="H286" t="s">
        <v>1948</v>
      </c>
      <c r="I286" t="s">
        <v>1799</v>
      </c>
      <c r="J286" t="s">
        <v>1799</v>
      </c>
      <c r="K286" t="s">
        <v>1799</v>
      </c>
      <c r="L286" t="s">
        <v>1799</v>
      </c>
      <c r="M286" t="s">
        <v>1799</v>
      </c>
      <c r="N286" t="s">
        <v>1799</v>
      </c>
      <c r="O286" s="184" t="str">
        <f>"["&amp;$C286&amp;"]["&amp;$D286&amp;"]["&amp;$F286&amp;"]"</f>
        <v>[S05_DefaultValues][15][FuelMaterialType]</v>
      </c>
    </row>
    <row r="287" spans="1:15" x14ac:dyDescent="0.3">
      <c r="A287" t="s">
        <v>1793</v>
      </c>
      <c r="B287" t="s">
        <v>1925</v>
      </c>
      <c r="C287" t="s">
        <v>1933</v>
      </c>
      <c r="D287">
        <v>16</v>
      </c>
      <c r="E287" t="s">
        <v>1447</v>
      </c>
      <c r="F287" t="s">
        <v>1935</v>
      </c>
      <c r="G287" t="s">
        <v>1797</v>
      </c>
      <c r="H287" t="s">
        <v>1949</v>
      </c>
      <c r="I287" t="s">
        <v>1799</v>
      </c>
      <c r="J287" t="s">
        <v>1799</v>
      </c>
      <c r="K287" t="s">
        <v>1799</v>
      </c>
      <c r="L287" t="s">
        <v>1799</v>
      </c>
      <c r="M287" t="s">
        <v>1799</v>
      </c>
      <c r="N287" t="s">
        <v>1799</v>
      </c>
      <c r="O287" s="184" t="str">
        <f>"["&amp;$C287&amp;"]["&amp;$D287&amp;"]["&amp;$F287&amp;"]"</f>
        <v>[S05_DefaultValues][16][FuelMaterialType]</v>
      </c>
    </row>
    <row r="288" spans="1:15" x14ac:dyDescent="0.3">
      <c r="A288" t="s">
        <v>1793</v>
      </c>
      <c r="B288" t="s">
        <v>1925</v>
      </c>
      <c r="C288" t="s">
        <v>1933</v>
      </c>
      <c r="D288">
        <v>17</v>
      </c>
      <c r="E288" t="s">
        <v>1447</v>
      </c>
      <c r="F288" t="s">
        <v>1935</v>
      </c>
      <c r="G288" t="s">
        <v>1797</v>
      </c>
      <c r="H288" t="s">
        <v>1950</v>
      </c>
      <c r="I288" t="s">
        <v>1799</v>
      </c>
      <c r="J288" t="s">
        <v>1799</v>
      </c>
      <c r="K288" t="s">
        <v>1799</v>
      </c>
      <c r="L288" t="s">
        <v>1799</v>
      </c>
      <c r="M288" t="s">
        <v>1799</v>
      </c>
      <c r="N288" t="s">
        <v>1799</v>
      </c>
      <c r="O288" s="184" t="str">
        <f>"["&amp;$C288&amp;"]["&amp;$D288&amp;"]["&amp;$F288&amp;"]"</f>
        <v>[S05_DefaultValues][17][FuelMaterialType]</v>
      </c>
    </row>
    <row r="289" spans="1:15" x14ac:dyDescent="0.3">
      <c r="A289" t="s">
        <v>1793</v>
      </c>
      <c r="B289" t="s">
        <v>1925</v>
      </c>
      <c r="C289" t="s">
        <v>1933</v>
      </c>
      <c r="D289">
        <v>18</v>
      </c>
      <c r="E289" t="s">
        <v>1447</v>
      </c>
      <c r="F289" t="s">
        <v>1935</v>
      </c>
      <c r="G289" t="s">
        <v>1797</v>
      </c>
      <c r="H289" t="s">
        <v>1949</v>
      </c>
      <c r="I289" t="s">
        <v>1799</v>
      </c>
      <c r="J289" t="s">
        <v>1799</v>
      </c>
      <c r="K289" t="s">
        <v>1799</v>
      </c>
      <c r="L289" t="s">
        <v>1799</v>
      </c>
      <c r="M289" t="s">
        <v>1799</v>
      </c>
      <c r="N289" t="s">
        <v>1799</v>
      </c>
      <c r="O289" s="184" t="str">
        <f>"["&amp;$C289&amp;"]["&amp;$D289&amp;"]["&amp;$F289&amp;"]"</f>
        <v>[S05_DefaultValues][18][FuelMaterialType]</v>
      </c>
    </row>
    <row r="290" spans="1:15" x14ac:dyDescent="0.3">
      <c r="A290" t="s">
        <v>1793</v>
      </c>
      <c r="B290" t="s">
        <v>1925</v>
      </c>
      <c r="C290" t="s">
        <v>1933</v>
      </c>
      <c r="D290">
        <v>19</v>
      </c>
      <c r="E290" t="s">
        <v>1447</v>
      </c>
      <c r="F290" t="s">
        <v>1935</v>
      </c>
      <c r="G290" t="s">
        <v>1797</v>
      </c>
      <c r="H290" t="s">
        <v>1950</v>
      </c>
      <c r="I290" t="s">
        <v>1799</v>
      </c>
      <c r="J290" t="s">
        <v>1799</v>
      </c>
      <c r="K290" t="s">
        <v>1799</v>
      </c>
      <c r="L290" t="s">
        <v>1799</v>
      </c>
      <c r="M290" t="s">
        <v>1799</v>
      </c>
      <c r="N290" t="s">
        <v>1799</v>
      </c>
      <c r="O290" s="184" t="str">
        <f>"["&amp;$C290&amp;"]["&amp;$D290&amp;"]["&amp;$F290&amp;"]"</f>
        <v>[S05_DefaultValues][19][FuelMaterialType]</v>
      </c>
    </row>
    <row r="291" spans="1:15" x14ac:dyDescent="0.3">
      <c r="A291" t="s">
        <v>1793</v>
      </c>
      <c r="B291" t="s">
        <v>1925</v>
      </c>
      <c r="C291" t="s">
        <v>1933</v>
      </c>
      <c r="D291">
        <v>20</v>
      </c>
      <c r="E291" t="s">
        <v>1447</v>
      </c>
      <c r="F291" t="s">
        <v>1935</v>
      </c>
      <c r="G291" t="s">
        <v>1797</v>
      </c>
      <c r="H291" t="s">
        <v>1951</v>
      </c>
      <c r="I291" t="s">
        <v>1799</v>
      </c>
      <c r="J291" t="s">
        <v>1799</v>
      </c>
      <c r="K291" t="s">
        <v>1799</v>
      </c>
      <c r="L291" t="s">
        <v>1799</v>
      </c>
      <c r="M291" t="s">
        <v>1799</v>
      </c>
      <c r="N291" t="s">
        <v>1799</v>
      </c>
      <c r="O291" s="184" t="str">
        <f>"["&amp;$C291&amp;"]["&amp;$D291&amp;"]["&amp;$F291&amp;"]"</f>
        <v>[S05_DefaultValues][20][FuelMaterialType]</v>
      </c>
    </row>
    <row r="292" spans="1:15" x14ac:dyDescent="0.3">
      <c r="A292" t="s">
        <v>1793</v>
      </c>
      <c r="B292" t="s">
        <v>1925</v>
      </c>
      <c r="C292" t="s">
        <v>1933</v>
      </c>
      <c r="D292">
        <v>21</v>
      </c>
      <c r="E292" t="s">
        <v>1447</v>
      </c>
      <c r="F292" t="s">
        <v>1935</v>
      </c>
      <c r="G292" t="s">
        <v>1797</v>
      </c>
      <c r="H292" t="s">
        <v>1952</v>
      </c>
      <c r="I292" t="s">
        <v>1799</v>
      </c>
      <c r="J292" t="s">
        <v>1799</v>
      </c>
      <c r="K292" t="s">
        <v>1799</v>
      </c>
      <c r="L292" t="s">
        <v>1799</v>
      </c>
      <c r="M292" t="s">
        <v>1799</v>
      </c>
      <c r="N292" t="s">
        <v>1799</v>
      </c>
      <c r="O292" s="184" t="str">
        <f>"["&amp;$C292&amp;"]["&amp;$D292&amp;"]["&amp;$F292&amp;"]"</f>
        <v>[S05_DefaultValues][21][FuelMaterialType]</v>
      </c>
    </row>
    <row r="293" spans="1:15" x14ac:dyDescent="0.3">
      <c r="A293" t="s">
        <v>1793</v>
      </c>
      <c r="B293" t="s">
        <v>1925</v>
      </c>
      <c r="C293" t="s">
        <v>1933</v>
      </c>
      <c r="D293">
        <v>22</v>
      </c>
      <c r="E293" t="s">
        <v>1447</v>
      </c>
      <c r="F293" t="s">
        <v>1935</v>
      </c>
      <c r="G293" t="s">
        <v>1797</v>
      </c>
      <c r="H293" t="s">
        <v>1940</v>
      </c>
      <c r="I293" t="s">
        <v>1799</v>
      </c>
      <c r="J293" t="s">
        <v>1799</v>
      </c>
      <c r="K293" t="s">
        <v>1799</v>
      </c>
      <c r="L293" t="s">
        <v>1799</v>
      </c>
      <c r="M293" t="s">
        <v>1799</v>
      </c>
      <c r="N293" t="s">
        <v>1799</v>
      </c>
      <c r="O293" s="184" t="str">
        <f>"["&amp;$C293&amp;"]["&amp;$D293&amp;"]["&amp;$F293&amp;"]"</f>
        <v>[S05_DefaultValues][22][FuelMaterialType]</v>
      </c>
    </row>
    <row r="294" spans="1:15" x14ac:dyDescent="0.3">
      <c r="A294" t="s">
        <v>1793</v>
      </c>
      <c r="B294" t="s">
        <v>1925</v>
      </c>
      <c r="C294" t="s">
        <v>1933</v>
      </c>
      <c r="D294">
        <v>23</v>
      </c>
      <c r="E294" t="s">
        <v>1447</v>
      </c>
      <c r="F294" t="s">
        <v>1935</v>
      </c>
      <c r="G294" t="s">
        <v>1797</v>
      </c>
      <c r="H294" t="s">
        <v>1937</v>
      </c>
      <c r="I294" t="s">
        <v>1799</v>
      </c>
      <c r="J294" t="s">
        <v>1799</v>
      </c>
      <c r="K294" t="s">
        <v>1799</v>
      </c>
      <c r="L294" t="s">
        <v>1799</v>
      </c>
      <c r="M294" t="s">
        <v>1799</v>
      </c>
      <c r="N294" t="s">
        <v>1799</v>
      </c>
      <c r="O294" s="184" t="str">
        <f>"["&amp;$C294&amp;"]["&amp;$D294&amp;"]["&amp;$F294&amp;"]"</f>
        <v>[S05_DefaultValues][23][FuelMaterialType]</v>
      </c>
    </row>
    <row r="295" spans="1:15" x14ac:dyDescent="0.3">
      <c r="A295" t="s">
        <v>1793</v>
      </c>
      <c r="B295" t="s">
        <v>1925</v>
      </c>
      <c r="C295" t="s">
        <v>1933</v>
      </c>
      <c r="D295">
        <v>24</v>
      </c>
      <c r="E295" t="s">
        <v>1447</v>
      </c>
      <c r="F295" t="s">
        <v>1935</v>
      </c>
      <c r="G295" t="s">
        <v>1797</v>
      </c>
      <c r="H295" t="s">
        <v>1936</v>
      </c>
      <c r="I295" t="s">
        <v>1799</v>
      </c>
      <c r="J295" t="s">
        <v>1799</v>
      </c>
      <c r="K295" t="s">
        <v>1799</v>
      </c>
      <c r="L295" t="s">
        <v>1799</v>
      </c>
      <c r="M295" t="s">
        <v>1799</v>
      </c>
      <c r="N295" t="s">
        <v>1799</v>
      </c>
      <c r="O295" s="184" t="str">
        <f>"["&amp;$C295&amp;"]["&amp;$D295&amp;"]["&amp;$F295&amp;"]"</f>
        <v>[S05_DefaultValues][24][FuelMaterialType]</v>
      </c>
    </row>
    <row r="296" spans="1:15" x14ac:dyDescent="0.3">
      <c r="A296" t="s">
        <v>1793</v>
      </c>
      <c r="B296" t="s">
        <v>1925</v>
      </c>
      <c r="C296" t="s">
        <v>1933</v>
      </c>
      <c r="D296">
        <v>25</v>
      </c>
      <c r="E296" t="s">
        <v>1447</v>
      </c>
      <c r="F296" t="s">
        <v>1935</v>
      </c>
      <c r="G296" t="s">
        <v>1797</v>
      </c>
      <c r="H296" t="s">
        <v>1936</v>
      </c>
      <c r="I296" t="s">
        <v>1799</v>
      </c>
      <c r="J296" t="s">
        <v>1799</v>
      </c>
      <c r="K296" t="s">
        <v>1799</v>
      </c>
      <c r="L296" t="s">
        <v>1799</v>
      </c>
      <c r="M296" t="s">
        <v>1799</v>
      </c>
      <c r="N296" t="s">
        <v>1799</v>
      </c>
      <c r="O296" s="184" t="str">
        <f>"["&amp;$C296&amp;"]["&amp;$D296&amp;"]["&amp;$F296&amp;"]"</f>
        <v>[S05_DefaultValues][25][FuelMaterialType]</v>
      </c>
    </row>
    <row r="297" spans="1:15" x14ac:dyDescent="0.3">
      <c r="A297" t="s">
        <v>1793</v>
      </c>
      <c r="B297" t="s">
        <v>1925</v>
      </c>
      <c r="C297" t="s">
        <v>1933</v>
      </c>
      <c r="D297">
        <v>26</v>
      </c>
      <c r="E297" t="s">
        <v>1447</v>
      </c>
      <c r="F297" t="s">
        <v>1935</v>
      </c>
      <c r="G297" t="s">
        <v>1797</v>
      </c>
      <c r="H297" t="s">
        <v>1940</v>
      </c>
      <c r="I297" t="s">
        <v>1799</v>
      </c>
      <c r="J297" t="s">
        <v>1799</v>
      </c>
      <c r="K297" t="s">
        <v>1799</v>
      </c>
      <c r="L297" t="s">
        <v>1799</v>
      </c>
      <c r="M297" t="s">
        <v>1799</v>
      </c>
      <c r="N297" t="s">
        <v>1799</v>
      </c>
      <c r="O297" s="184" t="str">
        <f>"["&amp;$C297&amp;"]["&amp;$D297&amp;"]["&amp;$F297&amp;"]"</f>
        <v>[S05_DefaultValues][26][FuelMaterialType]</v>
      </c>
    </row>
    <row r="298" spans="1:15" x14ac:dyDescent="0.3">
      <c r="A298" t="s">
        <v>1793</v>
      </c>
      <c r="B298" t="s">
        <v>1925</v>
      </c>
      <c r="C298" t="s">
        <v>1933</v>
      </c>
      <c r="D298">
        <v>27</v>
      </c>
      <c r="E298" t="s">
        <v>1447</v>
      </c>
      <c r="F298" t="s">
        <v>1935</v>
      </c>
      <c r="G298" t="s">
        <v>1797</v>
      </c>
      <c r="H298" t="s">
        <v>1949</v>
      </c>
      <c r="I298" t="s">
        <v>1799</v>
      </c>
      <c r="J298" t="s">
        <v>1799</v>
      </c>
      <c r="K298" t="s">
        <v>1799</v>
      </c>
      <c r="L298" t="s">
        <v>1799</v>
      </c>
      <c r="M298" t="s">
        <v>1799</v>
      </c>
      <c r="N298" t="s">
        <v>1799</v>
      </c>
      <c r="O298" s="184" t="str">
        <f>"["&amp;$C298&amp;"]["&amp;$D298&amp;"]["&amp;$F298&amp;"]"</f>
        <v>[S05_DefaultValues][27][FuelMaterialType]</v>
      </c>
    </row>
    <row r="299" spans="1:15" x14ac:dyDescent="0.3">
      <c r="A299" t="s">
        <v>1793</v>
      </c>
      <c r="B299" t="s">
        <v>1925</v>
      </c>
      <c r="C299" t="s">
        <v>1933</v>
      </c>
      <c r="D299">
        <v>1</v>
      </c>
      <c r="E299" t="s">
        <v>1447</v>
      </c>
      <c r="F299" t="s">
        <v>1953</v>
      </c>
      <c r="G299" t="s">
        <v>1811</v>
      </c>
      <c r="H299" t="s">
        <v>1799</v>
      </c>
      <c r="I299">
        <v>1</v>
      </c>
      <c r="J299" t="s">
        <v>1799</v>
      </c>
      <c r="K299" t="s">
        <v>1799</v>
      </c>
      <c r="L299" t="s">
        <v>1799</v>
      </c>
      <c r="M299" t="s">
        <v>1799</v>
      </c>
      <c r="N299" t="s">
        <v>1799</v>
      </c>
      <c r="O299" s="184" t="str">
        <f>"["&amp;$C299&amp;"]["&amp;$D299&amp;"]["&amp;$F299&amp;"]"</f>
        <v>[S05_DefaultValues][1][InstallationNumber]</v>
      </c>
    </row>
    <row r="300" spans="1:15" x14ac:dyDescent="0.3">
      <c r="A300" t="s">
        <v>1793</v>
      </c>
      <c r="B300" t="s">
        <v>1925</v>
      </c>
      <c r="C300" t="s">
        <v>1933</v>
      </c>
      <c r="D300">
        <v>2</v>
      </c>
      <c r="E300" t="s">
        <v>1447</v>
      </c>
      <c r="F300" t="s">
        <v>1953</v>
      </c>
      <c r="G300" t="s">
        <v>1811</v>
      </c>
      <c r="H300" t="s">
        <v>1799</v>
      </c>
      <c r="I300">
        <v>1</v>
      </c>
      <c r="J300" t="s">
        <v>1799</v>
      </c>
      <c r="K300" t="s">
        <v>1799</v>
      </c>
      <c r="L300" t="s">
        <v>1799</v>
      </c>
      <c r="M300" t="s">
        <v>1799</v>
      </c>
      <c r="N300" t="s">
        <v>1799</v>
      </c>
      <c r="O300" s="184" t="str">
        <f>"["&amp;$C300&amp;"]["&amp;$D300&amp;"]["&amp;$F300&amp;"]"</f>
        <v>[S05_DefaultValues][2][InstallationNumber]</v>
      </c>
    </row>
    <row r="301" spans="1:15" x14ac:dyDescent="0.3">
      <c r="A301" t="s">
        <v>1793</v>
      </c>
      <c r="B301" t="s">
        <v>1925</v>
      </c>
      <c r="C301" t="s">
        <v>1933</v>
      </c>
      <c r="D301">
        <v>3</v>
      </c>
      <c r="E301" t="s">
        <v>1447</v>
      </c>
      <c r="F301" t="s">
        <v>1953</v>
      </c>
      <c r="G301" t="s">
        <v>1811</v>
      </c>
      <c r="H301" t="s">
        <v>1799</v>
      </c>
      <c r="I301">
        <v>1</v>
      </c>
      <c r="J301" t="s">
        <v>1799</v>
      </c>
      <c r="K301" t="s">
        <v>1799</v>
      </c>
      <c r="L301" t="s">
        <v>1799</v>
      </c>
      <c r="M301" t="s">
        <v>1799</v>
      </c>
      <c r="N301" t="s">
        <v>1799</v>
      </c>
      <c r="O301" s="184" t="str">
        <f>"["&amp;$C301&amp;"]["&amp;$D301&amp;"]["&amp;$F301&amp;"]"</f>
        <v>[S05_DefaultValues][3][InstallationNumber]</v>
      </c>
    </row>
    <row r="302" spans="1:15" x14ac:dyDescent="0.3">
      <c r="A302" t="s">
        <v>1793</v>
      </c>
      <c r="B302" t="s">
        <v>1925</v>
      </c>
      <c r="C302" t="s">
        <v>1933</v>
      </c>
      <c r="D302">
        <v>4</v>
      </c>
      <c r="E302" t="s">
        <v>1447</v>
      </c>
      <c r="F302" t="s">
        <v>1953</v>
      </c>
      <c r="G302" t="s">
        <v>1811</v>
      </c>
      <c r="H302" t="s">
        <v>1799</v>
      </c>
      <c r="I302">
        <v>1</v>
      </c>
      <c r="J302" t="s">
        <v>1799</v>
      </c>
      <c r="K302" t="s">
        <v>1799</v>
      </c>
      <c r="L302" t="s">
        <v>1799</v>
      </c>
      <c r="M302" t="s">
        <v>1799</v>
      </c>
      <c r="N302" t="s">
        <v>1799</v>
      </c>
      <c r="O302" s="184" t="str">
        <f>"["&amp;$C302&amp;"]["&amp;$D302&amp;"]["&amp;$F302&amp;"]"</f>
        <v>[S05_DefaultValues][4][InstallationNumber]</v>
      </c>
    </row>
    <row r="303" spans="1:15" x14ac:dyDescent="0.3">
      <c r="A303" t="s">
        <v>1793</v>
      </c>
      <c r="B303" t="s">
        <v>1925</v>
      </c>
      <c r="C303" t="s">
        <v>1933</v>
      </c>
      <c r="D303">
        <v>5</v>
      </c>
      <c r="E303" t="s">
        <v>1447</v>
      </c>
      <c r="F303" t="s">
        <v>1953</v>
      </c>
      <c r="G303" t="s">
        <v>1811</v>
      </c>
      <c r="H303" t="s">
        <v>1799</v>
      </c>
      <c r="I303">
        <v>2</v>
      </c>
      <c r="J303" t="s">
        <v>1799</v>
      </c>
      <c r="K303" t="s">
        <v>1799</v>
      </c>
      <c r="L303" t="s">
        <v>1799</v>
      </c>
      <c r="M303" t="s">
        <v>1799</v>
      </c>
      <c r="N303" t="s">
        <v>1799</v>
      </c>
      <c r="O303" s="184" t="str">
        <f>"["&amp;$C303&amp;"]["&amp;$D303&amp;"]["&amp;$F303&amp;"]"</f>
        <v>[S05_DefaultValues][5][InstallationNumber]</v>
      </c>
    </row>
    <row r="304" spans="1:15" x14ac:dyDescent="0.3">
      <c r="A304" t="s">
        <v>1793</v>
      </c>
      <c r="B304" t="s">
        <v>1925</v>
      </c>
      <c r="C304" t="s">
        <v>1933</v>
      </c>
      <c r="D304">
        <v>6</v>
      </c>
      <c r="E304" t="s">
        <v>1447</v>
      </c>
      <c r="F304" t="s">
        <v>1953</v>
      </c>
      <c r="G304" t="s">
        <v>1811</v>
      </c>
      <c r="H304" t="s">
        <v>1799</v>
      </c>
      <c r="I304">
        <v>1</v>
      </c>
      <c r="J304" t="s">
        <v>1799</v>
      </c>
      <c r="K304" t="s">
        <v>1799</v>
      </c>
      <c r="L304" t="s">
        <v>1799</v>
      </c>
      <c r="M304" t="s">
        <v>1799</v>
      </c>
      <c r="N304" t="s">
        <v>1799</v>
      </c>
      <c r="O304" s="184" t="str">
        <f>"["&amp;$C304&amp;"]["&amp;$D304&amp;"]["&amp;$F304&amp;"]"</f>
        <v>[S05_DefaultValues][6][InstallationNumber]</v>
      </c>
    </row>
    <row r="305" spans="1:15" x14ac:dyDescent="0.3">
      <c r="A305" t="s">
        <v>1793</v>
      </c>
      <c r="B305" t="s">
        <v>1925</v>
      </c>
      <c r="C305" t="s">
        <v>1933</v>
      </c>
      <c r="D305">
        <v>7</v>
      </c>
      <c r="E305" t="s">
        <v>1447</v>
      </c>
      <c r="F305" t="s">
        <v>1953</v>
      </c>
      <c r="G305" t="s">
        <v>1811</v>
      </c>
      <c r="H305" t="s">
        <v>1799</v>
      </c>
      <c r="I305">
        <v>1</v>
      </c>
      <c r="J305" t="s">
        <v>1799</v>
      </c>
      <c r="K305" t="s">
        <v>1799</v>
      </c>
      <c r="L305" t="s">
        <v>1799</v>
      </c>
      <c r="M305" t="s">
        <v>1799</v>
      </c>
      <c r="N305" t="s">
        <v>1799</v>
      </c>
      <c r="O305" s="184" t="str">
        <f>"["&amp;$C305&amp;"]["&amp;$D305&amp;"]["&amp;$F305&amp;"]"</f>
        <v>[S05_DefaultValues][7][InstallationNumber]</v>
      </c>
    </row>
    <row r="306" spans="1:15" x14ac:dyDescent="0.3">
      <c r="A306" t="s">
        <v>1793</v>
      </c>
      <c r="B306" t="s">
        <v>1925</v>
      </c>
      <c r="C306" t="s">
        <v>1933</v>
      </c>
      <c r="D306">
        <v>8</v>
      </c>
      <c r="E306" t="s">
        <v>1447</v>
      </c>
      <c r="F306" t="s">
        <v>1953</v>
      </c>
      <c r="G306" t="s">
        <v>1811</v>
      </c>
      <c r="H306" t="s">
        <v>1799</v>
      </c>
      <c r="I306">
        <v>1</v>
      </c>
      <c r="J306" t="s">
        <v>1799</v>
      </c>
      <c r="K306" t="s">
        <v>1799</v>
      </c>
      <c r="L306" t="s">
        <v>1799</v>
      </c>
      <c r="M306" t="s">
        <v>1799</v>
      </c>
      <c r="N306" t="s">
        <v>1799</v>
      </c>
      <c r="O306" s="184" t="str">
        <f>"["&amp;$C306&amp;"]["&amp;$D306&amp;"]["&amp;$F306&amp;"]"</f>
        <v>[S05_DefaultValues][8][InstallationNumber]</v>
      </c>
    </row>
    <row r="307" spans="1:15" x14ac:dyDescent="0.3">
      <c r="A307" t="s">
        <v>1793</v>
      </c>
      <c r="B307" t="s">
        <v>1925</v>
      </c>
      <c r="C307" t="s">
        <v>1933</v>
      </c>
      <c r="D307">
        <v>9</v>
      </c>
      <c r="E307" t="s">
        <v>1447</v>
      </c>
      <c r="F307" t="s">
        <v>1953</v>
      </c>
      <c r="G307" t="s">
        <v>1811</v>
      </c>
      <c r="H307" t="s">
        <v>1799</v>
      </c>
      <c r="I307">
        <v>1</v>
      </c>
      <c r="J307" t="s">
        <v>1799</v>
      </c>
      <c r="K307" t="s">
        <v>1799</v>
      </c>
      <c r="L307" t="s">
        <v>1799</v>
      </c>
      <c r="M307" t="s">
        <v>1799</v>
      </c>
      <c r="N307" t="s">
        <v>1799</v>
      </c>
      <c r="O307" s="184" t="str">
        <f>"["&amp;$C307&amp;"]["&amp;$D307&amp;"]["&amp;$F307&amp;"]"</f>
        <v>[S05_DefaultValues][9][InstallationNumber]</v>
      </c>
    </row>
    <row r="308" spans="1:15" x14ac:dyDescent="0.3">
      <c r="A308" t="s">
        <v>1793</v>
      </c>
      <c r="B308" t="s">
        <v>1925</v>
      </c>
      <c r="C308" t="s">
        <v>1933</v>
      </c>
      <c r="D308">
        <v>10</v>
      </c>
      <c r="E308" t="s">
        <v>1447</v>
      </c>
      <c r="F308" t="s">
        <v>1953</v>
      </c>
      <c r="G308" t="s">
        <v>1811</v>
      </c>
      <c r="H308" t="s">
        <v>1799</v>
      </c>
      <c r="I308">
        <v>2</v>
      </c>
      <c r="J308" t="s">
        <v>1799</v>
      </c>
      <c r="K308" t="s">
        <v>1799</v>
      </c>
      <c r="L308" t="s">
        <v>1799</v>
      </c>
      <c r="M308" t="s">
        <v>1799</v>
      </c>
      <c r="N308" t="s">
        <v>1799</v>
      </c>
      <c r="O308" s="184" t="str">
        <f>"["&amp;$C308&amp;"]["&amp;$D308&amp;"]["&amp;$F308&amp;"]"</f>
        <v>[S05_DefaultValues][10][InstallationNumber]</v>
      </c>
    </row>
    <row r="309" spans="1:15" x14ac:dyDescent="0.3">
      <c r="A309" t="s">
        <v>1793</v>
      </c>
      <c r="B309" t="s">
        <v>1925</v>
      </c>
      <c r="C309" t="s">
        <v>1933</v>
      </c>
      <c r="D309">
        <v>11</v>
      </c>
      <c r="E309" t="s">
        <v>1447</v>
      </c>
      <c r="F309" t="s">
        <v>1953</v>
      </c>
      <c r="G309" t="s">
        <v>1811</v>
      </c>
      <c r="H309" t="s">
        <v>1799</v>
      </c>
      <c r="I309">
        <v>7</v>
      </c>
      <c r="J309" t="s">
        <v>1799</v>
      </c>
      <c r="K309" t="s">
        <v>1799</v>
      </c>
      <c r="L309" t="s">
        <v>1799</v>
      </c>
      <c r="M309" t="s">
        <v>1799</v>
      </c>
      <c r="N309" t="s">
        <v>1799</v>
      </c>
      <c r="O309" s="184" t="str">
        <f>"["&amp;$C309&amp;"]["&amp;$D309&amp;"]["&amp;$F309&amp;"]"</f>
        <v>[S05_DefaultValues][11][InstallationNumber]</v>
      </c>
    </row>
    <row r="310" spans="1:15" x14ac:dyDescent="0.3">
      <c r="A310" t="s">
        <v>1793</v>
      </c>
      <c r="B310" t="s">
        <v>1925</v>
      </c>
      <c r="C310" t="s">
        <v>1933</v>
      </c>
      <c r="D310">
        <v>12</v>
      </c>
      <c r="E310" t="s">
        <v>1447</v>
      </c>
      <c r="F310" t="s">
        <v>1953</v>
      </c>
      <c r="G310" t="s">
        <v>1811</v>
      </c>
      <c r="H310" t="s">
        <v>1799</v>
      </c>
      <c r="I310">
        <v>2</v>
      </c>
      <c r="J310" t="s">
        <v>1799</v>
      </c>
      <c r="K310" t="s">
        <v>1799</v>
      </c>
      <c r="L310" t="s">
        <v>1799</v>
      </c>
      <c r="M310" t="s">
        <v>1799</v>
      </c>
      <c r="N310" t="s">
        <v>1799</v>
      </c>
      <c r="O310" s="184" t="str">
        <f>"["&amp;$C310&amp;"]["&amp;$D310&amp;"]["&amp;$F310&amp;"]"</f>
        <v>[S05_DefaultValues][12][InstallationNumber]</v>
      </c>
    </row>
    <row r="311" spans="1:15" x14ac:dyDescent="0.3">
      <c r="A311" t="s">
        <v>1793</v>
      </c>
      <c r="B311" t="s">
        <v>1925</v>
      </c>
      <c r="C311" t="s">
        <v>1933</v>
      </c>
      <c r="D311">
        <v>13</v>
      </c>
      <c r="E311" t="s">
        <v>1447</v>
      </c>
      <c r="F311" t="s">
        <v>1953</v>
      </c>
      <c r="G311" t="s">
        <v>1811</v>
      </c>
      <c r="H311" t="s">
        <v>1799</v>
      </c>
      <c r="I311">
        <v>1</v>
      </c>
      <c r="J311" t="s">
        <v>1799</v>
      </c>
      <c r="K311" t="s">
        <v>1799</v>
      </c>
      <c r="L311" t="s">
        <v>1799</v>
      </c>
      <c r="M311" t="s">
        <v>1799</v>
      </c>
      <c r="N311" t="s">
        <v>1799</v>
      </c>
      <c r="O311" s="184" t="str">
        <f>"["&amp;$C311&amp;"]["&amp;$D311&amp;"]["&amp;$F311&amp;"]"</f>
        <v>[S05_DefaultValues][13][InstallationNumber]</v>
      </c>
    </row>
    <row r="312" spans="1:15" x14ac:dyDescent="0.3">
      <c r="A312" t="s">
        <v>1793</v>
      </c>
      <c r="B312" t="s">
        <v>1925</v>
      </c>
      <c r="C312" t="s">
        <v>1933</v>
      </c>
      <c r="D312">
        <v>14</v>
      </c>
      <c r="E312" t="s">
        <v>1447</v>
      </c>
      <c r="F312" t="s">
        <v>1953</v>
      </c>
      <c r="G312" t="s">
        <v>1811</v>
      </c>
      <c r="H312" t="s">
        <v>1799</v>
      </c>
      <c r="I312">
        <v>4</v>
      </c>
      <c r="J312" t="s">
        <v>1799</v>
      </c>
      <c r="K312" t="s">
        <v>1799</v>
      </c>
      <c r="L312" t="s">
        <v>1799</v>
      </c>
      <c r="M312" t="s">
        <v>1799</v>
      </c>
      <c r="N312" t="s">
        <v>1799</v>
      </c>
      <c r="O312" s="184" t="str">
        <f>"["&amp;$C312&amp;"]["&amp;$D312&amp;"]["&amp;$F312&amp;"]"</f>
        <v>[S05_DefaultValues][14][InstallationNumber]</v>
      </c>
    </row>
    <row r="313" spans="1:15" x14ac:dyDescent="0.3">
      <c r="A313" t="s">
        <v>1793</v>
      </c>
      <c r="B313" t="s">
        <v>1925</v>
      </c>
      <c r="C313" t="s">
        <v>1933</v>
      </c>
      <c r="D313">
        <v>15</v>
      </c>
      <c r="E313" t="s">
        <v>1447</v>
      </c>
      <c r="F313" t="s">
        <v>1953</v>
      </c>
      <c r="G313" t="s">
        <v>1811</v>
      </c>
      <c r="H313" t="s">
        <v>1799</v>
      </c>
      <c r="I313">
        <v>1</v>
      </c>
      <c r="J313" t="s">
        <v>1799</v>
      </c>
      <c r="K313" t="s">
        <v>1799</v>
      </c>
      <c r="L313" t="s">
        <v>1799</v>
      </c>
      <c r="M313" t="s">
        <v>1799</v>
      </c>
      <c r="N313" t="s">
        <v>1799</v>
      </c>
      <c r="O313" s="184" t="str">
        <f>"["&amp;$C313&amp;"]["&amp;$D313&amp;"]["&amp;$F313&amp;"]"</f>
        <v>[S05_DefaultValues][15][InstallationNumber]</v>
      </c>
    </row>
    <row r="314" spans="1:15" x14ac:dyDescent="0.3">
      <c r="A314" t="s">
        <v>1793</v>
      </c>
      <c r="B314" t="s">
        <v>1925</v>
      </c>
      <c r="C314" t="s">
        <v>1933</v>
      </c>
      <c r="D314">
        <v>16</v>
      </c>
      <c r="E314" t="s">
        <v>1447</v>
      </c>
      <c r="F314" t="s">
        <v>1953</v>
      </c>
      <c r="G314" t="s">
        <v>1811</v>
      </c>
      <c r="H314" t="s">
        <v>1799</v>
      </c>
      <c r="I314">
        <v>2</v>
      </c>
      <c r="J314" t="s">
        <v>1799</v>
      </c>
      <c r="K314" t="s">
        <v>1799</v>
      </c>
      <c r="L314" t="s">
        <v>1799</v>
      </c>
      <c r="M314" t="s">
        <v>1799</v>
      </c>
      <c r="N314" t="s">
        <v>1799</v>
      </c>
      <c r="O314" s="184" t="str">
        <f>"["&amp;$C314&amp;"]["&amp;$D314&amp;"]["&amp;$F314&amp;"]"</f>
        <v>[S05_DefaultValues][16][InstallationNumber]</v>
      </c>
    </row>
    <row r="315" spans="1:15" x14ac:dyDescent="0.3">
      <c r="A315" t="s">
        <v>1793</v>
      </c>
      <c r="B315" t="s">
        <v>1925</v>
      </c>
      <c r="C315" t="s">
        <v>1933</v>
      </c>
      <c r="D315">
        <v>17</v>
      </c>
      <c r="E315" t="s">
        <v>1447</v>
      </c>
      <c r="F315" t="s">
        <v>1953</v>
      </c>
      <c r="G315" t="s">
        <v>1811</v>
      </c>
      <c r="H315" t="s">
        <v>1799</v>
      </c>
      <c r="I315">
        <v>1</v>
      </c>
      <c r="J315" t="s">
        <v>1799</v>
      </c>
      <c r="K315" t="s">
        <v>1799</v>
      </c>
      <c r="L315" t="s">
        <v>1799</v>
      </c>
      <c r="M315" t="s">
        <v>1799</v>
      </c>
      <c r="N315" t="s">
        <v>1799</v>
      </c>
      <c r="O315" s="184" t="str">
        <f>"["&amp;$C315&amp;"]["&amp;$D315&amp;"]["&amp;$F315&amp;"]"</f>
        <v>[S05_DefaultValues][17][InstallationNumber]</v>
      </c>
    </row>
    <row r="316" spans="1:15" x14ac:dyDescent="0.3">
      <c r="A316" t="s">
        <v>1793</v>
      </c>
      <c r="B316" t="s">
        <v>1925</v>
      </c>
      <c r="C316" t="s">
        <v>1933</v>
      </c>
      <c r="D316">
        <v>18</v>
      </c>
      <c r="E316" t="s">
        <v>1447</v>
      </c>
      <c r="F316" t="s">
        <v>1953</v>
      </c>
      <c r="G316" t="s">
        <v>1811</v>
      </c>
      <c r="H316" t="s">
        <v>1799</v>
      </c>
      <c r="I316">
        <v>4</v>
      </c>
      <c r="J316" t="s">
        <v>1799</v>
      </c>
      <c r="K316" t="s">
        <v>1799</v>
      </c>
      <c r="L316" t="s">
        <v>1799</v>
      </c>
      <c r="M316" t="s">
        <v>1799</v>
      </c>
      <c r="N316" t="s">
        <v>1799</v>
      </c>
      <c r="O316" s="184" t="str">
        <f>"["&amp;$C316&amp;"]["&amp;$D316&amp;"]["&amp;$F316&amp;"]"</f>
        <v>[S05_DefaultValues][18][InstallationNumber]</v>
      </c>
    </row>
    <row r="317" spans="1:15" x14ac:dyDescent="0.3">
      <c r="A317" t="s">
        <v>1793</v>
      </c>
      <c r="B317" t="s">
        <v>1925</v>
      </c>
      <c r="C317" t="s">
        <v>1933</v>
      </c>
      <c r="D317">
        <v>19</v>
      </c>
      <c r="E317" t="s">
        <v>1447</v>
      </c>
      <c r="F317" t="s">
        <v>1953</v>
      </c>
      <c r="G317" t="s">
        <v>1811</v>
      </c>
      <c r="H317" t="s">
        <v>1799</v>
      </c>
      <c r="I317">
        <v>1</v>
      </c>
      <c r="J317" t="s">
        <v>1799</v>
      </c>
      <c r="K317" t="s">
        <v>1799</v>
      </c>
      <c r="L317" t="s">
        <v>1799</v>
      </c>
      <c r="M317" t="s">
        <v>1799</v>
      </c>
      <c r="N317" t="s">
        <v>1799</v>
      </c>
      <c r="O317" s="184" t="str">
        <f>"["&amp;$C317&amp;"]["&amp;$D317&amp;"]["&amp;$F317&amp;"]"</f>
        <v>[S05_DefaultValues][19][InstallationNumber]</v>
      </c>
    </row>
    <row r="318" spans="1:15" x14ac:dyDescent="0.3">
      <c r="A318" t="s">
        <v>1793</v>
      </c>
      <c r="B318" t="s">
        <v>1925</v>
      </c>
      <c r="C318" t="s">
        <v>1933</v>
      </c>
      <c r="D318">
        <v>20</v>
      </c>
      <c r="E318" t="s">
        <v>1447</v>
      </c>
      <c r="F318" t="s">
        <v>1953</v>
      </c>
      <c r="G318" t="s">
        <v>1811</v>
      </c>
      <c r="H318" t="s">
        <v>1799</v>
      </c>
      <c r="I318">
        <v>1</v>
      </c>
      <c r="J318" t="s">
        <v>1799</v>
      </c>
      <c r="K318" t="s">
        <v>1799</v>
      </c>
      <c r="L318" t="s">
        <v>1799</v>
      </c>
      <c r="M318" t="s">
        <v>1799</v>
      </c>
      <c r="N318" t="s">
        <v>1799</v>
      </c>
      <c r="O318" s="184" t="str">
        <f>"["&amp;$C318&amp;"]["&amp;$D318&amp;"]["&amp;$F318&amp;"]"</f>
        <v>[S05_DefaultValues][20][InstallationNumber]</v>
      </c>
    </row>
    <row r="319" spans="1:15" x14ac:dyDescent="0.3">
      <c r="A319" t="s">
        <v>1793</v>
      </c>
      <c r="B319" t="s">
        <v>1925</v>
      </c>
      <c r="C319" t="s">
        <v>1933</v>
      </c>
      <c r="D319">
        <v>21</v>
      </c>
      <c r="E319" t="s">
        <v>1447</v>
      </c>
      <c r="F319" t="s">
        <v>1953</v>
      </c>
      <c r="G319" t="s">
        <v>1811</v>
      </c>
      <c r="H319" t="s">
        <v>1799</v>
      </c>
      <c r="I319">
        <v>1</v>
      </c>
      <c r="J319" t="s">
        <v>1799</v>
      </c>
      <c r="K319" t="s">
        <v>1799</v>
      </c>
      <c r="L319" t="s">
        <v>1799</v>
      </c>
      <c r="M319" t="s">
        <v>1799</v>
      </c>
      <c r="N319" t="s">
        <v>1799</v>
      </c>
      <c r="O319" s="184" t="str">
        <f>"["&amp;$C319&amp;"]["&amp;$D319&amp;"]["&amp;$F319&amp;"]"</f>
        <v>[S05_DefaultValues][21][InstallationNumber]</v>
      </c>
    </row>
    <row r="320" spans="1:15" x14ac:dyDescent="0.3">
      <c r="A320" t="s">
        <v>1793</v>
      </c>
      <c r="B320" t="s">
        <v>1925</v>
      </c>
      <c r="C320" t="s">
        <v>1933</v>
      </c>
      <c r="D320">
        <v>22</v>
      </c>
      <c r="E320" t="s">
        <v>1447</v>
      </c>
      <c r="F320" t="s">
        <v>1953</v>
      </c>
      <c r="G320" t="s">
        <v>1811</v>
      </c>
      <c r="H320" t="s">
        <v>1799</v>
      </c>
      <c r="I320">
        <v>3</v>
      </c>
      <c r="J320" t="s">
        <v>1799</v>
      </c>
      <c r="K320" t="s">
        <v>1799</v>
      </c>
      <c r="L320" t="s">
        <v>1799</v>
      </c>
      <c r="M320" t="s">
        <v>1799</v>
      </c>
      <c r="N320" t="s">
        <v>1799</v>
      </c>
      <c r="O320" s="184" t="str">
        <f>"["&amp;$C320&amp;"]["&amp;$D320&amp;"]["&amp;$F320&amp;"]"</f>
        <v>[S05_DefaultValues][22][InstallationNumber]</v>
      </c>
    </row>
    <row r="321" spans="1:15" x14ac:dyDescent="0.3">
      <c r="A321" t="s">
        <v>1793</v>
      </c>
      <c r="B321" t="s">
        <v>1925</v>
      </c>
      <c r="C321" t="s">
        <v>1933</v>
      </c>
      <c r="D321">
        <v>23</v>
      </c>
      <c r="E321" t="s">
        <v>1447</v>
      </c>
      <c r="F321" t="s">
        <v>1953</v>
      </c>
      <c r="G321" t="s">
        <v>1811</v>
      </c>
      <c r="H321" t="s">
        <v>1799</v>
      </c>
      <c r="I321">
        <v>6</v>
      </c>
      <c r="J321" t="s">
        <v>1799</v>
      </c>
      <c r="K321" t="s">
        <v>1799</v>
      </c>
      <c r="L321" t="s">
        <v>1799</v>
      </c>
      <c r="M321" t="s">
        <v>1799</v>
      </c>
      <c r="N321" t="s">
        <v>1799</v>
      </c>
      <c r="O321" s="184" t="str">
        <f>"["&amp;$C321&amp;"]["&amp;$D321&amp;"]["&amp;$F321&amp;"]"</f>
        <v>[S05_DefaultValues][23][InstallationNumber]</v>
      </c>
    </row>
    <row r="322" spans="1:15" x14ac:dyDescent="0.3">
      <c r="A322" t="s">
        <v>1793</v>
      </c>
      <c r="B322" t="s">
        <v>1925</v>
      </c>
      <c r="C322" t="s">
        <v>1933</v>
      </c>
      <c r="D322">
        <v>24</v>
      </c>
      <c r="E322" t="s">
        <v>1447</v>
      </c>
      <c r="F322" t="s">
        <v>1953</v>
      </c>
      <c r="G322" t="s">
        <v>1811</v>
      </c>
      <c r="H322" t="s">
        <v>1799</v>
      </c>
      <c r="I322">
        <v>14</v>
      </c>
      <c r="J322" t="s">
        <v>1799</v>
      </c>
      <c r="K322" t="s">
        <v>1799</v>
      </c>
      <c r="L322" t="s">
        <v>1799</v>
      </c>
      <c r="M322" t="s">
        <v>1799</v>
      </c>
      <c r="N322" t="s">
        <v>1799</v>
      </c>
      <c r="O322" s="184" t="str">
        <f>"["&amp;$C322&amp;"]["&amp;$D322&amp;"]["&amp;$F322&amp;"]"</f>
        <v>[S05_DefaultValues][24][InstallationNumber]</v>
      </c>
    </row>
    <row r="323" spans="1:15" x14ac:dyDescent="0.3">
      <c r="A323" t="s">
        <v>1793</v>
      </c>
      <c r="B323" t="s">
        <v>1925</v>
      </c>
      <c r="C323" t="s">
        <v>1933</v>
      </c>
      <c r="D323">
        <v>25</v>
      </c>
      <c r="E323" t="s">
        <v>1447</v>
      </c>
      <c r="F323" t="s">
        <v>1953</v>
      </c>
      <c r="G323" t="s">
        <v>1811</v>
      </c>
      <c r="H323" t="s">
        <v>1799</v>
      </c>
      <c r="I323">
        <v>4</v>
      </c>
      <c r="J323" t="s">
        <v>1799</v>
      </c>
      <c r="K323" t="s">
        <v>1799</v>
      </c>
      <c r="L323" t="s">
        <v>1799</v>
      </c>
      <c r="M323" t="s">
        <v>1799</v>
      </c>
      <c r="N323" t="s">
        <v>1799</v>
      </c>
      <c r="O323" s="184" t="str">
        <f>"["&amp;$C323&amp;"]["&amp;$D323&amp;"]["&amp;$F323&amp;"]"</f>
        <v>[S05_DefaultValues][25][InstallationNumber]</v>
      </c>
    </row>
    <row r="324" spans="1:15" x14ac:dyDescent="0.3">
      <c r="A324" t="s">
        <v>1793</v>
      </c>
      <c r="B324" t="s">
        <v>1925</v>
      </c>
      <c r="C324" t="s">
        <v>1933</v>
      </c>
      <c r="D324">
        <v>26</v>
      </c>
      <c r="E324" t="s">
        <v>1447</v>
      </c>
      <c r="F324" t="s">
        <v>1953</v>
      </c>
      <c r="G324" t="s">
        <v>1811</v>
      </c>
      <c r="H324" t="s">
        <v>1799</v>
      </c>
      <c r="I324">
        <v>11</v>
      </c>
      <c r="J324" t="s">
        <v>1799</v>
      </c>
      <c r="K324" t="s">
        <v>1799</v>
      </c>
      <c r="L324" t="s">
        <v>1799</v>
      </c>
      <c r="M324" t="s">
        <v>1799</v>
      </c>
      <c r="N324" t="s">
        <v>1799</v>
      </c>
      <c r="O324" s="184" t="str">
        <f>"["&amp;$C324&amp;"]["&amp;$D324&amp;"]["&amp;$F324&amp;"]"</f>
        <v>[S05_DefaultValues][26][InstallationNumber]</v>
      </c>
    </row>
    <row r="325" spans="1:15" x14ac:dyDescent="0.3">
      <c r="A325" t="s">
        <v>1793</v>
      </c>
      <c r="B325" t="s">
        <v>1925</v>
      </c>
      <c r="C325" t="s">
        <v>1933</v>
      </c>
      <c r="D325">
        <v>27</v>
      </c>
      <c r="E325" t="s">
        <v>1447</v>
      </c>
      <c r="F325" t="s">
        <v>1953</v>
      </c>
      <c r="G325" t="s">
        <v>1811</v>
      </c>
      <c r="H325" t="s">
        <v>1799</v>
      </c>
      <c r="I325">
        <v>1</v>
      </c>
      <c r="J325" t="s">
        <v>1799</v>
      </c>
      <c r="K325" t="s">
        <v>1799</v>
      </c>
      <c r="L325" t="s">
        <v>1799</v>
      </c>
      <c r="M325" t="s">
        <v>1799</v>
      </c>
      <c r="N325" t="s">
        <v>1799</v>
      </c>
      <c r="O325" s="184" t="str">
        <f>"["&amp;$C325&amp;"]["&amp;$D325&amp;"]["&amp;$F325&amp;"]"</f>
        <v>[S05_DefaultValues][27][InstallationNumber]</v>
      </c>
    </row>
    <row r="326" spans="1:15" x14ac:dyDescent="0.3">
      <c r="A326" t="s">
        <v>1793</v>
      </c>
      <c r="B326" t="s">
        <v>1954</v>
      </c>
      <c r="C326" t="s">
        <v>1955</v>
      </c>
      <c r="D326">
        <v>1</v>
      </c>
      <c r="E326" t="s">
        <v>1447</v>
      </c>
      <c r="F326" t="s">
        <v>1956</v>
      </c>
      <c r="G326" t="s">
        <v>1797</v>
      </c>
      <c r="H326" t="s">
        <v>1957</v>
      </c>
      <c r="I326" t="s">
        <v>1799</v>
      </c>
      <c r="J326" t="s">
        <v>1799</v>
      </c>
      <c r="K326" t="s">
        <v>1799</v>
      </c>
      <c r="L326" t="s">
        <v>1799</v>
      </c>
      <c r="M326" t="s">
        <v>1799</v>
      </c>
      <c r="N326" t="s">
        <v>1799</v>
      </c>
      <c r="O326" s="184" t="str">
        <f>"["&amp;$C326&amp;"]["&amp;$D326&amp;"]["&amp;$F326&amp;"]"</f>
        <v>[S05_InstallationDifferentSamplingFrequency][1][SamplingFuelMaterial]</v>
      </c>
    </row>
    <row r="327" spans="1:15" x14ac:dyDescent="0.3">
      <c r="A327" t="s">
        <v>1793</v>
      </c>
      <c r="B327" t="s">
        <v>1954</v>
      </c>
      <c r="C327" t="s">
        <v>1955</v>
      </c>
      <c r="D327">
        <v>2</v>
      </c>
      <c r="E327" t="s">
        <v>1447</v>
      </c>
      <c r="F327" t="s">
        <v>1956</v>
      </c>
      <c r="G327" t="s">
        <v>1797</v>
      </c>
      <c r="H327" t="s">
        <v>1958</v>
      </c>
      <c r="I327" t="s">
        <v>1799</v>
      </c>
      <c r="J327" t="s">
        <v>1799</v>
      </c>
      <c r="K327" t="s">
        <v>1799</v>
      </c>
      <c r="L327" t="s">
        <v>1799</v>
      </c>
      <c r="M327" t="s">
        <v>1799</v>
      </c>
      <c r="N327" t="s">
        <v>1799</v>
      </c>
      <c r="O327" s="184" t="str">
        <f>"["&amp;$C327&amp;"]["&amp;$D327&amp;"]["&amp;$F327&amp;"]"</f>
        <v>[S05_InstallationDifferentSamplingFrequency][2][SamplingFuelMaterial]</v>
      </c>
    </row>
    <row r="328" spans="1:15" x14ac:dyDescent="0.3">
      <c r="A328" t="s">
        <v>1793</v>
      </c>
      <c r="B328" t="s">
        <v>1954</v>
      </c>
      <c r="C328" t="s">
        <v>1955</v>
      </c>
      <c r="D328">
        <v>1</v>
      </c>
      <c r="E328" t="s">
        <v>1447</v>
      </c>
      <c r="F328" t="s">
        <v>1959</v>
      </c>
      <c r="G328" t="s">
        <v>1811</v>
      </c>
      <c r="H328" t="s">
        <v>1799</v>
      </c>
      <c r="I328">
        <v>2</v>
      </c>
      <c r="J328" t="s">
        <v>1799</v>
      </c>
      <c r="K328" t="s">
        <v>1799</v>
      </c>
      <c r="L328" t="s">
        <v>1799</v>
      </c>
      <c r="M328" t="s">
        <v>1799</v>
      </c>
      <c r="N328" t="s">
        <v>1799</v>
      </c>
      <c r="O328" s="184" t="str">
        <f>"["&amp;$C328&amp;"]["&amp;$D328&amp;"]["&amp;$F328&amp;"]"</f>
        <v>[S05_InstallationDifferentSamplingFrequency][1][CountInstallationsDiffFrequency]</v>
      </c>
    </row>
    <row r="329" spans="1:15" x14ac:dyDescent="0.3">
      <c r="A329" t="s">
        <v>1793</v>
      </c>
      <c r="B329" t="s">
        <v>1954</v>
      </c>
      <c r="C329" t="s">
        <v>1955</v>
      </c>
      <c r="D329">
        <v>2</v>
      </c>
      <c r="E329" t="s">
        <v>1447</v>
      </c>
      <c r="F329" t="s">
        <v>1959</v>
      </c>
      <c r="G329" t="s">
        <v>1811</v>
      </c>
      <c r="H329" t="s">
        <v>1799</v>
      </c>
      <c r="I329">
        <v>1</v>
      </c>
      <c r="J329" t="s">
        <v>1799</v>
      </c>
      <c r="K329" t="s">
        <v>1799</v>
      </c>
      <c r="L329" t="s">
        <v>1799</v>
      </c>
      <c r="M329" t="s">
        <v>1799</v>
      </c>
      <c r="N329" t="s">
        <v>1799</v>
      </c>
      <c r="O329" s="184" t="str">
        <f>"["&amp;$C329&amp;"]["&amp;$D329&amp;"]["&amp;$F329&amp;"]"</f>
        <v>[S05_InstallationDifferentSamplingFrequency][2][CountInstallationsDiffFrequency]</v>
      </c>
    </row>
    <row r="330" spans="1:15" x14ac:dyDescent="0.3">
      <c r="A330" t="s">
        <v>1793</v>
      </c>
      <c r="B330" t="s">
        <v>1954</v>
      </c>
      <c r="C330" t="s">
        <v>1955</v>
      </c>
      <c r="D330">
        <v>1</v>
      </c>
      <c r="E330" t="s">
        <v>1447</v>
      </c>
      <c r="F330" t="s">
        <v>1960</v>
      </c>
      <c r="G330" t="s">
        <v>1811</v>
      </c>
      <c r="H330" t="s">
        <v>1799</v>
      </c>
      <c r="I330">
        <v>1</v>
      </c>
      <c r="J330" t="s">
        <v>1799</v>
      </c>
      <c r="K330" t="s">
        <v>1799</v>
      </c>
      <c r="L330" t="s">
        <v>1799</v>
      </c>
      <c r="M330" t="s">
        <v>1799</v>
      </c>
      <c r="N330" t="s">
        <v>1799</v>
      </c>
      <c r="O330" s="184" t="str">
        <f>"["&amp;$C330&amp;"]["&amp;$D330&amp;"]["&amp;$F330&amp;"]"</f>
        <v>[S05_InstallationDifferentSamplingFrequency][1][MajorSourceStreams]</v>
      </c>
    </row>
    <row r="331" spans="1:15" x14ac:dyDescent="0.3">
      <c r="A331" t="s">
        <v>1793</v>
      </c>
      <c r="B331" t="s">
        <v>1954</v>
      </c>
      <c r="C331" t="s">
        <v>1955</v>
      </c>
      <c r="D331">
        <v>2</v>
      </c>
      <c r="E331" t="s">
        <v>1447</v>
      </c>
      <c r="F331" t="s">
        <v>1960</v>
      </c>
      <c r="G331" t="s">
        <v>1811</v>
      </c>
      <c r="H331" t="s">
        <v>1799</v>
      </c>
      <c r="I331">
        <v>1</v>
      </c>
      <c r="J331" t="s">
        <v>1799</v>
      </c>
      <c r="K331" t="s">
        <v>1799</v>
      </c>
      <c r="L331" t="s">
        <v>1799</v>
      </c>
      <c r="M331" t="s">
        <v>1799</v>
      </c>
      <c r="N331" t="s">
        <v>1799</v>
      </c>
      <c r="O331" s="184" t="str">
        <f>"["&amp;$C331&amp;"]["&amp;$D331&amp;"]["&amp;$F331&amp;"]"</f>
        <v>[S05_InstallationDifferentSamplingFrequency][2][MajorSourceStreams]</v>
      </c>
    </row>
    <row r="332" spans="1:15" x14ac:dyDescent="0.3">
      <c r="A332" t="s">
        <v>1793</v>
      </c>
      <c r="B332" t="s">
        <v>1954</v>
      </c>
      <c r="C332" t="s">
        <v>1955</v>
      </c>
      <c r="D332">
        <v>1</v>
      </c>
      <c r="E332" t="s">
        <v>1447</v>
      </c>
      <c r="F332" t="s">
        <v>1961</v>
      </c>
      <c r="G332" t="s">
        <v>1836</v>
      </c>
      <c r="H332" t="s">
        <v>1799</v>
      </c>
      <c r="I332" t="s">
        <v>1799</v>
      </c>
      <c r="J332" t="s">
        <v>1799</v>
      </c>
      <c r="K332" t="s">
        <v>1799</v>
      </c>
      <c r="L332" t="s">
        <v>1419</v>
      </c>
      <c r="M332" t="s">
        <v>1799</v>
      </c>
      <c r="N332" t="s">
        <v>1799</v>
      </c>
      <c r="O332" s="184" t="str">
        <f>"["&amp;$C332&amp;"]["&amp;$D332&amp;"]["&amp;$F332&amp;"]"</f>
        <v>[S05_InstallationDifferentSamplingFrequency][1][SamplingPlanDocumented]</v>
      </c>
    </row>
    <row r="333" spans="1:15" x14ac:dyDescent="0.3">
      <c r="A333" t="s">
        <v>1793</v>
      </c>
      <c r="B333" t="s">
        <v>1954</v>
      </c>
      <c r="C333" t="s">
        <v>1955</v>
      </c>
      <c r="D333">
        <v>2</v>
      </c>
      <c r="E333" t="s">
        <v>1447</v>
      </c>
      <c r="F333" t="s">
        <v>1961</v>
      </c>
      <c r="G333" t="s">
        <v>1836</v>
      </c>
      <c r="H333" t="s">
        <v>1799</v>
      </c>
      <c r="I333" t="s">
        <v>1799</v>
      </c>
      <c r="J333" t="s">
        <v>1799</v>
      </c>
      <c r="K333" t="s">
        <v>1799</v>
      </c>
      <c r="L333" t="s">
        <v>1419</v>
      </c>
      <c r="M333" t="s">
        <v>1799</v>
      </c>
      <c r="N333" t="s">
        <v>1799</v>
      </c>
      <c r="O333" s="184" t="str">
        <f>"["&amp;$C333&amp;"]["&amp;$D333&amp;"]["&amp;$F333&amp;"]"</f>
        <v>[S05_InstallationDifferentSamplingFrequency][2][SamplingPlanDocumented]</v>
      </c>
    </row>
    <row r="334" spans="1:15" x14ac:dyDescent="0.3">
      <c r="A334" t="s">
        <v>1793</v>
      </c>
      <c r="B334" t="s">
        <v>1962</v>
      </c>
      <c r="C334" t="s">
        <v>1963</v>
      </c>
      <c r="D334">
        <v>1</v>
      </c>
      <c r="E334" t="s">
        <v>1447</v>
      </c>
      <c r="F334" t="s">
        <v>1964</v>
      </c>
      <c r="G334" t="s">
        <v>1797</v>
      </c>
      <c r="H334" t="s">
        <v>1965</v>
      </c>
      <c r="I334" t="s">
        <v>1799</v>
      </c>
      <c r="J334" t="s">
        <v>1799</v>
      </c>
      <c r="K334" t="s">
        <v>1799</v>
      </c>
      <c r="L334" t="s">
        <v>1799</v>
      </c>
      <c r="M334" t="s">
        <v>1799</v>
      </c>
      <c r="N334" t="s">
        <v>1799</v>
      </c>
      <c r="O334" s="184" t="str">
        <f>"["&amp;$C334&amp;"]["&amp;$D334&amp;"]["&amp;$F334&amp;"]"</f>
        <v>[S05_CategoryCHighestTierNotApplied][1][InstallationID]</v>
      </c>
    </row>
    <row r="335" spans="1:15" x14ac:dyDescent="0.3">
      <c r="A335" t="s">
        <v>1793</v>
      </c>
      <c r="B335" t="s">
        <v>1962</v>
      </c>
      <c r="C335" t="s">
        <v>1963</v>
      </c>
      <c r="D335">
        <v>2</v>
      </c>
      <c r="E335" t="s">
        <v>1447</v>
      </c>
      <c r="F335" t="s">
        <v>1964</v>
      </c>
      <c r="G335" t="s">
        <v>1797</v>
      </c>
      <c r="H335" t="s">
        <v>1965</v>
      </c>
      <c r="I335" t="s">
        <v>1799</v>
      </c>
      <c r="J335" t="s">
        <v>1799</v>
      </c>
      <c r="K335" t="s">
        <v>1799</v>
      </c>
      <c r="L335" t="s">
        <v>1799</v>
      </c>
      <c r="M335" t="s">
        <v>1799</v>
      </c>
      <c r="N335" t="s">
        <v>1799</v>
      </c>
      <c r="O335" s="184" t="str">
        <f>"["&amp;$C335&amp;"]["&amp;$D335&amp;"]["&amp;$F335&amp;"]"</f>
        <v>[S05_CategoryCHighestTierNotApplied][2][InstallationID]</v>
      </c>
    </row>
    <row r="336" spans="1:15" x14ac:dyDescent="0.3">
      <c r="A336" t="s">
        <v>1793</v>
      </c>
      <c r="B336" t="s">
        <v>1962</v>
      </c>
      <c r="C336" t="s">
        <v>1963</v>
      </c>
      <c r="D336">
        <v>1</v>
      </c>
      <c r="E336" t="s">
        <v>1447</v>
      </c>
      <c r="F336" t="s">
        <v>1966</v>
      </c>
      <c r="G336" t="s">
        <v>1797</v>
      </c>
      <c r="H336" t="s">
        <v>1967</v>
      </c>
      <c r="I336" t="s">
        <v>1799</v>
      </c>
      <c r="J336" t="s">
        <v>1799</v>
      </c>
      <c r="K336" t="s">
        <v>1799</v>
      </c>
      <c r="L336" t="s">
        <v>1799</v>
      </c>
      <c r="M336" t="s">
        <v>1799</v>
      </c>
      <c r="N336" t="s">
        <v>1799</v>
      </c>
      <c r="O336" s="184" t="str">
        <f>"["&amp;$C336&amp;"]["&amp;$D336&amp;"]["&amp;$F336&amp;"]"</f>
        <v>[S05_CategoryCHighestTierNotApplied][1][SourceStreamAffected]</v>
      </c>
    </row>
    <row r="337" spans="1:15" x14ac:dyDescent="0.3">
      <c r="A337" t="s">
        <v>1793</v>
      </c>
      <c r="B337" t="s">
        <v>1962</v>
      </c>
      <c r="C337" t="s">
        <v>1963</v>
      </c>
      <c r="D337">
        <v>2</v>
      </c>
      <c r="E337" t="s">
        <v>1447</v>
      </c>
      <c r="F337" t="s">
        <v>1966</v>
      </c>
      <c r="G337" t="s">
        <v>1797</v>
      </c>
      <c r="H337" t="s">
        <v>1968</v>
      </c>
      <c r="I337" t="s">
        <v>1799</v>
      </c>
      <c r="J337" t="s">
        <v>1799</v>
      </c>
      <c r="K337" t="s">
        <v>1799</v>
      </c>
      <c r="L337" t="s">
        <v>1799</v>
      </c>
      <c r="M337" t="s">
        <v>1799</v>
      </c>
      <c r="N337" t="s">
        <v>1799</v>
      </c>
      <c r="O337" s="184" t="str">
        <f>"["&amp;$C337&amp;"]["&amp;$D337&amp;"]["&amp;$F337&amp;"]"</f>
        <v>[S05_CategoryCHighestTierNotApplied][2][SourceStreamAffected]</v>
      </c>
    </row>
    <row r="338" spans="1:15" x14ac:dyDescent="0.3">
      <c r="A338" t="s">
        <v>1793</v>
      </c>
      <c r="B338" t="s">
        <v>1962</v>
      </c>
      <c r="C338" t="s">
        <v>1963</v>
      </c>
      <c r="D338">
        <v>1</v>
      </c>
      <c r="E338" t="s">
        <v>1447</v>
      </c>
      <c r="F338" t="s">
        <v>1969</v>
      </c>
      <c r="G338" t="s">
        <v>1737</v>
      </c>
      <c r="H338" t="s">
        <v>1799</v>
      </c>
      <c r="I338" t="s">
        <v>1799</v>
      </c>
      <c r="J338" t="s">
        <v>1799</v>
      </c>
      <c r="K338" t="s">
        <v>1799</v>
      </c>
      <c r="L338" t="s">
        <v>1428</v>
      </c>
      <c r="M338" t="s">
        <v>1799</v>
      </c>
      <c r="N338" t="s">
        <v>1799</v>
      </c>
      <c r="O338" s="184" t="str">
        <f>"["&amp;$C338&amp;"]["&amp;$D338&amp;"]["&amp;$F338&amp;"]"</f>
        <v>[S05_CategoryCHighestTierNotApplied][1][MonitoringParameterAffected]</v>
      </c>
    </row>
    <row r="339" spans="1:15" x14ac:dyDescent="0.3">
      <c r="A339" t="s">
        <v>1793</v>
      </c>
      <c r="B339" t="s">
        <v>1962</v>
      </c>
      <c r="C339" t="s">
        <v>1963</v>
      </c>
      <c r="D339">
        <v>2</v>
      </c>
      <c r="E339" t="s">
        <v>1447</v>
      </c>
      <c r="F339" t="s">
        <v>1969</v>
      </c>
      <c r="G339" t="s">
        <v>1737</v>
      </c>
      <c r="H339" t="s">
        <v>1799</v>
      </c>
      <c r="I339" t="s">
        <v>1799</v>
      </c>
      <c r="J339" t="s">
        <v>1799</v>
      </c>
      <c r="K339" t="s">
        <v>1799</v>
      </c>
      <c r="L339" t="s">
        <v>1428</v>
      </c>
      <c r="M339" t="s">
        <v>1799</v>
      </c>
      <c r="N339" t="s">
        <v>1799</v>
      </c>
      <c r="O339" s="184" t="str">
        <f>"["&amp;$C339&amp;"]["&amp;$D339&amp;"]["&amp;$F339&amp;"]"</f>
        <v>[S05_CategoryCHighestTierNotApplied][2][MonitoringParameterAffected]</v>
      </c>
    </row>
    <row r="340" spans="1:15" x14ac:dyDescent="0.3">
      <c r="A340" t="s">
        <v>1793</v>
      </c>
      <c r="B340" t="s">
        <v>1962</v>
      </c>
      <c r="C340" t="s">
        <v>1963</v>
      </c>
      <c r="D340">
        <v>1</v>
      </c>
      <c r="E340" t="s">
        <v>1447</v>
      </c>
      <c r="F340" t="s">
        <v>1970</v>
      </c>
      <c r="G340" t="s">
        <v>1737</v>
      </c>
      <c r="H340" t="s">
        <v>1799</v>
      </c>
      <c r="I340" t="s">
        <v>1799</v>
      </c>
      <c r="J340" t="s">
        <v>1799</v>
      </c>
      <c r="K340" t="s">
        <v>1799</v>
      </c>
      <c r="L340" t="s">
        <v>1544</v>
      </c>
      <c r="M340" t="s">
        <v>1799</v>
      </c>
      <c r="N340" t="s">
        <v>1799</v>
      </c>
      <c r="O340" s="184" t="str">
        <f>"["&amp;$C340&amp;"]["&amp;$D340&amp;"]["&amp;$F340&amp;"]"</f>
        <v>[S05_CategoryCHighestTierNotApplied][1][HighestTierRequired]</v>
      </c>
    </row>
    <row r="341" spans="1:15" x14ac:dyDescent="0.3">
      <c r="A341" t="s">
        <v>1793</v>
      </c>
      <c r="B341" t="s">
        <v>1962</v>
      </c>
      <c r="C341" t="s">
        <v>1963</v>
      </c>
      <c r="D341">
        <v>2</v>
      </c>
      <c r="E341" t="s">
        <v>1447</v>
      </c>
      <c r="F341" t="s">
        <v>1970</v>
      </c>
      <c r="G341" t="s">
        <v>1737</v>
      </c>
      <c r="H341" t="s">
        <v>1799</v>
      </c>
      <c r="I341" t="s">
        <v>1799</v>
      </c>
      <c r="J341" t="s">
        <v>1799</v>
      </c>
      <c r="K341" t="s">
        <v>1799</v>
      </c>
      <c r="L341" t="s">
        <v>1544</v>
      </c>
      <c r="M341" t="s">
        <v>1799</v>
      </c>
      <c r="N341" t="s">
        <v>1799</v>
      </c>
      <c r="O341" s="184" t="str">
        <f>"["&amp;$C341&amp;"]["&amp;$D341&amp;"]["&amp;$F341&amp;"]"</f>
        <v>[S05_CategoryCHighestTierNotApplied][2][HighestTierRequired]</v>
      </c>
    </row>
    <row r="342" spans="1:15" x14ac:dyDescent="0.3">
      <c r="A342" t="s">
        <v>1793</v>
      </c>
      <c r="B342" t="s">
        <v>1962</v>
      </c>
      <c r="C342" t="s">
        <v>1963</v>
      </c>
      <c r="D342">
        <v>1</v>
      </c>
      <c r="E342" t="s">
        <v>1447</v>
      </c>
      <c r="F342" t="s">
        <v>1971</v>
      </c>
      <c r="G342" t="s">
        <v>1737</v>
      </c>
      <c r="H342" t="s">
        <v>1799</v>
      </c>
      <c r="I342" t="s">
        <v>1799</v>
      </c>
      <c r="J342" t="s">
        <v>1799</v>
      </c>
      <c r="K342" t="s">
        <v>1799</v>
      </c>
      <c r="L342" t="s">
        <v>1534</v>
      </c>
      <c r="M342" t="s">
        <v>1799</v>
      </c>
      <c r="N342" t="s">
        <v>1799</v>
      </c>
      <c r="O342" s="184" t="str">
        <f>"["&amp;$C342&amp;"]["&amp;$D342&amp;"]["&amp;$F342&amp;"]"</f>
        <v>[S05_CategoryCHighestTierNotApplied][1][TierInPractice]</v>
      </c>
    </row>
    <row r="343" spans="1:15" x14ac:dyDescent="0.3">
      <c r="A343" t="s">
        <v>1793</v>
      </c>
      <c r="B343" t="s">
        <v>1962</v>
      </c>
      <c r="C343" t="s">
        <v>1963</v>
      </c>
      <c r="D343">
        <v>2</v>
      </c>
      <c r="E343" t="s">
        <v>1447</v>
      </c>
      <c r="F343" t="s">
        <v>1971</v>
      </c>
      <c r="G343" t="s">
        <v>1737</v>
      </c>
      <c r="H343" t="s">
        <v>1799</v>
      </c>
      <c r="I343" t="s">
        <v>1799</v>
      </c>
      <c r="J343" t="s">
        <v>1799</v>
      </c>
      <c r="K343" t="s">
        <v>1799</v>
      </c>
      <c r="L343" t="s">
        <v>1534</v>
      </c>
      <c r="M343" t="s">
        <v>1799</v>
      </c>
      <c r="N343" t="s">
        <v>1799</v>
      </c>
      <c r="O343" s="184" t="str">
        <f>"["&amp;$C343&amp;"]["&amp;$D343&amp;"]["&amp;$F343&amp;"]"</f>
        <v>[S05_CategoryCHighestTierNotApplied][2][TierInPractice]</v>
      </c>
    </row>
    <row r="344" spans="1:15" x14ac:dyDescent="0.3">
      <c r="A344" t="s">
        <v>1793</v>
      </c>
      <c r="B344" t="s">
        <v>1972</v>
      </c>
      <c r="C344" t="s">
        <v>1973</v>
      </c>
      <c r="D344">
        <v>1</v>
      </c>
      <c r="E344" t="s">
        <v>1447</v>
      </c>
      <c r="F344" t="s">
        <v>1974</v>
      </c>
      <c r="G344" t="s">
        <v>1737</v>
      </c>
      <c r="H344" t="s">
        <v>1799</v>
      </c>
      <c r="I344" t="s">
        <v>1799</v>
      </c>
      <c r="J344" t="s">
        <v>1799</v>
      </c>
      <c r="K344" t="s">
        <v>1799</v>
      </c>
      <c r="L344" t="s">
        <v>1430</v>
      </c>
      <c r="M344" t="s">
        <v>1799</v>
      </c>
      <c r="N344" t="s">
        <v>1799</v>
      </c>
      <c r="O344" s="184" t="str">
        <f>"["&amp;$C344&amp;"]["&amp;$D344&amp;"]["&amp;$F344&amp;"]"</f>
        <v>[S05_CategoryBHighestTierNotApplied][1][MonitoringMethodology]</v>
      </c>
    </row>
    <row r="345" spans="1:15" x14ac:dyDescent="0.3">
      <c r="A345" t="s">
        <v>1793</v>
      </c>
      <c r="B345" t="s">
        <v>1972</v>
      </c>
      <c r="C345" t="s">
        <v>1973</v>
      </c>
      <c r="D345">
        <v>2</v>
      </c>
      <c r="E345" t="s">
        <v>1447</v>
      </c>
      <c r="F345" t="s">
        <v>1974</v>
      </c>
      <c r="G345" t="s">
        <v>1737</v>
      </c>
      <c r="H345" t="s">
        <v>1799</v>
      </c>
      <c r="I345" t="s">
        <v>1799</v>
      </c>
      <c r="J345" t="s">
        <v>1799</v>
      </c>
      <c r="K345" t="s">
        <v>1799</v>
      </c>
      <c r="L345" t="s">
        <v>1430</v>
      </c>
      <c r="M345" t="s">
        <v>1799</v>
      </c>
      <c r="N345" t="s">
        <v>1799</v>
      </c>
      <c r="O345" s="184" t="str">
        <f>"["&amp;$C345&amp;"]["&amp;$D345&amp;"]["&amp;$F345&amp;"]"</f>
        <v>[S05_CategoryBHighestTierNotApplied][2][MonitoringMethodology]</v>
      </c>
    </row>
    <row r="346" spans="1:15" x14ac:dyDescent="0.3">
      <c r="A346" t="s">
        <v>1793</v>
      </c>
      <c r="B346" t="s">
        <v>1972</v>
      </c>
      <c r="C346" t="s">
        <v>1973</v>
      </c>
      <c r="D346">
        <v>3</v>
      </c>
      <c r="E346" t="s">
        <v>1447</v>
      </c>
      <c r="F346" t="s">
        <v>1974</v>
      </c>
      <c r="G346" t="s">
        <v>1737</v>
      </c>
      <c r="H346" t="s">
        <v>1799</v>
      </c>
      <c r="I346" t="s">
        <v>1799</v>
      </c>
      <c r="J346" t="s">
        <v>1799</v>
      </c>
      <c r="K346" t="s">
        <v>1799</v>
      </c>
      <c r="L346" t="s">
        <v>1430</v>
      </c>
      <c r="M346" t="s">
        <v>1799</v>
      </c>
      <c r="N346" t="s">
        <v>1799</v>
      </c>
      <c r="O346" s="184" t="str">
        <f>"["&amp;$C346&amp;"]["&amp;$D346&amp;"]["&amp;$F346&amp;"]"</f>
        <v>[S05_CategoryBHighestTierNotApplied][3][MonitoringMethodology]</v>
      </c>
    </row>
    <row r="347" spans="1:15" x14ac:dyDescent="0.3">
      <c r="A347" t="s">
        <v>1793</v>
      </c>
      <c r="B347" t="s">
        <v>1972</v>
      </c>
      <c r="C347" t="s">
        <v>1973</v>
      </c>
      <c r="D347">
        <v>1</v>
      </c>
      <c r="E347" t="s">
        <v>1447</v>
      </c>
      <c r="F347" t="s">
        <v>1975</v>
      </c>
      <c r="G347" t="s">
        <v>1737</v>
      </c>
      <c r="H347" t="s">
        <v>1799</v>
      </c>
      <c r="I347" t="s">
        <v>1799</v>
      </c>
      <c r="J347" t="s">
        <v>1799</v>
      </c>
      <c r="K347" t="s">
        <v>1799</v>
      </c>
      <c r="L347" t="s">
        <v>1562</v>
      </c>
      <c r="M347" t="s">
        <v>1799</v>
      </c>
      <c r="N347" t="s">
        <v>1799</v>
      </c>
      <c r="O347" s="184" t="str">
        <f>"["&amp;$C347&amp;"]["&amp;$D347&amp;"]["&amp;$F347&amp;"]"</f>
        <v>[S05_CategoryBHighestTierNotApplied][1][CategoryBMainActivity]</v>
      </c>
    </row>
    <row r="348" spans="1:15" x14ac:dyDescent="0.3">
      <c r="A348" t="s">
        <v>1793</v>
      </c>
      <c r="B348" t="s">
        <v>1972</v>
      </c>
      <c r="C348" t="s">
        <v>1973</v>
      </c>
      <c r="D348">
        <v>2</v>
      </c>
      <c r="E348" t="s">
        <v>1447</v>
      </c>
      <c r="F348" t="s">
        <v>1975</v>
      </c>
      <c r="G348" t="s">
        <v>1737</v>
      </c>
      <c r="H348" t="s">
        <v>1799</v>
      </c>
      <c r="I348" t="s">
        <v>1799</v>
      </c>
      <c r="J348" t="s">
        <v>1799</v>
      </c>
      <c r="K348" t="s">
        <v>1799</v>
      </c>
      <c r="L348" t="s">
        <v>1448</v>
      </c>
      <c r="M348" t="s">
        <v>1799</v>
      </c>
      <c r="N348" t="s">
        <v>1799</v>
      </c>
      <c r="O348" s="184" t="str">
        <f>"["&amp;$C348&amp;"]["&amp;$D348&amp;"]["&amp;$F348&amp;"]"</f>
        <v>[S05_CategoryBHighestTierNotApplied][2][CategoryBMainActivity]</v>
      </c>
    </row>
    <row r="349" spans="1:15" x14ac:dyDescent="0.3">
      <c r="A349" t="s">
        <v>1793</v>
      </c>
      <c r="B349" t="s">
        <v>1972</v>
      </c>
      <c r="C349" t="s">
        <v>1973</v>
      </c>
      <c r="D349">
        <v>3</v>
      </c>
      <c r="E349" t="s">
        <v>1447</v>
      </c>
      <c r="F349" t="s">
        <v>1975</v>
      </c>
      <c r="G349" t="s">
        <v>1737</v>
      </c>
      <c r="H349" t="s">
        <v>1799</v>
      </c>
      <c r="I349" t="s">
        <v>1799</v>
      </c>
      <c r="J349" t="s">
        <v>1799</v>
      </c>
      <c r="K349" t="s">
        <v>1799</v>
      </c>
      <c r="L349" t="s">
        <v>1420</v>
      </c>
      <c r="M349" t="s">
        <v>1799</v>
      </c>
      <c r="N349" t="s">
        <v>1799</v>
      </c>
      <c r="O349" s="184" t="str">
        <f>"["&amp;$C349&amp;"]["&amp;$D349&amp;"]["&amp;$F349&amp;"]"</f>
        <v>[S05_CategoryBHighestTierNotApplied][3][CategoryBMainActivity]</v>
      </c>
    </row>
    <row r="350" spans="1:15" x14ac:dyDescent="0.3">
      <c r="A350" t="s">
        <v>1793</v>
      </c>
      <c r="B350" t="s">
        <v>1972</v>
      </c>
      <c r="C350" t="s">
        <v>1973</v>
      </c>
      <c r="D350">
        <v>1</v>
      </c>
      <c r="E350" t="s">
        <v>1447</v>
      </c>
      <c r="F350" t="s">
        <v>1976</v>
      </c>
      <c r="G350" t="s">
        <v>1811</v>
      </c>
      <c r="H350" t="s">
        <v>1799</v>
      </c>
      <c r="I350">
        <v>1</v>
      </c>
      <c r="J350" t="s">
        <v>1799</v>
      </c>
      <c r="K350" t="s">
        <v>1799</v>
      </c>
      <c r="L350" t="s">
        <v>1799</v>
      </c>
      <c r="M350" t="s">
        <v>1799</v>
      </c>
      <c r="N350" t="s">
        <v>1799</v>
      </c>
      <c r="O350" s="184" t="str">
        <f>"["&amp;$C350&amp;"]["&amp;$D350&amp;"]["&amp;$F350&amp;"]"</f>
        <v>[S05_CategoryBHighestTierNotApplied][1][CategoryBInstallationsAffected]</v>
      </c>
    </row>
    <row r="351" spans="1:15" x14ac:dyDescent="0.3">
      <c r="A351" t="s">
        <v>1793</v>
      </c>
      <c r="B351" t="s">
        <v>1972</v>
      </c>
      <c r="C351" t="s">
        <v>1973</v>
      </c>
      <c r="D351">
        <v>2</v>
      </c>
      <c r="E351" t="s">
        <v>1447</v>
      </c>
      <c r="F351" t="s">
        <v>1976</v>
      </c>
      <c r="G351" t="s">
        <v>1811</v>
      </c>
      <c r="H351" t="s">
        <v>1799</v>
      </c>
      <c r="I351">
        <v>1</v>
      </c>
      <c r="J351" t="s">
        <v>1799</v>
      </c>
      <c r="K351" t="s">
        <v>1799</v>
      </c>
      <c r="L351" t="s">
        <v>1799</v>
      </c>
      <c r="M351" t="s">
        <v>1799</v>
      </c>
      <c r="N351" t="s">
        <v>1799</v>
      </c>
      <c r="O351" s="184" t="str">
        <f>"["&amp;$C351&amp;"]["&amp;$D351&amp;"]["&amp;$F351&amp;"]"</f>
        <v>[S05_CategoryBHighestTierNotApplied][2][CategoryBInstallationsAffected]</v>
      </c>
    </row>
    <row r="352" spans="1:15" x14ac:dyDescent="0.3">
      <c r="A352" t="s">
        <v>1793</v>
      </c>
      <c r="B352" t="s">
        <v>1972</v>
      </c>
      <c r="C352" t="s">
        <v>1973</v>
      </c>
      <c r="D352">
        <v>3</v>
      </c>
      <c r="E352" t="s">
        <v>1447</v>
      </c>
      <c r="F352" t="s">
        <v>1976</v>
      </c>
      <c r="G352" t="s">
        <v>1811</v>
      </c>
      <c r="H352" t="s">
        <v>1799</v>
      </c>
      <c r="I352">
        <v>1</v>
      </c>
      <c r="J352" t="s">
        <v>1799</v>
      </c>
      <c r="K352" t="s">
        <v>1799</v>
      </c>
      <c r="L352" t="s">
        <v>1799</v>
      </c>
      <c r="M352" t="s">
        <v>1799</v>
      </c>
      <c r="N352" t="s">
        <v>1799</v>
      </c>
      <c r="O352" s="184" t="str">
        <f>"["&amp;$C352&amp;"]["&amp;$D352&amp;"]["&amp;$F352&amp;"]"</f>
        <v>[S05_CategoryBHighestTierNotApplied][3][CategoryBInstallationsAffected]</v>
      </c>
    </row>
    <row r="353" spans="1:15" x14ac:dyDescent="0.3">
      <c r="A353" t="s">
        <v>1793</v>
      </c>
      <c r="B353" t="s">
        <v>1977</v>
      </c>
      <c r="C353" t="s">
        <v>1978</v>
      </c>
      <c r="D353">
        <v>0</v>
      </c>
      <c r="E353" t="s">
        <v>1447</v>
      </c>
      <c r="F353" t="s">
        <v>1978</v>
      </c>
      <c r="G353" t="s">
        <v>1836</v>
      </c>
      <c r="H353" t="s">
        <v>1799</v>
      </c>
      <c r="I353" t="s">
        <v>1799</v>
      </c>
      <c r="J353" t="s">
        <v>1799</v>
      </c>
      <c r="K353" t="s">
        <v>1799</v>
      </c>
      <c r="L353" t="s">
        <v>1447</v>
      </c>
      <c r="M353" t="s">
        <v>1799</v>
      </c>
      <c r="N353" t="s">
        <v>1799</v>
      </c>
      <c r="O353" s="184" t="str">
        <f>"["&amp;$C353&amp;"]["&amp;$D353&amp;"]["&amp;$F353&amp;"]"</f>
        <v>[FallBackApproachApplied][0][FallBackApproachApplied]</v>
      </c>
    </row>
    <row r="354" spans="1:15" x14ac:dyDescent="0.3">
      <c r="A354" t="s">
        <v>1793</v>
      </c>
      <c r="B354" t="s">
        <v>1979</v>
      </c>
      <c r="C354" t="s">
        <v>1980</v>
      </c>
      <c r="D354">
        <v>1</v>
      </c>
      <c r="E354" t="s">
        <v>1447</v>
      </c>
      <c r="F354" t="s">
        <v>1934</v>
      </c>
      <c r="G354" t="s">
        <v>1737</v>
      </c>
      <c r="H354" t="s">
        <v>1799</v>
      </c>
      <c r="I354" t="s">
        <v>1799</v>
      </c>
      <c r="J354" t="s">
        <v>1799</v>
      </c>
      <c r="K354" t="s">
        <v>1799</v>
      </c>
      <c r="L354" t="s">
        <v>1432</v>
      </c>
      <c r="M354" t="s">
        <v>1799</v>
      </c>
      <c r="N354" t="s">
        <v>1799</v>
      </c>
      <c r="O354" s="184" t="str">
        <f>"["&amp;$C354&amp;"]["&amp;$D354&amp;"]["&amp;$F354&amp;"]"</f>
        <v>[S05_ImprovementReportArt69][1][InstallationCategory]</v>
      </c>
    </row>
    <row r="355" spans="1:15" x14ac:dyDescent="0.3">
      <c r="A355" t="s">
        <v>1793</v>
      </c>
      <c r="B355" t="s">
        <v>1979</v>
      </c>
      <c r="C355" t="s">
        <v>1980</v>
      </c>
      <c r="D355">
        <v>2</v>
      </c>
      <c r="E355" t="s">
        <v>1447</v>
      </c>
      <c r="F355" t="s">
        <v>1934</v>
      </c>
      <c r="G355" t="s">
        <v>1737</v>
      </c>
      <c r="H355" t="s">
        <v>1799</v>
      </c>
      <c r="I355" t="s">
        <v>1799</v>
      </c>
      <c r="J355" t="s">
        <v>1799</v>
      </c>
      <c r="K355" t="s">
        <v>1799</v>
      </c>
      <c r="L355" t="s">
        <v>1432</v>
      </c>
      <c r="M355" t="s">
        <v>1799</v>
      </c>
      <c r="N355" t="s">
        <v>1799</v>
      </c>
      <c r="O355" s="184" t="str">
        <f>"["&amp;$C355&amp;"]["&amp;$D355&amp;"]["&amp;$F355&amp;"]"</f>
        <v>[S05_ImprovementReportArt69][2][InstallationCategory]</v>
      </c>
    </row>
    <row r="356" spans="1:15" x14ac:dyDescent="0.3">
      <c r="A356" t="s">
        <v>1793</v>
      </c>
      <c r="B356" t="s">
        <v>1979</v>
      </c>
      <c r="C356" t="s">
        <v>1980</v>
      </c>
      <c r="D356">
        <v>3</v>
      </c>
      <c r="E356" t="s">
        <v>1447</v>
      </c>
      <c r="F356" t="s">
        <v>1934</v>
      </c>
      <c r="G356" t="s">
        <v>1737</v>
      </c>
      <c r="H356" t="s">
        <v>1799</v>
      </c>
      <c r="I356" t="s">
        <v>1799</v>
      </c>
      <c r="J356" t="s">
        <v>1799</v>
      </c>
      <c r="K356" t="s">
        <v>1799</v>
      </c>
      <c r="L356" t="s">
        <v>1432</v>
      </c>
      <c r="M356" t="s">
        <v>1799</v>
      </c>
      <c r="N356" t="s">
        <v>1799</v>
      </c>
      <c r="O356" s="184" t="str">
        <f>"["&amp;$C356&amp;"]["&amp;$D356&amp;"]["&amp;$F356&amp;"]"</f>
        <v>[S05_ImprovementReportArt69][3][InstallationCategory]</v>
      </c>
    </row>
    <row r="357" spans="1:15" x14ac:dyDescent="0.3">
      <c r="A357" t="s">
        <v>1793</v>
      </c>
      <c r="B357" t="s">
        <v>1979</v>
      </c>
      <c r="C357" t="s">
        <v>1980</v>
      </c>
      <c r="D357">
        <v>4</v>
      </c>
      <c r="E357" t="s">
        <v>1447</v>
      </c>
      <c r="F357" t="s">
        <v>1934</v>
      </c>
      <c r="G357" t="s">
        <v>1737</v>
      </c>
      <c r="H357" t="s">
        <v>1799</v>
      </c>
      <c r="I357" t="s">
        <v>1799</v>
      </c>
      <c r="J357" t="s">
        <v>1799</v>
      </c>
      <c r="K357" t="s">
        <v>1799</v>
      </c>
      <c r="L357" t="s">
        <v>1432</v>
      </c>
      <c r="M357" t="s">
        <v>1799</v>
      </c>
      <c r="N357" t="s">
        <v>1799</v>
      </c>
      <c r="O357" s="184" t="str">
        <f>"["&amp;$C357&amp;"]["&amp;$D357&amp;"]["&amp;$F357&amp;"]"</f>
        <v>[S05_ImprovementReportArt69][4][InstallationCategory]</v>
      </c>
    </row>
    <row r="358" spans="1:15" x14ac:dyDescent="0.3">
      <c r="A358" t="s">
        <v>1793</v>
      </c>
      <c r="B358" t="s">
        <v>1979</v>
      </c>
      <c r="C358" t="s">
        <v>1980</v>
      </c>
      <c r="D358">
        <v>5</v>
      </c>
      <c r="E358" t="s">
        <v>1447</v>
      </c>
      <c r="F358" t="s">
        <v>1934</v>
      </c>
      <c r="G358" t="s">
        <v>1737</v>
      </c>
      <c r="H358" t="s">
        <v>1799</v>
      </c>
      <c r="I358" t="s">
        <v>1799</v>
      </c>
      <c r="J358" t="s">
        <v>1799</v>
      </c>
      <c r="K358" t="s">
        <v>1799</v>
      </c>
      <c r="L358" t="s">
        <v>1432</v>
      </c>
      <c r="M358" t="s">
        <v>1799</v>
      </c>
      <c r="N358" t="s">
        <v>1799</v>
      </c>
      <c r="O358" s="184" t="str">
        <f>"["&amp;$C358&amp;"]["&amp;$D358&amp;"]["&amp;$F358&amp;"]"</f>
        <v>[S05_ImprovementReportArt69][5][InstallationCategory]</v>
      </c>
    </row>
    <row r="359" spans="1:15" x14ac:dyDescent="0.3">
      <c r="A359" t="s">
        <v>1793</v>
      </c>
      <c r="B359" t="s">
        <v>1979</v>
      </c>
      <c r="C359" t="s">
        <v>1980</v>
      </c>
      <c r="D359">
        <v>6</v>
      </c>
      <c r="E359" t="s">
        <v>1447</v>
      </c>
      <c r="F359" t="s">
        <v>1934</v>
      </c>
      <c r="G359" t="s">
        <v>1737</v>
      </c>
      <c r="H359" t="s">
        <v>1799</v>
      </c>
      <c r="I359" t="s">
        <v>1799</v>
      </c>
      <c r="J359" t="s">
        <v>1799</v>
      </c>
      <c r="K359" t="s">
        <v>1799</v>
      </c>
      <c r="L359" t="s">
        <v>1460</v>
      </c>
      <c r="M359" t="s">
        <v>1799</v>
      </c>
      <c r="N359" t="s">
        <v>1799</v>
      </c>
      <c r="O359" s="184" t="str">
        <f>"["&amp;$C359&amp;"]["&amp;$D359&amp;"]["&amp;$F359&amp;"]"</f>
        <v>[S05_ImprovementReportArt69][6][InstallationCategory]</v>
      </c>
    </row>
    <row r="360" spans="1:15" x14ac:dyDescent="0.3">
      <c r="A360" t="s">
        <v>1793</v>
      </c>
      <c r="B360" t="s">
        <v>1979</v>
      </c>
      <c r="C360" t="s">
        <v>1980</v>
      </c>
      <c r="D360">
        <v>7</v>
      </c>
      <c r="E360" t="s">
        <v>1447</v>
      </c>
      <c r="F360" t="s">
        <v>1934</v>
      </c>
      <c r="G360" t="s">
        <v>1737</v>
      </c>
      <c r="H360" t="s">
        <v>1799</v>
      </c>
      <c r="I360" t="s">
        <v>1799</v>
      </c>
      <c r="J360" t="s">
        <v>1799</v>
      </c>
      <c r="K360" t="s">
        <v>1799</v>
      </c>
      <c r="L360" t="s">
        <v>1460</v>
      </c>
      <c r="M360" t="s">
        <v>1799</v>
      </c>
      <c r="N360" t="s">
        <v>1799</v>
      </c>
      <c r="O360" s="184" t="str">
        <f>"["&amp;$C360&amp;"]["&amp;$D360&amp;"]["&amp;$F360&amp;"]"</f>
        <v>[S05_ImprovementReportArt69][7][InstallationCategory]</v>
      </c>
    </row>
    <row r="361" spans="1:15" x14ac:dyDescent="0.3">
      <c r="A361" t="s">
        <v>1793</v>
      </c>
      <c r="B361" t="s">
        <v>1979</v>
      </c>
      <c r="C361" t="s">
        <v>1980</v>
      </c>
      <c r="D361">
        <v>8</v>
      </c>
      <c r="E361" t="s">
        <v>1447</v>
      </c>
      <c r="F361" t="s">
        <v>1934</v>
      </c>
      <c r="G361" t="s">
        <v>1737</v>
      </c>
      <c r="H361" t="s">
        <v>1799</v>
      </c>
      <c r="I361" t="s">
        <v>1799</v>
      </c>
      <c r="J361" t="s">
        <v>1799</v>
      </c>
      <c r="K361" t="s">
        <v>1799</v>
      </c>
      <c r="L361" t="s">
        <v>1460</v>
      </c>
      <c r="M361" t="s">
        <v>1799</v>
      </c>
      <c r="N361" t="s">
        <v>1799</v>
      </c>
      <c r="O361" s="184" t="str">
        <f>"["&amp;$C361&amp;"]["&amp;$D361&amp;"]["&amp;$F361&amp;"]"</f>
        <v>[S05_ImprovementReportArt69][8][InstallationCategory]</v>
      </c>
    </row>
    <row r="362" spans="1:15" x14ac:dyDescent="0.3">
      <c r="A362" t="s">
        <v>1793</v>
      </c>
      <c r="B362" t="s">
        <v>1979</v>
      </c>
      <c r="C362" t="s">
        <v>1980</v>
      </c>
      <c r="D362">
        <v>9</v>
      </c>
      <c r="E362" t="s">
        <v>1447</v>
      </c>
      <c r="F362" t="s">
        <v>1934</v>
      </c>
      <c r="G362" t="s">
        <v>1737</v>
      </c>
      <c r="H362" t="s">
        <v>1799</v>
      </c>
      <c r="I362" t="s">
        <v>1799</v>
      </c>
      <c r="J362" t="s">
        <v>1799</v>
      </c>
      <c r="K362" t="s">
        <v>1799</v>
      </c>
      <c r="L362" t="s">
        <v>1460</v>
      </c>
      <c r="M362" t="s">
        <v>1799</v>
      </c>
      <c r="N362" t="s">
        <v>1799</v>
      </c>
      <c r="O362" s="184" t="str">
        <f>"["&amp;$C362&amp;"]["&amp;$D362&amp;"]["&amp;$F362&amp;"]"</f>
        <v>[S05_ImprovementReportArt69][9][InstallationCategory]</v>
      </c>
    </row>
    <row r="363" spans="1:15" x14ac:dyDescent="0.3">
      <c r="A363" t="s">
        <v>1793</v>
      </c>
      <c r="B363" t="s">
        <v>1979</v>
      </c>
      <c r="C363" t="s">
        <v>1980</v>
      </c>
      <c r="D363">
        <v>10</v>
      </c>
      <c r="E363" t="s">
        <v>1447</v>
      </c>
      <c r="F363" t="s">
        <v>1934</v>
      </c>
      <c r="G363" t="s">
        <v>1737</v>
      </c>
      <c r="H363" t="s">
        <v>1799</v>
      </c>
      <c r="I363" t="s">
        <v>1799</v>
      </c>
      <c r="J363" t="s">
        <v>1799</v>
      </c>
      <c r="K363" t="s">
        <v>1799</v>
      </c>
      <c r="L363" t="s">
        <v>1460</v>
      </c>
      <c r="M363" t="s">
        <v>1799</v>
      </c>
      <c r="N363" t="s">
        <v>1799</v>
      </c>
      <c r="O363" s="184" t="str">
        <f>"["&amp;$C363&amp;"]["&amp;$D363&amp;"]["&amp;$F363&amp;"]"</f>
        <v>[S05_ImprovementReportArt69][10][InstallationCategory]</v>
      </c>
    </row>
    <row r="364" spans="1:15" x14ac:dyDescent="0.3">
      <c r="A364" t="s">
        <v>1793</v>
      </c>
      <c r="B364" t="s">
        <v>1979</v>
      </c>
      <c r="C364" t="s">
        <v>1980</v>
      </c>
      <c r="D364">
        <v>11</v>
      </c>
      <c r="E364" t="s">
        <v>1447</v>
      </c>
      <c r="F364" t="s">
        <v>1934</v>
      </c>
      <c r="G364" t="s">
        <v>1737</v>
      </c>
      <c r="H364" t="s">
        <v>1799</v>
      </c>
      <c r="I364" t="s">
        <v>1799</v>
      </c>
      <c r="J364" t="s">
        <v>1799</v>
      </c>
      <c r="K364" t="s">
        <v>1799</v>
      </c>
      <c r="L364" t="s">
        <v>1460</v>
      </c>
      <c r="M364" t="s">
        <v>1799</v>
      </c>
      <c r="N364" t="s">
        <v>1799</v>
      </c>
      <c r="O364" s="184" t="str">
        <f>"["&amp;$C364&amp;"]["&amp;$D364&amp;"]["&amp;$F364&amp;"]"</f>
        <v>[S05_ImprovementReportArt69][11][InstallationCategory]</v>
      </c>
    </row>
    <row r="365" spans="1:15" x14ac:dyDescent="0.3">
      <c r="A365" t="s">
        <v>1793</v>
      </c>
      <c r="B365" t="s">
        <v>1979</v>
      </c>
      <c r="C365" t="s">
        <v>1980</v>
      </c>
      <c r="D365">
        <v>12</v>
      </c>
      <c r="E365" t="s">
        <v>1447</v>
      </c>
      <c r="F365" t="s">
        <v>1934</v>
      </c>
      <c r="G365" t="s">
        <v>1737</v>
      </c>
      <c r="H365" t="s">
        <v>1799</v>
      </c>
      <c r="I365" t="s">
        <v>1799</v>
      </c>
      <c r="J365" t="s">
        <v>1799</v>
      </c>
      <c r="K365" t="s">
        <v>1799</v>
      </c>
      <c r="L365" t="s">
        <v>1460</v>
      </c>
      <c r="M365" t="s">
        <v>1799</v>
      </c>
      <c r="N365" t="s">
        <v>1799</v>
      </c>
      <c r="O365" s="184" t="str">
        <f>"["&amp;$C365&amp;"]["&amp;$D365&amp;"]["&amp;$F365&amp;"]"</f>
        <v>[S05_ImprovementReportArt69][12][InstallationCategory]</v>
      </c>
    </row>
    <row r="366" spans="1:15" x14ac:dyDescent="0.3">
      <c r="A366" t="s">
        <v>1793</v>
      </c>
      <c r="B366" t="s">
        <v>1979</v>
      </c>
      <c r="C366" t="s">
        <v>1980</v>
      </c>
      <c r="D366">
        <v>13</v>
      </c>
      <c r="E366" t="s">
        <v>1447</v>
      </c>
      <c r="F366" t="s">
        <v>1934</v>
      </c>
      <c r="G366" t="s">
        <v>1737</v>
      </c>
      <c r="H366" t="s">
        <v>1799</v>
      </c>
      <c r="I366" t="s">
        <v>1799</v>
      </c>
      <c r="J366" t="s">
        <v>1799</v>
      </c>
      <c r="K366" t="s">
        <v>1799</v>
      </c>
      <c r="L366" t="s">
        <v>1487</v>
      </c>
      <c r="M366" t="s">
        <v>1799</v>
      </c>
      <c r="N366" t="s">
        <v>1799</v>
      </c>
      <c r="O366" s="184" t="str">
        <f>"["&amp;$C366&amp;"]["&amp;$D366&amp;"]["&amp;$F366&amp;"]"</f>
        <v>[S05_ImprovementReportArt69][13][InstallationCategory]</v>
      </c>
    </row>
    <row r="367" spans="1:15" x14ac:dyDescent="0.3">
      <c r="A367" t="s">
        <v>1793</v>
      </c>
      <c r="B367" t="s">
        <v>1979</v>
      </c>
      <c r="C367" t="s">
        <v>1980</v>
      </c>
      <c r="D367">
        <v>14</v>
      </c>
      <c r="E367" t="s">
        <v>1447</v>
      </c>
      <c r="F367" t="s">
        <v>1934</v>
      </c>
      <c r="G367" t="s">
        <v>1737</v>
      </c>
      <c r="H367" t="s">
        <v>1799</v>
      </c>
      <c r="I367" t="s">
        <v>1799</v>
      </c>
      <c r="J367" t="s">
        <v>1799</v>
      </c>
      <c r="K367" t="s">
        <v>1799</v>
      </c>
      <c r="L367" t="s">
        <v>1487</v>
      </c>
      <c r="M367" t="s">
        <v>1799</v>
      </c>
      <c r="N367" t="s">
        <v>1799</v>
      </c>
      <c r="O367" s="184" t="str">
        <f>"["&amp;$C367&amp;"]["&amp;$D367&amp;"]["&amp;$F367&amp;"]"</f>
        <v>[S05_ImprovementReportArt69][14][InstallationCategory]</v>
      </c>
    </row>
    <row r="368" spans="1:15" x14ac:dyDescent="0.3">
      <c r="A368" t="s">
        <v>1793</v>
      </c>
      <c r="B368" t="s">
        <v>1979</v>
      </c>
      <c r="C368" t="s">
        <v>1980</v>
      </c>
      <c r="D368">
        <v>15</v>
      </c>
      <c r="E368" t="s">
        <v>1447</v>
      </c>
      <c r="F368" t="s">
        <v>1934</v>
      </c>
      <c r="G368" t="s">
        <v>1737</v>
      </c>
      <c r="H368" t="s">
        <v>1799</v>
      </c>
      <c r="I368" t="s">
        <v>1799</v>
      </c>
      <c r="J368" t="s">
        <v>1799</v>
      </c>
      <c r="K368" t="s">
        <v>1799</v>
      </c>
      <c r="L368" t="s">
        <v>1487</v>
      </c>
      <c r="M368" t="s">
        <v>1799</v>
      </c>
      <c r="N368" t="s">
        <v>1799</v>
      </c>
      <c r="O368" s="184" t="str">
        <f>"["&amp;$C368&amp;"]["&amp;$D368&amp;"]["&amp;$F368&amp;"]"</f>
        <v>[S05_ImprovementReportArt69][15][InstallationCategory]</v>
      </c>
    </row>
    <row r="369" spans="1:15" x14ac:dyDescent="0.3">
      <c r="A369" t="s">
        <v>1793</v>
      </c>
      <c r="B369" t="s">
        <v>1979</v>
      </c>
      <c r="C369" t="s">
        <v>1980</v>
      </c>
      <c r="D369">
        <v>16</v>
      </c>
      <c r="E369" t="s">
        <v>1447</v>
      </c>
      <c r="F369" t="s">
        <v>1934</v>
      </c>
      <c r="G369" t="s">
        <v>1737</v>
      </c>
      <c r="H369" t="s">
        <v>1799</v>
      </c>
      <c r="I369" t="s">
        <v>1799</v>
      </c>
      <c r="J369" t="s">
        <v>1799</v>
      </c>
      <c r="K369" t="s">
        <v>1799</v>
      </c>
      <c r="L369" t="s">
        <v>1487</v>
      </c>
      <c r="M369" t="s">
        <v>1799</v>
      </c>
      <c r="N369" t="s">
        <v>1799</v>
      </c>
      <c r="O369" s="184" t="str">
        <f>"["&amp;$C369&amp;"]["&amp;$D369&amp;"]["&amp;$F369&amp;"]"</f>
        <v>[S05_ImprovementReportArt69][16][InstallationCategory]</v>
      </c>
    </row>
    <row r="370" spans="1:15" x14ac:dyDescent="0.3">
      <c r="A370" t="s">
        <v>1793</v>
      </c>
      <c r="B370" t="s">
        <v>1979</v>
      </c>
      <c r="C370" t="s">
        <v>1980</v>
      </c>
      <c r="D370">
        <v>17</v>
      </c>
      <c r="E370" t="s">
        <v>1447</v>
      </c>
      <c r="F370" t="s">
        <v>1934</v>
      </c>
      <c r="G370" t="s">
        <v>1737</v>
      </c>
      <c r="H370" t="s">
        <v>1799</v>
      </c>
      <c r="I370" t="s">
        <v>1799</v>
      </c>
      <c r="J370" t="s">
        <v>1799</v>
      </c>
      <c r="K370" t="s">
        <v>1799</v>
      </c>
      <c r="L370" t="s">
        <v>1487</v>
      </c>
      <c r="M370" t="s">
        <v>1799</v>
      </c>
      <c r="N370" t="s">
        <v>1799</v>
      </c>
      <c r="O370" s="184" t="str">
        <f>"["&amp;$C370&amp;"]["&amp;$D370&amp;"]["&amp;$F370&amp;"]"</f>
        <v>[S05_ImprovementReportArt69][17][InstallationCategory]</v>
      </c>
    </row>
    <row r="371" spans="1:15" x14ac:dyDescent="0.3">
      <c r="A371" t="s">
        <v>1793</v>
      </c>
      <c r="B371" t="s">
        <v>1979</v>
      </c>
      <c r="C371" t="s">
        <v>1980</v>
      </c>
      <c r="D371">
        <v>1</v>
      </c>
      <c r="E371" t="s">
        <v>1447</v>
      </c>
      <c r="F371" t="s">
        <v>1981</v>
      </c>
      <c r="G371" t="s">
        <v>1737</v>
      </c>
      <c r="H371" t="s">
        <v>1799</v>
      </c>
      <c r="I371" t="s">
        <v>1799</v>
      </c>
      <c r="J371" t="s">
        <v>1799</v>
      </c>
      <c r="K371" t="s">
        <v>1799</v>
      </c>
      <c r="L371" t="s">
        <v>1420</v>
      </c>
      <c r="M371" t="s">
        <v>1799</v>
      </c>
      <c r="N371" t="s">
        <v>1799</v>
      </c>
      <c r="O371" s="184" t="str">
        <f>"["&amp;$C371&amp;"]["&amp;$D371&amp;"]["&amp;$F371&amp;"]"</f>
        <v>[S05_ImprovementReportArt69][1][Annex1Activity]</v>
      </c>
    </row>
    <row r="372" spans="1:15" x14ac:dyDescent="0.3">
      <c r="A372" t="s">
        <v>1793</v>
      </c>
      <c r="B372" t="s">
        <v>1979</v>
      </c>
      <c r="C372" t="s">
        <v>1980</v>
      </c>
      <c r="D372">
        <v>2</v>
      </c>
      <c r="E372" t="s">
        <v>1447</v>
      </c>
      <c r="F372" t="s">
        <v>1981</v>
      </c>
      <c r="G372" t="s">
        <v>1737</v>
      </c>
      <c r="H372" t="s">
        <v>1799</v>
      </c>
      <c r="I372" t="s">
        <v>1799</v>
      </c>
      <c r="J372" t="s">
        <v>1799</v>
      </c>
      <c r="K372" t="s">
        <v>1799</v>
      </c>
      <c r="L372" t="s">
        <v>1577</v>
      </c>
      <c r="M372" t="s">
        <v>1799</v>
      </c>
      <c r="N372" t="s">
        <v>1799</v>
      </c>
      <c r="O372" s="184" t="str">
        <f>"["&amp;$C372&amp;"]["&amp;$D372&amp;"]["&amp;$F372&amp;"]"</f>
        <v>[S05_ImprovementReportArt69][2][Annex1Activity]</v>
      </c>
    </row>
    <row r="373" spans="1:15" x14ac:dyDescent="0.3">
      <c r="A373" t="s">
        <v>1793</v>
      </c>
      <c r="B373" t="s">
        <v>1979</v>
      </c>
      <c r="C373" t="s">
        <v>1980</v>
      </c>
      <c r="D373">
        <v>3</v>
      </c>
      <c r="E373" t="s">
        <v>1447</v>
      </c>
      <c r="F373" t="s">
        <v>1981</v>
      </c>
      <c r="G373" t="s">
        <v>1737</v>
      </c>
      <c r="H373" t="s">
        <v>1799</v>
      </c>
      <c r="I373" t="s">
        <v>1799</v>
      </c>
      <c r="J373" t="s">
        <v>1799</v>
      </c>
      <c r="K373" t="s">
        <v>1799</v>
      </c>
      <c r="L373" t="s">
        <v>1582</v>
      </c>
      <c r="M373" t="s">
        <v>1799</v>
      </c>
      <c r="N373" t="s">
        <v>1799</v>
      </c>
      <c r="O373" s="184" t="str">
        <f>"["&amp;$C373&amp;"]["&amp;$D373&amp;"]["&amp;$F373&amp;"]"</f>
        <v>[S05_ImprovementReportArt69][3][Annex1Activity]</v>
      </c>
    </row>
    <row r="374" spans="1:15" x14ac:dyDescent="0.3">
      <c r="A374" t="s">
        <v>1793</v>
      </c>
      <c r="B374" t="s">
        <v>1979</v>
      </c>
      <c r="C374" t="s">
        <v>1980</v>
      </c>
      <c r="D374">
        <v>4</v>
      </c>
      <c r="E374" t="s">
        <v>1447</v>
      </c>
      <c r="F374" t="s">
        <v>1981</v>
      </c>
      <c r="G374" t="s">
        <v>1737</v>
      </c>
      <c r="H374" t="s">
        <v>1799</v>
      </c>
      <c r="I374" t="s">
        <v>1799</v>
      </c>
      <c r="J374" t="s">
        <v>1799</v>
      </c>
      <c r="K374" t="s">
        <v>1799</v>
      </c>
      <c r="L374" t="s">
        <v>1518</v>
      </c>
      <c r="M374" t="s">
        <v>1799</v>
      </c>
      <c r="N374" t="s">
        <v>1799</v>
      </c>
      <c r="O374" s="184" t="str">
        <f>"["&amp;$C374&amp;"]["&amp;$D374&amp;"]["&amp;$F374&amp;"]"</f>
        <v>[S05_ImprovementReportArt69][4][Annex1Activity]</v>
      </c>
    </row>
    <row r="375" spans="1:15" x14ac:dyDescent="0.3">
      <c r="A375" t="s">
        <v>1793</v>
      </c>
      <c r="B375" t="s">
        <v>1979</v>
      </c>
      <c r="C375" t="s">
        <v>1980</v>
      </c>
      <c r="D375">
        <v>5</v>
      </c>
      <c r="E375" t="s">
        <v>1447</v>
      </c>
      <c r="F375" t="s">
        <v>1981</v>
      </c>
      <c r="G375" t="s">
        <v>1737</v>
      </c>
      <c r="H375" t="s">
        <v>1799</v>
      </c>
      <c r="I375" t="s">
        <v>1799</v>
      </c>
      <c r="J375" t="s">
        <v>1799</v>
      </c>
      <c r="K375" t="s">
        <v>1799</v>
      </c>
      <c r="L375" t="s">
        <v>1568</v>
      </c>
      <c r="M375" t="s">
        <v>1799</v>
      </c>
      <c r="N375" t="s">
        <v>1799</v>
      </c>
      <c r="O375" s="184" t="str">
        <f>"["&amp;$C375&amp;"]["&amp;$D375&amp;"]["&amp;$F375&amp;"]"</f>
        <v>[S05_ImprovementReportArt69][5][Annex1Activity]</v>
      </c>
    </row>
    <row r="376" spans="1:15" x14ac:dyDescent="0.3">
      <c r="A376" t="s">
        <v>1793</v>
      </c>
      <c r="B376" t="s">
        <v>1979</v>
      </c>
      <c r="C376" t="s">
        <v>1980</v>
      </c>
      <c r="D376">
        <v>6</v>
      </c>
      <c r="E376" t="s">
        <v>1447</v>
      </c>
      <c r="F376" t="s">
        <v>1981</v>
      </c>
      <c r="G376" t="s">
        <v>1737</v>
      </c>
      <c r="H376" t="s">
        <v>1799</v>
      </c>
      <c r="I376" t="s">
        <v>1799</v>
      </c>
      <c r="J376" t="s">
        <v>1799</v>
      </c>
      <c r="K376" t="s">
        <v>1799</v>
      </c>
      <c r="L376" t="s">
        <v>1420</v>
      </c>
      <c r="M376" t="s">
        <v>1799</v>
      </c>
      <c r="N376" t="s">
        <v>1799</v>
      </c>
      <c r="O376" s="184" t="str">
        <f>"["&amp;$C376&amp;"]["&amp;$D376&amp;"]["&amp;$F376&amp;"]"</f>
        <v>[S05_ImprovementReportArt69][6][Annex1Activity]</v>
      </c>
    </row>
    <row r="377" spans="1:15" x14ac:dyDescent="0.3">
      <c r="A377" t="s">
        <v>1793</v>
      </c>
      <c r="B377" t="s">
        <v>1979</v>
      </c>
      <c r="C377" t="s">
        <v>1980</v>
      </c>
      <c r="D377">
        <v>7</v>
      </c>
      <c r="E377" t="s">
        <v>1447</v>
      </c>
      <c r="F377" t="s">
        <v>1981</v>
      </c>
      <c r="G377" t="s">
        <v>1737</v>
      </c>
      <c r="H377" t="s">
        <v>1799</v>
      </c>
      <c r="I377" t="s">
        <v>1799</v>
      </c>
      <c r="J377" t="s">
        <v>1799</v>
      </c>
      <c r="K377" t="s">
        <v>1799</v>
      </c>
      <c r="L377" t="s">
        <v>1568</v>
      </c>
      <c r="M377" t="s">
        <v>1799</v>
      </c>
      <c r="N377" t="s">
        <v>1799</v>
      </c>
      <c r="O377" s="184" t="str">
        <f>"["&amp;$C377&amp;"]["&amp;$D377&amp;"]["&amp;$F377&amp;"]"</f>
        <v>[S05_ImprovementReportArt69][7][Annex1Activity]</v>
      </c>
    </row>
    <row r="378" spans="1:15" x14ac:dyDescent="0.3">
      <c r="A378" t="s">
        <v>1793</v>
      </c>
      <c r="B378" t="s">
        <v>1979</v>
      </c>
      <c r="C378" t="s">
        <v>1980</v>
      </c>
      <c r="D378">
        <v>8</v>
      </c>
      <c r="E378" t="s">
        <v>1447</v>
      </c>
      <c r="F378" t="s">
        <v>1981</v>
      </c>
      <c r="G378" t="s">
        <v>1737</v>
      </c>
      <c r="H378" t="s">
        <v>1799</v>
      </c>
      <c r="I378" t="s">
        <v>1799</v>
      </c>
      <c r="J378" t="s">
        <v>1799</v>
      </c>
      <c r="K378" t="s">
        <v>1799</v>
      </c>
      <c r="L378" t="s">
        <v>1597</v>
      </c>
      <c r="M378" t="s">
        <v>1799</v>
      </c>
      <c r="N378" t="s">
        <v>1799</v>
      </c>
      <c r="O378" s="184" t="str">
        <f>"["&amp;$C378&amp;"]["&amp;$D378&amp;"]["&amp;$F378&amp;"]"</f>
        <v>[S05_ImprovementReportArt69][8][Annex1Activity]</v>
      </c>
    </row>
    <row r="379" spans="1:15" x14ac:dyDescent="0.3">
      <c r="A379" t="s">
        <v>1793</v>
      </c>
      <c r="B379" t="s">
        <v>1979</v>
      </c>
      <c r="C379" t="s">
        <v>1980</v>
      </c>
      <c r="D379">
        <v>9</v>
      </c>
      <c r="E379" t="s">
        <v>1447</v>
      </c>
      <c r="F379" t="s">
        <v>1981</v>
      </c>
      <c r="G379" t="s">
        <v>1737</v>
      </c>
      <c r="H379" t="s">
        <v>1799</v>
      </c>
      <c r="I379" t="s">
        <v>1799</v>
      </c>
      <c r="J379" t="s">
        <v>1799</v>
      </c>
      <c r="K379" t="s">
        <v>1799</v>
      </c>
      <c r="L379" t="s">
        <v>1562</v>
      </c>
      <c r="M379" t="s">
        <v>1799</v>
      </c>
      <c r="N379" t="s">
        <v>1799</v>
      </c>
      <c r="O379" s="184" t="str">
        <f>"["&amp;$C379&amp;"]["&amp;$D379&amp;"]["&amp;$F379&amp;"]"</f>
        <v>[S05_ImprovementReportArt69][9][Annex1Activity]</v>
      </c>
    </row>
    <row r="380" spans="1:15" x14ac:dyDescent="0.3">
      <c r="A380" t="s">
        <v>1793</v>
      </c>
      <c r="B380" t="s">
        <v>1979</v>
      </c>
      <c r="C380" t="s">
        <v>1980</v>
      </c>
      <c r="D380">
        <v>10</v>
      </c>
      <c r="E380" t="s">
        <v>1447</v>
      </c>
      <c r="F380" t="s">
        <v>1981</v>
      </c>
      <c r="G380" t="s">
        <v>1737</v>
      </c>
      <c r="H380" t="s">
        <v>1799</v>
      </c>
      <c r="I380" t="s">
        <v>1799</v>
      </c>
      <c r="J380" t="s">
        <v>1799</v>
      </c>
      <c r="K380" t="s">
        <v>1799</v>
      </c>
      <c r="L380" t="s">
        <v>1562</v>
      </c>
      <c r="M380" t="s">
        <v>1799</v>
      </c>
      <c r="N380" t="s">
        <v>1799</v>
      </c>
      <c r="O380" s="184" t="str">
        <f>"["&amp;$C380&amp;"]["&amp;$D380&amp;"]["&amp;$F380&amp;"]"</f>
        <v>[S05_ImprovementReportArt69][10][Annex1Activity]</v>
      </c>
    </row>
    <row r="381" spans="1:15" x14ac:dyDescent="0.3">
      <c r="A381" t="s">
        <v>1793</v>
      </c>
      <c r="B381" t="s">
        <v>1979</v>
      </c>
      <c r="C381" t="s">
        <v>1980</v>
      </c>
      <c r="D381">
        <v>11</v>
      </c>
      <c r="E381" t="s">
        <v>1447</v>
      </c>
      <c r="F381" t="s">
        <v>1981</v>
      </c>
      <c r="G381" t="s">
        <v>1737</v>
      </c>
      <c r="H381" t="s">
        <v>1799</v>
      </c>
      <c r="I381" t="s">
        <v>1799</v>
      </c>
      <c r="J381" t="s">
        <v>1799</v>
      </c>
      <c r="K381" t="s">
        <v>1799</v>
      </c>
      <c r="L381" t="s">
        <v>1448</v>
      </c>
      <c r="M381" t="s">
        <v>1799</v>
      </c>
      <c r="N381" t="s">
        <v>1799</v>
      </c>
      <c r="O381" s="184" t="str">
        <f>"["&amp;$C381&amp;"]["&amp;$D381&amp;"]["&amp;$F381&amp;"]"</f>
        <v>[S05_ImprovementReportArt69][11][Annex1Activity]</v>
      </c>
    </row>
    <row r="382" spans="1:15" x14ac:dyDescent="0.3">
      <c r="A382" t="s">
        <v>1793</v>
      </c>
      <c r="B382" t="s">
        <v>1979</v>
      </c>
      <c r="C382" t="s">
        <v>1980</v>
      </c>
      <c r="D382">
        <v>12</v>
      </c>
      <c r="E382" t="s">
        <v>1447</v>
      </c>
      <c r="F382" t="s">
        <v>1981</v>
      </c>
      <c r="G382" t="s">
        <v>1737</v>
      </c>
      <c r="H382" t="s">
        <v>1799</v>
      </c>
      <c r="I382" t="s">
        <v>1799</v>
      </c>
      <c r="J382" t="s">
        <v>1799</v>
      </c>
      <c r="K382" t="s">
        <v>1799</v>
      </c>
      <c r="L382" t="s">
        <v>1448</v>
      </c>
      <c r="M382" t="s">
        <v>1799</v>
      </c>
      <c r="N382" t="s">
        <v>1799</v>
      </c>
      <c r="O382" s="184" t="str">
        <f>"["&amp;$C382&amp;"]["&amp;$D382&amp;"]["&amp;$F382&amp;"]"</f>
        <v>[S05_ImprovementReportArt69][12][Annex1Activity]</v>
      </c>
    </row>
    <row r="383" spans="1:15" x14ac:dyDescent="0.3">
      <c r="A383" t="s">
        <v>1793</v>
      </c>
      <c r="B383" t="s">
        <v>1979</v>
      </c>
      <c r="C383" t="s">
        <v>1980</v>
      </c>
      <c r="D383">
        <v>13</v>
      </c>
      <c r="E383" t="s">
        <v>1447</v>
      </c>
      <c r="F383" t="s">
        <v>1981</v>
      </c>
      <c r="G383" t="s">
        <v>1737</v>
      </c>
      <c r="H383" t="s">
        <v>1799</v>
      </c>
      <c r="I383" t="s">
        <v>1799</v>
      </c>
      <c r="J383" t="s">
        <v>1799</v>
      </c>
      <c r="K383" t="s">
        <v>1799</v>
      </c>
      <c r="L383" t="s">
        <v>1420</v>
      </c>
      <c r="M383" t="s">
        <v>1799</v>
      </c>
      <c r="N383" t="s">
        <v>1799</v>
      </c>
      <c r="O383" s="184" t="str">
        <f>"["&amp;$C383&amp;"]["&amp;$D383&amp;"]["&amp;$F383&amp;"]"</f>
        <v>[S05_ImprovementReportArt69][13][Annex1Activity]</v>
      </c>
    </row>
    <row r="384" spans="1:15" x14ac:dyDescent="0.3">
      <c r="A384" t="s">
        <v>1793</v>
      </c>
      <c r="B384" t="s">
        <v>1979</v>
      </c>
      <c r="C384" t="s">
        <v>1980</v>
      </c>
      <c r="D384">
        <v>14</v>
      </c>
      <c r="E384" t="s">
        <v>1447</v>
      </c>
      <c r="F384" t="s">
        <v>1981</v>
      </c>
      <c r="G384" t="s">
        <v>1737</v>
      </c>
      <c r="H384" t="s">
        <v>1799</v>
      </c>
      <c r="I384" t="s">
        <v>1799</v>
      </c>
      <c r="J384" t="s">
        <v>1799</v>
      </c>
      <c r="K384" t="s">
        <v>1799</v>
      </c>
      <c r="L384" t="s">
        <v>1420</v>
      </c>
      <c r="M384" t="s">
        <v>1799</v>
      </c>
      <c r="N384" t="s">
        <v>1799</v>
      </c>
      <c r="O384" s="184" t="str">
        <f>"["&amp;$C384&amp;"]["&amp;$D384&amp;"]["&amp;$F384&amp;"]"</f>
        <v>[S05_ImprovementReportArt69][14][Annex1Activity]</v>
      </c>
    </row>
    <row r="385" spans="1:15" x14ac:dyDescent="0.3">
      <c r="A385" t="s">
        <v>1793</v>
      </c>
      <c r="B385" t="s">
        <v>1979</v>
      </c>
      <c r="C385" t="s">
        <v>1980</v>
      </c>
      <c r="D385">
        <v>15</v>
      </c>
      <c r="E385" t="s">
        <v>1447</v>
      </c>
      <c r="F385" t="s">
        <v>1981</v>
      </c>
      <c r="G385" t="s">
        <v>1737</v>
      </c>
      <c r="H385" t="s">
        <v>1799</v>
      </c>
      <c r="I385" t="s">
        <v>1799</v>
      </c>
      <c r="J385" t="s">
        <v>1799</v>
      </c>
      <c r="K385" t="s">
        <v>1799</v>
      </c>
      <c r="L385" t="s">
        <v>1562</v>
      </c>
      <c r="M385" t="s">
        <v>1799</v>
      </c>
      <c r="N385" t="s">
        <v>1799</v>
      </c>
      <c r="O385" s="184" t="str">
        <f>"["&amp;$C385&amp;"]["&amp;$D385&amp;"]["&amp;$F385&amp;"]"</f>
        <v>[S05_ImprovementReportArt69][15][Annex1Activity]</v>
      </c>
    </row>
    <row r="386" spans="1:15" x14ac:dyDescent="0.3">
      <c r="A386" t="s">
        <v>1793</v>
      </c>
      <c r="B386" t="s">
        <v>1979</v>
      </c>
      <c r="C386" t="s">
        <v>1980</v>
      </c>
      <c r="D386">
        <v>16</v>
      </c>
      <c r="E386" t="s">
        <v>1447</v>
      </c>
      <c r="F386" t="s">
        <v>1981</v>
      </c>
      <c r="G386" t="s">
        <v>1737</v>
      </c>
      <c r="H386" t="s">
        <v>1799</v>
      </c>
      <c r="I386" t="s">
        <v>1799</v>
      </c>
      <c r="J386" t="s">
        <v>1799</v>
      </c>
      <c r="K386" t="s">
        <v>1799</v>
      </c>
      <c r="L386" t="s">
        <v>1448</v>
      </c>
      <c r="M386" t="s">
        <v>1799</v>
      </c>
      <c r="N386" t="s">
        <v>1799</v>
      </c>
      <c r="O386" s="184" t="str">
        <f>"["&amp;$C386&amp;"]["&amp;$D386&amp;"]["&amp;$F386&amp;"]"</f>
        <v>[S05_ImprovementReportArt69][16][Annex1Activity]</v>
      </c>
    </row>
    <row r="387" spans="1:15" x14ac:dyDescent="0.3">
      <c r="A387" t="s">
        <v>1793</v>
      </c>
      <c r="B387" t="s">
        <v>1979</v>
      </c>
      <c r="C387" t="s">
        <v>1980</v>
      </c>
      <c r="D387">
        <v>17</v>
      </c>
      <c r="E387" t="s">
        <v>1447</v>
      </c>
      <c r="F387" t="s">
        <v>1981</v>
      </c>
      <c r="G387" t="s">
        <v>1737</v>
      </c>
      <c r="H387" t="s">
        <v>1799</v>
      </c>
      <c r="I387" t="s">
        <v>1799</v>
      </c>
      <c r="J387" t="s">
        <v>1799</v>
      </c>
      <c r="K387" t="s">
        <v>1799</v>
      </c>
      <c r="L387" t="s">
        <v>1448</v>
      </c>
      <c r="M387" t="s">
        <v>1799</v>
      </c>
      <c r="N387" t="s">
        <v>1799</v>
      </c>
      <c r="O387" s="184" t="str">
        <f>"["&amp;$C387&amp;"]["&amp;$D387&amp;"]["&amp;$F387&amp;"]"</f>
        <v>[S05_ImprovementReportArt69][17][Annex1Activity]</v>
      </c>
    </row>
    <row r="388" spans="1:15" x14ac:dyDescent="0.3">
      <c r="A388" t="s">
        <v>1793</v>
      </c>
      <c r="B388" t="s">
        <v>1979</v>
      </c>
      <c r="C388" t="s">
        <v>1980</v>
      </c>
      <c r="D388">
        <v>1</v>
      </c>
      <c r="E388" t="s">
        <v>1447</v>
      </c>
      <c r="F388" t="s">
        <v>1982</v>
      </c>
      <c r="G388" t="s">
        <v>1737</v>
      </c>
      <c r="H388" t="s">
        <v>1799</v>
      </c>
      <c r="I388" t="s">
        <v>1799</v>
      </c>
      <c r="J388" t="s">
        <v>1799</v>
      </c>
      <c r="K388" t="s">
        <v>1799</v>
      </c>
      <c r="L388" t="s">
        <v>1488</v>
      </c>
      <c r="M388" t="s">
        <v>1799</v>
      </c>
      <c r="N388" t="s">
        <v>1799</v>
      </c>
      <c r="O388" s="184" t="str">
        <f>"["&amp;$C388&amp;"]["&amp;$D388&amp;"]["&amp;$F388&amp;"]"</f>
        <v>[S05_ImprovementReportArt69][1][ImprovementReportType]</v>
      </c>
    </row>
    <row r="389" spans="1:15" x14ac:dyDescent="0.3">
      <c r="A389" t="s">
        <v>1793</v>
      </c>
      <c r="B389" t="s">
        <v>1979</v>
      </c>
      <c r="C389" t="s">
        <v>1980</v>
      </c>
      <c r="D389">
        <v>2</v>
      </c>
      <c r="E389" t="s">
        <v>1447</v>
      </c>
      <c r="F389" t="s">
        <v>1982</v>
      </c>
      <c r="G389" t="s">
        <v>1737</v>
      </c>
      <c r="H389" t="s">
        <v>1799</v>
      </c>
      <c r="I389" t="s">
        <v>1799</v>
      </c>
      <c r="J389" t="s">
        <v>1799</v>
      </c>
      <c r="K389" t="s">
        <v>1799</v>
      </c>
      <c r="L389" t="s">
        <v>1488</v>
      </c>
      <c r="M389" t="s">
        <v>1799</v>
      </c>
      <c r="N389" t="s">
        <v>1799</v>
      </c>
      <c r="O389" s="184" t="str">
        <f>"["&amp;$C389&amp;"]["&amp;$D389&amp;"]["&amp;$F389&amp;"]"</f>
        <v>[S05_ImprovementReportArt69][2][ImprovementReportType]</v>
      </c>
    </row>
    <row r="390" spans="1:15" x14ac:dyDescent="0.3">
      <c r="A390" t="s">
        <v>1793</v>
      </c>
      <c r="B390" t="s">
        <v>1979</v>
      </c>
      <c r="C390" t="s">
        <v>1980</v>
      </c>
      <c r="D390">
        <v>3</v>
      </c>
      <c r="E390" t="s">
        <v>1447</v>
      </c>
      <c r="F390" t="s">
        <v>1982</v>
      </c>
      <c r="G390" t="s">
        <v>1737</v>
      </c>
      <c r="H390" t="s">
        <v>1799</v>
      </c>
      <c r="I390" t="s">
        <v>1799</v>
      </c>
      <c r="J390" t="s">
        <v>1799</v>
      </c>
      <c r="K390" t="s">
        <v>1799</v>
      </c>
      <c r="L390" t="s">
        <v>1488</v>
      </c>
      <c r="M390" t="s">
        <v>1799</v>
      </c>
      <c r="N390" t="s">
        <v>1799</v>
      </c>
      <c r="O390" s="184" t="str">
        <f>"["&amp;$C390&amp;"]["&amp;$D390&amp;"]["&amp;$F390&amp;"]"</f>
        <v>[S05_ImprovementReportArt69][3][ImprovementReportType]</v>
      </c>
    </row>
    <row r="391" spans="1:15" x14ac:dyDescent="0.3">
      <c r="A391" t="s">
        <v>1793</v>
      </c>
      <c r="B391" t="s">
        <v>1979</v>
      </c>
      <c r="C391" t="s">
        <v>1980</v>
      </c>
      <c r="D391">
        <v>4</v>
      </c>
      <c r="E391" t="s">
        <v>1447</v>
      </c>
      <c r="F391" t="s">
        <v>1982</v>
      </c>
      <c r="G391" t="s">
        <v>1737</v>
      </c>
      <c r="H391" t="s">
        <v>1799</v>
      </c>
      <c r="I391" t="s">
        <v>1799</v>
      </c>
      <c r="J391" t="s">
        <v>1799</v>
      </c>
      <c r="K391" t="s">
        <v>1799</v>
      </c>
      <c r="L391" t="s">
        <v>1488</v>
      </c>
      <c r="M391" t="s">
        <v>1799</v>
      </c>
      <c r="N391" t="s">
        <v>1799</v>
      </c>
      <c r="O391" s="184" t="str">
        <f>"["&amp;$C391&amp;"]["&amp;$D391&amp;"]["&amp;$F391&amp;"]"</f>
        <v>[S05_ImprovementReportArt69][4][ImprovementReportType]</v>
      </c>
    </row>
    <row r="392" spans="1:15" x14ac:dyDescent="0.3">
      <c r="A392" t="s">
        <v>1793</v>
      </c>
      <c r="B392" t="s">
        <v>1979</v>
      </c>
      <c r="C392" t="s">
        <v>1980</v>
      </c>
      <c r="D392">
        <v>5</v>
      </c>
      <c r="E392" t="s">
        <v>1447</v>
      </c>
      <c r="F392" t="s">
        <v>1982</v>
      </c>
      <c r="G392" t="s">
        <v>1737</v>
      </c>
      <c r="H392" t="s">
        <v>1799</v>
      </c>
      <c r="I392" t="s">
        <v>1799</v>
      </c>
      <c r="J392" t="s">
        <v>1799</v>
      </c>
      <c r="K392" t="s">
        <v>1799</v>
      </c>
      <c r="L392" t="s">
        <v>1488</v>
      </c>
      <c r="M392" t="s">
        <v>1799</v>
      </c>
      <c r="N392" t="s">
        <v>1799</v>
      </c>
      <c r="O392" s="184" t="str">
        <f>"["&amp;$C392&amp;"]["&amp;$D392&amp;"]["&amp;$F392&amp;"]"</f>
        <v>[S05_ImprovementReportArt69][5][ImprovementReportType]</v>
      </c>
    </row>
    <row r="393" spans="1:15" x14ac:dyDescent="0.3">
      <c r="A393" t="s">
        <v>1793</v>
      </c>
      <c r="B393" t="s">
        <v>1979</v>
      </c>
      <c r="C393" t="s">
        <v>1980</v>
      </c>
      <c r="D393">
        <v>6</v>
      </c>
      <c r="E393" t="s">
        <v>1447</v>
      </c>
      <c r="F393" t="s">
        <v>1982</v>
      </c>
      <c r="G393" t="s">
        <v>1737</v>
      </c>
      <c r="H393" t="s">
        <v>1799</v>
      </c>
      <c r="I393" t="s">
        <v>1799</v>
      </c>
      <c r="J393" t="s">
        <v>1799</v>
      </c>
      <c r="K393" t="s">
        <v>1799</v>
      </c>
      <c r="L393" t="s">
        <v>1488</v>
      </c>
      <c r="M393" t="s">
        <v>1799</v>
      </c>
      <c r="N393" t="s">
        <v>1799</v>
      </c>
      <c r="O393" s="184" t="str">
        <f>"["&amp;$C393&amp;"]["&amp;$D393&amp;"]["&amp;$F393&amp;"]"</f>
        <v>[S05_ImprovementReportArt69][6][ImprovementReportType]</v>
      </c>
    </row>
    <row r="394" spans="1:15" x14ac:dyDescent="0.3">
      <c r="A394" t="s">
        <v>1793</v>
      </c>
      <c r="B394" t="s">
        <v>1979</v>
      </c>
      <c r="C394" t="s">
        <v>1980</v>
      </c>
      <c r="D394">
        <v>7</v>
      </c>
      <c r="E394" t="s">
        <v>1447</v>
      </c>
      <c r="F394" t="s">
        <v>1982</v>
      </c>
      <c r="G394" t="s">
        <v>1737</v>
      </c>
      <c r="H394" t="s">
        <v>1799</v>
      </c>
      <c r="I394" t="s">
        <v>1799</v>
      </c>
      <c r="J394" t="s">
        <v>1799</v>
      </c>
      <c r="K394" t="s">
        <v>1799</v>
      </c>
      <c r="L394" t="s">
        <v>1488</v>
      </c>
      <c r="M394" t="s">
        <v>1799</v>
      </c>
      <c r="N394" t="s">
        <v>1799</v>
      </c>
      <c r="O394" s="184" t="str">
        <f>"["&amp;$C394&amp;"]["&amp;$D394&amp;"]["&amp;$F394&amp;"]"</f>
        <v>[S05_ImprovementReportArt69][7][ImprovementReportType]</v>
      </c>
    </row>
    <row r="395" spans="1:15" x14ac:dyDescent="0.3">
      <c r="A395" t="s">
        <v>1793</v>
      </c>
      <c r="B395" t="s">
        <v>1979</v>
      </c>
      <c r="C395" t="s">
        <v>1980</v>
      </c>
      <c r="D395">
        <v>8</v>
      </c>
      <c r="E395" t="s">
        <v>1447</v>
      </c>
      <c r="F395" t="s">
        <v>1982</v>
      </c>
      <c r="G395" t="s">
        <v>1737</v>
      </c>
      <c r="H395" t="s">
        <v>1799</v>
      </c>
      <c r="I395" t="s">
        <v>1799</v>
      </c>
      <c r="J395" t="s">
        <v>1799</v>
      </c>
      <c r="K395" t="s">
        <v>1799</v>
      </c>
      <c r="L395" t="s">
        <v>1488</v>
      </c>
      <c r="M395" t="s">
        <v>1799</v>
      </c>
      <c r="N395" t="s">
        <v>1799</v>
      </c>
      <c r="O395" s="184" t="str">
        <f>"["&amp;$C395&amp;"]["&amp;$D395&amp;"]["&amp;$F395&amp;"]"</f>
        <v>[S05_ImprovementReportArt69][8][ImprovementReportType]</v>
      </c>
    </row>
    <row r="396" spans="1:15" x14ac:dyDescent="0.3">
      <c r="A396" t="s">
        <v>1793</v>
      </c>
      <c r="B396" t="s">
        <v>1979</v>
      </c>
      <c r="C396" t="s">
        <v>1980</v>
      </c>
      <c r="D396">
        <v>9</v>
      </c>
      <c r="E396" t="s">
        <v>1447</v>
      </c>
      <c r="F396" t="s">
        <v>1982</v>
      </c>
      <c r="G396" t="s">
        <v>1737</v>
      </c>
      <c r="H396" t="s">
        <v>1799</v>
      </c>
      <c r="I396" t="s">
        <v>1799</v>
      </c>
      <c r="J396" t="s">
        <v>1799</v>
      </c>
      <c r="K396" t="s">
        <v>1799</v>
      </c>
      <c r="L396" t="s">
        <v>1433</v>
      </c>
      <c r="M396" t="s">
        <v>1799</v>
      </c>
      <c r="N396" t="s">
        <v>1799</v>
      </c>
      <c r="O396" s="184" t="str">
        <f>"["&amp;$C396&amp;"]["&amp;$D396&amp;"]["&amp;$F396&amp;"]"</f>
        <v>[S05_ImprovementReportArt69][9][ImprovementReportType]</v>
      </c>
    </row>
    <row r="397" spans="1:15" x14ac:dyDescent="0.3">
      <c r="A397" t="s">
        <v>1793</v>
      </c>
      <c r="B397" t="s">
        <v>1979</v>
      </c>
      <c r="C397" t="s">
        <v>1980</v>
      </c>
      <c r="D397">
        <v>10</v>
      </c>
      <c r="E397" t="s">
        <v>1447</v>
      </c>
      <c r="F397" t="s">
        <v>1982</v>
      </c>
      <c r="G397" t="s">
        <v>1737</v>
      </c>
      <c r="H397" t="s">
        <v>1799</v>
      </c>
      <c r="I397" t="s">
        <v>1799</v>
      </c>
      <c r="J397" t="s">
        <v>1799</v>
      </c>
      <c r="K397" t="s">
        <v>1799</v>
      </c>
      <c r="L397" t="s">
        <v>1488</v>
      </c>
      <c r="M397" t="s">
        <v>1799</v>
      </c>
      <c r="N397" t="s">
        <v>1799</v>
      </c>
      <c r="O397" s="184" t="str">
        <f>"["&amp;$C397&amp;"]["&amp;$D397&amp;"]["&amp;$F397&amp;"]"</f>
        <v>[S05_ImprovementReportArt69][10][ImprovementReportType]</v>
      </c>
    </row>
    <row r="398" spans="1:15" x14ac:dyDescent="0.3">
      <c r="A398" t="s">
        <v>1793</v>
      </c>
      <c r="B398" t="s">
        <v>1979</v>
      </c>
      <c r="C398" t="s">
        <v>1980</v>
      </c>
      <c r="D398">
        <v>11</v>
      </c>
      <c r="E398" t="s">
        <v>1447</v>
      </c>
      <c r="F398" t="s">
        <v>1982</v>
      </c>
      <c r="G398" t="s">
        <v>1737</v>
      </c>
      <c r="H398" t="s">
        <v>1799</v>
      </c>
      <c r="I398" t="s">
        <v>1799</v>
      </c>
      <c r="J398" t="s">
        <v>1799</v>
      </c>
      <c r="K398" t="s">
        <v>1799</v>
      </c>
      <c r="L398" t="s">
        <v>1433</v>
      </c>
      <c r="M398" t="s">
        <v>1799</v>
      </c>
      <c r="N398" t="s">
        <v>1799</v>
      </c>
      <c r="O398" s="184" t="str">
        <f>"["&amp;$C398&amp;"]["&amp;$D398&amp;"]["&amp;$F398&amp;"]"</f>
        <v>[S05_ImprovementReportArt69][11][ImprovementReportType]</v>
      </c>
    </row>
    <row r="399" spans="1:15" x14ac:dyDescent="0.3">
      <c r="A399" t="s">
        <v>1793</v>
      </c>
      <c r="B399" t="s">
        <v>1979</v>
      </c>
      <c r="C399" t="s">
        <v>1980</v>
      </c>
      <c r="D399">
        <v>12</v>
      </c>
      <c r="E399" t="s">
        <v>1447</v>
      </c>
      <c r="F399" t="s">
        <v>1982</v>
      </c>
      <c r="G399" t="s">
        <v>1737</v>
      </c>
      <c r="H399" t="s">
        <v>1799</v>
      </c>
      <c r="I399" t="s">
        <v>1799</v>
      </c>
      <c r="J399" t="s">
        <v>1799</v>
      </c>
      <c r="K399" t="s">
        <v>1799</v>
      </c>
      <c r="L399" t="s">
        <v>1488</v>
      </c>
      <c r="M399" t="s">
        <v>1799</v>
      </c>
      <c r="N399" t="s">
        <v>1799</v>
      </c>
      <c r="O399" s="184" t="str">
        <f>"["&amp;$C399&amp;"]["&amp;$D399&amp;"]["&amp;$F399&amp;"]"</f>
        <v>[S05_ImprovementReportArt69][12][ImprovementReportType]</v>
      </c>
    </row>
    <row r="400" spans="1:15" x14ac:dyDescent="0.3">
      <c r="A400" t="s">
        <v>1793</v>
      </c>
      <c r="B400" t="s">
        <v>1979</v>
      </c>
      <c r="C400" t="s">
        <v>1980</v>
      </c>
      <c r="D400">
        <v>13</v>
      </c>
      <c r="E400" t="s">
        <v>1447</v>
      </c>
      <c r="F400" t="s">
        <v>1982</v>
      </c>
      <c r="G400" t="s">
        <v>1737</v>
      </c>
      <c r="H400" t="s">
        <v>1799</v>
      </c>
      <c r="I400" t="s">
        <v>1799</v>
      </c>
      <c r="J400" t="s">
        <v>1799</v>
      </c>
      <c r="K400" t="s">
        <v>1799</v>
      </c>
      <c r="L400" t="s">
        <v>1488</v>
      </c>
      <c r="M400" t="s">
        <v>1799</v>
      </c>
      <c r="N400" t="s">
        <v>1799</v>
      </c>
      <c r="O400" s="184" t="str">
        <f>"["&amp;$C400&amp;"]["&amp;$D400&amp;"]["&amp;$F400&amp;"]"</f>
        <v>[S05_ImprovementReportArt69][13][ImprovementReportType]</v>
      </c>
    </row>
    <row r="401" spans="1:15" x14ac:dyDescent="0.3">
      <c r="A401" t="s">
        <v>1793</v>
      </c>
      <c r="B401" t="s">
        <v>1979</v>
      </c>
      <c r="C401" t="s">
        <v>1980</v>
      </c>
      <c r="D401">
        <v>14</v>
      </c>
      <c r="E401" t="s">
        <v>1447</v>
      </c>
      <c r="F401" t="s">
        <v>1982</v>
      </c>
      <c r="G401" t="s">
        <v>1737</v>
      </c>
      <c r="H401" t="s">
        <v>1799</v>
      </c>
      <c r="I401" t="s">
        <v>1799</v>
      </c>
      <c r="J401" t="s">
        <v>1799</v>
      </c>
      <c r="K401" t="s">
        <v>1799</v>
      </c>
      <c r="L401" t="s">
        <v>1433</v>
      </c>
      <c r="M401" t="s">
        <v>1799</v>
      </c>
      <c r="N401" t="s">
        <v>1799</v>
      </c>
      <c r="O401" s="184" t="str">
        <f>"["&amp;$C401&amp;"]["&amp;$D401&amp;"]["&amp;$F401&amp;"]"</f>
        <v>[S05_ImprovementReportArt69][14][ImprovementReportType]</v>
      </c>
    </row>
    <row r="402" spans="1:15" x14ac:dyDescent="0.3">
      <c r="A402" t="s">
        <v>1793</v>
      </c>
      <c r="B402" t="s">
        <v>1979</v>
      </c>
      <c r="C402" t="s">
        <v>1980</v>
      </c>
      <c r="D402">
        <v>15</v>
      </c>
      <c r="E402" t="s">
        <v>1447</v>
      </c>
      <c r="F402" t="s">
        <v>1982</v>
      </c>
      <c r="G402" t="s">
        <v>1737</v>
      </c>
      <c r="H402" t="s">
        <v>1799</v>
      </c>
      <c r="I402" t="s">
        <v>1799</v>
      </c>
      <c r="J402" t="s">
        <v>1799</v>
      </c>
      <c r="K402" t="s">
        <v>1799</v>
      </c>
      <c r="L402" t="s">
        <v>1488</v>
      </c>
      <c r="M402" t="s">
        <v>1799</v>
      </c>
      <c r="N402" t="s">
        <v>1799</v>
      </c>
      <c r="O402" s="184" t="str">
        <f>"["&amp;$C402&amp;"]["&amp;$D402&amp;"]["&amp;$F402&amp;"]"</f>
        <v>[S05_ImprovementReportArt69][15][ImprovementReportType]</v>
      </c>
    </row>
    <row r="403" spans="1:15" x14ac:dyDescent="0.3">
      <c r="A403" t="s">
        <v>1793</v>
      </c>
      <c r="B403" t="s">
        <v>1979</v>
      </c>
      <c r="C403" t="s">
        <v>1980</v>
      </c>
      <c r="D403">
        <v>16</v>
      </c>
      <c r="E403" t="s">
        <v>1447</v>
      </c>
      <c r="F403" t="s">
        <v>1982</v>
      </c>
      <c r="G403" t="s">
        <v>1737</v>
      </c>
      <c r="H403" t="s">
        <v>1799</v>
      </c>
      <c r="I403" t="s">
        <v>1799</v>
      </c>
      <c r="J403" t="s">
        <v>1799</v>
      </c>
      <c r="K403" t="s">
        <v>1799</v>
      </c>
      <c r="L403" t="s">
        <v>1488</v>
      </c>
      <c r="M403" t="s">
        <v>1799</v>
      </c>
      <c r="N403" t="s">
        <v>1799</v>
      </c>
      <c r="O403" s="184" t="str">
        <f>"["&amp;$C403&amp;"]["&amp;$D403&amp;"]["&amp;$F403&amp;"]"</f>
        <v>[S05_ImprovementReportArt69][16][ImprovementReportType]</v>
      </c>
    </row>
    <row r="404" spans="1:15" x14ac:dyDescent="0.3">
      <c r="A404" t="s">
        <v>1793</v>
      </c>
      <c r="B404" t="s">
        <v>1979</v>
      </c>
      <c r="C404" t="s">
        <v>1980</v>
      </c>
      <c r="D404">
        <v>17</v>
      </c>
      <c r="E404" t="s">
        <v>1447</v>
      </c>
      <c r="F404" t="s">
        <v>1982</v>
      </c>
      <c r="G404" t="s">
        <v>1737</v>
      </c>
      <c r="H404" t="s">
        <v>1799</v>
      </c>
      <c r="I404" t="s">
        <v>1799</v>
      </c>
      <c r="J404" t="s">
        <v>1799</v>
      </c>
      <c r="K404" t="s">
        <v>1799</v>
      </c>
      <c r="L404" t="s">
        <v>1433</v>
      </c>
      <c r="M404" t="s">
        <v>1799</v>
      </c>
      <c r="N404" t="s">
        <v>1799</v>
      </c>
      <c r="O404" s="184" t="str">
        <f>"["&amp;$C404&amp;"]["&amp;$D404&amp;"]["&amp;$F404&amp;"]"</f>
        <v>[S05_ImprovementReportArt69][17][ImprovementReportType]</v>
      </c>
    </row>
    <row r="405" spans="1:15" x14ac:dyDescent="0.3">
      <c r="A405" t="s">
        <v>1793</v>
      </c>
      <c r="B405" t="s">
        <v>1979</v>
      </c>
      <c r="C405" t="s">
        <v>1980</v>
      </c>
      <c r="D405">
        <v>1</v>
      </c>
      <c r="E405" t="s">
        <v>1447</v>
      </c>
      <c r="F405" t="s">
        <v>1983</v>
      </c>
      <c r="G405" t="s">
        <v>1811</v>
      </c>
      <c r="H405" t="s">
        <v>1799</v>
      </c>
      <c r="I405">
        <v>2</v>
      </c>
      <c r="J405" t="s">
        <v>1799</v>
      </c>
      <c r="K405" t="s">
        <v>1799</v>
      </c>
      <c r="L405" t="s">
        <v>1799</v>
      </c>
      <c r="M405" t="s">
        <v>1799</v>
      </c>
      <c r="N405" t="s">
        <v>1799</v>
      </c>
      <c r="O405" s="184" t="str">
        <f>"["&amp;$C405&amp;"]["&amp;$D405&amp;"]["&amp;$F405&amp;"]"</f>
        <v>[S05_ImprovementReportArt69][1][ImprovementReportRequired]</v>
      </c>
    </row>
    <row r="406" spans="1:15" x14ac:dyDescent="0.3">
      <c r="A406" t="s">
        <v>1793</v>
      </c>
      <c r="B406" t="s">
        <v>1979</v>
      </c>
      <c r="C406" t="s">
        <v>1980</v>
      </c>
      <c r="D406">
        <v>2</v>
      </c>
      <c r="E406" t="s">
        <v>1447</v>
      </c>
      <c r="F406" t="s">
        <v>1983</v>
      </c>
      <c r="G406" t="s">
        <v>1811</v>
      </c>
      <c r="H406" t="s">
        <v>1799</v>
      </c>
      <c r="I406">
        <v>2</v>
      </c>
      <c r="J406" t="s">
        <v>1799</v>
      </c>
      <c r="K406" t="s">
        <v>1799</v>
      </c>
      <c r="L406" t="s">
        <v>1799</v>
      </c>
      <c r="M406" t="s">
        <v>1799</v>
      </c>
      <c r="N406" t="s">
        <v>1799</v>
      </c>
      <c r="O406" s="184" t="str">
        <f>"["&amp;$C406&amp;"]["&amp;$D406&amp;"]["&amp;$F406&amp;"]"</f>
        <v>[S05_ImprovementReportArt69][2][ImprovementReportRequired]</v>
      </c>
    </row>
    <row r="407" spans="1:15" x14ac:dyDescent="0.3">
      <c r="A407" t="s">
        <v>1793</v>
      </c>
      <c r="B407" t="s">
        <v>1979</v>
      </c>
      <c r="C407" t="s">
        <v>1980</v>
      </c>
      <c r="D407">
        <v>3</v>
      </c>
      <c r="E407" t="s">
        <v>1447</v>
      </c>
      <c r="F407" t="s">
        <v>1983</v>
      </c>
      <c r="G407" t="s">
        <v>1811</v>
      </c>
      <c r="H407" t="s">
        <v>1799</v>
      </c>
      <c r="I407">
        <v>1</v>
      </c>
      <c r="J407" t="s">
        <v>1799</v>
      </c>
      <c r="K407" t="s">
        <v>1799</v>
      </c>
      <c r="L407" t="s">
        <v>1799</v>
      </c>
      <c r="M407" t="s">
        <v>1799</v>
      </c>
      <c r="N407" t="s">
        <v>1799</v>
      </c>
      <c r="O407" s="184" t="str">
        <f>"["&amp;$C407&amp;"]["&amp;$D407&amp;"]["&amp;$F407&amp;"]"</f>
        <v>[S05_ImprovementReportArt69][3][ImprovementReportRequired]</v>
      </c>
    </row>
    <row r="408" spans="1:15" x14ac:dyDescent="0.3">
      <c r="A408" t="s">
        <v>1793</v>
      </c>
      <c r="B408" t="s">
        <v>1979</v>
      </c>
      <c r="C408" t="s">
        <v>1980</v>
      </c>
      <c r="D408">
        <v>4</v>
      </c>
      <c r="E408" t="s">
        <v>1447</v>
      </c>
      <c r="F408" t="s">
        <v>1983</v>
      </c>
      <c r="G408" t="s">
        <v>1811</v>
      </c>
      <c r="H408" t="s">
        <v>1799</v>
      </c>
      <c r="I408">
        <v>1</v>
      </c>
      <c r="J408" t="s">
        <v>1799</v>
      </c>
      <c r="K408" t="s">
        <v>1799</v>
      </c>
      <c r="L408" t="s">
        <v>1799</v>
      </c>
      <c r="M408" t="s">
        <v>1799</v>
      </c>
      <c r="N408" t="s">
        <v>1799</v>
      </c>
      <c r="O408" s="184" t="str">
        <f>"["&amp;$C408&amp;"]["&amp;$D408&amp;"]["&amp;$F408&amp;"]"</f>
        <v>[S05_ImprovementReportArt69][4][ImprovementReportRequired]</v>
      </c>
    </row>
    <row r="409" spans="1:15" x14ac:dyDescent="0.3">
      <c r="A409" t="s">
        <v>1793</v>
      </c>
      <c r="B409" t="s">
        <v>1979</v>
      </c>
      <c r="C409" t="s">
        <v>1980</v>
      </c>
      <c r="D409">
        <v>5</v>
      </c>
      <c r="E409" t="s">
        <v>1447</v>
      </c>
      <c r="F409" t="s">
        <v>1983</v>
      </c>
      <c r="G409" t="s">
        <v>1811</v>
      </c>
      <c r="H409" t="s">
        <v>1799</v>
      </c>
      <c r="I409">
        <v>1</v>
      </c>
      <c r="J409" t="s">
        <v>1799</v>
      </c>
      <c r="K409" t="s">
        <v>1799</v>
      </c>
      <c r="L409" t="s">
        <v>1799</v>
      </c>
      <c r="M409" t="s">
        <v>1799</v>
      </c>
      <c r="N409" t="s">
        <v>1799</v>
      </c>
      <c r="O409" s="184" t="str">
        <f>"["&amp;$C409&amp;"]["&amp;$D409&amp;"]["&amp;$F409&amp;"]"</f>
        <v>[S05_ImprovementReportArt69][5][ImprovementReportRequired]</v>
      </c>
    </row>
    <row r="410" spans="1:15" x14ac:dyDescent="0.3">
      <c r="A410" t="s">
        <v>1793</v>
      </c>
      <c r="B410" t="s">
        <v>1979</v>
      </c>
      <c r="C410" t="s">
        <v>1980</v>
      </c>
      <c r="D410">
        <v>6</v>
      </c>
      <c r="E410" t="s">
        <v>1447</v>
      </c>
      <c r="F410" t="s">
        <v>1983</v>
      </c>
      <c r="G410" t="s">
        <v>1811</v>
      </c>
      <c r="H410" t="s">
        <v>1799</v>
      </c>
      <c r="I410">
        <v>8</v>
      </c>
      <c r="J410" t="s">
        <v>1799</v>
      </c>
      <c r="K410" t="s">
        <v>1799</v>
      </c>
      <c r="L410" t="s">
        <v>1799</v>
      </c>
      <c r="M410" t="s">
        <v>1799</v>
      </c>
      <c r="N410" t="s">
        <v>1799</v>
      </c>
      <c r="O410" s="184" t="str">
        <f>"["&amp;$C410&amp;"]["&amp;$D410&amp;"]["&amp;$F410&amp;"]"</f>
        <v>[S05_ImprovementReportArt69][6][ImprovementReportRequired]</v>
      </c>
    </row>
    <row r="411" spans="1:15" x14ac:dyDescent="0.3">
      <c r="A411" t="s">
        <v>1793</v>
      </c>
      <c r="B411" t="s">
        <v>1979</v>
      </c>
      <c r="C411" t="s">
        <v>1980</v>
      </c>
      <c r="D411">
        <v>7</v>
      </c>
      <c r="E411" t="s">
        <v>1447</v>
      </c>
      <c r="F411" t="s">
        <v>1983</v>
      </c>
      <c r="G411" t="s">
        <v>1811</v>
      </c>
      <c r="H411" t="s">
        <v>1799</v>
      </c>
      <c r="I411">
        <v>2</v>
      </c>
      <c r="J411" t="s">
        <v>1799</v>
      </c>
      <c r="K411" t="s">
        <v>1799</v>
      </c>
      <c r="L411" t="s">
        <v>1799</v>
      </c>
      <c r="M411" t="s">
        <v>1799</v>
      </c>
      <c r="N411" t="s">
        <v>1799</v>
      </c>
      <c r="O411" s="184" t="str">
        <f>"["&amp;$C411&amp;"]["&amp;$D411&amp;"]["&amp;$F411&amp;"]"</f>
        <v>[S05_ImprovementReportArt69][7][ImprovementReportRequired]</v>
      </c>
    </row>
    <row r="412" spans="1:15" x14ac:dyDescent="0.3">
      <c r="A412" t="s">
        <v>1793</v>
      </c>
      <c r="B412" t="s">
        <v>1979</v>
      </c>
      <c r="C412" t="s">
        <v>1980</v>
      </c>
      <c r="D412">
        <v>8</v>
      </c>
      <c r="E412" t="s">
        <v>1447</v>
      </c>
      <c r="F412" t="s">
        <v>1983</v>
      </c>
      <c r="G412" t="s">
        <v>1811</v>
      </c>
      <c r="H412" t="s">
        <v>1799</v>
      </c>
      <c r="I412">
        <v>1</v>
      </c>
      <c r="J412" t="s">
        <v>1799</v>
      </c>
      <c r="K412" t="s">
        <v>1799</v>
      </c>
      <c r="L412" t="s">
        <v>1799</v>
      </c>
      <c r="M412" t="s">
        <v>1799</v>
      </c>
      <c r="N412" t="s">
        <v>1799</v>
      </c>
      <c r="O412" s="184" t="str">
        <f>"["&amp;$C412&amp;"]["&amp;$D412&amp;"]["&amp;$F412&amp;"]"</f>
        <v>[S05_ImprovementReportArt69][8][ImprovementReportRequired]</v>
      </c>
    </row>
    <row r="413" spans="1:15" x14ac:dyDescent="0.3">
      <c r="A413" t="s">
        <v>1793</v>
      </c>
      <c r="B413" t="s">
        <v>1979</v>
      </c>
      <c r="C413" t="s">
        <v>1980</v>
      </c>
      <c r="D413">
        <v>9</v>
      </c>
      <c r="E413" t="s">
        <v>1447</v>
      </c>
      <c r="F413" t="s">
        <v>1983</v>
      </c>
      <c r="G413" t="s">
        <v>1811</v>
      </c>
      <c r="H413" t="s">
        <v>1799</v>
      </c>
      <c r="I413">
        <v>2</v>
      </c>
      <c r="J413" t="s">
        <v>1799</v>
      </c>
      <c r="K413" t="s">
        <v>1799</v>
      </c>
      <c r="L413" t="s">
        <v>1799</v>
      </c>
      <c r="M413" t="s">
        <v>1799</v>
      </c>
      <c r="N413" t="s">
        <v>1799</v>
      </c>
      <c r="O413" s="184" t="str">
        <f>"["&amp;$C413&amp;"]["&amp;$D413&amp;"]["&amp;$F413&amp;"]"</f>
        <v>[S05_ImprovementReportArt69][9][ImprovementReportRequired]</v>
      </c>
    </row>
    <row r="414" spans="1:15" x14ac:dyDescent="0.3">
      <c r="A414" t="s">
        <v>1793</v>
      </c>
      <c r="B414" t="s">
        <v>1979</v>
      </c>
      <c r="C414" t="s">
        <v>1980</v>
      </c>
      <c r="D414">
        <v>10</v>
      </c>
      <c r="E414" t="s">
        <v>1447</v>
      </c>
      <c r="F414" t="s">
        <v>1983</v>
      </c>
      <c r="G414" t="s">
        <v>1811</v>
      </c>
      <c r="H414" t="s">
        <v>1799</v>
      </c>
      <c r="I414">
        <v>2</v>
      </c>
      <c r="J414" t="s">
        <v>1799</v>
      </c>
      <c r="K414" t="s">
        <v>1799</v>
      </c>
      <c r="L414" t="s">
        <v>1799</v>
      </c>
      <c r="M414" t="s">
        <v>1799</v>
      </c>
      <c r="N414" t="s">
        <v>1799</v>
      </c>
      <c r="O414" s="184" t="str">
        <f>"["&amp;$C414&amp;"]["&amp;$D414&amp;"]["&amp;$F414&amp;"]"</f>
        <v>[S05_ImprovementReportArt69][10][ImprovementReportRequired]</v>
      </c>
    </row>
    <row r="415" spans="1:15" x14ac:dyDescent="0.3">
      <c r="A415" t="s">
        <v>1793</v>
      </c>
      <c r="B415" t="s">
        <v>1979</v>
      </c>
      <c r="C415" t="s">
        <v>1980</v>
      </c>
      <c r="D415">
        <v>11</v>
      </c>
      <c r="E415" t="s">
        <v>1447</v>
      </c>
      <c r="F415" t="s">
        <v>1983</v>
      </c>
      <c r="G415" t="s">
        <v>1811</v>
      </c>
      <c r="H415" t="s">
        <v>1799</v>
      </c>
      <c r="I415">
        <v>1</v>
      </c>
      <c r="J415" t="s">
        <v>1799</v>
      </c>
      <c r="K415" t="s">
        <v>1799</v>
      </c>
      <c r="L415" t="s">
        <v>1799</v>
      </c>
      <c r="M415" t="s">
        <v>1799</v>
      </c>
      <c r="N415" t="s">
        <v>1799</v>
      </c>
      <c r="O415" s="184" t="str">
        <f>"["&amp;$C415&amp;"]["&amp;$D415&amp;"]["&amp;$F415&amp;"]"</f>
        <v>[S05_ImprovementReportArt69][11][ImprovementReportRequired]</v>
      </c>
    </row>
    <row r="416" spans="1:15" x14ac:dyDescent="0.3">
      <c r="A416" t="s">
        <v>1793</v>
      </c>
      <c r="B416" t="s">
        <v>1979</v>
      </c>
      <c r="C416" t="s">
        <v>1980</v>
      </c>
      <c r="D416">
        <v>12</v>
      </c>
      <c r="E416" t="s">
        <v>1447</v>
      </c>
      <c r="F416" t="s">
        <v>1983</v>
      </c>
      <c r="G416" t="s">
        <v>1811</v>
      </c>
      <c r="H416" t="s">
        <v>1799</v>
      </c>
      <c r="I416">
        <v>1</v>
      </c>
      <c r="J416" t="s">
        <v>1799</v>
      </c>
      <c r="K416" t="s">
        <v>1799</v>
      </c>
      <c r="L416" t="s">
        <v>1799</v>
      </c>
      <c r="M416" t="s">
        <v>1799</v>
      </c>
      <c r="N416" t="s">
        <v>1799</v>
      </c>
      <c r="O416" s="184" t="str">
        <f>"["&amp;$C416&amp;"]["&amp;$D416&amp;"]["&amp;$F416&amp;"]"</f>
        <v>[S05_ImprovementReportArt69][12][ImprovementReportRequired]</v>
      </c>
    </row>
    <row r="417" spans="1:15" x14ac:dyDescent="0.3">
      <c r="A417" t="s">
        <v>1793</v>
      </c>
      <c r="B417" t="s">
        <v>1979</v>
      </c>
      <c r="C417" t="s">
        <v>1980</v>
      </c>
      <c r="D417">
        <v>13</v>
      </c>
      <c r="E417" t="s">
        <v>1447</v>
      </c>
      <c r="F417" t="s">
        <v>1983</v>
      </c>
      <c r="G417" t="s">
        <v>1811</v>
      </c>
      <c r="H417" t="s">
        <v>1799</v>
      </c>
      <c r="I417">
        <v>3</v>
      </c>
      <c r="J417" t="s">
        <v>1799</v>
      </c>
      <c r="K417" t="s">
        <v>1799</v>
      </c>
      <c r="L417" t="s">
        <v>1799</v>
      </c>
      <c r="M417" t="s">
        <v>1799</v>
      </c>
      <c r="N417" t="s">
        <v>1799</v>
      </c>
      <c r="O417" s="184" t="str">
        <f>"["&amp;$C417&amp;"]["&amp;$D417&amp;"]["&amp;$F417&amp;"]"</f>
        <v>[S05_ImprovementReportArt69][13][ImprovementReportRequired]</v>
      </c>
    </row>
    <row r="418" spans="1:15" x14ac:dyDescent="0.3">
      <c r="A418" t="s">
        <v>1793</v>
      </c>
      <c r="B418" t="s">
        <v>1979</v>
      </c>
      <c r="C418" t="s">
        <v>1980</v>
      </c>
      <c r="D418">
        <v>14</v>
      </c>
      <c r="E418" t="s">
        <v>1447</v>
      </c>
      <c r="F418" t="s">
        <v>1983</v>
      </c>
      <c r="G418" t="s">
        <v>1811</v>
      </c>
      <c r="H418" t="s">
        <v>1799</v>
      </c>
      <c r="I418">
        <v>1</v>
      </c>
      <c r="J418" t="s">
        <v>1799</v>
      </c>
      <c r="K418" t="s">
        <v>1799</v>
      </c>
      <c r="L418" t="s">
        <v>1799</v>
      </c>
      <c r="M418" t="s">
        <v>1799</v>
      </c>
      <c r="N418" t="s">
        <v>1799</v>
      </c>
      <c r="O418" s="184" t="str">
        <f>"["&amp;$C418&amp;"]["&amp;$D418&amp;"]["&amp;$F418&amp;"]"</f>
        <v>[S05_ImprovementReportArt69][14][ImprovementReportRequired]</v>
      </c>
    </row>
    <row r="419" spans="1:15" x14ac:dyDescent="0.3">
      <c r="A419" t="s">
        <v>1793</v>
      </c>
      <c r="B419" t="s">
        <v>1979</v>
      </c>
      <c r="C419" t="s">
        <v>1980</v>
      </c>
      <c r="D419">
        <v>15</v>
      </c>
      <c r="E419" t="s">
        <v>1447</v>
      </c>
      <c r="F419" t="s">
        <v>1983</v>
      </c>
      <c r="G419" t="s">
        <v>1811</v>
      </c>
      <c r="H419" t="s">
        <v>1799</v>
      </c>
      <c r="I419">
        <v>2</v>
      </c>
      <c r="J419" t="s">
        <v>1799</v>
      </c>
      <c r="K419" t="s">
        <v>1799</v>
      </c>
      <c r="L419" t="s">
        <v>1799</v>
      </c>
      <c r="M419" t="s">
        <v>1799</v>
      </c>
      <c r="N419" t="s">
        <v>1799</v>
      </c>
      <c r="O419" s="184" t="str">
        <f>"["&amp;$C419&amp;"]["&amp;$D419&amp;"]["&amp;$F419&amp;"]"</f>
        <v>[S05_ImprovementReportArt69][15][ImprovementReportRequired]</v>
      </c>
    </row>
    <row r="420" spans="1:15" x14ac:dyDescent="0.3">
      <c r="A420" t="s">
        <v>1793</v>
      </c>
      <c r="B420" t="s">
        <v>1979</v>
      </c>
      <c r="C420" t="s">
        <v>1980</v>
      </c>
      <c r="D420">
        <v>16</v>
      </c>
      <c r="E420" t="s">
        <v>1447</v>
      </c>
      <c r="F420" t="s">
        <v>1983</v>
      </c>
      <c r="G420" t="s">
        <v>1811</v>
      </c>
      <c r="H420" t="s">
        <v>1799</v>
      </c>
      <c r="I420">
        <v>1</v>
      </c>
      <c r="J420" t="s">
        <v>1799</v>
      </c>
      <c r="K420" t="s">
        <v>1799</v>
      </c>
      <c r="L420" t="s">
        <v>1799</v>
      </c>
      <c r="M420" t="s">
        <v>1799</v>
      </c>
      <c r="N420" t="s">
        <v>1799</v>
      </c>
      <c r="O420" s="184" t="str">
        <f>"["&amp;$C420&amp;"]["&amp;$D420&amp;"]["&amp;$F420&amp;"]"</f>
        <v>[S05_ImprovementReportArt69][16][ImprovementReportRequired]</v>
      </c>
    </row>
    <row r="421" spans="1:15" x14ac:dyDescent="0.3">
      <c r="A421" t="s">
        <v>1793</v>
      </c>
      <c r="B421" t="s">
        <v>1979</v>
      </c>
      <c r="C421" t="s">
        <v>1980</v>
      </c>
      <c r="D421">
        <v>17</v>
      </c>
      <c r="E421" t="s">
        <v>1447</v>
      </c>
      <c r="F421" t="s">
        <v>1983</v>
      </c>
      <c r="G421" t="s">
        <v>1811</v>
      </c>
      <c r="H421" t="s">
        <v>1799</v>
      </c>
      <c r="I421">
        <v>1</v>
      </c>
      <c r="J421" t="s">
        <v>1799</v>
      </c>
      <c r="K421" t="s">
        <v>1799</v>
      </c>
      <c r="L421" t="s">
        <v>1799</v>
      </c>
      <c r="M421" t="s">
        <v>1799</v>
      </c>
      <c r="N421" t="s">
        <v>1799</v>
      </c>
      <c r="O421" s="184" t="str">
        <f>"["&amp;$C421&amp;"]["&amp;$D421&amp;"]["&amp;$F421&amp;"]"</f>
        <v>[S05_ImprovementReportArt69][17][ImprovementReportRequired]</v>
      </c>
    </row>
    <row r="422" spans="1:15" x14ac:dyDescent="0.3">
      <c r="A422" t="s">
        <v>1793</v>
      </c>
      <c r="B422" t="s">
        <v>1979</v>
      </c>
      <c r="C422" t="s">
        <v>1980</v>
      </c>
      <c r="D422">
        <v>1</v>
      </c>
      <c r="E422" t="s">
        <v>1447</v>
      </c>
      <c r="F422" t="s">
        <v>1984</v>
      </c>
      <c r="G422" t="s">
        <v>1811</v>
      </c>
      <c r="H422" t="s">
        <v>1799</v>
      </c>
      <c r="I422">
        <v>4</v>
      </c>
      <c r="J422" t="s">
        <v>1799</v>
      </c>
      <c r="K422" t="s">
        <v>1799</v>
      </c>
      <c r="L422" t="s">
        <v>1799</v>
      </c>
      <c r="M422" t="s">
        <v>1799</v>
      </c>
      <c r="N422" t="s">
        <v>1799</v>
      </c>
      <c r="O422" s="184" t="str">
        <f>"["&amp;$C422&amp;"]["&amp;$D422&amp;"]["&amp;$F422&amp;"]"</f>
        <v>[S05_ImprovementReportArt69][1][ImprovementReportSubmitted]</v>
      </c>
    </row>
    <row r="423" spans="1:15" x14ac:dyDescent="0.3">
      <c r="A423" t="s">
        <v>1793</v>
      </c>
      <c r="B423" t="s">
        <v>1979</v>
      </c>
      <c r="C423" t="s">
        <v>1980</v>
      </c>
      <c r="D423">
        <v>2</v>
      </c>
      <c r="E423" t="s">
        <v>1447</v>
      </c>
      <c r="F423" t="s">
        <v>1984</v>
      </c>
      <c r="G423" t="s">
        <v>1811</v>
      </c>
      <c r="H423" t="s">
        <v>1799</v>
      </c>
      <c r="I423">
        <v>2</v>
      </c>
      <c r="J423" t="s">
        <v>1799</v>
      </c>
      <c r="K423" t="s">
        <v>1799</v>
      </c>
      <c r="L423" t="s">
        <v>1799</v>
      </c>
      <c r="M423" t="s">
        <v>1799</v>
      </c>
      <c r="N423" t="s">
        <v>1799</v>
      </c>
      <c r="O423" s="184" t="str">
        <f>"["&amp;$C423&amp;"]["&amp;$D423&amp;"]["&amp;$F423&amp;"]"</f>
        <v>[S05_ImprovementReportArt69][2][ImprovementReportSubmitted]</v>
      </c>
    </row>
    <row r="424" spans="1:15" x14ac:dyDescent="0.3">
      <c r="A424" t="s">
        <v>1793</v>
      </c>
      <c r="B424" t="s">
        <v>1979</v>
      </c>
      <c r="C424" t="s">
        <v>1980</v>
      </c>
      <c r="D424">
        <v>3</v>
      </c>
      <c r="E424" t="s">
        <v>1447</v>
      </c>
      <c r="F424" t="s">
        <v>1984</v>
      </c>
      <c r="G424" t="s">
        <v>1811</v>
      </c>
      <c r="H424" t="s">
        <v>1799</v>
      </c>
      <c r="I424">
        <v>1</v>
      </c>
      <c r="J424" t="s">
        <v>1799</v>
      </c>
      <c r="K424" t="s">
        <v>1799</v>
      </c>
      <c r="L424" t="s">
        <v>1799</v>
      </c>
      <c r="M424" t="s">
        <v>1799</v>
      </c>
      <c r="N424" t="s">
        <v>1799</v>
      </c>
      <c r="O424" s="184" t="str">
        <f>"["&amp;$C424&amp;"]["&amp;$D424&amp;"]["&amp;$F424&amp;"]"</f>
        <v>[S05_ImprovementReportArt69][3][ImprovementReportSubmitted]</v>
      </c>
    </row>
    <row r="425" spans="1:15" x14ac:dyDescent="0.3">
      <c r="A425" t="s">
        <v>1793</v>
      </c>
      <c r="B425" t="s">
        <v>1979</v>
      </c>
      <c r="C425" t="s">
        <v>1980</v>
      </c>
      <c r="D425">
        <v>4</v>
      </c>
      <c r="E425" t="s">
        <v>1447</v>
      </c>
      <c r="F425" t="s">
        <v>1984</v>
      </c>
      <c r="G425" t="s">
        <v>1811</v>
      </c>
      <c r="H425" t="s">
        <v>1799</v>
      </c>
      <c r="I425">
        <v>1</v>
      </c>
      <c r="J425" t="s">
        <v>1799</v>
      </c>
      <c r="K425" t="s">
        <v>1799</v>
      </c>
      <c r="L425" t="s">
        <v>1799</v>
      </c>
      <c r="M425" t="s">
        <v>1799</v>
      </c>
      <c r="N425" t="s">
        <v>1799</v>
      </c>
      <c r="O425" s="184" t="str">
        <f>"["&amp;$C425&amp;"]["&amp;$D425&amp;"]["&amp;$F425&amp;"]"</f>
        <v>[S05_ImprovementReportArt69][4][ImprovementReportSubmitted]</v>
      </c>
    </row>
    <row r="426" spans="1:15" x14ac:dyDescent="0.3">
      <c r="A426" t="s">
        <v>1793</v>
      </c>
      <c r="B426" t="s">
        <v>1979</v>
      </c>
      <c r="C426" t="s">
        <v>1980</v>
      </c>
      <c r="D426">
        <v>5</v>
      </c>
      <c r="E426" t="s">
        <v>1447</v>
      </c>
      <c r="F426" t="s">
        <v>1984</v>
      </c>
      <c r="G426" t="s">
        <v>1811</v>
      </c>
      <c r="H426" t="s">
        <v>1799</v>
      </c>
      <c r="I426">
        <v>1</v>
      </c>
      <c r="J426" t="s">
        <v>1799</v>
      </c>
      <c r="K426" t="s">
        <v>1799</v>
      </c>
      <c r="L426" t="s">
        <v>1799</v>
      </c>
      <c r="M426" t="s">
        <v>1799</v>
      </c>
      <c r="N426" t="s">
        <v>1799</v>
      </c>
      <c r="O426" s="184" t="str">
        <f>"["&amp;$C426&amp;"]["&amp;$D426&amp;"]["&amp;$F426&amp;"]"</f>
        <v>[S05_ImprovementReportArt69][5][ImprovementReportSubmitted]</v>
      </c>
    </row>
    <row r="427" spans="1:15" x14ac:dyDescent="0.3">
      <c r="A427" t="s">
        <v>1793</v>
      </c>
      <c r="B427" t="s">
        <v>1979</v>
      </c>
      <c r="C427" t="s">
        <v>1980</v>
      </c>
      <c r="D427">
        <v>6</v>
      </c>
      <c r="E427" t="s">
        <v>1447</v>
      </c>
      <c r="F427" t="s">
        <v>1984</v>
      </c>
      <c r="G427" t="s">
        <v>1811</v>
      </c>
      <c r="H427" t="s">
        <v>1799</v>
      </c>
      <c r="I427">
        <v>8</v>
      </c>
      <c r="J427" t="s">
        <v>1799</v>
      </c>
      <c r="K427" t="s">
        <v>1799</v>
      </c>
      <c r="L427" t="s">
        <v>1799</v>
      </c>
      <c r="M427" t="s">
        <v>1799</v>
      </c>
      <c r="N427" t="s">
        <v>1799</v>
      </c>
      <c r="O427" s="184" t="str">
        <f>"["&amp;$C427&amp;"]["&amp;$D427&amp;"]["&amp;$F427&amp;"]"</f>
        <v>[S05_ImprovementReportArt69][6][ImprovementReportSubmitted]</v>
      </c>
    </row>
    <row r="428" spans="1:15" x14ac:dyDescent="0.3">
      <c r="A428" t="s">
        <v>1793</v>
      </c>
      <c r="B428" t="s">
        <v>1979</v>
      </c>
      <c r="C428" t="s">
        <v>1980</v>
      </c>
      <c r="D428">
        <v>7</v>
      </c>
      <c r="E428" t="s">
        <v>1447</v>
      </c>
      <c r="F428" t="s">
        <v>1984</v>
      </c>
      <c r="G428" t="s">
        <v>1811</v>
      </c>
      <c r="H428" t="s">
        <v>1799</v>
      </c>
      <c r="I428">
        <v>2</v>
      </c>
      <c r="J428" t="s">
        <v>1799</v>
      </c>
      <c r="K428" t="s">
        <v>1799</v>
      </c>
      <c r="L428" t="s">
        <v>1799</v>
      </c>
      <c r="M428" t="s">
        <v>1799</v>
      </c>
      <c r="N428" t="s">
        <v>1799</v>
      </c>
      <c r="O428" s="184" t="str">
        <f>"["&amp;$C428&amp;"]["&amp;$D428&amp;"]["&amp;$F428&amp;"]"</f>
        <v>[S05_ImprovementReportArt69][7][ImprovementReportSubmitted]</v>
      </c>
    </row>
    <row r="429" spans="1:15" x14ac:dyDescent="0.3">
      <c r="A429" t="s">
        <v>1793</v>
      </c>
      <c r="B429" t="s">
        <v>1979</v>
      </c>
      <c r="C429" t="s">
        <v>1980</v>
      </c>
      <c r="D429">
        <v>8</v>
      </c>
      <c r="E429" t="s">
        <v>1447</v>
      </c>
      <c r="F429" t="s">
        <v>1984</v>
      </c>
      <c r="G429" t="s">
        <v>1811</v>
      </c>
      <c r="H429" t="s">
        <v>1799</v>
      </c>
      <c r="I429">
        <v>1</v>
      </c>
      <c r="J429" t="s">
        <v>1799</v>
      </c>
      <c r="K429" t="s">
        <v>1799</v>
      </c>
      <c r="L429" t="s">
        <v>1799</v>
      </c>
      <c r="M429" t="s">
        <v>1799</v>
      </c>
      <c r="N429" t="s">
        <v>1799</v>
      </c>
      <c r="O429" s="184" t="str">
        <f>"["&amp;$C429&amp;"]["&amp;$D429&amp;"]["&amp;$F429&amp;"]"</f>
        <v>[S05_ImprovementReportArt69][8][ImprovementReportSubmitted]</v>
      </c>
    </row>
    <row r="430" spans="1:15" x14ac:dyDescent="0.3">
      <c r="A430" t="s">
        <v>1793</v>
      </c>
      <c r="B430" t="s">
        <v>1979</v>
      </c>
      <c r="C430" t="s">
        <v>1980</v>
      </c>
      <c r="D430">
        <v>9</v>
      </c>
      <c r="E430" t="s">
        <v>1447</v>
      </c>
      <c r="F430" t="s">
        <v>1984</v>
      </c>
      <c r="G430" t="s">
        <v>1811</v>
      </c>
      <c r="H430" t="s">
        <v>1799</v>
      </c>
      <c r="I430">
        <v>2</v>
      </c>
      <c r="J430" t="s">
        <v>1799</v>
      </c>
      <c r="K430" t="s">
        <v>1799</v>
      </c>
      <c r="L430" t="s">
        <v>1799</v>
      </c>
      <c r="M430" t="s">
        <v>1799</v>
      </c>
      <c r="N430" t="s">
        <v>1799</v>
      </c>
      <c r="O430" s="184" t="str">
        <f>"["&amp;$C430&amp;"]["&amp;$D430&amp;"]["&amp;$F430&amp;"]"</f>
        <v>[S05_ImprovementReportArt69][9][ImprovementReportSubmitted]</v>
      </c>
    </row>
    <row r="431" spans="1:15" x14ac:dyDescent="0.3">
      <c r="A431" t="s">
        <v>1793</v>
      </c>
      <c r="B431" t="s">
        <v>1979</v>
      </c>
      <c r="C431" t="s">
        <v>1980</v>
      </c>
      <c r="D431">
        <v>10</v>
      </c>
      <c r="E431" t="s">
        <v>1447</v>
      </c>
      <c r="F431" t="s">
        <v>1984</v>
      </c>
      <c r="G431" t="s">
        <v>1811</v>
      </c>
      <c r="H431" t="s">
        <v>1799</v>
      </c>
      <c r="I431">
        <v>2</v>
      </c>
      <c r="J431" t="s">
        <v>1799</v>
      </c>
      <c r="K431" t="s">
        <v>1799</v>
      </c>
      <c r="L431" t="s">
        <v>1799</v>
      </c>
      <c r="M431" t="s">
        <v>1799</v>
      </c>
      <c r="N431" t="s">
        <v>1799</v>
      </c>
      <c r="O431" s="184" t="str">
        <f>"["&amp;$C431&amp;"]["&amp;$D431&amp;"]["&amp;$F431&amp;"]"</f>
        <v>[S05_ImprovementReportArt69][10][ImprovementReportSubmitted]</v>
      </c>
    </row>
    <row r="432" spans="1:15" x14ac:dyDescent="0.3">
      <c r="A432" t="s">
        <v>1793</v>
      </c>
      <c r="B432" t="s">
        <v>1979</v>
      </c>
      <c r="C432" t="s">
        <v>1980</v>
      </c>
      <c r="D432">
        <v>11</v>
      </c>
      <c r="E432" t="s">
        <v>1447</v>
      </c>
      <c r="F432" t="s">
        <v>1984</v>
      </c>
      <c r="G432" t="s">
        <v>1811</v>
      </c>
      <c r="H432" t="s">
        <v>1799</v>
      </c>
      <c r="I432">
        <v>1</v>
      </c>
      <c r="J432" t="s">
        <v>1799</v>
      </c>
      <c r="K432" t="s">
        <v>1799</v>
      </c>
      <c r="L432" t="s">
        <v>1799</v>
      </c>
      <c r="M432" t="s">
        <v>1799</v>
      </c>
      <c r="N432" t="s">
        <v>1799</v>
      </c>
      <c r="O432" s="184" t="str">
        <f>"["&amp;$C432&amp;"]["&amp;$D432&amp;"]["&amp;$F432&amp;"]"</f>
        <v>[S05_ImprovementReportArt69][11][ImprovementReportSubmitted]</v>
      </c>
    </row>
    <row r="433" spans="1:15" x14ac:dyDescent="0.3">
      <c r="A433" t="s">
        <v>1793</v>
      </c>
      <c r="B433" t="s">
        <v>1979</v>
      </c>
      <c r="C433" t="s">
        <v>1980</v>
      </c>
      <c r="D433">
        <v>12</v>
      </c>
      <c r="E433" t="s">
        <v>1447</v>
      </c>
      <c r="F433" t="s">
        <v>1984</v>
      </c>
      <c r="G433" t="s">
        <v>1811</v>
      </c>
      <c r="H433" t="s">
        <v>1799</v>
      </c>
      <c r="I433">
        <v>1</v>
      </c>
      <c r="J433" t="s">
        <v>1799</v>
      </c>
      <c r="K433" t="s">
        <v>1799</v>
      </c>
      <c r="L433" t="s">
        <v>1799</v>
      </c>
      <c r="M433" t="s">
        <v>1799</v>
      </c>
      <c r="N433" t="s">
        <v>1799</v>
      </c>
      <c r="O433" s="184" t="str">
        <f>"["&amp;$C433&amp;"]["&amp;$D433&amp;"]["&amp;$F433&amp;"]"</f>
        <v>[S05_ImprovementReportArt69][12][ImprovementReportSubmitted]</v>
      </c>
    </row>
    <row r="434" spans="1:15" x14ac:dyDescent="0.3">
      <c r="A434" t="s">
        <v>1793</v>
      </c>
      <c r="B434" t="s">
        <v>1979</v>
      </c>
      <c r="C434" t="s">
        <v>1980</v>
      </c>
      <c r="D434">
        <v>13</v>
      </c>
      <c r="E434" t="s">
        <v>1447</v>
      </c>
      <c r="F434" t="s">
        <v>1984</v>
      </c>
      <c r="G434" t="s">
        <v>1811</v>
      </c>
      <c r="H434" t="s">
        <v>1799</v>
      </c>
      <c r="I434">
        <v>3</v>
      </c>
      <c r="J434" t="s">
        <v>1799</v>
      </c>
      <c r="K434" t="s">
        <v>1799</v>
      </c>
      <c r="L434" t="s">
        <v>1799</v>
      </c>
      <c r="M434" t="s">
        <v>1799</v>
      </c>
      <c r="N434" t="s">
        <v>1799</v>
      </c>
      <c r="O434" s="184" t="str">
        <f>"["&amp;$C434&amp;"]["&amp;$D434&amp;"]["&amp;$F434&amp;"]"</f>
        <v>[S05_ImprovementReportArt69][13][ImprovementReportSubmitted]</v>
      </c>
    </row>
    <row r="435" spans="1:15" x14ac:dyDescent="0.3">
      <c r="A435" t="s">
        <v>1793</v>
      </c>
      <c r="B435" t="s">
        <v>1979</v>
      </c>
      <c r="C435" t="s">
        <v>1980</v>
      </c>
      <c r="D435">
        <v>14</v>
      </c>
      <c r="E435" t="s">
        <v>1447</v>
      </c>
      <c r="F435" t="s">
        <v>1984</v>
      </c>
      <c r="G435" t="s">
        <v>1811</v>
      </c>
      <c r="H435" t="s">
        <v>1799</v>
      </c>
      <c r="I435">
        <v>1</v>
      </c>
      <c r="J435" t="s">
        <v>1799</v>
      </c>
      <c r="K435" t="s">
        <v>1799</v>
      </c>
      <c r="L435" t="s">
        <v>1799</v>
      </c>
      <c r="M435" t="s">
        <v>1799</v>
      </c>
      <c r="N435" t="s">
        <v>1799</v>
      </c>
      <c r="O435" s="184" t="str">
        <f>"["&amp;$C435&amp;"]["&amp;$D435&amp;"]["&amp;$F435&amp;"]"</f>
        <v>[S05_ImprovementReportArt69][14][ImprovementReportSubmitted]</v>
      </c>
    </row>
    <row r="436" spans="1:15" x14ac:dyDescent="0.3">
      <c r="A436" t="s">
        <v>1793</v>
      </c>
      <c r="B436" t="s">
        <v>1979</v>
      </c>
      <c r="C436" t="s">
        <v>1980</v>
      </c>
      <c r="D436">
        <v>15</v>
      </c>
      <c r="E436" t="s">
        <v>1447</v>
      </c>
      <c r="F436" t="s">
        <v>1984</v>
      </c>
      <c r="G436" t="s">
        <v>1811</v>
      </c>
      <c r="H436" t="s">
        <v>1799</v>
      </c>
      <c r="I436">
        <v>2</v>
      </c>
      <c r="J436" t="s">
        <v>1799</v>
      </c>
      <c r="K436" t="s">
        <v>1799</v>
      </c>
      <c r="L436" t="s">
        <v>1799</v>
      </c>
      <c r="M436" t="s">
        <v>1799</v>
      </c>
      <c r="N436" t="s">
        <v>1799</v>
      </c>
      <c r="O436" s="184" t="str">
        <f>"["&amp;$C436&amp;"]["&amp;$D436&amp;"]["&amp;$F436&amp;"]"</f>
        <v>[S05_ImprovementReportArt69][15][ImprovementReportSubmitted]</v>
      </c>
    </row>
    <row r="437" spans="1:15" x14ac:dyDescent="0.3">
      <c r="A437" t="s">
        <v>1793</v>
      </c>
      <c r="B437" t="s">
        <v>1979</v>
      </c>
      <c r="C437" t="s">
        <v>1980</v>
      </c>
      <c r="D437">
        <v>16</v>
      </c>
      <c r="E437" t="s">
        <v>1447</v>
      </c>
      <c r="F437" t="s">
        <v>1984</v>
      </c>
      <c r="G437" t="s">
        <v>1811</v>
      </c>
      <c r="H437" t="s">
        <v>1799</v>
      </c>
      <c r="I437">
        <v>1</v>
      </c>
      <c r="J437" t="s">
        <v>1799</v>
      </c>
      <c r="K437" t="s">
        <v>1799</v>
      </c>
      <c r="L437" t="s">
        <v>1799</v>
      </c>
      <c r="M437" t="s">
        <v>1799</v>
      </c>
      <c r="N437" t="s">
        <v>1799</v>
      </c>
      <c r="O437" s="184" t="str">
        <f>"["&amp;$C437&amp;"]["&amp;$D437&amp;"]["&amp;$F437&amp;"]"</f>
        <v>[S05_ImprovementReportArt69][16][ImprovementReportSubmitted]</v>
      </c>
    </row>
    <row r="438" spans="1:15" x14ac:dyDescent="0.3">
      <c r="A438" t="s">
        <v>1793</v>
      </c>
      <c r="B438" t="s">
        <v>1979</v>
      </c>
      <c r="C438" t="s">
        <v>1980</v>
      </c>
      <c r="D438">
        <v>17</v>
      </c>
      <c r="E438" t="s">
        <v>1447</v>
      </c>
      <c r="F438" t="s">
        <v>1984</v>
      </c>
      <c r="G438" t="s">
        <v>1811</v>
      </c>
      <c r="H438" t="s">
        <v>1799</v>
      </c>
      <c r="I438">
        <v>1</v>
      </c>
      <c r="J438" t="s">
        <v>1799</v>
      </c>
      <c r="K438" t="s">
        <v>1799</v>
      </c>
      <c r="L438" t="s">
        <v>1799</v>
      </c>
      <c r="M438" t="s">
        <v>1799</v>
      </c>
      <c r="N438" t="s">
        <v>1799</v>
      </c>
      <c r="O438" s="184" t="str">
        <f>"["&amp;$C438&amp;"]["&amp;$D438&amp;"]["&amp;$F438&amp;"]"</f>
        <v>[S05_ImprovementReportArt69][17][ImprovementReportSubmitted]</v>
      </c>
    </row>
    <row r="439" spans="1:15" x14ac:dyDescent="0.3">
      <c r="A439" t="s">
        <v>1793</v>
      </c>
      <c r="B439" t="s">
        <v>1985</v>
      </c>
      <c r="C439" t="s">
        <v>1986</v>
      </c>
      <c r="D439">
        <v>0</v>
      </c>
      <c r="E439" t="s">
        <v>1447</v>
      </c>
      <c r="F439" t="s">
        <v>1986</v>
      </c>
      <c r="G439" t="s">
        <v>1836</v>
      </c>
      <c r="H439" t="s">
        <v>1799</v>
      </c>
      <c r="I439" t="s">
        <v>1799</v>
      </c>
      <c r="J439" t="s">
        <v>1799</v>
      </c>
      <c r="K439" t="s">
        <v>1799</v>
      </c>
      <c r="L439" t="s">
        <v>1447</v>
      </c>
      <c r="M439" t="s">
        <v>1799</v>
      </c>
      <c r="N439" t="s">
        <v>1799</v>
      </c>
      <c r="O439" s="184" t="str">
        <f>"["&amp;$C439&amp;"]["&amp;$D439&amp;"]["&amp;$F439&amp;"]"</f>
        <v>[InherentCarbonTransferred][0][InherentCarbonTransferred]</v>
      </c>
    </row>
    <row r="440" spans="1:15" x14ac:dyDescent="0.3">
      <c r="A440" t="s">
        <v>1793</v>
      </c>
      <c r="B440" t="s">
        <v>1987</v>
      </c>
      <c r="C440" t="s">
        <v>1988</v>
      </c>
      <c r="D440">
        <v>0</v>
      </c>
      <c r="E440" t="s">
        <v>1447</v>
      </c>
      <c r="F440" t="s">
        <v>1988</v>
      </c>
      <c r="G440" t="s">
        <v>1836</v>
      </c>
      <c r="H440" t="s">
        <v>1799</v>
      </c>
      <c r="I440" t="s">
        <v>1799</v>
      </c>
      <c r="J440" t="s">
        <v>1799</v>
      </c>
      <c r="K440" t="s">
        <v>1799</v>
      </c>
      <c r="L440" t="s">
        <v>1419</v>
      </c>
      <c r="M440" t="s">
        <v>1799</v>
      </c>
      <c r="N440" t="s">
        <v>1799</v>
      </c>
      <c r="O440" s="184" t="str">
        <f>"["&amp;$C440&amp;"]["&amp;$D440&amp;"]["&amp;$F440&amp;"]"</f>
        <v>[ContinuousEmissionsMeasurement][0][ContinuousEmissionsMeasurement]</v>
      </c>
    </row>
    <row r="441" spans="1:15" x14ac:dyDescent="0.3">
      <c r="A441" t="s">
        <v>1793</v>
      </c>
      <c r="B441" t="s">
        <v>1987</v>
      </c>
      <c r="C441" t="s">
        <v>1989</v>
      </c>
      <c r="D441">
        <v>1</v>
      </c>
      <c r="E441" t="s">
        <v>1447</v>
      </c>
      <c r="F441" t="s">
        <v>1990</v>
      </c>
      <c r="G441" t="s">
        <v>1797</v>
      </c>
      <c r="H441" t="s">
        <v>1991</v>
      </c>
      <c r="I441" t="s">
        <v>1799</v>
      </c>
      <c r="J441" t="s">
        <v>1799</v>
      </c>
      <c r="K441" t="s">
        <v>1799</v>
      </c>
      <c r="L441" t="s">
        <v>1799</v>
      </c>
      <c r="M441" t="s">
        <v>1799</v>
      </c>
      <c r="N441" t="s">
        <v>1799</v>
      </c>
      <c r="O441" s="184" t="str">
        <f>"["&amp;$C441&amp;"]["&amp;$D441&amp;"]["&amp;$F441&amp;"]"</f>
        <v>[S05_ContinuousEmissionsMeasurementDetail][1][InstallationIDCO2]</v>
      </c>
    </row>
    <row r="442" spans="1:15" x14ac:dyDescent="0.3">
      <c r="A442" t="s">
        <v>1793</v>
      </c>
      <c r="B442" t="s">
        <v>1987</v>
      </c>
      <c r="C442" t="s">
        <v>1989</v>
      </c>
      <c r="D442">
        <v>1</v>
      </c>
      <c r="E442" t="s">
        <v>1447</v>
      </c>
      <c r="F442" t="s">
        <v>1992</v>
      </c>
      <c r="G442" t="s">
        <v>1797</v>
      </c>
      <c r="H442" t="s">
        <v>1993</v>
      </c>
      <c r="I442" t="s">
        <v>1799</v>
      </c>
      <c r="J442" t="s">
        <v>1799</v>
      </c>
      <c r="K442" t="s">
        <v>1799</v>
      </c>
      <c r="L442" t="s">
        <v>1799</v>
      </c>
      <c r="M442" t="s">
        <v>1799</v>
      </c>
      <c r="N442" t="s">
        <v>1799</v>
      </c>
      <c r="O442" s="184" t="str">
        <f>"["&amp;$C442&amp;"]["&amp;$D442&amp;"]["&amp;$F442&amp;"]"</f>
        <v>[S05_ContinuousEmissionsMeasurementDetail][1][InstallationIDN2O]</v>
      </c>
    </row>
    <row r="443" spans="1:15" x14ac:dyDescent="0.3">
      <c r="A443" t="s">
        <v>1793</v>
      </c>
      <c r="B443" t="s">
        <v>1987</v>
      </c>
      <c r="C443" t="s">
        <v>1989</v>
      </c>
      <c r="D443">
        <v>1</v>
      </c>
      <c r="E443" t="s">
        <v>1447</v>
      </c>
      <c r="F443" t="s">
        <v>1994</v>
      </c>
      <c r="G443" t="s">
        <v>1889</v>
      </c>
      <c r="H443" t="s">
        <v>1799</v>
      </c>
      <c r="I443" t="s">
        <v>1799</v>
      </c>
      <c r="J443">
        <v>832650</v>
      </c>
      <c r="K443" t="s">
        <v>1799</v>
      </c>
      <c r="L443" t="s">
        <v>1799</v>
      </c>
      <c r="M443" t="s">
        <v>1799</v>
      </c>
      <c r="N443" t="s">
        <v>1799</v>
      </c>
      <c r="O443" s="184" t="str">
        <f>"["&amp;$C443&amp;"]["&amp;$D443&amp;"]["&amp;$F443&amp;"]"</f>
        <v>[S05_ContinuousEmissionsMeasurementDetail][1][TotalEmissionsCO2E]</v>
      </c>
    </row>
    <row r="444" spans="1:15" x14ac:dyDescent="0.3">
      <c r="A444" t="s">
        <v>1793</v>
      </c>
      <c r="B444" t="s">
        <v>1987</v>
      </c>
      <c r="C444" t="s">
        <v>1989</v>
      </c>
      <c r="D444">
        <v>1</v>
      </c>
      <c r="E444" t="s">
        <v>1447</v>
      </c>
      <c r="F444" t="s">
        <v>1995</v>
      </c>
      <c r="G444" t="s">
        <v>1889</v>
      </c>
      <c r="H444" t="s">
        <v>1799</v>
      </c>
      <c r="I444" t="s">
        <v>1799</v>
      </c>
      <c r="J444">
        <v>36275</v>
      </c>
      <c r="K444" t="s">
        <v>1799</v>
      </c>
      <c r="L444" t="s">
        <v>1799</v>
      </c>
      <c r="M444" t="s">
        <v>1799</v>
      </c>
      <c r="N444" t="s">
        <v>1799</v>
      </c>
      <c r="O444" s="184" t="str">
        <f>"["&amp;$C444&amp;"]["&amp;$D444&amp;"]["&amp;$F444&amp;"]"</f>
        <v>[S05_ContinuousEmissionsMeasurementDetail][1][ContinuousMeasurementTotalEmissions]</v>
      </c>
    </row>
    <row r="445" spans="1:15" x14ac:dyDescent="0.3">
      <c r="A445" t="s">
        <v>1793</v>
      </c>
      <c r="B445" t="s">
        <v>1987</v>
      </c>
      <c r="C445" t="s">
        <v>1989</v>
      </c>
      <c r="D445">
        <v>1</v>
      </c>
      <c r="E445" t="s">
        <v>1447</v>
      </c>
      <c r="F445" t="s">
        <v>1996</v>
      </c>
      <c r="G445" t="s">
        <v>1836</v>
      </c>
      <c r="H445" t="s">
        <v>1799</v>
      </c>
      <c r="I445" t="s">
        <v>1799</v>
      </c>
      <c r="J445" t="s">
        <v>1799</v>
      </c>
      <c r="K445" t="s">
        <v>1799</v>
      </c>
      <c r="L445" t="s">
        <v>1447</v>
      </c>
      <c r="M445" t="s">
        <v>1799</v>
      </c>
      <c r="N445" t="s">
        <v>1799</v>
      </c>
      <c r="O445" s="184" t="str">
        <f>"["&amp;$C445&amp;"]["&amp;$D445&amp;"]["&amp;$F445&amp;"]"</f>
        <v>[S05_ContinuousEmissionsMeasurementDetail][1][FlueGasContainBiomass]</v>
      </c>
    </row>
    <row r="446" spans="1:15" x14ac:dyDescent="0.3">
      <c r="A446" t="s">
        <v>1793</v>
      </c>
      <c r="B446" t="s">
        <v>1997</v>
      </c>
      <c r="C446" t="s">
        <v>1998</v>
      </c>
      <c r="D446">
        <v>0</v>
      </c>
      <c r="E446" t="s">
        <v>1447</v>
      </c>
      <c r="F446" t="s">
        <v>1998</v>
      </c>
      <c r="G446" t="s">
        <v>1797</v>
      </c>
      <c r="H446" t="s">
        <v>1999</v>
      </c>
      <c r="I446" t="s">
        <v>1799</v>
      </c>
      <c r="J446" t="s">
        <v>1799</v>
      </c>
      <c r="K446" t="s">
        <v>1799</v>
      </c>
      <c r="L446" t="s">
        <v>1799</v>
      </c>
      <c r="M446" t="s">
        <v>1799</v>
      </c>
      <c r="N446" t="s">
        <v>1799</v>
      </c>
      <c r="O446" s="184" t="str">
        <f>"["&amp;$C446&amp;"]["&amp;$D446&amp;"]["&amp;$F446&amp;"]"</f>
        <v>[SustainabilityComplianceDemonstrate][0][SustainabilityComplianceDemonstrate]</v>
      </c>
    </row>
    <row r="447" spans="1:15" x14ac:dyDescent="0.3">
      <c r="A447" t="s">
        <v>1793</v>
      </c>
      <c r="B447" t="s">
        <v>1997</v>
      </c>
      <c r="C447" t="s">
        <v>2000</v>
      </c>
      <c r="D447">
        <v>1</v>
      </c>
      <c r="E447" t="s">
        <v>1447</v>
      </c>
      <c r="F447" t="s">
        <v>1981</v>
      </c>
      <c r="G447" t="s">
        <v>1737</v>
      </c>
      <c r="H447" t="s">
        <v>1799</v>
      </c>
      <c r="I447" t="s">
        <v>1799</v>
      </c>
      <c r="J447" t="s">
        <v>1799</v>
      </c>
      <c r="K447" t="s">
        <v>1799</v>
      </c>
      <c r="L447" t="s">
        <v>1420</v>
      </c>
      <c r="M447" t="s">
        <v>1799</v>
      </c>
      <c r="N447" t="s">
        <v>1799</v>
      </c>
      <c r="O447" s="184" t="str">
        <f>"["&amp;$C447&amp;"]["&amp;$D447&amp;"]["&amp;$F447&amp;"]"</f>
        <v>[S05_BiomassInstallations][1][Annex1Activity]</v>
      </c>
    </row>
    <row r="448" spans="1:15" x14ac:dyDescent="0.3">
      <c r="A448" t="s">
        <v>1793</v>
      </c>
      <c r="B448" t="s">
        <v>1997</v>
      </c>
      <c r="C448" t="s">
        <v>2000</v>
      </c>
      <c r="D448">
        <v>2</v>
      </c>
      <c r="E448" t="s">
        <v>1447</v>
      </c>
      <c r="F448" t="s">
        <v>1981</v>
      </c>
      <c r="G448" t="s">
        <v>1737</v>
      </c>
      <c r="H448" t="s">
        <v>1799</v>
      </c>
      <c r="I448" t="s">
        <v>1799</v>
      </c>
      <c r="J448" t="s">
        <v>1799</v>
      </c>
      <c r="K448" t="s">
        <v>1799</v>
      </c>
      <c r="L448" t="s">
        <v>1420</v>
      </c>
      <c r="M448" t="s">
        <v>1799</v>
      </c>
      <c r="N448" t="s">
        <v>1799</v>
      </c>
      <c r="O448" s="184" t="str">
        <f>"["&amp;$C448&amp;"]["&amp;$D448&amp;"]["&amp;$F448&amp;"]"</f>
        <v>[S05_BiomassInstallations][2][Annex1Activity]</v>
      </c>
    </row>
    <row r="449" spans="1:15" x14ac:dyDescent="0.3">
      <c r="A449" t="s">
        <v>1793</v>
      </c>
      <c r="B449" t="s">
        <v>1997</v>
      </c>
      <c r="C449" t="s">
        <v>2000</v>
      </c>
      <c r="D449">
        <v>3</v>
      </c>
      <c r="E449" t="s">
        <v>1447</v>
      </c>
      <c r="F449" t="s">
        <v>1981</v>
      </c>
      <c r="G449" t="s">
        <v>1737</v>
      </c>
      <c r="H449" t="s">
        <v>1799</v>
      </c>
      <c r="I449" t="s">
        <v>1799</v>
      </c>
      <c r="J449" t="s">
        <v>1799</v>
      </c>
      <c r="K449" t="s">
        <v>1799</v>
      </c>
      <c r="L449" t="s">
        <v>1562</v>
      </c>
      <c r="M449" t="s">
        <v>1799</v>
      </c>
      <c r="N449" t="s">
        <v>1799</v>
      </c>
      <c r="O449" s="184" t="str">
        <f>"["&amp;$C449&amp;"]["&amp;$D449&amp;"]["&amp;$F449&amp;"]"</f>
        <v>[S05_BiomassInstallations][3][Annex1Activity]</v>
      </c>
    </row>
    <row r="450" spans="1:15" x14ac:dyDescent="0.3">
      <c r="A450" t="s">
        <v>1793</v>
      </c>
      <c r="B450" t="s">
        <v>1997</v>
      </c>
      <c r="C450" t="s">
        <v>2000</v>
      </c>
      <c r="D450">
        <v>4</v>
      </c>
      <c r="E450" t="s">
        <v>1447</v>
      </c>
      <c r="F450" t="s">
        <v>1981</v>
      </c>
      <c r="G450" t="s">
        <v>1737</v>
      </c>
      <c r="H450" t="s">
        <v>1799</v>
      </c>
      <c r="I450" t="s">
        <v>1799</v>
      </c>
      <c r="J450" t="s">
        <v>1799</v>
      </c>
      <c r="K450" t="s">
        <v>1799</v>
      </c>
      <c r="L450" t="s">
        <v>1562</v>
      </c>
      <c r="M450" t="s">
        <v>1799</v>
      </c>
      <c r="N450" t="s">
        <v>1799</v>
      </c>
      <c r="O450" s="184" t="str">
        <f>"["&amp;$C450&amp;"]["&amp;$D450&amp;"]["&amp;$F450&amp;"]"</f>
        <v>[S05_BiomassInstallations][4][Annex1Activity]</v>
      </c>
    </row>
    <row r="451" spans="1:15" x14ac:dyDescent="0.3">
      <c r="A451" t="s">
        <v>1793</v>
      </c>
      <c r="B451" t="s">
        <v>1997</v>
      </c>
      <c r="C451" t="s">
        <v>2000</v>
      </c>
      <c r="D451">
        <v>5</v>
      </c>
      <c r="E451" t="s">
        <v>1447</v>
      </c>
      <c r="F451" t="s">
        <v>1981</v>
      </c>
      <c r="G451" t="s">
        <v>1737</v>
      </c>
      <c r="H451" t="s">
        <v>1799</v>
      </c>
      <c r="I451" t="s">
        <v>1799</v>
      </c>
      <c r="J451" t="s">
        <v>1799</v>
      </c>
      <c r="K451" t="s">
        <v>1799</v>
      </c>
      <c r="L451" t="s">
        <v>1568</v>
      </c>
      <c r="M451" t="s">
        <v>1799</v>
      </c>
      <c r="N451" t="s">
        <v>1799</v>
      </c>
      <c r="O451" s="184" t="str">
        <f>"["&amp;$C451&amp;"]["&amp;$D451&amp;"]["&amp;$F451&amp;"]"</f>
        <v>[S05_BiomassInstallations][5][Annex1Activity]</v>
      </c>
    </row>
    <row r="452" spans="1:15" x14ac:dyDescent="0.3">
      <c r="A452" t="s">
        <v>1793</v>
      </c>
      <c r="B452" t="s">
        <v>1997</v>
      </c>
      <c r="C452" t="s">
        <v>2000</v>
      </c>
      <c r="D452">
        <v>6</v>
      </c>
      <c r="E452" t="s">
        <v>1447</v>
      </c>
      <c r="F452" t="s">
        <v>1981</v>
      </c>
      <c r="G452" t="s">
        <v>1737</v>
      </c>
      <c r="H452" t="s">
        <v>1799</v>
      </c>
      <c r="I452" t="s">
        <v>1799</v>
      </c>
      <c r="J452" t="s">
        <v>1799</v>
      </c>
      <c r="K452" t="s">
        <v>1799</v>
      </c>
      <c r="L452" t="s">
        <v>1577</v>
      </c>
      <c r="M452" t="s">
        <v>1799</v>
      </c>
      <c r="N452" t="s">
        <v>1799</v>
      </c>
      <c r="O452" s="184" t="str">
        <f>"["&amp;$C452&amp;"]["&amp;$D452&amp;"]["&amp;$F452&amp;"]"</f>
        <v>[S05_BiomassInstallations][6][Annex1Activity]</v>
      </c>
    </row>
    <row r="453" spans="1:15" x14ac:dyDescent="0.3">
      <c r="A453" t="s">
        <v>1793</v>
      </c>
      <c r="B453" t="s">
        <v>1997</v>
      </c>
      <c r="C453" t="s">
        <v>2000</v>
      </c>
      <c r="D453">
        <v>1</v>
      </c>
      <c r="E453" t="s">
        <v>1447</v>
      </c>
      <c r="F453" t="s">
        <v>2001</v>
      </c>
      <c r="G453" t="s">
        <v>1737</v>
      </c>
      <c r="H453" t="s">
        <v>1799</v>
      </c>
      <c r="I453" t="s">
        <v>1799</v>
      </c>
      <c r="J453" t="s">
        <v>1799</v>
      </c>
      <c r="K453" t="s">
        <v>1799</v>
      </c>
      <c r="L453" t="s">
        <v>1432</v>
      </c>
      <c r="M453" t="s">
        <v>1799</v>
      </c>
      <c r="N453" t="s">
        <v>1799</v>
      </c>
      <c r="O453" s="184" t="str">
        <f>"["&amp;$C453&amp;"]["&amp;$D453&amp;"]["&amp;$F453&amp;"]"</f>
        <v>[S05_BiomassInstallations][1][BiomassInstallationCategory]</v>
      </c>
    </row>
    <row r="454" spans="1:15" x14ac:dyDescent="0.3">
      <c r="A454" t="s">
        <v>1793</v>
      </c>
      <c r="B454" t="s">
        <v>1997</v>
      </c>
      <c r="C454" t="s">
        <v>2000</v>
      </c>
      <c r="D454">
        <v>2</v>
      </c>
      <c r="E454" t="s">
        <v>1447</v>
      </c>
      <c r="F454" t="s">
        <v>2001</v>
      </c>
      <c r="G454" t="s">
        <v>1737</v>
      </c>
      <c r="H454" t="s">
        <v>1799</v>
      </c>
      <c r="I454" t="s">
        <v>1799</v>
      </c>
      <c r="J454" t="s">
        <v>1799</v>
      </c>
      <c r="K454" t="s">
        <v>1799</v>
      </c>
      <c r="L454" t="s">
        <v>1460</v>
      </c>
      <c r="M454" t="s">
        <v>1799</v>
      </c>
      <c r="N454" t="s">
        <v>1799</v>
      </c>
      <c r="O454" s="184" t="str">
        <f>"["&amp;$C454&amp;"]["&amp;$D454&amp;"]["&amp;$F454&amp;"]"</f>
        <v>[S05_BiomassInstallations][2][BiomassInstallationCategory]</v>
      </c>
    </row>
    <row r="455" spans="1:15" x14ac:dyDescent="0.3">
      <c r="A455" t="s">
        <v>1793</v>
      </c>
      <c r="B455" t="s">
        <v>1997</v>
      </c>
      <c r="C455" t="s">
        <v>2000</v>
      </c>
      <c r="D455">
        <v>3</v>
      </c>
      <c r="E455" t="s">
        <v>1447</v>
      </c>
      <c r="F455" t="s">
        <v>2001</v>
      </c>
      <c r="G455" t="s">
        <v>1737</v>
      </c>
      <c r="H455" t="s">
        <v>1799</v>
      </c>
      <c r="I455" t="s">
        <v>1799</v>
      </c>
      <c r="J455" t="s">
        <v>1799</v>
      </c>
      <c r="K455" t="s">
        <v>1799</v>
      </c>
      <c r="L455" t="s">
        <v>1460</v>
      </c>
      <c r="M455" t="s">
        <v>1799</v>
      </c>
      <c r="N455" t="s">
        <v>1799</v>
      </c>
      <c r="O455" s="184" t="str">
        <f>"["&amp;$C455&amp;"]["&amp;$D455&amp;"]["&amp;$F455&amp;"]"</f>
        <v>[S05_BiomassInstallations][3][BiomassInstallationCategory]</v>
      </c>
    </row>
    <row r="456" spans="1:15" x14ac:dyDescent="0.3">
      <c r="A456" t="s">
        <v>1793</v>
      </c>
      <c r="B456" t="s">
        <v>1997</v>
      </c>
      <c r="C456" t="s">
        <v>2000</v>
      </c>
      <c r="D456">
        <v>4</v>
      </c>
      <c r="E456" t="s">
        <v>1447</v>
      </c>
      <c r="F456" t="s">
        <v>2001</v>
      </c>
      <c r="G456" t="s">
        <v>1737</v>
      </c>
      <c r="H456" t="s">
        <v>1799</v>
      </c>
      <c r="I456" t="s">
        <v>1799</v>
      </c>
      <c r="J456" t="s">
        <v>1799</v>
      </c>
      <c r="K456" t="s">
        <v>1799</v>
      </c>
      <c r="L456" t="s">
        <v>1487</v>
      </c>
      <c r="M456" t="s">
        <v>1799</v>
      </c>
      <c r="N456" t="s">
        <v>1799</v>
      </c>
      <c r="O456" s="184" t="str">
        <f>"["&amp;$C456&amp;"]["&amp;$D456&amp;"]["&amp;$F456&amp;"]"</f>
        <v>[S05_BiomassInstallations][4][BiomassInstallationCategory]</v>
      </c>
    </row>
    <row r="457" spans="1:15" x14ac:dyDescent="0.3">
      <c r="A457" t="s">
        <v>1793</v>
      </c>
      <c r="B457" t="s">
        <v>1997</v>
      </c>
      <c r="C457" t="s">
        <v>2000</v>
      </c>
      <c r="D457">
        <v>5</v>
      </c>
      <c r="E457" t="s">
        <v>1447</v>
      </c>
      <c r="F457" t="s">
        <v>2001</v>
      </c>
      <c r="G457" t="s">
        <v>1737</v>
      </c>
      <c r="H457" t="s">
        <v>1799</v>
      </c>
      <c r="I457" t="s">
        <v>1799</v>
      </c>
      <c r="J457" t="s">
        <v>1799</v>
      </c>
      <c r="K457" t="s">
        <v>1799</v>
      </c>
      <c r="L457" t="s">
        <v>1460</v>
      </c>
      <c r="M457" t="s">
        <v>1799</v>
      </c>
      <c r="N457" t="s">
        <v>1799</v>
      </c>
      <c r="O457" s="184" t="str">
        <f>"["&amp;$C457&amp;"]["&amp;$D457&amp;"]["&amp;$F457&amp;"]"</f>
        <v>[S05_BiomassInstallations][5][BiomassInstallationCategory]</v>
      </c>
    </row>
    <row r="458" spans="1:15" x14ac:dyDescent="0.3">
      <c r="A458" t="s">
        <v>1793</v>
      </c>
      <c r="B458" t="s">
        <v>1997</v>
      </c>
      <c r="C458" t="s">
        <v>2000</v>
      </c>
      <c r="D458">
        <v>6</v>
      </c>
      <c r="E458" t="s">
        <v>1447</v>
      </c>
      <c r="F458" t="s">
        <v>2001</v>
      </c>
      <c r="G458" t="s">
        <v>1737</v>
      </c>
      <c r="H458" t="s">
        <v>1799</v>
      </c>
      <c r="I458" t="s">
        <v>1799</v>
      </c>
      <c r="J458" t="s">
        <v>1799</v>
      </c>
      <c r="K458" t="s">
        <v>1799</v>
      </c>
      <c r="L458" t="s">
        <v>1432</v>
      </c>
      <c r="M458" t="s">
        <v>1799</v>
      </c>
      <c r="N458" t="s">
        <v>1799</v>
      </c>
      <c r="O458" s="184" t="str">
        <f>"["&amp;$C458&amp;"]["&amp;$D458&amp;"]["&amp;$F458&amp;"]"</f>
        <v>[S05_BiomassInstallations][6][BiomassInstallationCategory]</v>
      </c>
    </row>
    <row r="459" spans="1:15" x14ac:dyDescent="0.3">
      <c r="A459" t="s">
        <v>1793</v>
      </c>
      <c r="B459" t="s">
        <v>1997</v>
      </c>
      <c r="C459" t="s">
        <v>2000</v>
      </c>
      <c r="D459">
        <v>1</v>
      </c>
      <c r="E459" t="s">
        <v>1447</v>
      </c>
      <c r="F459" t="s">
        <v>2002</v>
      </c>
      <c r="G459" t="s">
        <v>1811</v>
      </c>
      <c r="H459" t="s">
        <v>1799</v>
      </c>
      <c r="I459">
        <v>4</v>
      </c>
      <c r="J459" t="s">
        <v>1799</v>
      </c>
      <c r="K459" t="s">
        <v>1799</v>
      </c>
      <c r="L459" t="s">
        <v>1799</v>
      </c>
      <c r="M459" t="s">
        <v>1799</v>
      </c>
      <c r="N459" t="s">
        <v>1799</v>
      </c>
      <c r="O459" s="184" t="str">
        <f>"["&amp;$C459&amp;"]["&amp;$D459&amp;"]["&amp;$F459&amp;"]"</f>
        <v>[S05_BiomassInstallations][1][NumberUsingBiomass]</v>
      </c>
    </row>
    <row r="460" spans="1:15" x14ac:dyDescent="0.3">
      <c r="A460" t="s">
        <v>1793</v>
      </c>
      <c r="B460" t="s">
        <v>1997</v>
      </c>
      <c r="C460" t="s">
        <v>2000</v>
      </c>
      <c r="D460">
        <v>2</v>
      </c>
      <c r="E460" t="s">
        <v>1447</v>
      </c>
      <c r="F460" t="s">
        <v>2002</v>
      </c>
      <c r="G460" t="s">
        <v>1811</v>
      </c>
      <c r="H460" t="s">
        <v>1799</v>
      </c>
      <c r="I460">
        <v>2</v>
      </c>
      <c r="J460" t="s">
        <v>1799</v>
      </c>
      <c r="K460" t="s">
        <v>1799</v>
      </c>
      <c r="L460" t="s">
        <v>1799</v>
      </c>
      <c r="M460" t="s">
        <v>1799</v>
      </c>
      <c r="N460" t="s">
        <v>1799</v>
      </c>
      <c r="O460" s="184" t="str">
        <f>"["&amp;$C460&amp;"]["&amp;$D460&amp;"]["&amp;$F460&amp;"]"</f>
        <v>[S05_BiomassInstallations][2][NumberUsingBiomass]</v>
      </c>
    </row>
    <row r="461" spans="1:15" x14ac:dyDescent="0.3">
      <c r="A461" t="s">
        <v>1793</v>
      </c>
      <c r="B461" t="s">
        <v>1997</v>
      </c>
      <c r="C461" t="s">
        <v>2000</v>
      </c>
      <c r="D461">
        <v>3</v>
      </c>
      <c r="E461" t="s">
        <v>1447</v>
      </c>
      <c r="F461" t="s">
        <v>2002</v>
      </c>
      <c r="G461" t="s">
        <v>1811</v>
      </c>
      <c r="H461" t="s">
        <v>1799</v>
      </c>
      <c r="I461">
        <v>1</v>
      </c>
      <c r="J461" t="s">
        <v>1799</v>
      </c>
      <c r="K461" t="s">
        <v>1799</v>
      </c>
      <c r="L461" t="s">
        <v>1799</v>
      </c>
      <c r="M461" t="s">
        <v>1799</v>
      </c>
      <c r="N461" t="s">
        <v>1799</v>
      </c>
      <c r="O461" s="184" t="str">
        <f>"["&amp;$C461&amp;"]["&amp;$D461&amp;"]["&amp;$F461&amp;"]"</f>
        <v>[S05_BiomassInstallations][3][NumberUsingBiomass]</v>
      </c>
    </row>
    <row r="462" spans="1:15" x14ac:dyDescent="0.3">
      <c r="A462" t="s">
        <v>1793</v>
      </c>
      <c r="B462" t="s">
        <v>1997</v>
      </c>
      <c r="C462" t="s">
        <v>2000</v>
      </c>
      <c r="D462">
        <v>4</v>
      </c>
      <c r="E462" t="s">
        <v>1447</v>
      </c>
      <c r="F462" t="s">
        <v>2002</v>
      </c>
      <c r="G462" t="s">
        <v>1811</v>
      </c>
      <c r="H462" t="s">
        <v>1799</v>
      </c>
      <c r="I462">
        <v>2</v>
      </c>
      <c r="J462" t="s">
        <v>1799</v>
      </c>
      <c r="K462" t="s">
        <v>1799</v>
      </c>
      <c r="L462" t="s">
        <v>1799</v>
      </c>
      <c r="M462" t="s">
        <v>1799</v>
      </c>
      <c r="N462" t="s">
        <v>1799</v>
      </c>
      <c r="O462" s="184" t="str">
        <f>"["&amp;$C462&amp;"]["&amp;$D462&amp;"]["&amp;$F462&amp;"]"</f>
        <v>[S05_BiomassInstallations][4][NumberUsingBiomass]</v>
      </c>
    </row>
    <row r="463" spans="1:15" x14ac:dyDescent="0.3">
      <c r="A463" t="s">
        <v>1793</v>
      </c>
      <c r="B463" t="s">
        <v>1997</v>
      </c>
      <c r="C463" t="s">
        <v>2000</v>
      </c>
      <c r="D463">
        <v>5</v>
      </c>
      <c r="E463" t="s">
        <v>1447</v>
      </c>
      <c r="F463" t="s">
        <v>2002</v>
      </c>
      <c r="G463" t="s">
        <v>1811</v>
      </c>
      <c r="H463" t="s">
        <v>1799</v>
      </c>
      <c r="I463">
        <v>1</v>
      </c>
      <c r="J463" t="s">
        <v>1799</v>
      </c>
      <c r="K463" t="s">
        <v>1799</v>
      </c>
      <c r="L463" t="s">
        <v>1799</v>
      </c>
      <c r="M463" t="s">
        <v>1799</v>
      </c>
      <c r="N463" t="s">
        <v>1799</v>
      </c>
      <c r="O463" s="184" t="str">
        <f>"["&amp;$C463&amp;"]["&amp;$D463&amp;"]["&amp;$F463&amp;"]"</f>
        <v>[S05_BiomassInstallations][5][NumberUsingBiomass]</v>
      </c>
    </row>
    <row r="464" spans="1:15" x14ac:dyDescent="0.3">
      <c r="A464" t="s">
        <v>1793</v>
      </c>
      <c r="B464" t="s">
        <v>1997</v>
      </c>
      <c r="C464" t="s">
        <v>2000</v>
      </c>
      <c r="D464">
        <v>6</v>
      </c>
      <c r="E464" t="s">
        <v>1447</v>
      </c>
      <c r="F464" t="s">
        <v>2002</v>
      </c>
      <c r="G464" t="s">
        <v>1811</v>
      </c>
      <c r="H464" t="s">
        <v>1799</v>
      </c>
      <c r="I464">
        <v>3</v>
      </c>
      <c r="J464" t="s">
        <v>1799</v>
      </c>
      <c r="K464" t="s">
        <v>1799</v>
      </c>
      <c r="L464" t="s">
        <v>1799</v>
      </c>
      <c r="M464" t="s">
        <v>1799</v>
      </c>
      <c r="N464" t="s">
        <v>1799</v>
      </c>
      <c r="O464" s="184" t="str">
        <f>"["&amp;$C464&amp;"]["&amp;$D464&amp;"]["&amp;$F464&amp;"]"</f>
        <v>[S05_BiomassInstallations][6][NumberUsingBiomass]</v>
      </c>
    </row>
    <row r="465" spans="1:15" x14ac:dyDescent="0.3">
      <c r="A465" t="s">
        <v>1793</v>
      </c>
      <c r="B465" t="s">
        <v>1997</v>
      </c>
      <c r="C465" t="s">
        <v>2000</v>
      </c>
      <c r="D465">
        <v>1</v>
      </c>
      <c r="E465" t="s">
        <v>1447</v>
      </c>
      <c r="F465" t="s">
        <v>2003</v>
      </c>
      <c r="G465" t="s">
        <v>1889</v>
      </c>
      <c r="H465" t="s">
        <v>1799</v>
      </c>
      <c r="I465" t="s">
        <v>1799</v>
      </c>
      <c r="J465">
        <v>62936.03</v>
      </c>
      <c r="K465" t="s">
        <v>1799</v>
      </c>
      <c r="L465" t="s">
        <v>1799</v>
      </c>
      <c r="M465" t="s">
        <v>1799</v>
      </c>
      <c r="N465" t="s">
        <v>1799</v>
      </c>
      <c r="O465" s="184" t="str">
        <f>"["&amp;$C465&amp;"]["&amp;$D465&amp;"]["&amp;$F465&amp;"]"</f>
        <v>[S05_BiomassInstallations][1][EmissionsBiomassSustainabilitySatisfied]</v>
      </c>
    </row>
    <row r="466" spans="1:15" x14ac:dyDescent="0.3">
      <c r="A466" t="s">
        <v>1793</v>
      </c>
      <c r="B466" t="s">
        <v>1997</v>
      </c>
      <c r="C466" t="s">
        <v>2000</v>
      </c>
      <c r="D466">
        <v>2</v>
      </c>
      <c r="E466" t="s">
        <v>1447</v>
      </c>
      <c r="F466" t="s">
        <v>2003</v>
      </c>
      <c r="G466" t="s">
        <v>1889</v>
      </c>
      <c r="H466" t="s">
        <v>1799</v>
      </c>
      <c r="I466" t="s">
        <v>1799</v>
      </c>
      <c r="J466">
        <v>58339.75</v>
      </c>
      <c r="K466" t="s">
        <v>1799</v>
      </c>
      <c r="L466" t="s">
        <v>1799</v>
      </c>
      <c r="M466" t="s">
        <v>1799</v>
      </c>
      <c r="N466" t="s">
        <v>1799</v>
      </c>
      <c r="O466" s="184" t="str">
        <f>"["&amp;$C466&amp;"]["&amp;$D466&amp;"]["&amp;$F466&amp;"]"</f>
        <v>[S05_BiomassInstallations][2][EmissionsBiomassSustainabilitySatisfied]</v>
      </c>
    </row>
    <row r="467" spans="1:15" x14ac:dyDescent="0.3">
      <c r="A467" t="s">
        <v>1793</v>
      </c>
      <c r="B467" t="s">
        <v>1997</v>
      </c>
      <c r="C467" t="s">
        <v>2000</v>
      </c>
      <c r="D467">
        <v>3</v>
      </c>
      <c r="E467" t="s">
        <v>1447</v>
      </c>
      <c r="F467" t="s">
        <v>2003</v>
      </c>
      <c r="G467" t="s">
        <v>1889</v>
      </c>
      <c r="H467" t="s">
        <v>1799</v>
      </c>
      <c r="I467" t="s">
        <v>1799</v>
      </c>
      <c r="J467">
        <v>20920.22</v>
      </c>
      <c r="K467" t="s">
        <v>1799</v>
      </c>
      <c r="L467" t="s">
        <v>1799</v>
      </c>
      <c r="M467" t="s">
        <v>1799</v>
      </c>
      <c r="N467" t="s">
        <v>1799</v>
      </c>
      <c r="O467" s="184" t="str">
        <f>"["&amp;$C467&amp;"]["&amp;$D467&amp;"]["&amp;$F467&amp;"]"</f>
        <v>[S05_BiomassInstallations][3][EmissionsBiomassSustainabilitySatisfied]</v>
      </c>
    </row>
    <row r="468" spans="1:15" x14ac:dyDescent="0.3">
      <c r="A468" t="s">
        <v>1793</v>
      </c>
      <c r="B468" t="s">
        <v>1997</v>
      </c>
      <c r="C468" t="s">
        <v>2000</v>
      </c>
      <c r="D468">
        <v>4</v>
      </c>
      <c r="E468" t="s">
        <v>1447</v>
      </c>
      <c r="F468" t="s">
        <v>2003</v>
      </c>
      <c r="G468" t="s">
        <v>1889</v>
      </c>
      <c r="H468" t="s">
        <v>1799</v>
      </c>
      <c r="I468" t="s">
        <v>1799</v>
      </c>
      <c r="J468">
        <v>40716.93</v>
      </c>
      <c r="K468" t="s">
        <v>1799</v>
      </c>
      <c r="L468" t="s">
        <v>1799</v>
      </c>
      <c r="M468" t="s">
        <v>1799</v>
      </c>
      <c r="N468" t="s">
        <v>1799</v>
      </c>
      <c r="O468" s="184" t="str">
        <f>"["&amp;$C468&amp;"]["&amp;$D468&amp;"]["&amp;$F468&amp;"]"</f>
        <v>[S05_BiomassInstallations][4][EmissionsBiomassSustainabilitySatisfied]</v>
      </c>
    </row>
    <row r="469" spans="1:15" x14ac:dyDescent="0.3">
      <c r="A469" t="s">
        <v>1793</v>
      </c>
      <c r="B469" t="s">
        <v>1997</v>
      </c>
      <c r="C469" t="s">
        <v>2000</v>
      </c>
      <c r="D469">
        <v>5</v>
      </c>
      <c r="E469" t="s">
        <v>1447</v>
      </c>
      <c r="F469" t="s">
        <v>2003</v>
      </c>
      <c r="G469" t="s">
        <v>1889</v>
      </c>
      <c r="H469" t="s">
        <v>1799</v>
      </c>
      <c r="I469" t="s">
        <v>1799</v>
      </c>
      <c r="J469">
        <v>17239.48</v>
      </c>
      <c r="K469" t="s">
        <v>1799</v>
      </c>
      <c r="L469" t="s">
        <v>1799</v>
      </c>
      <c r="M469" t="s">
        <v>1799</v>
      </c>
      <c r="N469" t="s">
        <v>1799</v>
      </c>
      <c r="O469" s="184" t="str">
        <f>"["&amp;$C469&amp;"]["&amp;$D469&amp;"]["&amp;$F469&amp;"]"</f>
        <v>[S05_BiomassInstallations][5][EmissionsBiomassSustainabilitySatisfied]</v>
      </c>
    </row>
    <row r="470" spans="1:15" x14ac:dyDescent="0.3">
      <c r="A470" t="s">
        <v>1793</v>
      </c>
      <c r="B470" t="s">
        <v>1997</v>
      </c>
      <c r="C470" t="s">
        <v>2000</v>
      </c>
      <c r="D470">
        <v>6</v>
      </c>
      <c r="E470" t="s">
        <v>1447</v>
      </c>
      <c r="F470" t="s">
        <v>2003</v>
      </c>
      <c r="G470" t="s">
        <v>1889</v>
      </c>
      <c r="H470" t="s">
        <v>1799</v>
      </c>
      <c r="I470" t="s">
        <v>1799</v>
      </c>
      <c r="J470">
        <v>27127.64</v>
      </c>
      <c r="K470" t="s">
        <v>1799</v>
      </c>
      <c r="L470" t="s">
        <v>1799</v>
      </c>
      <c r="M470" t="s">
        <v>1799</v>
      </c>
      <c r="N470" t="s">
        <v>1799</v>
      </c>
      <c r="O470" s="184" t="str">
        <f>"["&amp;$C470&amp;"]["&amp;$D470&amp;"]["&amp;$F470&amp;"]"</f>
        <v>[S05_BiomassInstallations][6][EmissionsBiomassSustainabilitySatisfied]</v>
      </c>
    </row>
    <row r="471" spans="1:15" x14ac:dyDescent="0.3">
      <c r="A471" t="s">
        <v>1793</v>
      </c>
      <c r="B471" t="s">
        <v>1997</v>
      </c>
      <c r="C471" t="s">
        <v>2000</v>
      </c>
      <c r="D471">
        <v>1</v>
      </c>
      <c r="E471" t="s">
        <v>1447</v>
      </c>
      <c r="F471" t="s">
        <v>2004</v>
      </c>
      <c r="G471" t="s">
        <v>1889</v>
      </c>
      <c r="H471" t="s">
        <v>1799</v>
      </c>
      <c r="I471" t="s">
        <v>1799</v>
      </c>
      <c r="J471">
        <v>0</v>
      </c>
      <c r="K471" t="s">
        <v>1799</v>
      </c>
      <c r="L471" t="s">
        <v>1799</v>
      </c>
      <c r="M471" t="s">
        <v>1799</v>
      </c>
      <c r="N471" t="s">
        <v>1799</v>
      </c>
      <c r="O471" s="184" t="str">
        <f>"["&amp;$C471&amp;"]["&amp;$D471&amp;"]["&amp;$F471&amp;"]"</f>
        <v>[S05_BiomassInstallations][1][EmissionsBiomassSustainabilityNotSatisfied]</v>
      </c>
    </row>
    <row r="472" spans="1:15" x14ac:dyDescent="0.3">
      <c r="A472" t="s">
        <v>1793</v>
      </c>
      <c r="B472" t="s">
        <v>1997</v>
      </c>
      <c r="C472" t="s">
        <v>2000</v>
      </c>
      <c r="D472">
        <v>2</v>
      </c>
      <c r="E472" t="s">
        <v>1447</v>
      </c>
      <c r="F472" t="s">
        <v>2004</v>
      </c>
      <c r="G472" t="s">
        <v>1889</v>
      </c>
      <c r="H472" t="s">
        <v>1799</v>
      </c>
      <c r="I472" t="s">
        <v>1799</v>
      </c>
      <c r="J472">
        <v>0</v>
      </c>
      <c r="K472" t="s">
        <v>1799</v>
      </c>
      <c r="L472" t="s">
        <v>1799</v>
      </c>
      <c r="M472" t="s">
        <v>1799</v>
      </c>
      <c r="N472" t="s">
        <v>1799</v>
      </c>
      <c r="O472" s="184" t="str">
        <f>"["&amp;$C472&amp;"]["&amp;$D472&amp;"]["&amp;$F472&amp;"]"</f>
        <v>[S05_BiomassInstallations][2][EmissionsBiomassSustainabilityNotSatisfied]</v>
      </c>
    </row>
    <row r="473" spans="1:15" x14ac:dyDescent="0.3">
      <c r="A473" t="s">
        <v>1793</v>
      </c>
      <c r="B473" t="s">
        <v>1997</v>
      </c>
      <c r="C473" t="s">
        <v>2000</v>
      </c>
      <c r="D473">
        <v>3</v>
      </c>
      <c r="E473" t="s">
        <v>1447</v>
      </c>
      <c r="F473" t="s">
        <v>2004</v>
      </c>
      <c r="G473" t="s">
        <v>1889</v>
      </c>
      <c r="H473" t="s">
        <v>1799</v>
      </c>
      <c r="I473" t="s">
        <v>1799</v>
      </c>
      <c r="J473">
        <v>0</v>
      </c>
      <c r="K473" t="s">
        <v>1799</v>
      </c>
      <c r="L473" t="s">
        <v>1799</v>
      </c>
      <c r="M473" t="s">
        <v>1799</v>
      </c>
      <c r="N473" t="s">
        <v>1799</v>
      </c>
      <c r="O473" s="184" t="str">
        <f>"["&amp;$C473&amp;"]["&amp;$D473&amp;"]["&amp;$F473&amp;"]"</f>
        <v>[S05_BiomassInstallations][3][EmissionsBiomassSustainabilityNotSatisfied]</v>
      </c>
    </row>
    <row r="474" spans="1:15" x14ac:dyDescent="0.3">
      <c r="A474" t="s">
        <v>1793</v>
      </c>
      <c r="B474" t="s">
        <v>1997</v>
      </c>
      <c r="C474" t="s">
        <v>2000</v>
      </c>
      <c r="D474">
        <v>4</v>
      </c>
      <c r="E474" t="s">
        <v>1447</v>
      </c>
      <c r="F474" t="s">
        <v>2004</v>
      </c>
      <c r="G474" t="s">
        <v>1889</v>
      </c>
      <c r="H474" t="s">
        <v>1799</v>
      </c>
      <c r="I474" t="s">
        <v>1799</v>
      </c>
      <c r="J474">
        <v>0</v>
      </c>
      <c r="K474" t="s">
        <v>1799</v>
      </c>
      <c r="L474" t="s">
        <v>1799</v>
      </c>
      <c r="M474" t="s">
        <v>1799</v>
      </c>
      <c r="N474" t="s">
        <v>1799</v>
      </c>
      <c r="O474" s="184" t="str">
        <f>"["&amp;$C474&amp;"]["&amp;$D474&amp;"]["&amp;$F474&amp;"]"</f>
        <v>[S05_BiomassInstallations][4][EmissionsBiomassSustainabilityNotSatisfied]</v>
      </c>
    </row>
    <row r="475" spans="1:15" x14ac:dyDescent="0.3">
      <c r="A475" t="s">
        <v>1793</v>
      </c>
      <c r="B475" t="s">
        <v>1997</v>
      </c>
      <c r="C475" t="s">
        <v>2000</v>
      </c>
      <c r="D475">
        <v>5</v>
      </c>
      <c r="E475" t="s">
        <v>1447</v>
      </c>
      <c r="F475" t="s">
        <v>2004</v>
      </c>
      <c r="G475" t="s">
        <v>1889</v>
      </c>
      <c r="H475" t="s">
        <v>1799</v>
      </c>
      <c r="I475" t="s">
        <v>1799</v>
      </c>
      <c r="J475">
        <v>0</v>
      </c>
      <c r="K475" t="s">
        <v>1799</v>
      </c>
      <c r="L475" t="s">
        <v>1799</v>
      </c>
      <c r="M475" t="s">
        <v>1799</v>
      </c>
      <c r="N475" t="s">
        <v>1799</v>
      </c>
      <c r="O475" s="184" t="str">
        <f>"["&amp;$C475&amp;"]["&amp;$D475&amp;"]["&amp;$F475&amp;"]"</f>
        <v>[S05_BiomassInstallations][5][EmissionsBiomassSustainabilityNotSatisfied]</v>
      </c>
    </row>
    <row r="476" spans="1:15" x14ac:dyDescent="0.3">
      <c r="A476" t="s">
        <v>1793</v>
      </c>
      <c r="B476" t="s">
        <v>1997</v>
      </c>
      <c r="C476" t="s">
        <v>2000</v>
      </c>
      <c r="D476">
        <v>6</v>
      </c>
      <c r="E476" t="s">
        <v>1447</v>
      </c>
      <c r="F476" t="s">
        <v>2004</v>
      </c>
      <c r="G476" t="s">
        <v>1889</v>
      </c>
      <c r="H476" t="s">
        <v>1799</v>
      </c>
      <c r="I476" t="s">
        <v>1799</v>
      </c>
      <c r="J476">
        <v>0</v>
      </c>
      <c r="K476" t="s">
        <v>1799</v>
      </c>
      <c r="L476" t="s">
        <v>1799</v>
      </c>
      <c r="M476" t="s">
        <v>1799</v>
      </c>
      <c r="N476" t="s">
        <v>1799</v>
      </c>
      <c r="O476" s="184" t="str">
        <f>"["&amp;$C476&amp;"]["&amp;$D476&amp;"]["&amp;$F476&amp;"]"</f>
        <v>[S05_BiomassInstallations][6][EmissionsBiomassSustainabilityNotSatisfied]</v>
      </c>
    </row>
    <row r="477" spans="1:15" x14ac:dyDescent="0.3">
      <c r="A477" t="s">
        <v>1793</v>
      </c>
      <c r="B477" t="s">
        <v>1997</v>
      </c>
      <c r="C477" t="s">
        <v>2000</v>
      </c>
      <c r="D477">
        <v>1</v>
      </c>
      <c r="E477" t="s">
        <v>1447</v>
      </c>
      <c r="F477" t="s">
        <v>2005</v>
      </c>
      <c r="G477" t="s">
        <v>1889</v>
      </c>
      <c r="H477" t="s">
        <v>1799</v>
      </c>
      <c r="I477" t="s">
        <v>1799</v>
      </c>
      <c r="J477">
        <v>14714.85</v>
      </c>
      <c r="K477" t="s">
        <v>1799</v>
      </c>
      <c r="L477" t="s">
        <v>1799</v>
      </c>
      <c r="M477" t="s">
        <v>1799</v>
      </c>
      <c r="N477" t="s">
        <v>1799</v>
      </c>
      <c r="O477" s="184" t="str">
        <f>"["&amp;$C477&amp;"]["&amp;$D477&amp;"]["&amp;$F477&amp;"]"</f>
        <v>[S05_BiomassInstallations][1][EmissionsFossil]</v>
      </c>
    </row>
    <row r="478" spans="1:15" x14ac:dyDescent="0.3">
      <c r="A478" t="s">
        <v>1793</v>
      </c>
      <c r="B478" t="s">
        <v>1997</v>
      </c>
      <c r="C478" t="s">
        <v>2000</v>
      </c>
      <c r="D478">
        <v>2</v>
      </c>
      <c r="E478" t="s">
        <v>1447</v>
      </c>
      <c r="F478" t="s">
        <v>2005</v>
      </c>
      <c r="G478" t="s">
        <v>1889</v>
      </c>
      <c r="H478" t="s">
        <v>1799</v>
      </c>
      <c r="I478" t="s">
        <v>1799</v>
      </c>
      <c r="J478">
        <v>479158.76</v>
      </c>
      <c r="K478" t="s">
        <v>1799</v>
      </c>
      <c r="L478" t="s">
        <v>1799</v>
      </c>
      <c r="M478" t="s">
        <v>1799</v>
      </c>
      <c r="N478" t="s">
        <v>1799</v>
      </c>
      <c r="O478" s="184" t="str">
        <f>"["&amp;$C478&amp;"]["&amp;$D478&amp;"]["&amp;$F478&amp;"]"</f>
        <v>[S05_BiomassInstallations][2][EmissionsFossil]</v>
      </c>
    </row>
    <row r="479" spans="1:15" x14ac:dyDescent="0.3">
      <c r="A479" t="s">
        <v>1793</v>
      </c>
      <c r="B479" t="s">
        <v>1997</v>
      </c>
      <c r="C479" t="s">
        <v>2000</v>
      </c>
      <c r="D479">
        <v>3</v>
      </c>
      <c r="E479" t="s">
        <v>1447</v>
      </c>
      <c r="F479" t="s">
        <v>2005</v>
      </c>
      <c r="G479" t="s">
        <v>1889</v>
      </c>
      <c r="H479" t="s">
        <v>1799</v>
      </c>
      <c r="I479" t="s">
        <v>1799</v>
      </c>
      <c r="J479">
        <v>346154.88</v>
      </c>
      <c r="K479" t="s">
        <v>1799</v>
      </c>
      <c r="L479" t="s">
        <v>1799</v>
      </c>
      <c r="M479" t="s">
        <v>1799</v>
      </c>
      <c r="N479" t="s">
        <v>1799</v>
      </c>
      <c r="O479" s="184" t="str">
        <f>"["&amp;$C479&amp;"]["&amp;$D479&amp;"]["&amp;$F479&amp;"]"</f>
        <v>[S05_BiomassInstallations][3][EmissionsFossil]</v>
      </c>
    </row>
    <row r="480" spans="1:15" x14ac:dyDescent="0.3">
      <c r="A480" t="s">
        <v>1793</v>
      </c>
      <c r="B480" t="s">
        <v>1997</v>
      </c>
      <c r="C480" t="s">
        <v>2000</v>
      </c>
      <c r="D480">
        <v>4</v>
      </c>
      <c r="E480" t="s">
        <v>1447</v>
      </c>
      <c r="F480" t="s">
        <v>2005</v>
      </c>
      <c r="G480" t="s">
        <v>1889</v>
      </c>
      <c r="H480" t="s">
        <v>1799</v>
      </c>
      <c r="I480" t="s">
        <v>1799</v>
      </c>
      <c r="J480">
        <v>1479110.66</v>
      </c>
      <c r="K480" t="s">
        <v>1799</v>
      </c>
      <c r="L480" t="s">
        <v>1799</v>
      </c>
      <c r="M480" t="s">
        <v>1799</v>
      </c>
      <c r="N480" t="s">
        <v>1799</v>
      </c>
      <c r="O480" s="184" t="str">
        <f>"["&amp;$C480&amp;"]["&amp;$D480&amp;"]["&amp;$F480&amp;"]"</f>
        <v>[S05_BiomassInstallations][4][EmissionsFossil]</v>
      </c>
    </row>
    <row r="481" spans="1:15" x14ac:dyDescent="0.3">
      <c r="A481" t="s">
        <v>1793</v>
      </c>
      <c r="B481" t="s">
        <v>1997</v>
      </c>
      <c r="C481" t="s">
        <v>2000</v>
      </c>
      <c r="D481">
        <v>5</v>
      </c>
      <c r="E481" t="s">
        <v>1447</v>
      </c>
      <c r="F481" t="s">
        <v>2005</v>
      </c>
      <c r="G481" t="s">
        <v>1889</v>
      </c>
      <c r="H481" t="s">
        <v>1799</v>
      </c>
      <c r="I481" t="s">
        <v>1799</v>
      </c>
      <c r="J481">
        <v>29278.26</v>
      </c>
      <c r="K481" t="s">
        <v>1799</v>
      </c>
      <c r="L481" t="s">
        <v>1799</v>
      </c>
      <c r="M481" t="s">
        <v>1799</v>
      </c>
      <c r="N481" t="s">
        <v>1799</v>
      </c>
      <c r="O481" s="184" t="str">
        <f>"["&amp;$C481&amp;"]["&amp;$D481&amp;"]["&amp;$F481&amp;"]"</f>
        <v>[S05_BiomassInstallations][5][EmissionsFossil]</v>
      </c>
    </row>
    <row r="482" spans="1:15" x14ac:dyDescent="0.3">
      <c r="A482" t="s">
        <v>1793</v>
      </c>
      <c r="B482" t="s">
        <v>1997</v>
      </c>
      <c r="C482" t="s">
        <v>2000</v>
      </c>
      <c r="D482">
        <v>6</v>
      </c>
      <c r="E482" t="s">
        <v>1447</v>
      </c>
      <c r="F482" t="s">
        <v>2005</v>
      </c>
      <c r="G482" t="s">
        <v>1889</v>
      </c>
      <c r="H482" t="s">
        <v>1799</v>
      </c>
      <c r="I482" t="s">
        <v>1799</v>
      </c>
      <c r="J482">
        <v>15819.93</v>
      </c>
      <c r="K482" t="s">
        <v>1799</v>
      </c>
      <c r="L482" t="s">
        <v>1799</v>
      </c>
      <c r="M482" t="s">
        <v>1799</v>
      </c>
      <c r="N482" t="s">
        <v>1799</v>
      </c>
      <c r="O482" s="184" t="str">
        <f>"["&amp;$C482&amp;"]["&amp;$D482&amp;"]["&amp;$F482&amp;"]"</f>
        <v>[S05_BiomassInstallations][6][EmissionsFossil]</v>
      </c>
    </row>
    <row r="483" spans="1:15" x14ac:dyDescent="0.3">
      <c r="A483" t="s">
        <v>1793</v>
      </c>
      <c r="B483" t="s">
        <v>1997</v>
      </c>
      <c r="C483" t="s">
        <v>2000</v>
      </c>
      <c r="D483">
        <v>1</v>
      </c>
      <c r="E483" t="s">
        <v>1447</v>
      </c>
      <c r="F483" t="s">
        <v>2006</v>
      </c>
      <c r="G483" t="s">
        <v>1889</v>
      </c>
      <c r="H483" t="s">
        <v>1799</v>
      </c>
      <c r="I483" t="s">
        <v>1799</v>
      </c>
      <c r="J483">
        <v>571.05999999999995</v>
      </c>
      <c r="K483" t="s">
        <v>1799</v>
      </c>
      <c r="L483" t="s">
        <v>1799</v>
      </c>
      <c r="M483" t="s">
        <v>1799</v>
      </c>
      <c r="N483" t="s">
        <v>1799</v>
      </c>
      <c r="O483" s="184" t="str">
        <f>"["&amp;$C483&amp;"]["&amp;$D483&amp;"]["&amp;$F483&amp;"]"</f>
        <v>[S05_BiomassInstallations][1][EnergyZeroRatedBiomass]</v>
      </c>
    </row>
    <row r="484" spans="1:15" x14ac:dyDescent="0.3">
      <c r="A484" t="s">
        <v>1793</v>
      </c>
      <c r="B484" t="s">
        <v>1997</v>
      </c>
      <c r="C484" t="s">
        <v>2000</v>
      </c>
      <c r="D484">
        <v>2</v>
      </c>
      <c r="E484" t="s">
        <v>1447</v>
      </c>
      <c r="F484" t="s">
        <v>2006</v>
      </c>
      <c r="G484" t="s">
        <v>1889</v>
      </c>
      <c r="H484" t="s">
        <v>1799</v>
      </c>
      <c r="I484" t="s">
        <v>1799</v>
      </c>
      <c r="J484">
        <v>544.44000000000005</v>
      </c>
      <c r="K484" t="s">
        <v>1799</v>
      </c>
      <c r="L484" t="s">
        <v>1799</v>
      </c>
      <c r="M484" t="s">
        <v>1799</v>
      </c>
      <c r="N484" t="s">
        <v>1799</v>
      </c>
      <c r="O484" s="184" t="str">
        <f>"["&amp;$C484&amp;"]["&amp;$D484&amp;"]["&amp;$F484&amp;"]"</f>
        <v>[S05_BiomassInstallations][2][EnergyZeroRatedBiomass]</v>
      </c>
    </row>
    <row r="485" spans="1:15" x14ac:dyDescent="0.3">
      <c r="A485" t="s">
        <v>1793</v>
      </c>
      <c r="B485" t="s">
        <v>1997</v>
      </c>
      <c r="C485" t="s">
        <v>2000</v>
      </c>
      <c r="D485">
        <v>3</v>
      </c>
      <c r="E485" t="s">
        <v>1447</v>
      </c>
      <c r="F485" t="s">
        <v>2006</v>
      </c>
      <c r="G485" t="s">
        <v>1889</v>
      </c>
      <c r="H485" t="s">
        <v>1799</v>
      </c>
      <c r="I485" t="s">
        <v>1799</v>
      </c>
      <c r="J485">
        <v>249.41</v>
      </c>
      <c r="K485" t="s">
        <v>1799</v>
      </c>
      <c r="L485" t="s">
        <v>1799</v>
      </c>
      <c r="M485" t="s">
        <v>1799</v>
      </c>
      <c r="N485" t="s">
        <v>1799</v>
      </c>
      <c r="O485" s="184" t="str">
        <f>"["&amp;$C485&amp;"]["&amp;$D485&amp;"]["&amp;$F485&amp;"]"</f>
        <v>[S05_BiomassInstallations][3][EnergyZeroRatedBiomass]</v>
      </c>
    </row>
    <row r="486" spans="1:15" x14ac:dyDescent="0.3">
      <c r="A486" t="s">
        <v>1793</v>
      </c>
      <c r="B486" t="s">
        <v>1997</v>
      </c>
      <c r="C486" t="s">
        <v>2000</v>
      </c>
      <c r="D486">
        <v>4</v>
      </c>
      <c r="E486" t="s">
        <v>1447</v>
      </c>
      <c r="F486" t="s">
        <v>2006</v>
      </c>
      <c r="G486" t="s">
        <v>1889</v>
      </c>
      <c r="H486" t="s">
        <v>1799</v>
      </c>
      <c r="I486" t="s">
        <v>1799</v>
      </c>
      <c r="J486">
        <v>439.59</v>
      </c>
      <c r="K486" t="s">
        <v>1799</v>
      </c>
      <c r="L486" t="s">
        <v>1799</v>
      </c>
      <c r="M486" t="s">
        <v>1799</v>
      </c>
      <c r="N486" t="s">
        <v>1799</v>
      </c>
      <c r="O486" s="184" t="str">
        <f>"["&amp;$C486&amp;"]["&amp;$D486&amp;"]["&amp;$F486&amp;"]"</f>
        <v>[S05_BiomassInstallations][4][EnergyZeroRatedBiomass]</v>
      </c>
    </row>
    <row r="487" spans="1:15" x14ac:dyDescent="0.3">
      <c r="A487" t="s">
        <v>1793</v>
      </c>
      <c r="B487" t="s">
        <v>1997</v>
      </c>
      <c r="C487" t="s">
        <v>2000</v>
      </c>
      <c r="D487">
        <v>5</v>
      </c>
      <c r="E487" t="s">
        <v>1447</v>
      </c>
      <c r="F487" t="s">
        <v>2006</v>
      </c>
      <c r="G487" t="s">
        <v>1889</v>
      </c>
      <c r="H487" t="s">
        <v>1799</v>
      </c>
      <c r="I487" t="s">
        <v>1799</v>
      </c>
      <c r="J487">
        <v>153.58000000000001</v>
      </c>
      <c r="K487" t="s">
        <v>1799</v>
      </c>
      <c r="L487" t="s">
        <v>1799</v>
      </c>
      <c r="M487" t="s">
        <v>1799</v>
      </c>
      <c r="N487" t="s">
        <v>1799</v>
      </c>
      <c r="O487" s="184" t="str">
        <f>"["&amp;$C487&amp;"]["&amp;$D487&amp;"]["&amp;$F487&amp;"]"</f>
        <v>[S05_BiomassInstallations][5][EnergyZeroRatedBiomass]</v>
      </c>
    </row>
    <row r="488" spans="1:15" x14ac:dyDescent="0.3">
      <c r="A488" t="s">
        <v>1793</v>
      </c>
      <c r="B488" t="s">
        <v>1997</v>
      </c>
      <c r="C488" t="s">
        <v>2000</v>
      </c>
      <c r="D488">
        <v>6</v>
      </c>
      <c r="E488" t="s">
        <v>1447</v>
      </c>
      <c r="F488" t="s">
        <v>2006</v>
      </c>
      <c r="G488" t="s">
        <v>1889</v>
      </c>
      <c r="H488" t="s">
        <v>1799</v>
      </c>
      <c r="I488" t="s">
        <v>1799</v>
      </c>
      <c r="J488">
        <v>242.21</v>
      </c>
      <c r="K488" t="s">
        <v>1799</v>
      </c>
      <c r="L488" t="s">
        <v>1799</v>
      </c>
      <c r="M488" t="s">
        <v>1799</v>
      </c>
      <c r="N488" t="s">
        <v>1799</v>
      </c>
      <c r="O488" s="184" t="str">
        <f>"["&amp;$C488&amp;"]["&amp;$D488&amp;"]["&amp;$F488&amp;"]"</f>
        <v>[S05_BiomassInstallations][6][EnergyZeroRatedBiomass]</v>
      </c>
    </row>
    <row r="489" spans="1:15" x14ac:dyDescent="0.3">
      <c r="A489" t="s">
        <v>1793</v>
      </c>
      <c r="B489" t="s">
        <v>1997</v>
      </c>
      <c r="C489" t="s">
        <v>2000</v>
      </c>
      <c r="D489">
        <v>1</v>
      </c>
      <c r="E489" t="s">
        <v>1447</v>
      </c>
      <c r="F489" t="s">
        <v>2007</v>
      </c>
      <c r="G489" t="s">
        <v>1889</v>
      </c>
      <c r="H489" t="s">
        <v>1799</v>
      </c>
      <c r="I489" t="s">
        <v>1799</v>
      </c>
      <c r="J489">
        <v>0</v>
      </c>
      <c r="K489" t="s">
        <v>1799</v>
      </c>
      <c r="L489" t="s">
        <v>1799</v>
      </c>
      <c r="M489" t="s">
        <v>1799</v>
      </c>
      <c r="N489" t="s">
        <v>1799</v>
      </c>
      <c r="O489" s="184" t="str">
        <f>"["&amp;$C489&amp;"]["&amp;$D489&amp;"]["&amp;$F489&amp;"]"</f>
        <v>[S05_BiomassInstallations][1][EnergyNonZeroRatedBiomass]</v>
      </c>
    </row>
    <row r="490" spans="1:15" x14ac:dyDescent="0.3">
      <c r="A490" t="s">
        <v>1793</v>
      </c>
      <c r="B490" t="s">
        <v>1997</v>
      </c>
      <c r="C490" t="s">
        <v>2000</v>
      </c>
      <c r="D490">
        <v>2</v>
      </c>
      <c r="E490" t="s">
        <v>1447</v>
      </c>
      <c r="F490" t="s">
        <v>2007</v>
      </c>
      <c r="G490" t="s">
        <v>1889</v>
      </c>
      <c r="H490" t="s">
        <v>1799</v>
      </c>
      <c r="I490" t="s">
        <v>1799</v>
      </c>
      <c r="J490">
        <v>0</v>
      </c>
      <c r="K490" t="s">
        <v>1799</v>
      </c>
      <c r="L490" t="s">
        <v>1799</v>
      </c>
      <c r="M490" t="s">
        <v>1799</v>
      </c>
      <c r="N490" t="s">
        <v>1799</v>
      </c>
      <c r="O490" s="184" t="str">
        <f>"["&amp;$C490&amp;"]["&amp;$D490&amp;"]["&amp;$F490&amp;"]"</f>
        <v>[S05_BiomassInstallations][2][EnergyNonZeroRatedBiomass]</v>
      </c>
    </row>
    <row r="491" spans="1:15" x14ac:dyDescent="0.3">
      <c r="A491" t="s">
        <v>1793</v>
      </c>
      <c r="B491" t="s">
        <v>1997</v>
      </c>
      <c r="C491" t="s">
        <v>2000</v>
      </c>
      <c r="D491">
        <v>3</v>
      </c>
      <c r="E491" t="s">
        <v>1447</v>
      </c>
      <c r="F491" t="s">
        <v>2007</v>
      </c>
      <c r="G491" t="s">
        <v>1889</v>
      </c>
      <c r="H491" t="s">
        <v>1799</v>
      </c>
      <c r="I491" t="s">
        <v>1799</v>
      </c>
      <c r="J491">
        <v>0</v>
      </c>
      <c r="K491" t="s">
        <v>1799</v>
      </c>
      <c r="L491" t="s">
        <v>1799</v>
      </c>
      <c r="M491" t="s">
        <v>1799</v>
      </c>
      <c r="N491" t="s">
        <v>1799</v>
      </c>
      <c r="O491" s="184" t="str">
        <f>"["&amp;$C491&amp;"]["&amp;$D491&amp;"]["&amp;$F491&amp;"]"</f>
        <v>[S05_BiomassInstallations][3][EnergyNonZeroRatedBiomass]</v>
      </c>
    </row>
    <row r="492" spans="1:15" x14ac:dyDescent="0.3">
      <c r="A492" t="s">
        <v>1793</v>
      </c>
      <c r="B492" t="s">
        <v>1997</v>
      </c>
      <c r="C492" t="s">
        <v>2000</v>
      </c>
      <c r="D492">
        <v>4</v>
      </c>
      <c r="E492" t="s">
        <v>1447</v>
      </c>
      <c r="F492" t="s">
        <v>2007</v>
      </c>
      <c r="G492" t="s">
        <v>1889</v>
      </c>
      <c r="H492" t="s">
        <v>1799</v>
      </c>
      <c r="I492" t="s">
        <v>1799</v>
      </c>
      <c r="J492">
        <v>0</v>
      </c>
      <c r="K492" t="s">
        <v>1799</v>
      </c>
      <c r="L492" t="s">
        <v>1799</v>
      </c>
      <c r="M492" t="s">
        <v>1799</v>
      </c>
      <c r="N492" t="s">
        <v>1799</v>
      </c>
      <c r="O492" s="184" t="str">
        <f>"["&amp;$C492&amp;"]["&amp;$D492&amp;"]["&amp;$F492&amp;"]"</f>
        <v>[S05_BiomassInstallations][4][EnergyNonZeroRatedBiomass]</v>
      </c>
    </row>
    <row r="493" spans="1:15" x14ac:dyDescent="0.3">
      <c r="A493" t="s">
        <v>1793</v>
      </c>
      <c r="B493" t="s">
        <v>1997</v>
      </c>
      <c r="C493" t="s">
        <v>2000</v>
      </c>
      <c r="D493">
        <v>5</v>
      </c>
      <c r="E493" t="s">
        <v>1447</v>
      </c>
      <c r="F493" t="s">
        <v>2007</v>
      </c>
      <c r="G493" t="s">
        <v>1889</v>
      </c>
      <c r="H493" t="s">
        <v>1799</v>
      </c>
      <c r="I493" t="s">
        <v>1799</v>
      </c>
      <c r="J493">
        <v>0</v>
      </c>
      <c r="K493" t="s">
        <v>1799</v>
      </c>
      <c r="L493" t="s">
        <v>1799</v>
      </c>
      <c r="M493" t="s">
        <v>1799</v>
      </c>
      <c r="N493" t="s">
        <v>1799</v>
      </c>
      <c r="O493" s="184" t="str">
        <f>"["&amp;$C493&amp;"]["&amp;$D493&amp;"]["&amp;$F493&amp;"]"</f>
        <v>[S05_BiomassInstallations][5][EnergyNonZeroRatedBiomass]</v>
      </c>
    </row>
    <row r="494" spans="1:15" x14ac:dyDescent="0.3">
      <c r="A494" t="s">
        <v>1793</v>
      </c>
      <c r="B494" t="s">
        <v>1997</v>
      </c>
      <c r="C494" t="s">
        <v>2000</v>
      </c>
      <c r="D494">
        <v>6</v>
      </c>
      <c r="E494" t="s">
        <v>1447</v>
      </c>
      <c r="F494" t="s">
        <v>2007</v>
      </c>
      <c r="G494" t="s">
        <v>1889</v>
      </c>
      <c r="H494" t="s">
        <v>1799</v>
      </c>
      <c r="I494" t="s">
        <v>1799</v>
      </c>
      <c r="J494">
        <v>0</v>
      </c>
      <c r="K494" t="s">
        <v>1799</v>
      </c>
      <c r="L494" t="s">
        <v>1799</v>
      </c>
      <c r="M494" t="s">
        <v>1799</v>
      </c>
      <c r="N494" t="s">
        <v>1799</v>
      </c>
      <c r="O494" s="184" t="str">
        <f>"["&amp;$C494&amp;"]["&amp;$D494&amp;"]["&amp;$F494&amp;"]"</f>
        <v>[S05_BiomassInstallations][6][EnergyNonZeroRatedBiomass]</v>
      </c>
    </row>
    <row r="495" spans="1:15" x14ac:dyDescent="0.3">
      <c r="A495" t="s">
        <v>1793</v>
      </c>
      <c r="B495" t="s">
        <v>1997</v>
      </c>
      <c r="C495" t="s">
        <v>2000</v>
      </c>
      <c r="D495">
        <v>1</v>
      </c>
      <c r="E495" t="s">
        <v>1447</v>
      </c>
      <c r="F495" t="s">
        <v>2008</v>
      </c>
      <c r="G495" t="s">
        <v>1889</v>
      </c>
      <c r="H495" t="s">
        <v>1799</v>
      </c>
      <c r="I495" t="s">
        <v>1799</v>
      </c>
      <c r="J495">
        <v>250.57</v>
      </c>
      <c r="K495" t="s">
        <v>1799</v>
      </c>
      <c r="L495" t="s">
        <v>1799</v>
      </c>
      <c r="M495" t="s">
        <v>1799</v>
      </c>
      <c r="N495" t="s">
        <v>1799</v>
      </c>
      <c r="O495" s="184" t="str">
        <f>"["&amp;$C495&amp;"]["&amp;$D495&amp;"]["&amp;$F495&amp;"]"</f>
        <v>[S05_BiomassInstallations][1][EnergyFossil]</v>
      </c>
    </row>
    <row r="496" spans="1:15" x14ac:dyDescent="0.3">
      <c r="A496" t="s">
        <v>1793</v>
      </c>
      <c r="B496" t="s">
        <v>1997</v>
      </c>
      <c r="C496" t="s">
        <v>2000</v>
      </c>
      <c r="D496">
        <v>2</v>
      </c>
      <c r="E496" t="s">
        <v>1447</v>
      </c>
      <c r="F496" t="s">
        <v>2008</v>
      </c>
      <c r="G496" t="s">
        <v>1889</v>
      </c>
      <c r="H496" t="s">
        <v>1799</v>
      </c>
      <c r="I496" t="s">
        <v>1799</v>
      </c>
      <c r="J496">
        <v>8583.99</v>
      </c>
      <c r="K496" t="s">
        <v>1799</v>
      </c>
      <c r="L496" t="s">
        <v>1799</v>
      </c>
      <c r="M496" t="s">
        <v>1799</v>
      </c>
      <c r="N496" t="s">
        <v>1799</v>
      </c>
      <c r="O496" s="184" t="str">
        <f>"["&amp;$C496&amp;"]["&amp;$D496&amp;"]["&amp;$F496&amp;"]"</f>
        <v>[S05_BiomassInstallations][2][EnergyFossil]</v>
      </c>
    </row>
    <row r="497" spans="1:15" x14ac:dyDescent="0.3">
      <c r="A497" t="s">
        <v>1793</v>
      </c>
      <c r="B497" t="s">
        <v>1997</v>
      </c>
      <c r="C497" t="s">
        <v>2000</v>
      </c>
      <c r="D497">
        <v>3</v>
      </c>
      <c r="E497" t="s">
        <v>1447</v>
      </c>
      <c r="F497" t="s">
        <v>2008</v>
      </c>
      <c r="G497" t="s">
        <v>1889</v>
      </c>
      <c r="H497" t="s">
        <v>1799</v>
      </c>
      <c r="I497" t="s">
        <v>1799</v>
      </c>
      <c r="J497">
        <v>1448.65</v>
      </c>
      <c r="K497" t="s">
        <v>1799</v>
      </c>
      <c r="L497" t="s">
        <v>1799</v>
      </c>
      <c r="M497" t="s">
        <v>1799</v>
      </c>
      <c r="N497" t="s">
        <v>1799</v>
      </c>
      <c r="O497" s="184" t="str">
        <f>"["&amp;$C497&amp;"]["&amp;$D497&amp;"]["&amp;$F497&amp;"]"</f>
        <v>[S05_BiomassInstallations][3][EnergyFossil]</v>
      </c>
    </row>
    <row r="498" spans="1:15" x14ac:dyDescent="0.3">
      <c r="A498" t="s">
        <v>1793</v>
      </c>
      <c r="B498" t="s">
        <v>1997</v>
      </c>
      <c r="C498" t="s">
        <v>2000</v>
      </c>
      <c r="D498">
        <v>4</v>
      </c>
      <c r="E498" t="s">
        <v>1447</v>
      </c>
      <c r="F498" t="s">
        <v>2008</v>
      </c>
      <c r="G498" t="s">
        <v>1889</v>
      </c>
      <c r="H498" t="s">
        <v>1799</v>
      </c>
      <c r="I498" t="s">
        <v>1799</v>
      </c>
      <c r="J498">
        <v>5862.25</v>
      </c>
      <c r="K498" t="s">
        <v>1799</v>
      </c>
      <c r="L498" t="s">
        <v>1799</v>
      </c>
      <c r="M498" t="s">
        <v>1799</v>
      </c>
      <c r="N498" t="s">
        <v>1799</v>
      </c>
      <c r="O498" s="184" t="str">
        <f>"["&amp;$C498&amp;"]["&amp;$D498&amp;"]["&amp;$F498&amp;"]"</f>
        <v>[S05_BiomassInstallations][4][EnergyFossil]</v>
      </c>
    </row>
    <row r="499" spans="1:15" x14ac:dyDescent="0.3">
      <c r="A499" t="s">
        <v>1793</v>
      </c>
      <c r="B499" t="s">
        <v>1997</v>
      </c>
      <c r="C499" t="s">
        <v>2000</v>
      </c>
      <c r="D499">
        <v>5</v>
      </c>
      <c r="E499" t="s">
        <v>1447</v>
      </c>
      <c r="F499" t="s">
        <v>2008</v>
      </c>
      <c r="G499" t="s">
        <v>1889</v>
      </c>
      <c r="H499" t="s">
        <v>1799</v>
      </c>
      <c r="I499" t="s">
        <v>1799</v>
      </c>
      <c r="J499">
        <v>55.15</v>
      </c>
      <c r="K499" t="s">
        <v>1799</v>
      </c>
      <c r="L499" t="s">
        <v>1799</v>
      </c>
      <c r="M499" t="s">
        <v>1799</v>
      </c>
      <c r="N499" t="s">
        <v>1799</v>
      </c>
      <c r="O499" s="184" t="str">
        <f>"["&amp;$C499&amp;"]["&amp;$D499&amp;"]["&amp;$F499&amp;"]"</f>
        <v>[S05_BiomassInstallations][5][EnergyFossil]</v>
      </c>
    </row>
    <row r="500" spans="1:15" x14ac:dyDescent="0.3">
      <c r="A500" t="s">
        <v>1793</v>
      </c>
      <c r="B500" t="s">
        <v>1997</v>
      </c>
      <c r="C500" t="s">
        <v>2000</v>
      </c>
      <c r="D500">
        <v>6</v>
      </c>
      <c r="E500" t="s">
        <v>1447</v>
      </c>
      <c r="F500" t="s">
        <v>2008</v>
      </c>
      <c r="G500" t="s">
        <v>1889</v>
      </c>
      <c r="H500" t="s">
        <v>1799</v>
      </c>
      <c r="I500" t="s">
        <v>1799</v>
      </c>
      <c r="J500">
        <v>230.42</v>
      </c>
      <c r="K500" t="s">
        <v>1799</v>
      </c>
      <c r="L500" t="s">
        <v>1799</v>
      </c>
      <c r="M500" t="s">
        <v>1799</v>
      </c>
      <c r="N500" t="s">
        <v>1799</v>
      </c>
      <c r="O500" s="184" t="str">
        <f>"["&amp;$C500&amp;"]["&amp;$D500&amp;"]["&amp;$F500&amp;"]"</f>
        <v>[S05_BiomassInstallations][6][EnergyFossil]</v>
      </c>
    </row>
    <row r="501" spans="1:15" x14ac:dyDescent="0.3">
      <c r="A501" t="s">
        <v>1793</v>
      </c>
      <c r="B501" t="s">
        <v>2009</v>
      </c>
      <c r="C501" t="s">
        <v>2010</v>
      </c>
      <c r="D501">
        <v>0</v>
      </c>
      <c r="E501" t="s">
        <v>1447</v>
      </c>
      <c r="F501" t="s">
        <v>2010</v>
      </c>
      <c r="G501" t="s">
        <v>1889</v>
      </c>
      <c r="H501" t="s">
        <v>1799</v>
      </c>
      <c r="I501" t="s">
        <v>1799</v>
      </c>
      <c r="J501">
        <v>122164</v>
      </c>
      <c r="K501" t="s">
        <v>1799</v>
      </c>
      <c r="L501" t="s">
        <v>1799</v>
      </c>
      <c r="M501" t="s">
        <v>1799</v>
      </c>
      <c r="N501" t="s">
        <v>1799</v>
      </c>
      <c r="O501" s="184" t="str">
        <f>"["&amp;$C501&amp;"]["&amp;$D501&amp;"]["&amp;$F501&amp;"]"</f>
        <v>[WasteFuelFossilCO2][0][WasteFuelFossilCO2]</v>
      </c>
    </row>
    <row r="502" spans="1:15" x14ac:dyDescent="0.3">
      <c r="A502" t="s">
        <v>1793</v>
      </c>
      <c r="B502" t="s">
        <v>2011</v>
      </c>
      <c r="C502" t="s">
        <v>2012</v>
      </c>
      <c r="D502">
        <v>0</v>
      </c>
      <c r="E502" t="s">
        <v>1447</v>
      </c>
      <c r="F502" t="s">
        <v>2012</v>
      </c>
      <c r="G502" t="s">
        <v>1836</v>
      </c>
      <c r="H502" t="s">
        <v>1799</v>
      </c>
      <c r="I502" t="s">
        <v>1799</v>
      </c>
      <c r="J502" t="s">
        <v>1799</v>
      </c>
      <c r="K502" t="s">
        <v>1799</v>
      </c>
      <c r="L502" t="s">
        <v>1419</v>
      </c>
      <c r="M502" t="s">
        <v>1799</v>
      </c>
      <c r="N502" t="s">
        <v>1799</v>
      </c>
      <c r="O502" s="184" t="str">
        <f>"["&amp;$C502&amp;"]["&amp;$D502&amp;"]["&amp;$F502&amp;"]"</f>
        <v>[SimplifiedMonitoringArt13][0][SimplifiedMonitoringArt13]</v>
      </c>
    </row>
    <row r="503" spans="1:15" x14ac:dyDescent="0.3">
      <c r="A503" t="s">
        <v>1793</v>
      </c>
      <c r="B503" t="s">
        <v>2011</v>
      </c>
      <c r="C503" t="s">
        <v>2013</v>
      </c>
      <c r="D503">
        <v>1</v>
      </c>
      <c r="E503" t="s">
        <v>1447</v>
      </c>
      <c r="F503" t="s">
        <v>2014</v>
      </c>
      <c r="G503" t="s">
        <v>1737</v>
      </c>
      <c r="H503" t="s">
        <v>1799</v>
      </c>
      <c r="I503" t="s">
        <v>1799</v>
      </c>
      <c r="J503" t="s">
        <v>1799</v>
      </c>
      <c r="K503" t="s">
        <v>1799</v>
      </c>
      <c r="L503" t="s">
        <v>1463</v>
      </c>
      <c r="M503" t="s">
        <v>1799</v>
      </c>
      <c r="N503" t="s">
        <v>1799</v>
      </c>
      <c r="O503" s="184" t="str">
        <f>"["&amp;$C503&amp;"]["&amp;$D503&amp;"]["&amp;$F503&amp;"]"</f>
        <v>[S05_SimplifiedMonitoringArt13Detail][1][Art13RiskAssessmentType]</v>
      </c>
    </row>
    <row r="504" spans="1:15" x14ac:dyDescent="0.3">
      <c r="A504" t="s">
        <v>1793</v>
      </c>
      <c r="B504" t="s">
        <v>2011</v>
      </c>
      <c r="C504" t="s">
        <v>2013</v>
      </c>
      <c r="D504">
        <v>1</v>
      </c>
      <c r="E504" t="s">
        <v>1447</v>
      </c>
      <c r="F504" t="s">
        <v>2015</v>
      </c>
      <c r="G504" t="s">
        <v>1797</v>
      </c>
      <c r="H504" t="s">
        <v>2016</v>
      </c>
      <c r="I504" t="s">
        <v>1799</v>
      </c>
      <c r="J504" t="s">
        <v>1799</v>
      </c>
      <c r="K504" t="s">
        <v>1799</v>
      </c>
      <c r="L504" t="s">
        <v>1799</v>
      </c>
      <c r="M504" t="s">
        <v>1799</v>
      </c>
      <c r="N504" t="s">
        <v>1799</v>
      </c>
      <c r="O504" s="184" t="str">
        <f>"["&amp;$C504&amp;"]["&amp;$D504&amp;"]["&amp;$F504&amp;"]"</f>
        <v>[S05_SimplifiedMonitoringArt13Detail][1][Art13RiskAssessmentPrinciples]</v>
      </c>
    </row>
    <row r="505" spans="1:15" x14ac:dyDescent="0.3">
      <c r="A505" t="s">
        <v>1793</v>
      </c>
      <c r="B505" t="s">
        <v>2017</v>
      </c>
      <c r="C505" t="s">
        <v>2018</v>
      </c>
      <c r="D505">
        <v>1</v>
      </c>
      <c r="E505" t="s">
        <v>1447</v>
      </c>
      <c r="F505" t="s">
        <v>2019</v>
      </c>
      <c r="G505" t="s">
        <v>1811</v>
      </c>
      <c r="H505" t="s">
        <v>1799</v>
      </c>
      <c r="I505">
        <v>1</v>
      </c>
      <c r="J505" t="s">
        <v>1799</v>
      </c>
      <c r="K505" t="s">
        <v>1799</v>
      </c>
      <c r="L505" t="s">
        <v>1799</v>
      </c>
      <c r="M505" t="s">
        <v>1799</v>
      </c>
      <c r="N505" t="s">
        <v>1799</v>
      </c>
      <c r="O505" s="184" t="str">
        <f>"["&amp;$C505&amp;"]["&amp;$D505&amp;"]["&amp;$F505&amp;"]"</f>
        <v>[S05_AircraftMethodFuelConsumption][1][CountAircraftOperators]</v>
      </c>
    </row>
    <row r="506" spans="1:15" x14ac:dyDescent="0.3">
      <c r="A506" t="s">
        <v>1793</v>
      </c>
      <c r="B506" t="s">
        <v>2017</v>
      </c>
      <c r="C506" t="s">
        <v>2018</v>
      </c>
      <c r="D506">
        <v>2</v>
      </c>
      <c r="E506" t="s">
        <v>1447</v>
      </c>
      <c r="F506" t="s">
        <v>2019</v>
      </c>
      <c r="G506" t="s">
        <v>1811</v>
      </c>
      <c r="H506" t="s">
        <v>1799</v>
      </c>
      <c r="I506">
        <v>1</v>
      </c>
      <c r="J506" t="s">
        <v>1799</v>
      </c>
      <c r="K506" t="s">
        <v>1799</v>
      </c>
      <c r="L506" t="s">
        <v>1799</v>
      </c>
      <c r="M506" t="s">
        <v>1799</v>
      </c>
      <c r="N506" t="s">
        <v>1799</v>
      </c>
      <c r="O506" s="184" t="str">
        <f>"["&amp;$C506&amp;"]["&amp;$D506&amp;"]["&amp;$F506&amp;"]"</f>
        <v>[S05_AircraftMethodFuelConsumption][2][CountAircraftOperators]</v>
      </c>
    </row>
    <row r="507" spans="1:15" x14ac:dyDescent="0.3">
      <c r="A507" t="s">
        <v>1793</v>
      </c>
      <c r="B507" t="s">
        <v>2017</v>
      </c>
      <c r="C507" t="s">
        <v>2018</v>
      </c>
      <c r="D507">
        <v>3</v>
      </c>
      <c r="E507" t="s">
        <v>1447</v>
      </c>
      <c r="F507" t="s">
        <v>2019</v>
      </c>
      <c r="G507" t="s">
        <v>1811</v>
      </c>
      <c r="H507" t="s">
        <v>1799</v>
      </c>
      <c r="I507">
        <v>0</v>
      </c>
      <c r="J507" t="s">
        <v>1799</v>
      </c>
      <c r="K507" t="s">
        <v>1799</v>
      </c>
      <c r="L507" t="s">
        <v>1799</v>
      </c>
      <c r="M507" t="s">
        <v>1799</v>
      </c>
      <c r="N507" t="s">
        <v>1799</v>
      </c>
      <c r="O507" s="184" t="str">
        <f>"["&amp;$C507&amp;"]["&amp;$D507&amp;"]["&amp;$F507&amp;"]"</f>
        <v>[S05_AircraftMethodFuelConsumption][3][CountAircraftOperators]</v>
      </c>
    </row>
    <row r="508" spans="1:15" x14ac:dyDescent="0.3">
      <c r="A508" t="s">
        <v>1793</v>
      </c>
      <c r="B508" t="s">
        <v>2017</v>
      </c>
      <c r="C508" t="s">
        <v>2018</v>
      </c>
      <c r="D508">
        <v>1</v>
      </c>
      <c r="E508" t="s">
        <v>1447</v>
      </c>
      <c r="F508" t="s">
        <v>2020</v>
      </c>
      <c r="G508" t="s">
        <v>1889</v>
      </c>
      <c r="H508" t="s">
        <v>1799</v>
      </c>
      <c r="I508" t="s">
        <v>1799</v>
      </c>
      <c r="J508">
        <v>0</v>
      </c>
      <c r="K508" t="s">
        <v>1799</v>
      </c>
      <c r="L508" t="s">
        <v>1799</v>
      </c>
      <c r="M508" t="s">
        <v>1799</v>
      </c>
      <c r="N508" t="s">
        <v>1799</v>
      </c>
      <c r="O508" s="184" t="str">
        <f>"["&amp;$C508&amp;"]["&amp;$D508&amp;"]["&amp;$F508&amp;"]"</f>
        <v>[S05_AircraftMethodFuelConsumption][1][SmallEmittersShare]</v>
      </c>
    </row>
    <row r="509" spans="1:15" x14ac:dyDescent="0.3">
      <c r="A509" t="s">
        <v>1793</v>
      </c>
      <c r="B509" t="s">
        <v>2017</v>
      </c>
      <c r="C509" t="s">
        <v>2018</v>
      </c>
      <c r="D509">
        <v>2</v>
      </c>
      <c r="E509" t="s">
        <v>1447</v>
      </c>
      <c r="F509" t="s">
        <v>2020</v>
      </c>
      <c r="G509" t="s">
        <v>1889</v>
      </c>
      <c r="H509" t="s">
        <v>1799</v>
      </c>
      <c r="I509" t="s">
        <v>1799</v>
      </c>
      <c r="J509">
        <v>0</v>
      </c>
      <c r="K509" t="s">
        <v>1799</v>
      </c>
      <c r="L509" t="s">
        <v>1799</v>
      </c>
      <c r="M509" t="s">
        <v>1799</v>
      </c>
      <c r="N509" t="s">
        <v>1799</v>
      </c>
      <c r="O509" s="184" t="str">
        <f>"["&amp;$C509&amp;"]["&amp;$D509&amp;"]["&amp;$F509&amp;"]"</f>
        <v>[S05_AircraftMethodFuelConsumption][2][SmallEmittersShare]</v>
      </c>
    </row>
    <row r="510" spans="1:15" x14ac:dyDescent="0.3">
      <c r="A510" t="s">
        <v>1793</v>
      </c>
      <c r="B510" t="s">
        <v>2017</v>
      </c>
      <c r="C510" t="s">
        <v>2018</v>
      </c>
      <c r="D510">
        <v>3</v>
      </c>
      <c r="E510" t="s">
        <v>1447</v>
      </c>
      <c r="F510" t="s">
        <v>2020</v>
      </c>
      <c r="G510" t="s">
        <v>1889</v>
      </c>
      <c r="H510" t="s">
        <v>1799</v>
      </c>
      <c r="I510" t="s">
        <v>1799</v>
      </c>
      <c r="J510">
        <v>0</v>
      </c>
      <c r="K510" t="s">
        <v>1799</v>
      </c>
      <c r="L510" t="s">
        <v>1799</v>
      </c>
      <c r="M510" t="s">
        <v>1799</v>
      </c>
      <c r="N510" t="s">
        <v>1799</v>
      </c>
      <c r="O510" s="184" t="str">
        <f>"["&amp;$C510&amp;"]["&amp;$D510&amp;"]["&amp;$F510&amp;"]"</f>
        <v>[S05_AircraftMethodFuelConsumption][3][SmallEmittersShare]</v>
      </c>
    </row>
    <row r="511" spans="1:15" x14ac:dyDescent="0.3">
      <c r="A511" t="s">
        <v>1793</v>
      </c>
      <c r="B511" t="s">
        <v>2021</v>
      </c>
      <c r="C511" t="s">
        <v>2022</v>
      </c>
      <c r="D511">
        <v>1</v>
      </c>
      <c r="E511" t="s">
        <v>1447</v>
      </c>
      <c r="F511" t="s">
        <v>2023</v>
      </c>
      <c r="G511" t="s">
        <v>1889</v>
      </c>
      <c r="H511" t="s">
        <v>1799</v>
      </c>
      <c r="I511" t="s">
        <v>1799</v>
      </c>
      <c r="J511">
        <v>106437</v>
      </c>
      <c r="K511" t="s">
        <v>1799</v>
      </c>
      <c r="L511" t="s">
        <v>1799</v>
      </c>
      <c r="M511" t="s">
        <v>1799</v>
      </c>
      <c r="N511" t="s">
        <v>1799</v>
      </c>
      <c r="O511" s="184" t="str">
        <f>"["&amp;$C511&amp;"]["&amp;$D511&amp;"]["&amp;$F511&amp;"]"</f>
        <v>[S05_TotalFlightEmissions][1][TotalFlightEmissions]</v>
      </c>
    </row>
    <row r="512" spans="1:15" x14ac:dyDescent="0.3">
      <c r="A512" t="s">
        <v>1793</v>
      </c>
      <c r="B512" t="s">
        <v>2021</v>
      </c>
      <c r="C512" t="s">
        <v>2022</v>
      </c>
      <c r="D512">
        <v>2</v>
      </c>
      <c r="E512" t="s">
        <v>1447</v>
      </c>
      <c r="F512" t="s">
        <v>2023</v>
      </c>
      <c r="G512" t="s">
        <v>1889</v>
      </c>
      <c r="H512" t="s">
        <v>1799</v>
      </c>
      <c r="I512" t="s">
        <v>1799</v>
      </c>
      <c r="J512">
        <v>20276</v>
      </c>
      <c r="K512" t="s">
        <v>1799</v>
      </c>
      <c r="L512" t="s">
        <v>1799</v>
      </c>
      <c r="M512" t="s">
        <v>1799</v>
      </c>
      <c r="N512" t="s">
        <v>1799</v>
      </c>
      <c r="O512" s="184" t="str">
        <f>"["&amp;$C512&amp;"]["&amp;$D512&amp;"]["&amp;$F512&amp;"]"</f>
        <v>[S05_TotalFlightEmissions][2][TotalFlightEmissions]</v>
      </c>
    </row>
    <row r="513" spans="1:15" x14ac:dyDescent="0.3">
      <c r="A513" t="s">
        <v>1793</v>
      </c>
      <c r="B513" t="s">
        <v>2021</v>
      </c>
      <c r="C513" t="s">
        <v>2022</v>
      </c>
      <c r="D513">
        <v>3</v>
      </c>
      <c r="E513" t="s">
        <v>1447</v>
      </c>
      <c r="F513" t="s">
        <v>2023</v>
      </c>
      <c r="G513" t="s">
        <v>1889</v>
      </c>
      <c r="H513" t="s">
        <v>1799</v>
      </c>
      <c r="I513" t="s">
        <v>1799</v>
      </c>
      <c r="J513">
        <v>80117</v>
      </c>
      <c r="K513" t="s">
        <v>1799</v>
      </c>
      <c r="L513" t="s">
        <v>1799</v>
      </c>
      <c r="M513" t="s">
        <v>1799</v>
      </c>
      <c r="N513" t="s">
        <v>1799</v>
      </c>
      <c r="O513" s="184" t="str">
        <f>"["&amp;$C513&amp;"]["&amp;$D513&amp;"]["&amp;$F513&amp;"]"</f>
        <v>[S05_TotalFlightEmissions][3][TotalFlightEmissions]</v>
      </c>
    </row>
    <row r="514" spans="1:15" x14ac:dyDescent="0.3">
      <c r="A514" t="s">
        <v>1793</v>
      </c>
      <c r="B514" t="s">
        <v>2021</v>
      </c>
      <c r="C514" t="s">
        <v>2022</v>
      </c>
      <c r="D514">
        <v>4</v>
      </c>
      <c r="E514" t="s">
        <v>1447</v>
      </c>
      <c r="F514" t="s">
        <v>2023</v>
      </c>
      <c r="G514" t="s">
        <v>1889</v>
      </c>
      <c r="H514" t="s">
        <v>1799</v>
      </c>
      <c r="I514" t="s">
        <v>1799</v>
      </c>
      <c r="J514">
        <v>79713</v>
      </c>
      <c r="K514" t="s">
        <v>1799</v>
      </c>
      <c r="L514" t="s">
        <v>1799</v>
      </c>
      <c r="M514" t="s">
        <v>1799</v>
      </c>
      <c r="N514" t="s">
        <v>1799</v>
      </c>
      <c r="O514" s="184" t="str">
        <f>"["&amp;$C514&amp;"]["&amp;$D514&amp;"]["&amp;$F514&amp;"]"</f>
        <v>[S05_TotalFlightEmissions][4][TotalFlightEmissions]</v>
      </c>
    </row>
    <row r="515" spans="1:15" x14ac:dyDescent="0.3">
      <c r="A515" t="s">
        <v>1793</v>
      </c>
      <c r="B515" t="s">
        <v>2021</v>
      </c>
      <c r="C515" t="s">
        <v>2022</v>
      </c>
      <c r="D515">
        <v>5</v>
      </c>
      <c r="E515" t="s">
        <v>1447</v>
      </c>
      <c r="F515" t="s">
        <v>2023</v>
      </c>
      <c r="G515" t="s">
        <v>1889</v>
      </c>
      <c r="H515" t="s">
        <v>1799</v>
      </c>
      <c r="I515" t="s">
        <v>1799</v>
      </c>
      <c r="J515">
        <v>2351</v>
      </c>
      <c r="K515" t="s">
        <v>1799</v>
      </c>
      <c r="L515" t="s">
        <v>1799</v>
      </c>
      <c r="M515" t="s">
        <v>1799</v>
      </c>
      <c r="N515" t="s">
        <v>1799</v>
      </c>
      <c r="O515" s="184" t="str">
        <f>"["&amp;$C515&amp;"]["&amp;$D515&amp;"]["&amp;$F515&amp;"]"</f>
        <v>[S05_TotalFlightEmissions][5][TotalFlightEmissions]</v>
      </c>
    </row>
    <row r="516" spans="1:15" x14ac:dyDescent="0.3">
      <c r="A516" t="s">
        <v>1793</v>
      </c>
      <c r="B516" t="s">
        <v>2021</v>
      </c>
      <c r="C516" t="s">
        <v>2024</v>
      </c>
      <c r="D516">
        <v>0</v>
      </c>
      <c r="E516" t="s">
        <v>1447</v>
      </c>
      <c r="F516" t="s">
        <v>2024</v>
      </c>
      <c r="G516" t="s">
        <v>1811</v>
      </c>
      <c r="H516" t="s">
        <v>1799</v>
      </c>
      <c r="I516">
        <v>3</v>
      </c>
      <c r="J516" t="s">
        <v>1799</v>
      </c>
      <c r="K516" t="s">
        <v>1799</v>
      </c>
      <c r="L516" t="s">
        <v>1799</v>
      </c>
      <c r="M516" t="s">
        <v>1799</v>
      </c>
      <c r="N516" t="s">
        <v>1799</v>
      </c>
      <c r="O516" s="184" t="str">
        <f>"["&amp;$C516&amp;"]["&amp;$D516&amp;"]["&amp;$F516&amp;"]"</f>
        <v>[CountOperatorsThirdCountries][0][CountOperatorsThirdCountries]</v>
      </c>
    </row>
    <row r="517" spans="1:15" x14ac:dyDescent="0.3">
      <c r="A517" t="s">
        <v>1793</v>
      </c>
      <c r="B517" t="s">
        <v>2025</v>
      </c>
      <c r="C517" t="s">
        <v>2026</v>
      </c>
      <c r="D517">
        <v>0</v>
      </c>
      <c r="E517" t="s">
        <v>1447</v>
      </c>
      <c r="F517" t="s">
        <v>2026</v>
      </c>
      <c r="G517" t="s">
        <v>1811</v>
      </c>
      <c r="H517" t="s">
        <v>1799</v>
      </c>
      <c r="I517">
        <v>0</v>
      </c>
      <c r="J517" t="s">
        <v>1799</v>
      </c>
      <c r="K517" t="s">
        <v>1799</v>
      </c>
      <c r="L517" t="s">
        <v>1799</v>
      </c>
      <c r="M517" t="s">
        <v>1799</v>
      </c>
      <c r="N517" t="s">
        <v>1799</v>
      </c>
      <c r="O517" s="184" t="str">
        <f>"["&amp;$C517&amp;"]["&amp;$D517&amp;"]["&amp;$F517&amp;"]"</f>
        <v>[CountOperatorsUsingBiofuels][0][CountOperatorsUsingBiofuels]</v>
      </c>
    </row>
    <row r="518" spans="1:15" x14ac:dyDescent="0.3">
      <c r="A518" t="s">
        <v>1793</v>
      </c>
      <c r="B518" t="s">
        <v>2025</v>
      </c>
      <c r="C518" t="s">
        <v>2027</v>
      </c>
      <c r="D518">
        <v>0</v>
      </c>
      <c r="E518" t="s">
        <v>1447</v>
      </c>
      <c r="F518" t="s">
        <v>2027</v>
      </c>
      <c r="G518" t="s">
        <v>1889</v>
      </c>
      <c r="H518" t="s">
        <v>1799</v>
      </c>
      <c r="I518" t="s">
        <v>1799</v>
      </c>
      <c r="J518">
        <v>0</v>
      </c>
      <c r="K518" t="s">
        <v>1799</v>
      </c>
      <c r="L518" t="s">
        <v>1799</v>
      </c>
      <c r="M518" t="s">
        <v>1799</v>
      </c>
      <c r="N518" t="s">
        <v>1799</v>
      </c>
      <c r="O518" s="184" t="str">
        <f>"["&amp;$C518&amp;"]["&amp;$D518&amp;"]["&amp;$F518&amp;"]"</f>
        <v>[EmissionsBiofuelsSustainabilitySatisfied][0][EmissionsBiofuelsSustainabilitySatisfied]</v>
      </c>
    </row>
    <row r="519" spans="1:15" x14ac:dyDescent="0.3">
      <c r="A519" t="s">
        <v>1793</v>
      </c>
      <c r="B519" t="s">
        <v>2025</v>
      </c>
      <c r="C519" t="s">
        <v>2028</v>
      </c>
      <c r="D519">
        <v>0</v>
      </c>
      <c r="E519" t="s">
        <v>1447</v>
      </c>
      <c r="F519" t="s">
        <v>2028</v>
      </c>
      <c r="G519" t="s">
        <v>1889</v>
      </c>
      <c r="H519" t="s">
        <v>1799</v>
      </c>
      <c r="I519" t="s">
        <v>1799</v>
      </c>
      <c r="J519">
        <v>0</v>
      </c>
      <c r="K519" t="s">
        <v>1799</v>
      </c>
      <c r="L519" t="s">
        <v>1799</v>
      </c>
      <c r="M519" t="s">
        <v>1799</v>
      </c>
      <c r="N519" t="s">
        <v>1799</v>
      </c>
      <c r="O519" s="184" t="str">
        <f>"["&amp;$C519&amp;"]["&amp;$D519&amp;"]["&amp;$F519&amp;"]"</f>
        <v>[EmissionsBiofuelsSustainabilityNotSatisfied][0][EmissionsBiofuelsSustainabilityNotSatisfied]</v>
      </c>
    </row>
    <row r="520" spans="1:15" x14ac:dyDescent="0.3">
      <c r="A520" t="s">
        <v>1793</v>
      </c>
      <c r="B520" t="s">
        <v>2029</v>
      </c>
      <c r="C520" t="s">
        <v>2030</v>
      </c>
      <c r="D520">
        <v>1</v>
      </c>
      <c r="E520" t="s">
        <v>1447</v>
      </c>
      <c r="F520" t="s">
        <v>2031</v>
      </c>
      <c r="G520" t="s">
        <v>1811</v>
      </c>
      <c r="H520" t="s">
        <v>1799</v>
      </c>
      <c r="I520">
        <v>1</v>
      </c>
      <c r="J520" t="s">
        <v>1799</v>
      </c>
      <c r="K520" t="s">
        <v>1799</v>
      </c>
      <c r="L520" t="s">
        <v>1799</v>
      </c>
      <c r="M520" t="s">
        <v>1799</v>
      </c>
      <c r="N520" t="s">
        <v>1799</v>
      </c>
      <c r="O520" s="184" t="str">
        <f>"["&amp;$C520&amp;"]["&amp;$D520&amp;"]["&amp;$F520&amp;"]"</f>
        <v>[S05_SmallEmittersTool][1][CountSmallEmitters]</v>
      </c>
    </row>
    <row r="521" spans="1:15" x14ac:dyDescent="0.3">
      <c r="A521" t="s">
        <v>1793</v>
      </c>
      <c r="B521" t="s">
        <v>2029</v>
      </c>
      <c r="C521" t="s">
        <v>2030</v>
      </c>
      <c r="D521">
        <v>2</v>
      </c>
      <c r="E521" t="s">
        <v>1447</v>
      </c>
      <c r="F521" t="s">
        <v>2031</v>
      </c>
      <c r="G521" t="s">
        <v>1811</v>
      </c>
      <c r="H521" t="s">
        <v>1799</v>
      </c>
      <c r="I521">
        <v>1</v>
      </c>
      <c r="J521" t="s">
        <v>1799</v>
      </c>
      <c r="K521" t="s">
        <v>1799</v>
      </c>
      <c r="L521" t="s">
        <v>1799</v>
      </c>
      <c r="M521" t="s">
        <v>1799</v>
      </c>
      <c r="N521" t="s">
        <v>1799</v>
      </c>
      <c r="O521" s="184" t="str">
        <f>"["&amp;$C521&amp;"]["&amp;$D521&amp;"]["&amp;$F521&amp;"]"</f>
        <v>[S05_SmallEmittersTool][2][CountSmallEmitters]</v>
      </c>
    </row>
    <row r="522" spans="1:15" x14ac:dyDescent="0.3">
      <c r="A522" t="s">
        <v>1793</v>
      </c>
      <c r="B522" t="s">
        <v>2029</v>
      </c>
      <c r="C522" t="s">
        <v>2030</v>
      </c>
      <c r="D522">
        <v>3</v>
      </c>
      <c r="E522" t="s">
        <v>1447</v>
      </c>
      <c r="F522" t="s">
        <v>2031</v>
      </c>
      <c r="G522" t="s">
        <v>1811</v>
      </c>
      <c r="H522" t="s">
        <v>1799</v>
      </c>
      <c r="I522">
        <v>0</v>
      </c>
      <c r="J522" t="s">
        <v>1799</v>
      </c>
      <c r="K522" t="s">
        <v>1799</v>
      </c>
      <c r="L522" t="s">
        <v>1799</v>
      </c>
      <c r="M522" t="s">
        <v>1799</v>
      </c>
      <c r="N522" t="s">
        <v>1799</v>
      </c>
      <c r="O522" s="184" t="str">
        <f>"["&amp;$C522&amp;"]["&amp;$D522&amp;"]["&amp;$F522&amp;"]"</f>
        <v>[S05_SmallEmittersTool][3][CountSmallEmitters]</v>
      </c>
    </row>
    <row r="523" spans="1:15" x14ac:dyDescent="0.3">
      <c r="A523" t="s">
        <v>1793</v>
      </c>
      <c r="B523" t="s">
        <v>2029</v>
      </c>
      <c r="C523" t="s">
        <v>2030</v>
      </c>
      <c r="D523">
        <v>4</v>
      </c>
      <c r="E523" t="s">
        <v>1447</v>
      </c>
      <c r="F523" t="s">
        <v>2031</v>
      </c>
      <c r="G523" t="s">
        <v>1811</v>
      </c>
      <c r="H523" t="s">
        <v>1799</v>
      </c>
      <c r="I523">
        <v>2</v>
      </c>
      <c r="J523" t="s">
        <v>1799</v>
      </c>
      <c r="K523" t="s">
        <v>1799</v>
      </c>
      <c r="L523" t="s">
        <v>1799</v>
      </c>
      <c r="M523" t="s">
        <v>1799</v>
      </c>
      <c r="N523" t="s">
        <v>1799</v>
      </c>
      <c r="O523" s="184" t="str">
        <f>"["&amp;$C523&amp;"]["&amp;$D523&amp;"]["&amp;$F523&amp;"]"</f>
        <v>[S05_SmallEmittersTool][4][CountSmallEmitters]</v>
      </c>
    </row>
    <row r="524" spans="1:15" x14ac:dyDescent="0.3">
      <c r="A524" t="s">
        <v>1793</v>
      </c>
      <c r="B524" t="s">
        <v>2032</v>
      </c>
      <c r="C524" t="s">
        <v>2033</v>
      </c>
      <c r="D524">
        <v>0</v>
      </c>
      <c r="E524" t="s">
        <v>1447</v>
      </c>
      <c r="F524" t="s">
        <v>2033</v>
      </c>
      <c r="G524" t="s">
        <v>1836</v>
      </c>
      <c r="H524" t="s">
        <v>1799</v>
      </c>
      <c r="I524" t="s">
        <v>1799</v>
      </c>
      <c r="J524" t="s">
        <v>1799</v>
      </c>
      <c r="K524" t="s">
        <v>1799</v>
      </c>
      <c r="L524" t="s">
        <v>1447</v>
      </c>
      <c r="M524" t="s">
        <v>1799</v>
      </c>
      <c r="N524" t="s">
        <v>1799</v>
      </c>
      <c r="O524" s="184" t="str">
        <f>"["&amp;$C524&amp;"]["&amp;$D524&amp;"]["&amp;$F524&amp;"]"</f>
        <v>[AircraftSimplifiedMonitoringArt13][0][AircraftSimplifiedMonitoringArt13]</v>
      </c>
    </row>
    <row r="525" spans="1:15" x14ac:dyDescent="0.3">
      <c r="A525" t="s">
        <v>1793</v>
      </c>
      <c r="B525" t="s">
        <v>2034</v>
      </c>
      <c r="C525" t="s">
        <v>2035</v>
      </c>
      <c r="D525">
        <v>1</v>
      </c>
      <c r="E525" t="s">
        <v>1447</v>
      </c>
      <c r="F525" t="s">
        <v>2036</v>
      </c>
      <c r="G525" t="s">
        <v>1811</v>
      </c>
      <c r="H525" t="s">
        <v>1799</v>
      </c>
      <c r="I525">
        <v>2</v>
      </c>
      <c r="J525" t="s">
        <v>1799</v>
      </c>
      <c r="K525" t="s">
        <v>1799</v>
      </c>
      <c r="L525" t="s">
        <v>1799</v>
      </c>
      <c r="M525" t="s">
        <v>1799</v>
      </c>
      <c r="N525" t="s">
        <v>1799</v>
      </c>
      <c r="O525" s="184" t="str">
        <f>"["&amp;$C525&amp;"]["&amp;$D525&amp;"]["&amp;$F525&amp;"]"</f>
        <v>[S06_TotalVerifiers][1][CountVerifiersInstallations]</v>
      </c>
    </row>
    <row r="526" spans="1:15" x14ac:dyDescent="0.3">
      <c r="A526" t="s">
        <v>1793</v>
      </c>
      <c r="B526" t="s">
        <v>2034</v>
      </c>
      <c r="C526" t="s">
        <v>2035</v>
      </c>
      <c r="D526">
        <v>2</v>
      </c>
      <c r="E526" t="s">
        <v>1447</v>
      </c>
      <c r="F526" t="s">
        <v>2036</v>
      </c>
      <c r="G526" t="s">
        <v>1811</v>
      </c>
      <c r="H526" t="s">
        <v>1799</v>
      </c>
      <c r="I526">
        <v>0</v>
      </c>
      <c r="J526" t="s">
        <v>1799</v>
      </c>
      <c r="K526" t="s">
        <v>1799</v>
      </c>
      <c r="L526" t="s">
        <v>1799</v>
      </c>
      <c r="M526" t="s">
        <v>1799</v>
      </c>
      <c r="N526" t="s">
        <v>1799</v>
      </c>
      <c r="O526" s="184" t="str">
        <f>"["&amp;$C526&amp;"]["&amp;$D526&amp;"]["&amp;$F526&amp;"]"</f>
        <v>[S06_TotalVerifiers][2][CountVerifiersInstallations]</v>
      </c>
    </row>
    <row r="527" spans="1:15" x14ac:dyDescent="0.3">
      <c r="A527" t="s">
        <v>1793</v>
      </c>
      <c r="B527" t="s">
        <v>2034</v>
      </c>
      <c r="C527" t="s">
        <v>2035</v>
      </c>
      <c r="D527">
        <v>3</v>
      </c>
      <c r="E527" t="s">
        <v>1447</v>
      </c>
      <c r="F527" t="s">
        <v>2036</v>
      </c>
      <c r="G527" t="s">
        <v>1811</v>
      </c>
      <c r="H527" t="s">
        <v>1799</v>
      </c>
      <c r="I527">
        <v>1</v>
      </c>
      <c r="J527" t="s">
        <v>1799</v>
      </c>
      <c r="K527" t="s">
        <v>1799</v>
      </c>
      <c r="L527" t="s">
        <v>1799</v>
      </c>
      <c r="M527" t="s">
        <v>1799</v>
      </c>
      <c r="N527" t="s">
        <v>1799</v>
      </c>
      <c r="O527" s="184" t="str">
        <f>"["&amp;$C527&amp;"]["&amp;$D527&amp;"]["&amp;$F527&amp;"]"</f>
        <v>[S06_TotalVerifiers][3][CountVerifiersInstallations]</v>
      </c>
    </row>
    <row r="528" spans="1:15" x14ac:dyDescent="0.3">
      <c r="A528" t="s">
        <v>1793</v>
      </c>
      <c r="B528" t="s">
        <v>2034</v>
      </c>
      <c r="C528" t="s">
        <v>2035</v>
      </c>
      <c r="D528">
        <v>4</v>
      </c>
      <c r="E528" t="s">
        <v>1447</v>
      </c>
      <c r="F528" t="s">
        <v>2036</v>
      </c>
      <c r="G528" t="s">
        <v>1811</v>
      </c>
      <c r="H528" t="s">
        <v>1799</v>
      </c>
      <c r="I528">
        <v>0</v>
      </c>
      <c r="J528" t="s">
        <v>1799</v>
      </c>
      <c r="K528" t="s">
        <v>1799</v>
      </c>
      <c r="L528" t="s">
        <v>1799</v>
      </c>
      <c r="M528" t="s">
        <v>1799</v>
      </c>
      <c r="N528" t="s">
        <v>1799</v>
      </c>
      <c r="O528" s="184" t="str">
        <f>"["&amp;$C528&amp;"]["&amp;$D528&amp;"]["&amp;$F528&amp;"]"</f>
        <v>[S06_TotalVerifiers][4][CountVerifiersInstallations]</v>
      </c>
    </row>
    <row r="529" spans="1:15" x14ac:dyDescent="0.3">
      <c r="A529" t="s">
        <v>1793</v>
      </c>
      <c r="B529" t="s">
        <v>2034</v>
      </c>
      <c r="C529" t="s">
        <v>2035</v>
      </c>
      <c r="D529">
        <v>1</v>
      </c>
      <c r="E529" t="s">
        <v>1447</v>
      </c>
      <c r="F529" t="s">
        <v>2037</v>
      </c>
      <c r="G529" t="s">
        <v>1811</v>
      </c>
      <c r="H529" t="s">
        <v>1799</v>
      </c>
      <c r="I529">
        <v>0</v>
      </c>
      <c r="J529" t="s">
        <v>1799</v>
      </c>
      <c r="K529" t="s">
        <v>1799</v>
      </c>
      <c r="L529" t="s">
        <v>1799</v>
      </c>
      <c r="M529" t="s">
        <v>1799</v>
      </c>
      <c r="N529" t="s">
        <v>1799</v>
      </c>
      <c r="O529" s="184" t="str">
        <f>"["&amp;$C529&amp;"]["&amp;$D529&amp;"]["&amp;$F529&amp;"]"</f>
        <v>[S06_TotalVerifiers][1][CountVerifiersAviation]</v>
      </c>
    </row>
    <row r="530" spans="1:15" x14ac:dyDescent="0.3">
      <c r="A530" t="s">
        <v>1793</v>
      </c>
      <c r="B530" t="s">
        <v>2034</v>
      </c>
      <c r="C530" t="s">
        <v>2035</v>
      </c>
      <c r="D530">
        <v>2</v>
      </c>
      <c r="E530" t="s">
        <v>1447</v>
      </c>
      <c r="F530" t="s">
        <v>2037</v>
      </c>
      <c r="G530" t="s">
        <v>1811</v>
      </c>
      <c r="H530" t="s">
        <v>1799</v>
      </c>
      <c r="I530">
        <v>0</v>
      </c>
      <c r="J530" t="s">
        <v>1799</v>
      </c>
      <c r="K530" t="s">
        <v>1799</v>
      </c>
      <c r="L530" t="s">
        <v>1799</v>
      </c>
      <c r="M530" t="s">
        <v>1799</v>
      </c>
      <c r="N530" t="s">
        <v>1799</v>
      </c>
      <c r="O530" s="184" t="str">
        <f>"["&amp;$C530&amp;"]["&amp;$D530&amp;"]["&amp;$F530&amp;"]"</f>
        <v>[S06_TotalVerifiers][2][CountVerifiersAviation]</v>
      </c>
    </row>
    <row r="531" spans="1:15" x14ac:dyDescent="0.3">
      <c r="A531" t="s">
        <v>1793</v>
      </c>
      <c r="B531" t="s">
        <v>2034</v>
      </c>
      <c r="C531" t="s">
        <v>2035</v>
      </c>
      <c r="D531">
        <v>3</v>
      </c>
      <c r="E531" t="s">
        <v>1447</v>
      </c>
      <c r="F531" t="s">
        <v>2037</v>
      </c>
      <c r="G531" t="s">
        <v>1811</v>
      </c>
      <c r="H531" t="s">
        <v>1799</v>
      </c>
      <c r="I531">
        <v>1</v>
      </c>
      <c r="J531" t="s">
        <v>1799</v>
      </c>
      <c r="K531" t="s">
        <v>1799</v>
      </c>
      <c r="L531" t="s">
        <v>1799</v>
      </c>
      <c r="M531" t="s">
        <v>1799</v>
      </c>
      <c r="N531" t="s">
        <v>1799</v>
      </c>
      <c r="O531" s="184" t="str">
        <f>"["&amp;$C531&amp;"]["&amp;$D531&amp;"]["&amp;$F531&amp;"]"</f>
        <v>[S06_TotalVerifiers][3][CountVerifiersAviation]</v>
      </c>
    </row>
    <row r="532" spans="1:15" x14ac:dyDescent="0.3">
      <c r="A532" t="s">
        <v>1793</v>
      </c>
      <c r="B532" t="s">
        <v>2034</v>
      </c>
      <c r="C532" t="s">
        <v>2035</v>
      </c>
      <c r="D532">
        <v>4</v>
      </c>
      <c r="E532" t="s">
        <v>1447</v>
      </c>
      <c r="F532" t="s">
        <v>2037</v>
      </c>
      <c r="G532" t="s">
        <v>1811</v>
      </c>
      <c r="H532" t="s">
        <v>1799</v>
      </c>
      <c r="I532">
        <v>0</v>
      </c>
      <c r="J532" t="s">
        <v>1799</v>
      </c>
      <c r="K532" t="s">
        <v>1799</v>
      </c>
      <c r="L532" t="s">
        <v>1799</v>
      </c>
      <c r="M532" t="s">
        <v>1799</v>
      </c>
      <c r="N532" t="s">
        <v>1799</v>
      </c>
      <c r="O532" s="184" t="str">
        <f>"["&amp;$C532&amp;"]["&amp;$D532&amp;"]["&amp;$F532&amp;"]"</f>
        <v>[S06_TotalVerifiers][4][CountVerifiersAviation]</v>
      </c>
    </row>
    <row r="533" spans="1:15" x14ac:dyDescent="0.3">
      <c r="A533" t="s">
        <v>1793</v>
      </c>
      <c r="B533" t="s">
        <v>2034</v>
      </c>
      <c r="C533" t="s">
        <v>2038</v>
      </c>
      <c r="D533">
        <v>1</v>
      </c>
      <c r="E533" t="s">
        <v>1447</v>
      </c>
      <c r="F533" t="s">
        <v>2039</v>
      </c>
      <c r="G533" t="s">
        <v>1737</v>
      </c>
      <c r="H533" t="s">
        <v>1799</v>
      </c>
      <c r="I533" t="s">
        <v>1799</v>
      </c>
      <c r="J533" t="s">
        <v>1799</v>
      </c>
      <c r="K533" t="s">
        <v>1799</v>
      </c>
      <c r="L533" t="s">
        <v>1436</v>
      </c>
      <c r="M533" t="s">
        <v>1799</v>
      </c>
      <c r="N533" t="s">
        <v>1799</v>
      </c>
      <c r="O533" s="184" t="str">
        <f>"["&amp;$C533&amp;"]["&amp;$D533&amp;"]["&amp;$F533&amp;"]"</f>
        <v>[S06_AccredCertVerifiersAnnexI][1][AccredCertScope]</v>
      </c>
    </row>
    <row r="534" spans="1:15" x14ac:dyDescent="0.3">
      <c r="A534" t="s">
        <v>1793</v>
      </c>
      <c r="B534" t="s">
        <v>2034</v>
      </c>
      <c r="C534" t="s">
        <v>2038</v>
      </c>
      <c r="D534">
        <v>2</v>
      </c>
      <c r="E534" t="s">
        <v>1447</v>
      </c>
      <c r="F534" t="s">
        <v>2039</v>
      </c>
      <c r="G534" t="s">
        <v>1737</v>
      </c>
      <c r="H534" t="s">
        <v>1799</v>
      </c>
      <c r="I534" t="s">
        <v>1799</v>
      </c>
      <c r="J534" t="s">
        <v>1799</v>
      </c>
      <c r="K534" t="s">
        <v>1799</v>
      </c>
      <c r="L534" t="s">
        <v>1465</v>
      </c>
      <c r="M534" t="s">
        <v>1799</v>
      </c>
      <c r="N534" t="s">
        <v>1799</v>
      </c>
      <c r="O534" s="184" t="str">
        <f>"["&amp;$C534&amp;"]["&amp;$D534&amp;"]["&amp;$F534&amp;"]"</f>
        <v>[S06_AccredCertVerifiersAnnexI][2][AccredCertScope]</v>
      </c>
    </row>
    <row r="535" spans="1:15" x14ac:dyDescent="0.3">
      <c r="A535" t="s">
        <v>1793</v>
      </c>
      <c r="B535" t="s">
        <v>2034</v>
      </c>
      <c r="C535" t="s">
        <v>2038</v>
      </c>
      <c r="D535">
        <v>3</v>
      </c>
      <c r="E535" t="s">
        <v>1447</v>
      </c>
      <c r="F535" t="s">
        <v>2039</v>
      </c>
      <c r="G535" t="s">
        <v>1737</v>
      </c>
      <c r="H535" t="s">
        <v>1799</v>
      </c>
      <c r="I535" t="s">
        <v>1799</v>
      </c>
      <c r="J535" t="s">
        <v>1799</v>
      </c>
      <c r="K535" t="s">
        <v>1799</v>
      </c>
      <c r="L535" t="s">
        <v>1490</v>
      </c>
      <c r="M535" t="s">
        <v>1799</v>
      </c>
      <c r="N535" t="s">
        <v>1799</v>
      </c>
      <c r="O535" s="184" t="str">
        <f>"["&amp;$C535&amp;"]["&amp;$D535&amp;"]["&amp;$F535&amp;"]"</f>
        <v>[S06_AccredCertVerifiersAnnexI][3][AccredCertScope]</v>
      </c>
    </row>
    <row r="536" spans="1:15" x14ac:dyDescent="0.3">
      <c r="A536" t="s">
        <v>1793</v>
      </c>
      <c r="B536" t="s">
        <v>2034</v>
      </c>
      <c r="C536" t="s">
        <v>2038</v>
      </c>
      <c r="D536">
        <v>4</v>
      </c>
      <c r="E536" t="s">
        <v>1447</v>
      </c>
      <c r="F536" t="s">
        <v>2039</v>
      </c>
      <c r="G536" t="s">
        <v>1737</v>
      </c>
      <c r="H536" t="s">
        <v>1799</v>
      </c>
      <c r="I536" t="s">
        <v>1799</v>
      </c>
      <c r="J536" t="s">
        <v>1799</v>
      </c>
      <c r="K536" t="s">
        <v>1799</v>
      </c>
      <c r="L536" t="s">
        <v>1510</v>
      </c>
      <c r="M536" t="s">
        <v>1799</v>
      </c>
      <c r="N536" t="s">
        <v>1799</v>
      </c>
      <c r="O536" s="184" t="str">
        <f>"["&amp;$C536&amp;"]["&amp;$D536&amp;"]["&amp;$F536&amp;"]"</f>
        <v>[S06_AccredCertVerifiersAnnexI][4][AccredCertScope]</v>
      </c>
    </row>
    <row r="537" spans="1:15" x14ac:dyDescent="0.3">
      <c r="A537" t="s">
        <v>1793</v>
      </c>
      <c r="B537" t="s">
        <v>2034</v>
      </c>
      <c r="C537" t="s">
        <v>2038</v>
      </c>
      <c r="D537">
        <v>5</v>
      </c>
      <c r="E537" t="s">
        <v>1447</v>
      </c>
      <c r="F537" t="s">
        <v>2039</v>
      </c>
      <c r="G537" t="s">
        <v>1737</v>
      </c>
      <c r="H537" t="s">
        <v>1799</v>
      </c>
      <c r="I537" t="s">
        <v>1799</v>
      </c>
      <c r="J537" t="s">
        <v>1799</v>
      </c>
      <c r="K537" t="s">
        <v>1799</v>
      </c>
      <c r="L537" t="s">
        <v>1571</v>
      </c>
      <c r="M537" t="s">
        <v>1799</v>
      </c>
      <c r="N537" t="s">
        <v>1799</v>
      </c>
      <c r="O537" s="184" t="str">
        <f>"["&amp;$C537&amp;"]["&amp;$D537&amp;"]["&amp;$F537&amp;"]"</f>
        <v>[S06_AccredCertVerifiersAnnexI][5][AccredCertScope]</v>
      </c>
    </row>
    <row r="538" spans="1:15" x14ac:dyDescent="0.3">
      <c r="A538" t="s">
        <v>1793</v>
      </c>
      <c r="B538" t="s">
        <v>2034</v>
      </c>
      <c r="C538" t="s">
        <v>2038</v>
      </c>
      <c r="D538">
        <v>6</v>
      </c>
      <c r="E538" t="s">
        <v>1447</v>
      </c>
      <c r="F538" t="s">
        <v>2039</v>
      </c>
      <c r="G538" t="s">
        <v>1737</v>
      </c>
      <c r="H538" t="s">
        <v>1799</v>
      </c>
      <c r="I538" t="s">
        <v>1799</v>
      </c>
      <c r="J538" t="s">
        <v>1799</v>
      </c>
      <c r="K538" t="s">
        <v>1799</v>
      </c>
      <c r="L538" t="s">
        <v>1576</v>
      </c>
      <c r="M538" t="s">
        <v>1799</v>
      </c>
      <c r="N538" t="s">
        <v>1799</v>
      </c>
      <c r="O538" s="184" t="str">
        <f>"["&amp;$C538&amp;"]["&amp;$D538&amp;"]["&amp;$F538&amp;"]"</f>
        <v>[S06_AccredCertVerifiersAnnexI][6][AccredCertScope]</v>
      </c>
    </row>
    <row r="539" spans="1:15" x14ac:dyDescent="0.3">
      <c r="A539" t="s">
        <v>1793</v>
      </c>
      <c r="B539" t="s">
        <v>2034</v>
      </c>
      <c r="C539" t="s">
        <v>2038</v>
      </c>
      <c r="D539">
        <v>7</v>
      </c>
      <c r="E539" t="s">
        <v>1447</v>
      </c>
      <c r="F539" t="s">
        <v>2039</v>
      </c>
      <c r="G539" t="s">
        <v>1737</v>
      </c>
      <c r="H539" t="s">
        <v>1799</v>
      </c>
      <c r="I539" t="s">
        <v>1799</v>
      </c>
      <c r="J539" t="s">
        <v>1799</v>
      </c>
      <c r="K539" t="s">
        <v>1799</v>
      </c>
      <c r="L539" t="s">
        <v>1580</v>
      </c>
      <c r="M539" t="s">
        <v>1799</v>
      </c>
      <c r="N539" t="s">
        <v>1799</v>
      </c>
      <c r="O539" s="184" t="str">
        <f>"["&amp;$C539&amp;"]["&amp;$D539&amp;"]["&amp;$F539&amp;"]"</f>
        <v>[S06_AccredCertVerifiersAnnexI][7][AccredCertScope]</v>
      </c>
    </row>
    <row r="540" spans="1:15" x14ac:dyDescent="0.3">
      <c r="A540" t="s">
        <v>1793</v>
      </c>
      <c r="B540" t="s">
        <v>2034</v>
      </c>
      <c r="C540" t="s">
        <v>2038</v>
      </c>
      <c r="D540">
        <v>8</v>
      </c>
      <c r="E540" t="s">
        <v>1447</v>
      </c>
      <c r="F540" t="s">
        <v>2039</v>
      </c>
      <c r="G540" t="s">
        <v>1737</v>
      </c>
      <c r="H540" t="s">
        <v>1799</v>
      </c>
      <c r="I540" t="s">
        <v>1799</v>
      </c>
      <c r="J540" t="s">
        <v>1799</v>
      </c>
      <c r="K540" t="s">
        <v>1799</v>
      </c>
      <c r="L540" t="s">
        <v>1585</v>
      </c>
      <c r="M540" t="s">
        <v>1799</v>
      </c>
      <c r="N540" t="s">
        <v>1799</v>
      </c>
      <c r="O540" s="184" t="str">
        <f>"["&amp;$C540&amp;"]["&amp;$D540&amp;"]["&amp;$F540&amp;"]"</f>
        <v>[S06_AccredCertVerifiersAnnexI][8][AccredCertScope]</v>
      </c>
    </row>
    <row r="541" spans="1:15" x14ac:dyDescent="0.3">
      <c r="A541" t="s">
        <v>1793</v>
      </c>
      <c r="B541" t="s">
        <v>2034</v>
      </c>
      <c r="C541" t="s">
        <v>2038</v>
      </c>
      <c r="D541">
        <v>9</v>
      </c>
      <c r="E541" t="s">
        <v>1447</v>
      </c>
      <c r="F541" t="s">
        <v>2039</v>
      </c>
      <c r="G541" t="s">
        <v>1737</v>
      </c>
      <c r="H541" t="s">
        <v>1799</v>
      </c>
      <c r="I541" t="s">
        <v>1799</v>
      </c>
      <c r="J541" t="s">
        <v>1799</v>
      </c>
      <c r="K541" t="s">
        <v>1799</v>
      </c>
      <c r="L541" t="s">
        <v>1590</v>
      </c>
      <c r="M541" t="s">
        <v>1799</v>
      </c>
      <c r="N541" t="s">
        <v>1799</v>
      </c>
      <c r="O541" s="184" t="str">
        <f>"["&amp;$C541&amp;"]["&amp;$D541&amp;"]["&amp;$F541&amp;"]"</f>
        <v>[S06_AccredCertVerifiersAnnexI][9][AccredCertScope]</v>
      </c>
    </row>
    <row r="542" spans="1:15" x14ac:dyDescent="0.3">
      <c r="A542" t="s">
        <v>1793</v>
      </c>
      <c r="B542" t="s">
        <v>2034</v>
      </c>
      <c r="C542" t="s">
        <v>2038</v>
      </c>
      <c r="D542">
        <v>10</v>
      </c>
      <c r="E542" t="s">
        <v>1447</v>
      </c>
      <c r="F542" t="s">
        <v>2039</v>
      </c>
      <c r="G542" t="s">
        <v>1737</v>
      </c>
      <c r="H542" t="s">
        <v>1799</v>
      </c>
      <c r="I542" t="s">
        <v>1799</v>
      </c>
      <c r="J542" t="s">
        <v>1799</v>
      </c>
      <c r="K542" t="s">
        <v>1799</v>
      </c>
      <c r="L542" t="s">
        <v>1666</v>
      </c>
      <c r="M542" t="s">
        <v>1799</v>
      </c>
      <c r="N542" t="s">
        <v>1799</v>
      </c>
      <c r="O542" s="184" t="str">
        <f>"["&amp;$C542&amp;"]["&amp;$D542&amp;"]["&amp;$F542&amp;"]"</f>
        <v>[S06_AccredCertVerifiersAnnexI][10][AccredCertScope]</v>
      </c>
    </row>
    <row r="543" spans="1:15" x14ac:dyDescent="0.3">
      <c r="A543" t="s">
        <v>1793</v>
      </c>
      <c r="B543" t="s">
        <v>2034</v>
      </c>
      <c r="C543" t="s">
        <v>2038</v>
      </c>
      <c r="D543">
        <v>1</v>
      </c>
      <c r="E543" t="s">
        <v>1447</v>
      </c>
      <c r="F543" t="s">
        <v>2040</v>
      </c>
      <c r="G543" t="s">
        <v>1811</v>
      </c>
      <c r="H543" t="s">
        <v>1799</v>
      </c>
      <c r="I543">
        <v>2</v>
      </c>
      <c r="J543" t="s">
        <v>1799</v>
      </c>
      <c r="K543" t="s">
        <v>1799</v>
      </c>
      <c r="L543" t="s">
        <v>1799</v>
      </c>
      <c r="M543" t="s">
        <v>1799</v>
      </c>
      <c r="N543" t="s">
        <v>1799</v>
      </c>
      <c r="O543" s="184" t="str">
        <f>"["&amp;$C543&amp;"]["&amp;$D543&amp;"]["&amp;$F543&amp;"]"</f>
        <v>[S06_AccredCertVerifiersAnnexI][1][NumberAccredited]</v>
      </c>
    </row>
    <row r="544" spans="1:15" x14ac:dyDescent="0.3">
      <c r="A544" t="s">
        <v>1793</v>
      </c>
      <c r="B544" t="s">
        <v>2034</v>
      </c>
      <c r="C544" t="s">
        <v>2038</v>
      </c>
      <c r="D544">
        <v>2</v>
      </c>
      <c r="E544" t="s">
        <v>1447</v>
      </c>
      <c r="F544" t="s">
        <v>2040</v>
      </c>
      <c r="G544" t="s">
        <v>1811</v>
      </c>
      <c r="H544" t="s">
        <v>1799</v>
      </c>
      <c r="I544">
        <v>2</v>
      </c>
      <c r="J544" t="s">
        <v>1799</v>
      </c>
      <c r="K544" t="s">
        <v>1799</v>
      </c>
      <c r="L544" t="s">
        <v>1799</v>
      </c>
      <c r="M544" t="s">
        <v>1799</v>
      </c>
      <c r="N544" t="s">
        <v>1799</v>
      </c>
      <c r="O544" s="184" t="str">
        <f>"["&amp;$C544&amp;"]["&amp;$D544&amp;"]["&amp;$F544&amp;"]"</f>
        <v>[S06_AccredCertVerifiersAnnexI][2][NumberAccredited]</v>
      </c>
    </row>
    <row r="545" spans="1:15" x14ac:dyDescent="0.3">
      <c r="A545" t="s">
        <v>1793</v>
      </c>
      <c r="B545" t="s">
        <v>2034</v>
      </c>
      <c r="C545" t="s">
        <v>2038</v>
      </c>
      <c r="D545">
        <v>3</v>
      </c>
      <c r="E545" t="s">
        <v>1447</v>
      </c>
      <c r="F545" t="s">
        <v>2040</v>
      </c>
      <c r="G545" t="s">
        <v>1811</v>
      </c>
      <c r="H545" t="s">
        <v>1799</v>
      </c>
      <c r="I545">
        <v>1</v>
      </c>
      <c r="J545" t="s">
        <v>1799</v>
      </c>
      <c r="K545" t="s">
        <v>1799</v>
      </c>
      <c r="L545" t="s">
        <v>1799</v>
      </c>
      <c r="M545" t="s">
        <v>1799</v>
      </c>
      <c r="N545" t="s">
        <v>1799</v>
      </c>
      <c r="O545" s="184" t="str">
        <f>"["&amp;$C545&amp;"]["&amp;$D545&amp;"]["&amp;$F545&amp;"]"</f>
        <v>[S06_AccredCertVerifiersAnnexI][3][NumberAccredited]</v>
      </c>
    </row>
    <row r="546" spans="1:15" x14ac:dyDescent="0.3">
      <c r="A546" t="s">
        <v>1793</v>
      </c>
      <c r="B546" t="s">
        <v>2034</v>
      </c>
      <c r="C546" t="s">
        <v>2038</v>
      </c>
      <c r="D546">
        <v>4</v>
      </c>
      <c r="E546" t="s">
        <v>1447</v>
      </c>
      <c r="F546" t="s">
        <v>2040</v>
      </c>
      <c r="G546" t="s">
        <v>1811</v>
      </c>
      <c r="H546" t="s">
        <v>1799</v>
      </c>
      <c r="I546">
        <v>1</v>
      </c>
      <c r="J546" t="s">
        <v>1799</v>
      </c>
      <c r="K546" t="s">
        <v>1799</v>
      </c>
      <c r="L546" t="s">
        <v>1799</v>
      </c>
      <c r="M546" t="s">
        <v>1799</v>
      </c>
      <c r="N546" t="s">
        <v>1799</v>
      </c>
      <c r="O546" s="184" t="str">
        <f>"["&amp;$C546&amp;"]["&amp;$D546&amp;"]["&amp;$F546&amp;"]"</f>
        <v>[S06_AccredCertVerifiersAnnexI][4][NumberAccredited]</v>
      </c>
    </row>
    <row r="547" spans="1:15" x14ac:dyDescent="0.3">
      <c r="A547" t="s">
        <v>1793</v>
      </c>
      <c r="B547" t="s">
        <v>2034</v>
      </c>
      <c r="C547" t="s">
        <v>2038</v>
      </c>
      <c r="D547">
        <v>5</v>
      </c>
      <c r="E547" t="s">
        <v>1447</v>
      </c>
      <c r="F547" t="s">
        <v>2040</v>
      </c>
      <c r="G547" t="s">
        <v>1811</v>
      </c>
      <c r="H547" t="s">
        <v>1799</v>
      </c>
      <c r="I547">
        <v>1</v>
      </c>
      <c r="J547" t="s">
        <v>1799</v>
      </c>
      <c r="K547" t="s">
        <v>1799</v>
      </c>
      <c r="L547" t="s">
        <v>1799</v>
      </c>
      <c r="M547" t="s">
        <v>1799</v>
      </c>
      <c r="N547" t="s">
        <v>1799</v>
      </c>
      <c r="O547" s="184" t="str">
        <f>"["&amp;$C547&amp;"]["&amp;$D547&amp;"]["&amp;$F547&amp;"]"</f>
        <v>[S06_AccredCertVerifiersAnnexI][5][NumberAccredited]</v>
      </c>
    </row>
    <row r="548" spans="1:15" x14ac:dyDescent="0.3">
      <c r="A548" t="s">
        <v>1793</v>
      </c>
      <c r="B548" t="s">
        <v>2034</v>
      </c>
      <c r="C548" t="s">
        <v>2038</v>
      </c>
      <c r="D548">
        <v>6</v>
      </c>
      <c r="E548" t="s">
        <v>1447</v>
      </c>
      <c r="F548" t="s">
        <v>2040</v>
      </c>
      <c r="G548" t="s">
        <v>1811</v>
      </c>
      <c r="H548" t="s">
        <v>1799</v>
      </c>
      <c r="I548">
        <v>1</v>
      </c>
      <c r="J548" t="s">
        <v>1799</v>
      </c>
      <c r="K548" t="s">
        <v>1799</v>
      </c>
      <c r="L548" t="s">
        <v>1799</v>
      </c>
      <c r="M548" t="s">
        <v>1799</v>
      </c>
      <c r="N548" t="s">
        <v>1799</v>
      </c>
      <c r="O548" s="184" t="str">
        <f>"["&amp;$C548&amp;"]["&amp;$D548&amp;"]["&amp;$F548&amp;"]"</f>
        <v>[S06_AccredCertVerifiersAnnexI][6][NumberAccredited]</v>
      </c>
    </row>
    <row r="549" spans="1:15" x14ac:dyDescent="0.3">
      <c r="A549" t="s">
        <v>1793</v>
      </c>
      <c r="B549" t="s">
        <v>2034</v>
      </c>
      <c r="C549" t="s">
        <v>2038</v>
      </c>
      <c r="D549">
        <v>7</v>
      </c>
      <c r="E549" t="s">
        <v>1447</v>
      </c>
      <c r="F549" t="s">
        <v>2040</v>
      </c>
      <c r="G549" t="s">
        <v>1811</v>
      </c>
      <c r="H549" t="s">
        <v>1799</v>
      </c>
      <c r="I549">
        <v>1</v>
      </c>
      <c r="J549" t="s">
        <v>1799</v>
      </c>
      <c r="K549" t="s">
        <v>1799</v>
      </c>
      <c r="L549" t="s">
        <v>1799</v>
      </c>
      <c r="M549" t="s">
        <v>1799</v>
      </c>
      <c r="N549" t="s">
        <v>1799</v>
      </c>
      <c r="O549" s="184" t="str">
        <f>"["&amp;$C549&amp;"]["&amp;$D549&amp;"]["&amp;$F549&amp;"]"</f>
        <v>[S06_AccredCertVerifiersAnnexI][7][NumberAccredited]</v>
      </c>
    </row>
    <row r="550" spans="1:15" x14ac:dyDescent="0.3">
      <c r="A550" t="s">
        <v>1793</v>
      </c>
      <c r="B550" t="s">
        <v>2034</v>
      </c>
      <c r="C550" t="s">
        <v>2038</v>
      </c>
      <c r="D550">
        <v>8</v>
      </c>
      <c r="E550" t="s">
        <v>1447</v>
      </c>
      <c r="F550" t="s">
        <v>2040</v>
      </c>
      <c r="G550" t="s">
        <v>1811</v>
      </c>
      <c r="H550" t="s">
        <v>1799</v>
      </c>
      <c r="I550">
        <v>1</v>
      </c>
      <c r="J550" t="s">
        <v>1799</v>
      </c>
      <c r="K550" t="s">
        <v>1799</v>
      </c>
      <c r="L550" t="s">
        <v>1799</v>
      </c>
      <c r="M550" t="s">
        <v>1799</v>
      </c>
      <c r="N550" t="s">
        <v>1799</v>
      </c>
      <c r="O550" s="184" t="str">
        <f>"["&amp;$C550&amp;"]["&amp;$D550&amp;"]["&amp;$F550&amp;"]"</f>
        <v>[S06_AccredCertVerifiersAnnexI][8][NumberAccredited]</v>
      </c>
    </row>
    <row r="551" spans="1:15" x14ac:dyDescent="0.3">
      <c r="A551" t="s">
        <v>1793</v>
      </c>
      <c r="B551" t="s">
        <v>2034</v>
      </c>
      <c r="C551" t="s">
        <v>2038</v>
      </c>
      <c r="D551">
        <v>9</v>
      </c>
      <c r="E551" t="s">
        <v>1447</v>
      </c>
      <c r="F551" t="s">
        <v>2040</v>
      </c>
      <c r="G551" t="s">
        <v>1811</v>
      </c>
      <c r="H551" t="s">
        <v>1799</v>
      </c>
      <c r="I551">
        <v>1</v>
      </c>
      <c r="J551" t="s">
        <v>1799</v>
      </c>
      <c r="K551" t="s">
        <v>1799</v>
      </c>
      <c r="L551" t="s">
        <v>1799</v>
      </c>
      <c r="M551" t="s">
        <v>1799</v>
      </c>
      <c r="N551" t="s">
        <v>1799</v>
      </c>
      <c r="O551" s="184" t="str">
        <f>"["&amp;$C551&amp;"]["&amp;$D551&amp;"]["&amp;$F551&amp;"]"</f>
        <v>[S06_AccredCertVerifiersAnnexI][9][NumberAccredited]</v>
      </c>
    </row>
    <row r="552" spans="1:15" x14ac:dyDescent="0.3">
      <c r="A552" t="s">
        <v>1793</v>
      </c>
      <c r="B552" t="s">
        <v>2034</v>
      </c>
      <c r="C552" t="s">
        <v>2038</v>
      </c>
      <c r="D552">
        <v>10</v>
      </c>
      <c r="E552" t="s">
        <v>1447</v>
      </c>
      <c r="F552" t="s">
        <v>2040</v>
      </c>
      <c r="G552" t="s">
        <v>1811</v>
      </c>
      <c r="H552" t="s">
        <v>1799</v>
      </c>
      <c r="I552">
        <v>2</v>
      </c>
      <c r="J552" t="s">
        <v>1799</v>
      </c>
      <c r="K552" t="s">
        <v>1799</v>
      </c>
      <c r="L552" t="s">
        <v>1799</v>
      </c>
      <c r="M552" t="s">
        <v>1799</v>
      </c>
      <c r="N552" t="s">
        <v>1799</v>
      </c>
      <c r="O552" s="184" t="str">
        <f>"["&amp;$C552&amp;"]["&amp;$D552&amp;"]["&amp;$F552&amp;"]"</f>
        <v>[S06_AccredCertVerifiersAnnexI][10][NumberAccredited]</v>
      </c>
    </row>
    <row r="553" spans="1:15" x14ac:dyDescent="0.3">
      <c r="A553" t="s">
        <v>1793</v>
      </c>
      <c r="B553" t="s">
        <v>2034</v>
      </c>
      <c r="C553" t="s">
        <v>2038</v>
      </c>
      <c r="D553">
        <v>1</v>
      </c>
      <c r="E553" t="s">
        <v>1447</v>
      </c>
      <c r="F553" t="s">
        <v>2041</v>
      </c>
      <c r="G553" t="s">
        <v>1811</v>
      </c>
      <c r="H553" t="s">
        <v>1799</v>
      </c>
      <c r="I553">
        <v>0</v>
      </c>
      <c r="J553" t="s">
        <v>1799</v>
      </c>
      <c r="K553" t="s">
        <v>1799</v>
      </c>
      <c r="L553" t="s">
        <v>1799</v>
      </c>
      <c r="M553" t="s">
        <v>1799</v>
      </c>
      <c r="N553" t="s">
        <v>1799</v>
      </c>
      <c r="O553" s="184" t="str">
        <f>"["&amp;$C553&amp;"]["&amp;$D553&amp;"]["&amp;$F553&amp;"]"</f>
        <v>[S06_AccredCertVerifiersAnnexI][1][NumberCertified]</v>
      </c>
    </row>
    <row r="554" spans="1:15" x14ac:dyDescent="0.3">
      <c r="A554" t="s">
        <v>1793</v>
      </c>
      <c r="B554" t="s">
        <v>2034</v>
      </c>
      <c r="C554" t="s">
        <v>2038</v>
      </c>
      <c r="D554">
        <v>2</v>
      </c>
      <c r="E554" t="s">
        <v>1447</v>
      </c>
      <c r="F554" t="s">
        <v>2041</v>
      </c>
      <c r="G554" t="s">
        <v>1811</v>
      </c>
      <c r="H554" t="s">
        <v>1799</v>
      </c>
      <c r="I554">
        <v>0</v>
      </c>
      <c r="J554" t="s">
        <v>1799</v>
      </c>
      <c r="K554" t="s">
        <v>1799</v>
      </c>
      <c r="L554" t="s">
        <v>1799</v>
      </c>
      <c r="M554" t="s">
        <v>1799</v>
      </c>
      <c r="N554" t="s">
        <v>1799</v>
      </c>
      <c r="O554" s="184" t="str">
        <f>"["&amp;$C554&amp;"]["&amp;$D554&amp;"]["&amp;$F554&amp;"]"</f>
        <v>[S06_AccredCertVerifiersAnnexI][2][NumberCertified]</v>
      </c>
    </row>
    <row r="555" spans="1:15" x14ac:dyDescent="0.3">
      <c r="A555" t="s">
        <v>1793</v>
      </c>
      <c r="B555" t="s">
        <v>2034</v>
      </c>
      <c r="C555" t="s">
        <v>2038</v>
      </c>
      <c r="D555">
        <v>3</v>
      </c>
      <c r="E555" t="s">
        <v>1447</v>
      </c>
      <c r="F555" t="s">
        <v>2041</v>
      </c>
      <c r="G555" t="s">
        <v>1811</v>
      </c>
      <c r="H555" t="s">
        <v>1799</v>
      </c>
      <c r="I555">
        <v>0</v>
      </c>
      <c r="J555" t="s">
        <v>1799</v>
      </c>
      <c r="K555" t="s">
        <v>1799</v>
      </c>
      <c r="L555" t="s">
        <v>1799</v>
      </c>
      <c r="M555" t="s">
        <v>1799</v>
      </c>
      <c r="N555" t="s">
        <v>1799</v>
      </c>
      <c r="O555" s="184" t="str">
        <f>"["&amp;$C555&amp;"]["&amp;$D555&amp;"]["&amp;$F555&amp;"]"</f>
        <v>[S06_AccredCertVerifiersAnnexI][3][NumberCertified]</v>
      </c>
    </row>
    <row r="556" spans="1:15" x14ac:dyDescent="0.3">
      <c r="A556" t="s">
        <v>1793</v>
      </c>
      <c r="B556" t="s">
        <v>2034</v>
      </c>
      <c r="C556" t="s">
        <v>2038</v>
      </c>
      <c r="D556">
        <v>4</v>
      </c>
      <c r="E556" t="s">
        <v>1447</v>
      </c>
      <c r="F556" t="s">
        <v>2041</v>
      </c>
      <c r="G556" t="s">
        <v>1811</v>
      </c>
      <c r="H556" t="s">
        <v>1799</v>
      </c>
      <c r="I556">
        <v>0</v>
      </c>
      <c r="J556" t="s">
        <v>1799</v>
      </c>
      <c r="K556" t="s">
        <v>1799</v>
      </c>
      <c r="L556" t="s">
        <v>1799</v>
      </c>
      <c r="M556" t="s">
        <v>1799</v>
      </c>
      <c r="N556" t="s">
        <v>1799</v>
      </c>
      <c r="O556" s="184" t="str">
        <f>"["&amp;$C556&amp;"]["&amp;$D556&amp;"]["&amp;$F556&amp;"]"</f>
        <v>[S06_AccredCertVerifiersAnnexI][4][NumberCertified]</v>
      </c>
    </row>
    <row r="557" spans="1:15" x14ac:dyDescent="0.3">
      <c r="A557" t="s">
        <v>1793</v>
      </c>
      <c r="B557" t="s">
        <v>2034</v>
      </c>
      <c r="C557" t="s">
        <v>2038</v>
      </c>
      <c r="D557">
        <v>5</v>
      </c>
      <c r="E557" t="s">
        <v>1447</v>
      </c>
      <c r="F557" t="s">
        <v>2041</v>
      </c>
      <c r="G557" t="s">
        <v>1811</v>
      </c>
      <c r="H557" t="s">
        <v>1799</v>
      </c>
      <c r="I557">
        <v>0</v>
      </c>
      <c r="J557" t="s">
        <v>1799</v>
      </c>
      <c r="K557" t="s">
        <v>1799</v>
      </c>
      <c r="L557" t="s">
        <v>1799</v>
      </c>
      <c r="M557" t="s">
        <v>1799</v>
      </c>
      <c r="N557" t="s">
        <v>1799</v>
      </c>
      <c r="O557" s="184" t="str">
        <f>"["&amp;$C557&amp;"]["&amp;$D557&amp;"]["&amp;$F557&amp;"]"</f>
        <v>[S06_AccredCertVerifiersAnnexI][5][NumberCertified]</v>
      </c>
    </row>
    <row r="558" spans="1:15" x14ac:dyDescent="0.3">
      <c r="A558" t="s">
        <v>1793</v>
      </c>
      <c r="B558" t="s">
        <v>2034</v>
      </c>
      <c r="C558" t="s">
        <v>2038</v>
      </c>
      <c r="D558">
        <v>6</v>
      </c>
      <c r="E558" t="s">
        <v>1447</v>
      </c>
      <c r="F558" t="s">
        <v>2041</v>
      </c>
      <c r="G558" t="s">
        <v>1811</v>
      </c>
      <c r="H558" t="s">
        <v>1799</v>
      </c>
      <c r="I558">
        <v>0</v>
      </c>
      <c r="J558" t="s">
        <v>1799</v>
      </c>
      <c r="K558" t="s">
        <v>1799</v>
      </c>
      <c r="L558" t="s">
        <v>1799</v>
      </c>
      <c r="M558" t="s">
        <v>1799</v>
      </c>
      <c r="N558" t="s">
        <v>1799</v>
      </c>
      <c r="O558" s="184" t="str">
        <f>"["&amp;$C558&amp;"]["&amp;$D558&amp;"]["&amp;$F558&amp;"]"</f>
        <v>[S06_AccredCertVerifiersAnnexI][6][NumberCertified]</v>
      </c>
    </row>
    <row r="559" spans="1:15" x14ac:dyDescent="0.3">
      <c r="A559" t="s">
        <v>1793</v>
      </c>
      <c r="B559" t="s">
        <v>2034</v>
      </c>
      <c r="C559" t="s">
        <v>2038</v>
      </c>
      <c r="D559">
        <v>7</v>
      </c>
      <c r="E559" t="s">
        <v>1447</v>
      </c>
      <c r="F559" t="s">
        <v>2041</v>
      </c>
      <c r="G559" t="s">
        <v>1811</v>
      </c>
      <c r="H559" t="s">
        <v>1799</v>
      </c>
      <c r="I559">
        <v>0</v>
      </c>
      <c r="J559" t="s">
        <v>1799</v>
      </c>
      <c r="K559" t="s">
        <v>1799</v>
      </c>
      <c r="L559" t="s">
        <v>1799</v>
      </c>
      <c r="M559" t="s">
        <v>1799</v>
      </c>
      <c r="N559" t="s">
        <v>1799</v>
      </c>
      <c r="O559" s="184" t="str">
        <f>"["&amp;$C559&amp;"]["&amp;$D559&amp;"]["&amp;$F559&amp;"]"</f>
        <v>[S06_AccredCertVerifiersAnnexI][7][NumberCertified]</v>
      </c>
    </row>
    <row r="560" spans="1:15" x14ac:dyDescent="0.3">
      <c r="A560" t="s">
        <v>1793</v>
      </c>
      <c r="B560" t="s">
        <v>2034</v>
      </c>
      <c r="C560" t="s">
        <v>2038</v>
      </c>
      <c r="D560">
        <v>8</v>
      </c>
      <c r="E560" t="s">
        <v>1447</v>
      </c>
      <c r="F560" t="s">
        <v>2041</v>
      </c>
      <c r="G560" t="s">
        <v>1811</v>
      </c>
      <c r="H560" t="s">
        <v>1799</v>
      </c>
      <c r="I560">
        <v>0</v>
      </c>
      <c r="J560" t="s">
        <v>1799</v>
      </c>
      <c r="K560" t="s">
        <v>1799</v>
      </c>
      <c r="L560" t="s">
        <v>1799</v>
      </c>
      <c r="M560" t="s">
        <v>1799</v>
      </c>
      <c r="N560" t="s">
        <v>1799</v>
      </c>
      <c r="O560" s="184" t="str">
        <f>"["&amp;$C560&amp;"]["&amp;$D560&amp;"]["&amp;$F560&amp;"]"</f>
        <v>[S06_AccredCertVerifiersAnnexI][8][NumberCertified]</v>
      </c>
    </row>
    <row r="561" spans="1:15" x14ac:dyDescent="0.3">
      <c r="A561" t="s">
        <v>1793</v>
      </c>
      <c r="B561" t="s">
        <v>2034</v>
      </c>
      <c r="C561" t="s">
        <v>2038</v>
      </c>
      <c r="D561">
        <v>9</v>
      </c>
      <c r="E561" t="s">
        <v>1447</v>
      </c>
      <c r="F561" t="s">
        <v>2041</v>
      </c>
      <c r="G561" t="s">
        <v>1811</v>
      </c>
      <c r="H561" t="s">
        <v>1799</v>
      </c>
      <c r="I561">
        <v>0</v>
      </c>
      <c r="J561" t="s">
        <v>1799</v>
      </c>
      <c r="K561" t="s">
        <v>1799</v>
      </c>
      <c r="L561" t="s">
        <v>1799</v>
      </c>
      <c r="M561" t="s">
        <v>1799</v>
      </c>
      <c r="N561" t="s">
        <v>1799</v>
      </c>
      <c r="O561" s="184" t="str">
        <f>"["&amp;$C561&amp;"]["&amp;$D561&amp;"]["&amp;$F561&amp;"]"</f>
        <v>[S06_AccredCertVerifiersAnnexI][9][NumberCertified]</v>
      </c>
    </row>
    <row r="562" spans="1:15" x14ac:dyDescent="0.3">
      <c r="A562" t="s">
        <v>1793</v>
      </c>
      <c r="B562" t="s">
        <v>2034</v>
      </c>
      <c r="C562" t="s">
        <v>2038</v>
      </c>
      <c r="D562">
        <v>10</v>
      </c>
      <c r="E562" t="s">
        <v>1447</v>
      </c>
      <c r="F562" t="s">
        <v>2041</v>
      </c>
      <c r="G562" t="s">
        <v>1811</v>
      </c>
      <c r="H562" t="s">
        <v>1799</v>
      </c>
      <c r="I562">
        <v>0</v>
      </c>
      <c r="J562" t="s">
        <v>1799</v>
      </c>
      <c r="K562" t="s">
        <v>1799</v>
      </c>
      <c r="L562" t="s">
        <v>1799</v>
      </c>
      <c r="M562" t="s">
        <v>1799</v>
      </c>
      <c r="N562" t="s">
        <v>1799</v>
      </c>
      <c r="O562" s="184" t="str">
        <f>"["&amp;$C562&amp;"]["&amp;$D562&amp;"]["&amp;$F562&amp;"]"</f>
        <v>[S06_AccredCertVerifiersAnnexI][10][NumberCertified]</v>
      </c>
    </row>
    <row r="563" spans="1:15" x14ac:dyDescent="0.3">
      <c r="A563" t="s">
        <v>1793</v>
      </c>
      <c r="B563" t="s">
        <v>2042</v>
      </c>
      <c r="C563" t="s">
        <v>2043</v>
      </c>
      <c r="D563">
        <v>1</v>
      </c>
      <c r="E563" t="s">
        <v>1447</v>
      </c>
      <c r="F563" t="s">
        <v>2044</v>
      </c>
      <c r="G563" t="s">
        <v>1836</v>
      </c>
      <c r="H563" t="s">
        <v>1799</v>
      </c>
      <c r="I563" t="s">
        <v>1799</v>
      </c>
      <c r="J563" t="s">
        <v>1799</v>
      </c>
      <c r="K563" t="s">
        <v>1799</v>
      </c>
      <c r="L563" t="s">
        <v>1419</v>
      </c>
      <c r="M563" t="s">
        <v>1799</v>
      </c>
      <c r="N563" t="s">
        <v>1799</v>
      </c>
      <c r="O563" s="184" t="str">
        <f>"["&amp;$C563&amp;"]["&amp;$D563&amp;"]["&amp;$F563&amp;"]"</f>
        <v>[S06_ApplicationInformationExchangeRequirements1][1][FromOwnMS]</v>
      </c>
    </row>
    <row r="564" spans="1:15" x14ac:dyDescent="0.3">
      <c r="A564" t="s">
        <v>1793</v>
      </c>
      <c r="B564" t="s">
        <v>2042</v>
      </c>
      <c r="C564" t="s">
        <v>2043</v>
      </c>
      <c r="D564">
        <v>1</v>
      </c>
      <c r="E564" t="s">
        <v>1447</v>
      </c>
      <c r="F564" t="s">
        <v>2045</v>
      </c>
      <c r="G564" t="s">
        <v>1836</v>
      </c>
      <c r="H564" t="s">
        <v>1799</v>
      </c>
      <c r="I564" t="s">
        <v>1799</v>
      </c>
      <c r="J564" t="s">
        <v>1799</v>
      </c>
      <c r="K564" t="s">
        <v>1799</v>
      </c>
      <c r="L564" t="s">
        <v>1419</v>
      </c>
      <c r="M564" t="s">
        <v>1799</v>
      </c>
      <c r="N564" t="s">
        <v>1799</v>
      </c>
      <c r="O564" s="184" t="str">
        <f>"["&amp;$C564&amp;"]["&amp;$D564&amp;"]["&amp;$F564&amp;"]"</f>
        <v>[S06_ApplicationInformationExchangeRequirements1][1][FromOtherMS]</v>
      </c>
    </row>
    <row r="565" spans="1:15" x14ac:dyDescent="0.3">
      <c r="A565" t="s">
        <v>1793</v>
      </c>
      <c r="B565" t="s">
        <v>2042</v>
      </c>
      <c r="C565" t="s">
        <v>2043</v>
      </c>
      <c r="D565">
        <v>2</v>
      </c>
      <c r="E565" t="s">
        <v>1447</v>
      </c>
      <c r="F565" t="s">
        <v>2044</v>
      </c>
      <c r="G565" t="s">
        <v>1836</v>
      </c>
      <c r="H565" t="s">
        <v>1799</v>
      </c>
      <c r="I565" t="s">
        <v>1799</v>
      </c>
      <c r="J565" t="s">
        <v>1799</v>
      </c>
      <c r="K565" t="s">
        <v>1799</v>
      </c>
      <c r="L565" t="s">
        <v>1419</v>
      </c>
      <c r="M565" t="s">
        <v>1799</v>
      </c>
      <c r="N565" t="s">
        <v>1799</v>
      </c>
      <c r="O565" s="184" t="str">
        <f>"["&amp;$C565&amp;"]["&amp;$D565&amp;"]["&amp;$F565&amp;"]"</f>
        <v>[S06_ApplicationInformationExchangeRequirements1][2][FromOwnMS]</v>
      </c>
    </row>
    <row r="566" spans="1:15" x14ac:dyDescent="0.3">
      <c r="A566" t="s">
        <v>1793</v>
      </c>
      <c r="B566" t="s">
        <v>2042</v>
      </c>
      <c r="C566" t="s">
        <v>2043</v>
      </c>
      <c r="D566">
        <v>2</v>
      </c>
      <c r="E566" t="s">
        <v>1447</v>
      </c>
      <c r="F566" t="s">
        <v>2045</v>
      </c>
      <c r="G566" t="s">
        <v>1836</v>
      </c>
      <c r="H566" t="s">
        <v>1799</v>
      </c>
      <c r="I566" t="s">
        <v>1799</v>
      </c>
      <c r="J566" t="s">
        <v>1799</v>
      </c>
      <c r="K566" t="s">
        <v>1799</v>
      </c>
      <c r="L566" t="s">
        <v>1419</v>
      </c>
      <c r="M566" t="s">
        <v>1799</v>
      </c>
      <c r="N566" t="s">
        <v>1799</v>
      </c>
      <c r="O566" s="184" t="str">
        <f>"["&amp;$C566&amp;"]["&amp;$D566&amp;"]["&amp;$F566&amp;"]"</f>
        <v>[S06_ApplicationInformationExchangeRequirements1][2][FromOtherMS]</v>
      </c>
    </row>
    <row r="567" spans="1:15" x14ac:dyDescent="0.3">
      <c r="A567" t="s">
        <v>1793</v>
      </c>
      <c r="B567" t="s">
        <v>2042</v>
      </c>
      <c r="C567" t="s">
        <v>2043</v>
      </c>
      <c r="D567">
        <v>3</v>
      </c>
      <c r="E567" t="s">
        <v>1447</v>
      </c>
      <c r="F567" t="s">
        <v>2044</v>
      </c>
      <c r="G567" t="s">
        <v>1836</v>
      </c>
      <c r="H567" t="s">
        <v>1799</v>
      </c>
      <c r="I567" t="s">
        <v>1799</v>
      </c>
      <c r="J567" t="s">
        <v>1799</v>
      </c>
      <c r="K567" t="s">
        <v>1799</v>
      </c>
      <c r="L567" t="s">
        <v>1419</v>
      </c>
      <c r="M567" t="s">
        <v>1799</v>
      </c>
      <c r="N567" t="s">
        <v>1799</v>
      </c>
      <c r="O567" s="184" t="str">
        <f>"["&amp;$C567&amp;"]["&amp;$D567&amp;"]["&amp;$F567&amp;"]"</f>
        <v>[S06_ApplicationInformationExchangeRequirements1][3][FromOwnMS]</v>
      </c>
    </row>
    <row r="568" spans="1:15" x14ac:dyDescent="0.3">
      <c r="A568" t="s">
        <v>1793</v>
      </c>
      <c r="B568" t="s">
        <v>2042</v>
      </c>
      <c r="C568" t="s">
        <v>2043</v>
      </c>
      <c r="D568">
        <v>3</v>
      </c>
      <c r="E568" t="s">
        <v>1447</v>
      </c>
      <c r="F568" t="s">
        <v>2045</v>
      </c>
      <c r="G568" t="s">
        <v>1836</v>
      </c>
      <c r="H568" t="s">
        <v>1799</v>
      </c>
      <c r="I568" t="s">
        <v>1799</v>
      </c>
      <c r="J568" t="s">
        <v>1799</v>
      </c>
      <c r="K568" t="s">
        <v>1799</v>
      </c>
      <c r="L568" t="s">
        <v>1419</v>
      </c>
      <c r="M568" t="s">
        <v>1799</v>
      </c>
      <c r="N568" t="s">
        <v>1799</v>
      </c>
      <c r="O568" s="184" t="str">
        <f>"["&amp;$C568&amp;"]["&amp;$D568&amp;"]["&amp;$F568&amp;"]"</f>
        <v>[S06_ApplicationInformationExchangeRequirements1][3][FromOtherMS]</v>
      </c>
    </row>
    <row r="569" spans="1:15" x14ac:dyDescent="0.3">
      <c r="A569" t="s">
        <v>1793</v>
      </c>
      <c r="B569" t="s">
        <v>2042</v>
      </c>
      <c r="C569" t="s">
        <v>2046</v>
      </c>
      <c r="D569">
        <v>1</v>
      </c>
      <c r="E569" t="s">
        <v>1447</v>
      </c>
      <c r="F569" t="s">
        <v>2047</v>
      </c>
      <c r="G569" t="s">
        <v>1811</v>
      </c>
      <c r="H569" t="s">
        <v>1799</v>
      </c>
      <c r="I569">
        <v>0</v>
      </c>
      <c r="J569" t="s">
        <v>1799</v>
      </c>
      <c r="K569" t="s">
        <v>1799</v>
      </c>
      <c r="L569" t="s">
        <v>1799</v>
      </c>
      <c r="M569" t="s">
        <v>1799</v>
      </c>
      <c r="N569" t="s">
        <v>1799</v>
      </c>
      <c r="O569" s="184" t="str">
        <f>"["&amp;$C569&amp;"]["&amp;$D569&amp;"]["&amp;$F569&amp;"]"</f>
        <v>[S06_ApplicationInformationExchangeRequirements2][1][NumberImposedOnVerifiersSuspension]</v>
      </c>
    </row>
    <row r="570" spans="1:15" x14ac:dyDescent="0.3">
      <c r="A570" t="s">
        <v>1793</v>
      </c>
      <c r="B570" t="s">
        <v>2042</v>
      </c>
      <c r="C570" t="s">
        <v>2046</v>
      </c>
      <c r="D570">
        <v>1</v>
      </c>
      <c r="E570" t="s">
        <v>1447</v>
      </c>
      <c r="F570" t="s">
        <v>2048</v>
      </c>
      <c r="G570" t="s">
        <v>1811</v>
      </c>
      <c r="H570" t="s">
        <v>1799</v>
      </c>
      <c r="I570">
        <v>0</v>
      </c>
      <c r="J570" t="s">
        <v>1799</v>
      </c>
      <c r="K570" t="s">
        <v>1799</v>
      </c>
      <c r="L570" t="s">
        <v>1799</v>
      </c>
      <c r="M570" t="s">
        <v>1799</v>
      </c>
      <c r="N570" t="s">
        <v>1799</v>
      </c>
      <c r="O570" s="184" t="str">
        <f>"["&amp;$C570&amp;"]["&amp;$D570&amp;"]["&amp;$F570&amp;"]"</f>
        <v>[S06_ApplicationInformationExchangeRequirements2][1][NumberImposedOnVerifiersWithdrawal]</v>
      </c>
    </row>
    <row r="571" spans="1:15" x14ac:dyDescent="0.3">
      <c r="A571" t="s">
        <v>1793</v>
      </c>
      <c r="B571" t="s">
        <v>2042</v>
      </c>
      <c r="C571" t="s">
        <v>2046</v>
      </c>
      <c r="D571">
        <v>1</v>
      </c>
      <c r="E571" t="s">
        <v>1447</v>
      </c>
      <c r="F571" t="s">
        <v>2049</v>
      </c>
      <c r="G571" t="s">
        <v>1811</v>
      </c>
      <c r="H571" t="s">
        <v>1799</v>
      </c>
      <c r="I571">
        <v>0</v>
      </c>
      <c r="J571" t="s">
        <v>1799</v>
      </c>
      <c r="K571" t="s">
        <v>1799</v>
      </c>
      <c r="L571" t="s">
        <v>1799</v>
      </c>
      <c r="M571" t="s">
        <v>1799</v>
      </c>
      <c r="N571" t="s">
        <v>1799</v>
      </c>
      <c r="O571" s="184" t="str">
        <f>"["&amp;$C571&amp;"]["&amp;$D571&amp;"]["&amp;$F571&amp;"]"</f>
        <v>[S06_ApplicationInformationExchangeRequirements2][1][NumberImposedOnVerifiersReductionOfScope]</v>
      </c>
    </row>
    <row r="572" spans="1:15" x14ac:dyDescent="0.3">
      <c r="A572" t="s">
        <v>1793</v>
      </c>
      <c r="B572" t="s">
        <v>2042</v>
      </c>
      <c r="C572" t="s">
        <v>2050</v>
      </c>
      <c r="D572">
        <v>0</v>
      </c>
      <c r="E572" t="s">
        <v>1447</v>
      </c>
      <c r="F572" t="s">
        <v>2051</v>
      </c>
      <c r="G572" t="s">
        <v>1811</v>
      </c>
      <c r="H572" t="s">
        <v>1799</v>
      </c>
      <c r="I572">
        <v>0</v>
      </c>
      <c r="J572" t="s">
        <v>1799</v>
      </c>
      <c r="K572" t="s">
        <v>1799</v>
      </c>
      <c r="L572" t="s">
        <v>1799</v>
      </c>
      <c r="M572" t="s">
        <v>1799</v>
      </c>
      <c r="N572" t="s">
        <v>1799</v>
      </c>
      <c r="O572" s="184" t="str">
        <f>"["&amp;$C572&amp;"]["&amp;$D572&amp;"]["&amp;$F572&amp;"]"</f>
        <v>[S06_ApplicationInformationExchangeRequirements3][0][TimesSurveillanceRequested]</v>
      </c>
    </row>
    <row r="573" spans="1:15" x14ac:dyDescent="0.3">
      <c r="A573" t="s">
        <v>1793</v>
      </c>
      <c r="B573" t="s">
        <v>2042</v>
      </c>
      <c r="C573" t="s">
        <v>2052</v>
      </c>
      <c r="D573">
        <v>1</v>
      </c>
      <c r="E573" t="s">
        <v>1447</v>
      </c>
      <c r="F573" t="s">
        <v>2053</v>
      </c>
      <c r="G573" t="s">
        <v>1811</v>
      </c>
      <c r="H573" t="s">
        <v>1799</v>
      </c>
      <c r="I573">
        <v>0</v>
      </c>
      <c r="J573" t="s">
        <v>1799</v>
      </c>
      <c r="K573" t="s">
        <v>1799</v>
      </c>
      <c r="L573" t="s">
        <v>1799</v>
      </c>
      <c r="M573" t="s">
        <v>1799</v>
      </c>
      <c r="N573" t="s">
        <v>1799</v>
      </c>
      <c r="O573" s="184" t="str">
        <f>"["&amp;$C573&amp;"]["&amp;$D573&amp;"]["&amp;$F573&amp;"]"</f>
        <v>[S06_ApplicationInformationExchangeRequirements4][1][NumberOfIssues]</v>
      </c>
    </row>
    <row r="574" spans="1:15" x14ac:dyDescent="0.3">
      <c r="A574" t="s">
        <v>1793</v>
      </c>
      <c r="B574" t="s">
        <v>2042</v>
      </c>
      <c r="C574" t="s">
        <v>2052</v>
      </c>
      <c r="D574">
        <v>1</v>
      </c>
      <c r="E574" t="s">
        <v>1447</v>
      </c>
      <c r="F574" t="s">
        <v>2054</v>
      </c>
      <c r="G574" t="s">
        <v>1811</v>
      </c>
      <c r="H574" t="s">
        <v>1799</v>
      </c>
      <c r="I574">
        <v>0</v>
      </c>
      <c r="J574" t="s">
        <v>1799</v>
      </c>
      <c r="K574" t="s">
        <v>1799</v>
      </c>
      <c r="L574" t="s">
        <v>1799</v>
      </c>
      <c r="M574" t="s">
        <v>1799</v>
      </c>
      <c r="N574" t="s">
        <v>1799</v>
      </c>
      <c r="O574" s="184" t="str">
        <f>"["&amp;$C574&amp;"]["&amp;$D574&amp;"]["&amp;$F574&amp;"]"</f>
        <v>[S06_ApplicationInformationExchangeRequirements4][1][NumberOfIssuesResolved]</v>
      </c>
    </row>
    <row r="575" spans="1:15" x14ac:dyDescent="0.3">
      <c r="A575" t="s">
        <v>1793</v>
      </c>
      <c r="B575" t="s">
        <v>2042</v>
      </c>
      <c r="C575" t="s">
        <v>2052</v>
      </c>
      <c r="D575">
        <v>1</v>
      </c>
      <c r="E575" t="s">
        <v>1447</v>
      </c>
      <c r="F575" t="s">
        <v>2055</v>
      </c>
      <c r="G575" t="s">
        <v>1811</v>
      </c>
      <c r="H575" t="s">
        <v>1799</v>
      </c>
      <c r="I575">
        <v>0</v>
      </c>
      <c r="J575" t="s">
        <v>1799</v>
      </c>
      <c r="K575" t="s">
        <v>1799</v>
      </c>
      <c r="L575" t="s">
        <v>1799</v>
      </c>
      <c r="M575" t="s">
        <v>1799</v>
      </c>
      <c r="N575" t="s">
        <v>1799</v>
      </c>
      <c r="O575" s="184" t="str">
        <f>"["&amp;$C575&amp;"]["&amp;$D575&amp;"]["&amp;$F575&amp;"]"</f>
        <v>[S06_ApplicationInformationExchangeRequirements4][1][NumberOfPriorIssuesResolved]</v>
      </c>
    </row>
    <row r="576" spans="1:15" x14ac:dyDescent="0.3">
      <c r="A576" t="s">
        <v>1793</v>
      </c>
      <c r="B576" t="s">
        <v>2042</v>
      </c>
      <c r="C576" t="s">
        <v>2052</v>
      </c>
      <c r="D576">
        <v>2</v>
      </c>
      <c r="E576" t="s">
        <v>1447</v>
      </c>
      <c r="F576" t="s">
        <v>2053</v>
      </c>
      <c r="G576" t="s">
        <v>1811</v>
      </c>
      <c r="H576" t="s">
        <v>1799</v>
      </c>
      <c r="I576">
        <v>0</v>
      </c>
      <c r="J576" t="s">
        <v>1799</v>
      </c>
      <c r="K576" t="s">
        <v>1799</v>
      </c>
      <c r="L576" t="s">
        <v>1799</v>
      </c>
      <c r="M576" t="s">
        <v>1799</v>
      </c>
      <c r="N576" t="s">
        <v>1799</v>
      </c>
      <c r="O576" s="184" t="str">
        <f>"["&amp;$C576&amp;"]["&amp;$D576&amp;"]["&amp;$F576&amp;"]"</f>
        <v>[S06_ApplicationInformationExchangeRequirements4][2][NumberOfIssues]</v>
      </c>
    </row>
    <row r="577" spans="1:15" x14ac:dyDescent="0.3">
      <c r="A577" t="s">
        <v>1793</v>
      </c>
      <c r="B577" t="s">
        <v>2042</v>
      </c>
      <c r="C577" t="s">
        <v>2052</v>
      </c>
      <c r="D577">
        <v>2</v>
      </c>
      <c r="E577" t="s">
        <v>1447</v>
      </c>
      <c r="F577" t="s">
        <v>2054</v>
      </c>
      <c r="G577" t="s">
        <v>1811</v>
      </c>
      <c r="H577" t="s">
        <v>1799</v>
      </c>
      <c r="I577">
        <v>0</v>
      </c>
      <c r="J577" t="s">
        <v>1799</v>
      </c>
      <c r="K577" t="s">
        <v>1799</v>
      </c>
      <c r="L577" t="s">
        <v>1799</v>
      </c>
      <c r="M577" t="s">
        <v>1799</v>
      </c>
      <c r="N577" t="s">
        <v>1799</v>
      </c>
      <c r="O577" s="184" t="str">
        <f>"["&amp;$C577&amp;"]["&amp;$D577&amp;"]["&amp;$F577&amp;"]"</f>
        <v>[S06_ApplicationInformationExchangeRequirements4][2][NumberOfIssuesResolved]</v>
      </c>
    </row>
    <row r="578" spans="1:15" x14ac:dyDescent="0.3">
      <c r="A578" t="s">
        <v>1793</v>
      </c>
      <c r="B578" t="s">
        <v>2042</v>
      </c>
      <c r="C578" t="s">
        <v>2052</v>
      </c>
      <c r="D578">
        <v>2</v>
      </c>
      <c r="E578" t="s">
        <v>1447</v>
      </c>
      <c r="F578" t="s">
        <v>2055</v>
      </c>
      <c r="G578" t="s">
        <v>1811</v>
      </c>
      <c r="H578" t="s">
        <v>1799</v>
      </c>
      <c r="I578">
        <v>0</v>
      </c>
      <c r="J578" t="s">
        <v>1799</v>
      </c>
      <c r="K578" t="s">
        <v>1799</v>
      </c>
      <c r="L578" t="s">
        <v>1799</v>
      </c>
      <c r="M578" t="s">
        <v>1799</v>
      </c>
      <c r="N578" t="s">
        <v>1799</v>
      </c>
      <c r="O578" s="184" t="str">
        <f>"["&amp;$C578&amp;"]["&amp;$D578&amp;"]["&amp;$F578&amp;"]"</f>
        <v>[S06_ApplicationInformationExchangeRequirements4][2][NumberOfPriorIssuesResolved]</v>
      </c>
    </row>
    <row r="579" spans="1:15" x14ac:dyDescent="0.3">
      <c r="A579" t="s">
        <v>1793</v>
      </c>
      <c r="B579" t="s">
        <v>2042</v>
      </c>
      <c r="C579" t="s">
        <v>2052</v>
      </c>
      <c r="D579">
        <v>3</v>
      </c>
      <c r="E579" t="s">
        <v>1447</v>
      </c>
      <c r="F579" t="s">
        <v>2053</v>
      </c>
      <c r="G579" t="s">
        <v>1811</v>
      </c>
      <c r="H579" t="s">
        <v>1799</v>
      </c>
      <c r="I579">
        <v>10</v>
      </c>
      <c r="J579" t="s">
        <v>1799</v>
      </c>
      <c r="K579" t="s">
        <v>1799</v>
      </c>
      <c r="L579" t="s">
        <v>1799</v>
      </c>
      <c r="M579" t="s">
        <v>1799</v>
      </c>
      <c r="N579" t="s">
        <v>1799</v>
      </c>
      <c r="O579" s="184" t="str">
        <f>"["&amp;$C579&amp;"]["&amp;$D579&amp;"]["&amp;$F579&amp;"]"</f>
        <v>[S06_ApplicationInformationExchangeRequirements4][3][NumberOfIssues]</v>
      </c>
    </row>
    <row r="580" spans="1:15" x14ac:dyDescent="0.3">
      <c r="A580" t="s">
        <v>1793</v>
      </c>
      <c r="B580" t="s">
        <v>2042</v>
      </c>
      <c r="C580" t="s">
        <v>2052</v>
      </c>
      <c r="D580">
        <v>3</v>
      </c>
      <c r="E580" t="s">
        <v>1447</v>
      </c>
      <c r="F580" t="s">
        <v>2054</v>
      </c>
      <c r="G580" t="s">
        <v>1811</v>
      </c>
      <c r="H580" t="s">
        <v>1799</v>
      </c>
      <c r="I580">
        <v>10</v>
      </c>
      <c r="J580" t="s">
        <v>1799</v>
      </c>
      <c r="K580" t="s">
        <v>1799</v>
      </c>
      <c r="L580" t="s">
        <v>1799</v>
      </c>
      <c r="M580" t="s">
        <v>1799</v>
      </c>
      <c r="N580" t="s">
        <v>1799</v>
      </c>
      <c r="O580" s="184" t="str">
        <f>"["&amp;$C580&amp;"]["&amp;$D580&amp;"]["&amp;$F580&amp;"]"</f>
        <v>[S06_ApplicationInformationExchangeRequirements4][3][NumberOfIssuesResolved]</v>
      </c>
    </row>
    <row r="581" spans="1:15" x14ac:dyDescent="0.3">
      <c r="A581" t="s">
        <v>1793</v>
      </c>
      <c r="B581" t="s">
        <v>2042</v>
      </c>
      <c r="C581" t="s">
        <v>2052</v>
      </c>
      <c r="D581">
        <v>3</v>
      </c>
      <c r="E581" t="s">
        <v>1447</v>
      </c>
      <c r="F581" t="s">
        <v>2055</v>
      </c>
      <c r="G581" t="s">
        <v>1811</v>
      </c>
      <c r="H581" t="s">
        <v>1799</v>
      </c>
      <c r="I581">
        <v>0</v>
      </c>
      <c r="J581" t="s">
        <v>1799</v>
      </c>
      <c r="K581" t="s">
        <v>1799</v>
      </c>
      <c r="L581" t="s">
        <v>1799</v>
      </c>
      <c r="M581" t="s">
        <v>1799</v>
      </c>
      <c r="N581" t="s">
        <v>1799</v>
      </c>
      <c r="O581" s="184" t="str">
        <f>"["&amp;$C581&amp;"]["&amp;$D581&amp;"]["&amp;$F581&amp;"]"</f>
        <v>[S06_ApplicationInformationExchangeRequirements4][3][NumberOfPriorIssuesResolved]</v>
      </c>
    </row>
    <row r="582" spans="1:15" x14ac:dyDescent="0.3">
      <c r="A582" t="s">
        <v>1793</v>
      </c>
      <c r="B582" t="s">
        <v>2056</v>
      </c>
      <c r="C582" t="s">
        <v>2057</v>
      </c>
      <c r="D582">
        <v>1</v>
      </c>
      <c r="E582" t="s">
        <v>1447</v>
      </c>
      <c r="F582" t="s">
        <v>1964</v>
      </c>
      <c r="G582" t="s">
        <v>1797</v>
      </c>
      <c r="H582" t="s">
        <v>2058</v>
      </c>
      <c r="I582" t="s">
        <v>1799</v>
      </c>
      <c r="J582" t="s">
        <v>1799</v>
      </c>
      <c r="K582" t="s">
        <v>1799</v>
      </c>
      <c r="L582" t="s">
        <v>1799</v>
      </c>
      <c r="M582" t="s">
        <v>1799</v>
      </c>
      <c r="N582" t="s">
        <v>1799</v>
      </c>
      <c r="O582" s="184" t="str">
        <f>"["&amp;$C582&amp;"]["&amp;$D582&amp;"]["&amp;$F582&amp;"]"</f>
        <v>[S06_InstallationsConservativeEstimates][1][InstallationID]</v>
      </c>
    </row>
    <row r="583" spans="1:15" x14ac:dyDescent="0.3">
      <c r="A583" t="s">
        <v>1793</v>
      </c>
      <c r="B583" t="s">
        <v>2056</v>
      </c>
      <c r="C583" t="s">
        <v>2057</v>
      </c>
      <c r="D583">
        <v>1</v>
      </c>
      <c r="E583" t="s">
        <v>1447</v>
      </c>
      <c r="F583" t="s">
        <v>2059</v>
      </c>
      <c r="G583" t="s">
        <v>1889</v>
      </c>
      <c r="H583" t="s">
        <v>1799</v>
      </c>
      <c r="I583" t="s">
        <v>1799</v>
      </c>
      <c r="J583">
        <v>0</v>
      </c>
      <c r="K583" t="s">
        <v>1799</v>
      </c>
      <c r="L583" t="s">
        <v>1799</v>
      </c>
      <c r="M583" t="s">
        <v>1799</v>
      </c>
      <c r="N583" t="s">
        <v>1799</v>
      </c>
      <c r="O583" s="184" t="str">
        <f>"["&amp;$C583&amp;"]["&amp;$D583&amp;"]["&amp;$F583&amp;"]"</f>
        <v>[S06_InstallationsConservativeEstimates][1][InstallationAnnualEmissionstCO2e]</v>
      </c>
    </row>
    <row r="584" spans="1:15" x14ac:dyDescent="0.3">
      <c r="A584" t="s">
        <v>1793</v>
      </c>
      <c r="B584" t="s">
        <v>2056</v>
      </c>
      <c r="C584" t="s">
        <v>2057</v>
      </c>
      <c r="D584">
        <v>1</v>
      </c>
      <c r="E584" t="s">
        <v>1447</v>
      </c>
      <c r="F584" t="s">
        <v>2060</v>
      </c>
      <c r="G584" t="s">
        <v>1737</v>
      </c>
      <c r="H584" t="s">
        <v>1799</v>
      </c>
      <c r="I584" t="s">
        <v>1799</v>
      </c>
      <c r="J584" t="s">
        <v>1799</v>
      </c>
      <c r="K584" t="s">
        <v>1799</v>
      </c>
      <c r="L584" t="s">
        <v>1437</v>
      </c>
      <c r="M584" t="s">
        <v>1799</v>
      </c>
      <c r="N584" t="s">
        <v>1799</v>
      </c>
      <c r="O584" s="184" t="str">
        <f>"["&amp;$C584&amp;"]["&amp;$D584&amp;"]["&amp;$F584&amp;"]"</f>
        <v>[S06_InstallationsConservativeEstimates][1][ReasonConservativeEstimate]</v>
      </c>
    </row>
    <row r="585" spans="1:15" x14ac:dyDescent="0.3">
      <c r="A585" t="s">
        <v>1793</v>
      </c>
      <c r="B585" t="s">
        <v>2056</v>
      </c>
      <c r="C585" t="s">
        <v>2057</v>
      </c>
      <c r="D585">
        <v>1</v>
      </c>
      <c r="E585" t="s">
        <v>1447</v>
      </c>
      <c r="F585" t="s">
        <v>2061</v>
      </c>
      <c r="G585" t="s">
        <v>1889</v>
      </c>
      <c r="H585" t="s">
        <v>1799</v>
      </c>
      <c r="I585" t="s">
        <v>1799</v>
      </c>
      <c r="J585">
        <v>1</v>
      </c>
      <c r="K585" t="s">
        <v>1799</v>
      </c>
      <c r="L585" t="s">
        <v>1799</v>
      </c>
      <c r="M585" t="s">
        <v>1799</v>
      </c>
      <c r="N585" t="s">
        <v>1799</v>
      </c>
      <c r="O585" s="184" t="str">
        <f>"["&amp;$C585&amp;"]["&amp;$D585&amp;"]["&amp;$F585&amp;"]"</f>
        <v>[S06_InstallationsConservativeEstimates][1][InstallationConservativeShare]</v>
      </c>
    </row>
    <row r="586" spans="1:15" x14ac:dyDescent="0.3">
      <c r="A586" t="s">
        <v>1793</v>
      </c>
      <c r="B586" t="s">
        <v>2056</v>
      </c>
      <c r="C586" t="s">
        <v>2057</v>
      </c>
      <c r="D586">
        <v>1</v>
      </c>
      <c r="E586" t="s">
        <v>1447</v>
      </c>
      <c r="F586" t="s">
        <v>2062</v>
      </c>
      <c r="G586" t="s">
        <v>1797</v>
      </c>
      <c r="H586" t="s">
        <v>2063</v>
      </c>
      <c r="I586" t="s">
        <v>1799</v>
      </c>
      <c r="J586" t="s">
        <v>1799</v>
      </c>
      <c r="K586" t="s">
        <v>1799</v>
      </c>
      <c r="L586" t="s">
        <v>1799</v>
      </c>
      <c r="M586" t="s">
        <v>1799</v>
      </c>
      <c r="N586" t="s">
        <v>1799</v>
      </c>
      <c r="O586" s="184" t="str">
        <f>"["&amp;$C586&amp;"]["&amp;$D586&amp;"]["&amp;$F586&amp;"]"</f>
        <v>[S06_InstallationsConservativeEstimates][1][ConservativeMethod]</v>
      </c>
    </row>
    <row r="587" spans="1:15" x14ac:dyDescent="0.3">
      <c r="A587" t="s">
        <v>1793</v>
      </c>
      <c r="B587" t="s">
        <v>2056</v>
      </c>
      <c r="C587" t="s">
        <v>2057</v>
      </c>
      <c r="D587">
        <v>1</v>
      </c>
      <c r="E587" t="s">
        <v>1447</v>
      </c>
      <c r="F587" t="s">
        <v>2064</v>
      </c>
      <c r="G587" t="s">
        <v>1737</v>
      </c>
      <c r="H587" t="s">
        <v>1799</v>
      </c>
      <c r="I587" t="s">
        <v>1799</v>
      </c>
      <c r="J587" t="s">
        <v>1799</v>
      </c>
      <c r="K587" t="s">
        <v>1799</v>
      </c>
      <c r="L587" t="s">
        <v>1438</v>
      </c>
      <c r="M587" t="s">
        <v>1799</v>
      </c>
      <c r="N587" t="s">
        <v>1799</v>
      </c>
      <c r="O587" s="184" t="str">
        <f>"["&amp;$C587&amp;"]["&amp;$D587&amp;"]["&amp;$F587&amp;"]"</f>
        <v>[S06_InstallationsConservativeEstimates][1][FurtherAction]</v>
      </c>
    </row>
    <row r="588" spans="1:15" x14ac:dyDescent="0.3">
      <c r="A588" t="s">
        <v>1793</v>
      </c>
      <c r="B588" t="s">
        <v>2056</v>
      </c>
      <c r="C588" t="s">
        <v>2065</v>
      </c>
      <c r="D588">
        <v>1</v>
      </c>
      <c r="E588" t="s">
        <v>1447</v>
      </c>
      <c r="F588" t="s">
        <v>2066</v>
      </c>
      <c r="G588" t="s">
        <v>1811</v>
      </c>
      <c r="H588" t="s">
        <v>1799</v>
      </c>
      <c r="I588">
        <v>1</v>
      </c>
      <c r="J588" t="s">
        <v>1799</v>
      </c>
      <c r="K588" t="s">
        <v>1799</v>
      </c>
      <c r="L588" t="s">
        <v>1799</v>
      </c>
      <c r="M588" t="s">
        <v>1799</v>
      </c>
      <c r="N588" t="s">
        <v>1799</v>
      </c>
      <c r="O588" s="184" t="str">
        <f>"["&amp;$C588&amp;"]["&amp;$D588&amp;"]["&amp;$F588&amp;"]"</f>
        <v>[S06_NegativeOpinionInstallations][1][CountNegativeOpinions]</v>
      </c>
    </row>
    <row r="589" spans="1:15" x14ac:dyDescent="0.3">
      <c r="A589" t="s">
        <v>1793</v>
      </c>
      <c r="B589" t="s">
        <v>2056</v>
      </c>
      <c r="C589" t="s">
        <v>2065</v>
      </c>
      <c r="D589">
        <v>2</v>
      </c>
      <c r="E589" t="s">
        <v>1447</v>
      </c>
      <c r="F589" t="s">
        <v>2066</v>
      </c>
      <c r="G589" t="s">
        <v>1811</v>
      </c>
      <c r="H589" t="s">
        <v>1799</v>
      </c>
      <c r="I589">
        <v>0</v>
      </c>
      <c r="J589" t="s">
        <v>1799</v>
      </c>
      <c r="K589" t="s">
        <v>1799</v>
      </c>
      <c r="L589" t="s">
        <v>1799</v>
      </c>
      <c r="M589" t="s">
        <v>1799</v>
      </c>
      <c r="N589" t="s">
        <v>1799</v>
      </c>
      <c r="O589" s="184" t="str">
        <f>"["&amp;$C589&amp;"]["&amp;$D589&amp;"]["&amp;$F589&amp;"]"</f>
        <v>[S06_NegativeOpinionInstallations][2][CountNegativeOpinions]</v>
      </c>
    </row>
    <row r="590" spans="1:15" x14ac:dyDescent="0.3">
      <c r="A590" t="s">
        <v>1793</v>
      </c>
      <c r="B590" t="s">
        <v>2056</v>
      </c>
      <c r="C590" t="s">
        <v>2065</v>
      </c>
      <c r="D590">
        <v>3</v>
      </c>
      <c r="E590" t="s">
        <v>1447</v>
      </c>
      <c r="F590" t="s">
        <v>2066</v>
      </c>
      <c r="G590" t="s">
        <v>1811</v>
      </c>
      <c r="H590" t="s">
        <v>1799</v>
      </c>
      <c r="I590">
        <v>0</v>
      </c>
      <c r="J590" t="s">
        <v>1799</v>
      </c>
      <c r="K590" t="s">
        <v>1799</v>
      </c>
      <c r="L590" t="s">
        <v>1799</v>
      </c>
      <c r="M590" t="s">
        <v>1799</v>
      </c>
      <c r="N590" t="s">
        <v>1799</v>
      </c>
      <c r="O590" s="184" t="str">
        <f>"["&amp;$C590&amp;"]["&amp;$D590&amp;"]["&amp;$F590&amp;"]"</f>
        <v>[S06_NegativeOpinionInstallations][3][CountNegativeOpinions]</v>
      </c>
    </row>
    <row r="591" spans="1:15" x14ac:dyDescent="0.3">
      <c r="A591" t="s">
        <v>1793</v>
      </c>
      <c r="B591" t="s">
        <v>2056</v>
      </c>
      <c r="C591" t="s">
        <v>2065</v>
      </c>
      <c r="D591">
        <v>4</v>
      </c>
      <c r="E591" t="s">
        <v>1447</v>
      </c>
      <c r="F591" t="s">
        <v>2066</v>
      </c>
      <c r="G591" t="s">
        <v>1811</v>
      </c>
      <c r="H591" t="s">
        <v>1799</v>
      </c>
      <c r="I591">
        <v>0</v>
      </c>
      <c r="J591" t="s">
        <v>1799</v>
      </c>
      <c r="K591" t="s">
        <v>1799</v>
      </c>
      <c r="L591" t="s">
        <v>1799</v>
      </c>
      <c r="M591" t="s">
        <v>1799</v>
      </c>
      <c r="N591" t="s">
        <v>1799</v>
      </c>
      <c r="O591" s="184" t="str">
        <f>"["&amp;$C591&amp;"]["&amp;$D591&amp;"]["&amp;$F591&amp;"]"</f>
        <v>[S06_NegativeOpinionInstallations][4][CountNegativeOpinions]</v>
      </c>
    </row>
    <row r="592" spans="1:15" x14ac:dyDescent="0.3">
      <c r="A592" t="s">
        <v>1793</v>
      </c>
      <c r="B592" t="s">
        <v>2067</v>
      </c>
      <c r="C592" t="s">
        <v>2068</v>
      </c>
      <c r="D592">
        <v>0</v>
      </c>
      <c r="E592" t="s">
        <v>1447</v>
      </c>
      <c r="F592" t="s">
        <v>2068</v>
      </c>
      <c r="G592" t="s">
        <v>1836</v>
      </c>
      <c r="H592" t="s">
        <v>1799</v>
      </c>
      <c r="I592" t="s">
        <v>1799</v>
      </c>
      <c r="J592" t="s">
        <v>1799</v>
      </c>
      <c r="K592" t="s">
        <v>1799</v>
      </c>
      <c r="L592" t="s">
        <v>1419</v>
      </c>
      <c r="M592" t="s">
        <v>1799</v>
      </c>
      <c r="N592" t="s">
        <v>1799</v>
      </c>
      <c r="O592" s="184" t="str">
        <f>"["&amp;$C592&amp;"]["&amp;$D592&amp;"]["&amp;$F592&amp;"]"</f>
        <v>[InstallationsVerificationReportIssues][0][InstallationsVerificationReportIssues]</v>
      </c>
    </row>
    <row r="593" spans="1:15" x14ac:dyDescent="0.3">
      <c r="A593" t="s">
        <v>1793</v>
      </c>
      <c r="B593" t="s">
        <v>2067</v>
      </c>
      <c r="C593" t="s">
        <v>2069</v>
      </c>
      <c r="D593">
        <v>1</v>
      </c>
      <c r="E593" t="s">
        <v>1447</v>
      </c>
      <c r="F593" t="s">
        <v>2070</v>
      </c>
      <c r="G593" t="s">
        <v>1737</v>
      </c>
      <c r="H593" t="s">
        <v>1799</v>
      </c>
      <c r="I593" t="s">
        <v>1799</v>
      </c>
      <c r="J593" t="s">
        <v>1799</v>
      </c>
      <c r="K593" t="s">
        <v>1799</v>
      </c>
      <c r="L593" t="s">
        <v>1420</v>
      </c>
      <c r="M593" t="s">
        <v>1799</v>
      </c>
      <c r="N593" t="s">
        <v>1799</v>
      </c>
      <c r="O593" s="184" t="str">
        <f>"["&amp;$C593&amp;"]["&amp;$D593&amp;"]["&amp;$F593&amp;"]"</f>
        <v>[S06_InstallationsVerificationReportsIssueDetail][1][AnnexIActivity]</v>
      </c>
    </row>
    <row r="594" spans="1:15" x14ac:dyDescent="0.3">
      <c r="A594" t="s">
        <v>1793</v>
      </c>
      <c r="B594" t="s">
        <v>2067</v>
      </c>
      <c r="C594" t="s">
        <v>2069</v>
      </c>
      <c r="D594">
        <v>2</v>
      </c>
      <c r="E594" t="s">
        <v>1447</v>
      </c>
      <c r="F594" t="s">
        <v>2070</v>
      </c>
      <c r="G594" t="s">
        <v>1737</v>
      </c>
      <c r="H594" t="s">
        <v>1799</v>
      </c>
      <c r="I594" t="s">
        <v>1799</v>
      </c>
      <c r="J594" t="s">
        <v>1799</v>
      </c>
      <c r="K594" t="s">
        <v>1799</v>
      </c>
      <c r="L594" t="s">
        <v>1420</v>
      </c>
      <c r="M594" t="s">
        <v>1799</v>
      </c>
      <c r="N594" t="s">
        <v>1799</v>
      </c>
      <c r="O594" s="184" t="str">
        <f>"["&amp;$C594&amp;"]["&amp;$D594&amp;"]["&amp;$F594&amp;"]"</f>
        <v>[S06_InstallationsVerificationReportsIssueDetail][2][AnnexIActivity]</v>
      </c>
    </row>
    <row r="595" spans="1:15" x14ac:dyDescent="0.3">
      <c r="A595" t="s">
        <v>1793</v>
      </c>
      <c r="B595" t="s">
        <v>2067</v>
      </c>
      <c r="C595" t="s">
        <v>2069</v>
      </c>
      <c r="D595">
        <v>3</v>
      </c>
      <c r="E595" t="s">
        <v>1447</v>
      </c>
      <c r="F595" t="s">
        <v>2070</v>
      </c>
      <c r="G595" t="s">
        <v>1737</v>
      </c>
      <c r="H595" t="s">
        <v>1799</v>
      </c>
      <c r="I595" t="s">
        <v>1799</v>
      </c>
      <c r="J595" t="s">
        <v>1799</v>
      </c>
      <c r="K595" t="s">
        <v>1799</v>
      </c>
      <c r="L595" t="s">
        <v>1420</v>
      </c>
      <c r="M595" t="s">
        <v>1799</v>
      </c>
      <c r="N595" t="s">
        <v>1799</v>
      </c>
      <c r="O595" s="184" t="str">
        <f>"["&amp;$C595&amp;"]["&amp;$D595&amp;"]["&amp;$F595&amp;"]"</f>
        <v>[S06_InstallationsVerificationReportsIssueDetail][3][AnnexIActivity]</v>
      </c>
    </row>
    <row r="596" spans="1:15" x14ac:dyDescent="0.3">
      <c r="A596" t="s">
        <v>1793</v>
      </c>
      <c r="B596" t="s">
        <v>2067</v>
      </c>
      <c r="C596" t="s">
        <v>2069</v>
      </c>
      <c r="D596">
        <v>4</v>
      </c>
      <c r="E596" t="s">
        <v>1447</v>
      </c>
      <c r="F596" t="s">
        <v>2070</v>
      </c>
      <c r="G596" t="s">
        <v>1737</v>
      </c>
      <c r="H596" t="s">
        <v>1799</v>
      </c>
      <c r="I596" t="s">
        <v>1799</v>
      </c>
      <c r="J596" t="s">
        <v>1799</v>
      </c>
      <c r="K596" t="s">
        <v>1799</v>
      </c>
      <c r="L596" t="s">
        <v>1562</v>
      </c>
      <c r="M596" t="s">
        <v>1799</v>
      </c>
      <c r="N596" t="s">
        <v>1799</v>
      </c>
      <c r="O596" s="184" t="str">
        <f>"["&amp;$C596&amp;"]["&amp;$D596&amp;"]["&amp;$F596&amp;"]"</f>
        <v>[S06_InstallationsVerificationReportsIssueDetail][4][AnnexIActivity]</v>
      </c>
    </row>
    <row r="597" spans="1:15" x14ac:dyDescent="0.3">
      <c r="A597" t="s">
        <v>1793</v>
      </c>
      <c r="B597" t="s">
        <v>2067</v>
      </c>
      <c r="C597" t="s">
        <v>2069</v>
      </c>
      <c r="D597">
        <v>5</v>
      </c>
      <c r="E597" t="s">
        <v>1447</v>
      </c>
      <c r="F597" t="s">
        <v>2070</v>
      </c>
      <c r="G597" t="s">
        <v>1737</v>
      </c>
      <c r="H597" t="s">
        <v>1799</v>
      </c>
      <c r="I597" t="s">
        <v>1799</v>
      </c>
      <c r="J597" t="s">
        <v>1799</v>
      </c>
      <c r="K597" t="s">
        <v>1799</v>
      </c>
      <c r="L597" t="s">
        <v>1577</v>
      </c>
      <c r="M597" t="s">
        <v>1799</v>
      </c>
      <c r="N597" t="s">
        <v>1799</v>
      </c>
      <c r="O597" s="184" t="str">
        <f>"["&amp;$C597&amp;"]["&amp;$D597&amp;"]["&amp;$F597&amp;"]"</f>
        <v>[S06_InstallationsVerificationReportsIssueDetail][5][AnnexIActivity]</v>
      </c>
    </row>
    <row r="598" spans="1:15" x14ac:dyDescent="0.3">
      <c r="A598" t="s">
        <v>1793</v>
      </c>
      <c r="B598" t="s">
        <v>2067</v>
      </c>
      <c r="C598" t="s">
        <v>2069</v>
      </c>
      <c r="D598">
        <v>6</v>
      </c>
      <c r="E598" t="s">
        <v>1447</v>
      </c>
      <c r="F598" t="s">
        <v>2070</v>
      </c>
      <c r="G598" t="s">
        <v>1737</v>
      </c>
      <c r="H598" t="s">
        <v>1799</v>
      </c>
      <c r="I598" t="s">
        <v>1799</v>
      </c>
      <c r="J598" t="s">
        <v>1799</v>
      </c>
      <c r="K598" t="s">
        <v>1799</v>
      </c>
      <c r="L598" t="s">
        <v>1577</v>
      </c>
      <c r="M598" t="s">
        <v>1799</v>
      </c>
      <c r="N598" t="s">
        <v>1799</v>
      </c>
      <c r="O598" s="184" t="str">
        <f>"["&amp;$C598&amp;"]["&amp;$D598&amp;"]["&amp;$F598&amp;"]"</f>
        <v>[S06_InstallationsVerificationReportsIssueDetail][6][AnnexIActivity]</v>
      </c>
    </row>
    <row r="599" spans="1:15" x14ac:dyDescent="0.3">
      <c r="A599" t="s">
        <v>1793</v>
      </c>
      <c r="B599" t="s">
        <v>2067</v>
      </c>
      <c r="C599" t="s">
        <v>2069</v>
      </c>
      <c r="D599">
        <v>7</v>
      </c>
      <c r="E599" t="s">
        <v>1447</v>
      </c>
      <c r="F599" t="s">
        <v>2070</v>
      </c>
      <c r="G599" t="s">
        <v>1737</v>
      </c>
      <c r="H599" t="s">
        <v>1799</v>
      </c>
      <c r="I599" t="s">
        <v>1799</v>
      </c>
      <c r="J599" t="s">
        <v>1799</v>
      </c>
      <c r="K599" t="s">
        <v>1799</v>
      </c>
      <c r="L599" t="s">
        <v>1577</v>
      </c>
      <c r="M599" t="s">
        <v>1799</v>
      </c>
      <c r="N599" t="s">
        <v>1799</v>
      </c>
      <c r="O599" s="184" t="str">
        <f>"["&amp;$C599&amp;"]["&amp;$D599&amp;"]["&amp;$F599&amp;"]"</f>
        <v>[S06_InstallationsVerificationReportsIssueDetail][7][AnnexIActivity]</v>
      </c>
    </row>
    <row r="600" spans="1:15" x14ac:dyDescent="0.3">
      <c r="A600" t="s">
        <v>1793</v>
      </c>
      <c r="B600" t="s">
        <v>2067</v>
      </c>
      <c r="C600" t="s">
        <v>2069</v>
      </c>
      <c r="D600">
        <v>8</v>
      </c>
      <c r="E600" t="s">
        <v>1447</v>
      </c>
      <c r="F600" t="s">
        <v>2070</v>
      </c>
      <c r="G600" t="s">
        <v>1737</v>
      </c>
      <c r="H600" t="s">
        <v>1799</v>
      </c>
      <c r="I600" t="s">
        <v>1799</v>
      </c>
      <c r="J600" t="s">
        <v>1799</v>
      </c>
      <c r="K600" t="s">
        <v>1799</v>
      </c>
      <c r="L600" t="s">
        <v>1582</v>
      </c>
      <c r="M600" t="s">
        <v>1799</v>
      </c>
      <c r="N600" t="s">
        <v>1799</v>
      </c>
      <c r="O600" s="184" t="str">
        <f>"["&amp;$C600&amp;"]["&amp;$D600&amp;"]["&amp;$F600&amp;"]"</f>
        <v>[S06_InstallationsVerificationReportsIssueDetail][8][AnnexIActivity]</v>
      </c>
    </row>
    <row r="601" spans="1:15" x14ac:dyDescent="0.3">
      <c r="A601" t="s">
        <v>1793</v>
      </c>
      <c r="B601" t="s">
        <v>2067</v>
      </c>
      <c r="C601" t="s">
        <v>2069</v>
      </c>
      <c r="D601">
        <v>9</v>
      </c>
      <c r="E601" t="s">
        <v>1447</v>
      </c>
      <c r="F601" t="s">
        <v>2070</v>
      </c>
      <c r="G601" t="s">
        <v>1737</v>
      </c>
      <c r="H601" t="s">
        <v>1799</v>
      </c>
      <c r="I601" t="s">
        <v>1799</v>
      </c>
      <c r="J601" t="s">
        <v>1799</v>
      </c>
      <c r="K601" t="s">
        <v>1799</v>
      </c>
      <c r="L601" t="s">
        <v>1582</v>
      </c>
      <c r="M601" t="s">
        <v>1799</v>
      </c>
      <c r="N601" t="s">
        <v>1799</v>
      </c>
      <c r="O601" s="184" t="str">
        <f>"["&amp;$C601&amp;"]["&amp;$D601&amp;"]["&amp;$F601&amp;"]"</f>
        <v>[S06_InstallationsVerificationReportsIssueDetail][9][AnnexIActivity]</v>
      </c>
    </row>
    <row r="602" spans="1:15" x14ac:dyDescent="0.3">
      <c r="A602" t="s">
        <v>1793</v>
      </c>
      <c r="B602" t="s">
        <v>2067</v>
      </c>
      <c r="C602" t="s">
        <v>2069</v>
      </c>
      <c r="D602">
        <v>10</v>
      </c>
      <c r="E602" t="s">
        <v>1447</v>
      </c>
      <c r="F602" t="s">
        <v>2070</v>
      </c>
      <c r="G602" t="s">
        <v>1737</v>
      </c>
      <c r="H602" t="s">
        <v>1799</v>
      </c>
      <c r="I602" t="s">
        <v>1799</v>
      </c>
      <c r="J602" t="s">
        <v>1799</v>
      </c>
      <c r="K602" t="s">
        <v>1799</v>
      </c>
      <c r="L602" t="s">
        <v>1582</v>
      </c>
      <c r="M602" t="s">
        <v>1799</v>
      </c>
      <c r="N602" t="s">
        <v>1799</v>
      </c>
      <c r="O602" s="184" t="str">
        <f>"["&amp;$C602&amp;"]["&amp;$D602&amp;"]["&amp;$F602&amp;"]"</f>
        <v>[S06_InstallationsVerificationReportsIssueDetail][10][AnnexIActivity]</v>
      </c>
    </row>
    <row r="603" spans="1:15" x14ac:dyDescent="0.3">
      <c r="A603" t="s">
        <v>1793</v>
      </c>
      <c r="B603" t="s">
        <v>2067</v>
      </c>
      <c r="C603" t="s">
        <v>2069</v>
      </c>
      <c r="D603">
        <v>11</v>
      </c>
      <c r="E603" t="s">
        <v>1447</v>
      </c>
      <c r="F603" t="s">
        <v>2070</v>
      </c>
      <c r="G603" t="s">
        <v>1737</v>
      </c>
      <c r="H603" t="s">
        <v>1799</v>
      </c>
      <c r="I603" t="s">
        <v>1799</v>
      </c>
      <c r="J603" t="s">
        <v>1799</v>
      </c>
      <c r="K603" t="s">
        <v>1799</v>
      </c>
      <c r="L603" t="s">
        <v>1518</v>
      </c>
      <c r="M603" t="s">
        <v>1799</v>
      </c>
      <c r="N603" t="s">
        <v>1799</v>
      </c>
      <c r="O603" s="184" t="str">
        <f>"["&amp;$C603&amp;"]["&amp;$D603&amp;"]["&amp;$F603&amp;"]"</f>
        <v>[S06_InstallationsVerificationReportsIssueDetail][11][AnnexIActivity]</v>
      </c>
    </row>
    <row r="604" spans="1:15" x14ac:dyDescent="0.3">
      <c r="A604" t="s">
        <v>1793</v>
      </c>
      <c r="B604" t="s">
        <v>2067</v>
      </c>
      <c r="C604" t="s">
        <v>2069</v>
      </c>
      <c r="D604">
        <v>12</v>
      </c>
      <c r="E604" t="s">
        <v>1447</v>
      </c>
      <c r="F604" t="s">
        <v>2070</v>
      </c>
      <c r="G604" t="s">
        <v>1737</v>
      </c>
      <c r="H604" t="s">
        <v>1799</v>
      </c>
      <c r="I604" t="s">
        <v>1799</v>
      </c>
      <c r="J604" t="s">
        <v>1799</v>
      </c>
      <c r="K604" t="s">
        <v>1799</v>
      </c>
      <c r="L604" t="s">
        <v>1518</v>
      </c>
      <c r="M604" t="s">
        <v>1799</v>
      </c>
      <c r="N604" t="s">
        <v>1799</v>
      </c>
      <c r="O604" s="184" t="str">
        <f>"["&amp;$C604&amp;"]["&amp;$D604&amp;"]["&amp;$F604&amp;"]"</f>
        <v>[S06_InstallationsVerificationReportsIssueDetail][12][AnnexIActivity]</v>
      </c>
    </row>
    <row r="605" spans="1:15" x14ac:dyDescent="0.3">
      <c r="A605" t="s">
        <v>1793</v>
      </c>
      <c r="B605" t="s">
        <v>2067</v>
      </c>
      <c r="C605" t="s">
        <v>2069</v>
      </c>
      <c r="D605">
        <v>13</v>
      </c>
      <c r="E605" t="s">
        <v>1447</v>
      </c>
      <c r="F605" t="s">
        <v>2070</v>
      </c>
      <c r="G605" t="s">
        <v>1737</v>
      </c>
      <c r="H605" t="s">
        <v>1799</v>
      </c>
      <c r="I605" t="s">
        <v>1799</v>
      </c>
      <c r="J605" t="s">
        <v>1799</v>
      </c>
      <c r="K605" t="s">
        <v>1799</v>
      </c>
      <c r="L605" t="s">
        <v>1568</v>
      </c>
      <c r="M605" t="s">
        <v>1799</v>
      </c>
      <c r="N605" t="s">
        <v>1799</v>
      </c>
      <c r="O605" s="184" t="str">
        <f>"["&amp;$C605&amp;"]["&amp;$D605&amp;"]["&amp;$F605&amp;"]"</f>
        <v>[S06_InstallationsVerificationReportsIssueDetail][13][AnnexIActivity]</v>
      </c>
    </row>
    <row r="606" spans="1:15" x14ac:dyDescent="0.3">
      <c r="A606" t="s">
        <v>1793</v>
      </c>
      <c r="B606" t="s">
        <v>2067</v>
      </c>
      <c r="C606" t="s">
        <v>2069</v>
      </c>
      <c r="D606">
        <v>14</v>
      </c>
      <c r="E606" t="s">
        <v>1447</v>
      </c>
      <c r="F606" t="s">
        <v>2070</v>
      </c>
      <c r="G606" t="s">
        <v>1737</v>
      </c>
      <c r="H606" t="s">
        <v>1799</v>
      </c>
      <c r="I606" t="s">
        <v>1799</v>
      </c>
      <c r="J606" t="s">
        <v>1799</v>
      </c>
      <c r="K606" t="s">
        <v>1799</v>
      </c>
      <c r="L606" t="s">
        <v>1448</v>
      </c>
      <c r="M606" t="s">
        <v>1799</v>
      </c>
      <c r="N606" t="s">
        <v>1799</v>
      </c>
      <c r="O606" s="184" t="str">
        <f>"["&amp;$C606&amp;"]["&amp;$D606&amp;"]["&amp;$F606&amp;"]"</f>
        <v>[S06_InstallationsVerificationReportsIssueDetail][14][AnnexIActivity]</v>
      </c>
    </row>
    <row r="607" spans="1:15" x14ac:dyDescent="0.3">
      <c r="A607" t="s">
        <v>1793</v>
      </c>
      <c r="B607" t="s">
        <v>2067</v>
      </c>
      <c r="C607" t="s">
        <v>2069</v>
      </c>
      <c r="D607">
        <v>1</v>
      </c>
      <c r="E607" t="s">
        <v>1447</v>
      </c>
      <c r="F607" t="s">
        <v>2071</v>
      </c>
      <c r="G607" t="s">
        <v>1737</v>
      </c>
      <c r="H607" t="s">
        <v>1799</v>
      </c>
      <c r="I607" t="s">
        <v>1799</v>
      </c>
      <c r="J607" t="s">
        <v>1799</v>
      </c>
      <c r="K607" t="s">
        <v>1799</v>
      </c>
      <c r="L607" t="s">
        <v>1467</v>
      </c>
      <c r="M607" t="s">
        <v>1799</v>
      </c>
      <c r="N607" t="s">
        <v>1799</v>
      </c>
      <c r="O607" s="184" t="str">
        <f>"["&amp;$C607&amp;"]["&amp;$D607&amp;"]["&amp;$F607&amp;"]"</f>
        <v>[S06_InstallationsVerificationReportsIssueDetail][1][TypeOfIssue]</v>
      </c>
    </row>
    <row r="608" spans="1:15" x14ac:dyDescent="0.3">
      <c r="A608" t="s">
        <v>1793</v>
      </c>
      <c r="B608" t="s">
        <v>2067</v>
      </c>
      <c r="C608" t="s">
        <v>2069</v>
      </c>
      <c r="D608">
        <v>2</v>
      </c>
      <c r="E608" t="s">
        <v>1447</v>
      </c>
      <c r="F608" t="s">
        <v>2071</v>
      </c>
      <c r="G608" t="s">
        <v>1737</v>
      </c>
      <c r="H608" t="s">
        <v>1799</v>
      </c>
      <c r="I608" t="s">
        <v>1799</v>
      </c>
      <c r="J608" t="s">
        <v>1799</v>
      </c>
      <c r="K608" t="s">
        <v>1799</v>
      </c>
      <c r="L608" t="s">
        <v>1492</v>
      </c>
      <c r="M608" t="s">
        <v>1799</v>
      </c>
      <c r="N608" t="s">
        <v>1799</v>
      </c>
      <c r="O608" s="184" t="str">
        <f>"["&amp;$C608&amp;"]["&amp;$D608&amp;"]["&amp;$F608&amp;"]"</f>
        <v>[S06_InstallationsVerificationReportsIssueDetail][2][TypeOfIssue]</v>
      </c>
    </row>
    <row r="609" spans="1:15" x14ac:dyDescent="0.3">
      <c r="A609" t="s">
        <v>1793</v>
      </c>
      <c r="B609" t="s">
        <v>2067</v>
      </c>
      <c r="C609" t="s">
        <v>2069</v>
      </c>
      <c r="D609">
        <v>3</v>
      </c>
      <c r="E609" t="s">
        <v>1447</v>
      </c>
      <c r="F609" t="s">
        <v>2071</v>
      </c>
      <c r="G609" t="s">
        <v>1737</v>
      </c>
      <c r="H609" t="s">
        <v>1799</v>
      </c>
      <c r="I609" t="s">
        <v>1799</v>
      </c>
      <c r="J609" t="s">
        <v>1799</v>
      </c>
      <c r="K609" t="s">
        <v>1799</v>
      </c>
      <c r="L609" t="s">
        <v>1512</v>
      </c>
      <c r="M609" t="s">
        <v>1799</v>
      </c>
      <c r="N609" t="s">
        <v>1799</v>
      </c>
      <c r="O609" s="184" t="str">
        <f>"["&amp;$C609&amp;"]["&amp;$D609&amp;"]["&amp;$F609&amp;"]"</f>
        <v>[S06_InstallationsVerificationReportsIssueDetail][3][TypeOfIssue]</v>
      </c>
    </row>
    <row r="610" spans="1:15" x14ac:dyDescent="0.3">
      <c r="A610" t="s">
        <v>1793</v>
      </c>
      <c r="B610" t="s">
        <v>2067</v>
      </c>
      <c r="C610" t="s">
        <v>2069</v>
      </c>
      <c r="D610">
        <v>4</v>
      </c>
      <c r="E610" t="s">
        <v>1447</v>
      </c>
      <c r="F610" t="s">
        <v>2071</v>
      </c>
      <c r="G610" t="s">
        <v>1737</v>
      </c>
      <c r="H610" t="s">
        <v>1799</v>
      </c>
      <c r="I610" t="s">
        <v>1799</v>
      </c>
      <c r="J610" t="s">
        <v>1799</v>
      </c>
      <c r="K610" t="s">
        <v>1799</v>
      </c>
      <c r="L610" t="s">
        <v>1512</v>
      </c>
      <c r="M610" t="s">
        <v>1799</v>
      </c>
      <c r="N610" t="s">
        <v>1799</v>
      </c>
      <c r="O610" s="184" t="str">
        <f>"["&amp;$C610&amp;"]["&amp;$D610&amp;"]["&amp;$F610&amp;"]"</f>
        <v>[S06_InstallationsVerificationReportsIssueDetail][4][TypeOfIssue]</v>
      </c>
    </row>
    <row r="611" spans="1:15" x14ac:dyDescent="0.3">
      <c r="A611" t="s">
        <v>1793</v>
      </c>
      <c r="B611" t="s">
        <v>2067</v>
      </c>
      <c r="C611" t="s">
        <v>2069</v>
      </c>
      <c r="D611">
        <v>5</v>
      </c>
      <c r="E611" t="s">
        <v>1447</v>
      </c>
      <c r="F611" t="s">
        <v>2071</v>
      </c>
      <c r="G611" t="s">
        <v>1737</v>
      </c>
      <c r="H611" t="s">
        <v>1799</v>
      </c>
      <c r="I611" t="s">
        <v>1799</v>
      </c>
      <c r="J611" t="s">
        <v>1799</v>
      </c>
      <c r="K611" t="s">
        <v>1799</v>
      </c>
      <c r="L611" t="s">
        <v>1467</v>
      </c>
      <c r="M611" t="s">
        <v>1799</v>
      </c>
      <c r="N611" t="s">
        <v>1799</v>
      </c>
      <c r="O611" s="184" t="str">
        <f>"["&amp;$C611&amp;"]["&amp;$D611&amp;"]["&amp;$F611&amp;"]"</f>
        <v>[S06_InstallationsVerificationReportsIssueDetail][5][TypeOfIssue]</v>
      </c>
    </row>
    <row r="612" spans="1:15" x14ac:dyDescent="0.3">
      <c r="A612" t="s">
        <v>1793</v>
      </c>
      <c r="B612" t="s">
        <v>2067</v>
      </c>
      <c r="C612" t="s">
        <v>2069</v>
      </c>
      <c r="D612">
        <v>6</v>
      </c>
      <c r="E612" t="s">
        <v>1447</v>
      </c>
      <c r="F612" t="s">
        <v>2071</v>
      </c>
      <c r="G612" t="s">
        <v>1737</v>
      </c>
      <c r="H612" t="s">
        <v>1799</v>
      </c>
      <c r="I612" t="s">
        <v>1799</v>
      </c>
      <c r="J612" t="s">
        <v>1799</v>
      </c>
      <c r="K612" t="s">
        <v>1799</v>
      </c>
      <c r="L612" t="s">
        <v>1492</v>
      </c>
      <c r="M612" t="s">
        <v>1799</v>
      </c>
      <c r="N612" t="s">
        <v>1799</v>
      </c>
      <c r="O612" s="184" t="str">
        <f>"["&amp;$C612&amp;"]["&amp;$D612&amp;"]["&amp;$F612&amp;"]"</f>
        <v>[S06_InstallationsVerificationReportsIssueDetail][6][TypeOfIssue]</v>
      </c>
    </row>
    <row r="613" spans="1:15" x14ac:dyDescent="0.3">
      <c r="A613" t="s">
        <v>1793</v>
      </c>
      <c r="B613" t="s">
        <v>2067</v>
      </c>
      <c r="C613" t="s">
        <v>2069</v>
      </c>
      <c r="D613">
        <v>7</v>
      </c>
      <c r="E613" t="s">
        <v>1447</v>
      </c>
      <c r="F613" t="s">
        <v>2071</v>
      </c>
      <c r="G613" t="s">
        <v>1737</v>
      </c>
      <c r="H613" t="s">
        <v>1799</v>
      </c>
      <c r="I613" t="s">
        <v>1799</v>
      </c>
      <c r="J613" t="s">
        <v>1799</v>
      </c>
      <c r="K613" t="s">
        <v>1799</v>
      </c>
      <c r="L613" t="s">
        <v>1512</v>
      </c>
      <c r="M613" t="s">
        <v>1799</v>
      </c>
      <c r="N613" t="s">
        <v>1799</v>
      </c>
      <c r="O613" s="184" t="str">
        <f>"["&amp;$C613&amp;"]["&amp;$D613&amp;"]["&amp;$F613&amp;"]"</f>
        <v>[S06_InstallationsVerificationReportsIssueDetail][7][TypeOfIssue]</v>
      </c>
    </row>
    <row r="614" spans="1:15" x14ac:dyDescent="0.3">
      <c r="A614" t="s">
        <v>1793</v>
      </c>
      <c r="B614" t="s">
        <v>2067</v>
      </c>
      <c r="C614" t="s">
        <v>2069</v>
      </c>
      <c r="D614">
        <v>8</v>
      </c>
      <c r="E614" t="s">
        <v>1447</v>
      </c>
      <c r="F614" t="s">
        <v>2071</v>
      </c>
      <c r="G614" t="s">
        <v>1737</v>
      </c>
      <c r="H614" t="s">
        <v>1799</v>
      </c>
      <c r="I614" t="s">
        <v>1799</v>
      </c>
      <c r="J614" t="s">
        <v>1799</v>
      </c>
      <c r="K614" t="s">
        <v>1799</v>
      </c>
      <c r="L614" t="s">
        <v>1467</v>
      </c>
      <c r="M614" t="s">
        <v>1799</v>
      </c>
      <c r="N614" t="s">
        <v>1799</v>
      </c>
      <c r="O614" s="184" t="str">
        <f>"["&amp;$C614&amp;"]["&amp;$D614&amp;"]["&amp;$F614&amp;"]"</f>
        <v>[S06_InstallationsVerificationReportsIssueDetail][8][TypeOfIssue]</v>
      </c>
    </row>
    <row r="615" spans="1:15" x14ac:dyDescent="0.3">
      <c r="A615" t="s">
        <v>1793</v>
      </c>
      <c r="B615" t="s">
        <v>2067</v>
      </c>
      <c r="C615" t="s">
        <v>2069</v>
      </c>
      <c r="D615">
        <v>9</v>
      </c>
      <c r="E615" t="s">
        <v>1447</v>
      </c>
      <c r="F615" t="s">
        <v>2071</v>
      </c>
      <c r="G615" t="s">
        <v>1737</v>
      </c>
      <c r="H615" t="s">
        <v>1799</v>
      </c>
      <c r="I615" t="s">
        <v>1799</v>
      </c>
      <c r="J615" t="s">
        <v>1799</v>
      </c>
      <c r="K615" t="s">
        <v>1799</v>
      </c>
      <c r="L615" t="s">
        <v>1492</v>
      </c>
      <c r="M615" t="s">
        <v>1799</v>
      </c>
      <c r="N615" t="s">
        <v>1799</v>
      </c>
      <c r="O615" s="184" t="str">
        <f>"["&amp;$C615&amp;"]["&amp;$D615&amp;"]["&amp;$F615&amp;"]"</f>
        <v>[S06_InstallationsVerificationReportsIssueDetail][9][TypeOfIssue]</v>
      </c>
    </row>
    <row r="616" spans="1:15" x14ac:dyDescent="0.3">
      <c r="A616" t="s">
        <v>1793</v>
      </c>
      <c r="B616" t="s">
        <v>2067</v>
      </c>
      <c r="C616" t="s">
        <v>2069</v>
      </c>
      <c r="D616">
        <v>10</v>
      </c>
      <c r="E616" t="s">
        <v>1447</v>
      </c>
      <c r="F616" t="s">
        <v>2071</v>
      </c>
      <c r="G616" t="s">
        <v>1737</v>
      </c>
      <c r="H616" t="s">
        <v>1799</v>
      </c>
      <c r="I616" t="s">
        <v>1799</v>
      </c>
      <c r="J616" t="s">
        <v>1799</v>
      </c>
      <c r="K616" t="s">
        <v>1799</v>
      </c>
      <c r="L616" t="s">
        <v>1512</v>
      </c>
      <c r="M616" t="s">
        <v>1799</v>
      </c>
      <c r="N616" t="s">
        <v>1799</v>
      </c>
      <c r="O616" s="184" t="str">
        <f>"["&amp;$C616&amp;"]["&amp;$D616&amp;"]["&amp;$F616&amp;"]"</f>
        <v>[S06_InstallationsVerificationReportsIssueDetail][10][TypeOfIssue]</v>
      </c>
    </row>
    <row r="617" spans="1:15" x14ac:dyDescent="0.3">
      <c r="A617" t="s">
        <v>1793</v>
      </c>
      <c r="B617" t="s">
        <v>2067</v>
      </c>
      <c r="C617" t="s">
        <v>2069</v>
      </c>
      <c r="D617">
        <v>11</v>
      </c>
      <c r="E617" t="s">
        <v>1447</v>
      </c>
      <c r="F617" t="s">
        <v>2071</v>
      </c>
      <c r="G617" t="s">
        <v>1737</v>
      </c>
      <c r="H617" t="s">
        <v>1799</v>
      </c>
      <c r="I617" t="s">
        <v>1799</v>
      </c>
      <c r="J617" t="s">
        <v>1799</v>
      </c>
      <c r="K617" t="s">
        <v>1799</v>
      </c>
      <c r="L617" t="s">
        <v>1467</v>
      </c>
      <c r="M617" t="s">
        <v>1799</v>
      </c>
      <c r="N617" t="s">
        <v>1799</v>
      </c>
      <c r="O617" s="184" t="str">
        <f>"["&amp;$C617&amp;"]["&amp;$D617&amp;"]["&amp;$F617&amp;"]"</f>
        <v>[S06_InstallationsVerificationReportsIssueDetail][11][TypeOfIssue]</v>
      </c>
    </row>
    <row r="618" spans="1:15" x14ac:dyDescent="0.3">
      <c r="A618" t="s">
        <v>1793</v>
      </c>
      <c r="B618" t="s">
        <v>2067</v>
      </c>
      <c r="C618" t="s">
        <v>2069</v>
      </c>
      <c r="D618">
        <v>12</v>
      </c>
      <c r="E618" t="s">
        <v>1447</v>
      </c>
      <c r="F618" t="s">
        <v>2071</v>
      </c>
      <c r="G618" t="s">
        <v>1737</v>
      </c>
      <c r="H618" t="s">
        <v>1799</v>
      </c>
      <c r="I618" t="s">
        <v>1799</v>
      </c>
      <c r="J618" t="s">
        <v>1799</v>
      </c>
      <c r="K618" t="s">
        <v>1799</v>
      </c>
      <c r="L618" t="s">
        <v>1512</v>
      </c>
      <c r="M618" t="s">
        <v>1799</v>
      </c>
      <c r="N618" t="s">
        <v>1799</v>
      </c>
      <c r="O618" s="184" t="str">
        <f>"["&amp;$C618&amp;"]["&amp;$D618&amp;"]["&amp;$F618&amp;"]"</f>
        <v>[S06_InstallationsVerificationReportsIssueDetail][12][TypeOfIssue]</v>
      </c>
    </row>
    <row r="619" spans="1:15" x14ac:dyDescent="0.3">
      <c r="A619" t="s">
        <v>1793</v>
      </c>
      <c r="B619" t="s">
        <v>2067</v>
      </c>
      <c r="C619" t="s">
        <v>2069</v>
      </c>
      <c r="D619">
        <v>13</v>
      </c>
      <c r="E619" t="s">
        <v>1447</v>
      </c>
      <c r="F619" t="s">
        <v>2071</v>
      </c>
      <c r="G619" t="s">
        <v>1737</v>
      </c>
      <c r="H619" t="s">
        <v>1799</v>
      </c>
      <c r="I619" t="s">
        <v>1799</v>
      </c>
      <c r="J619" t="s">
        <v>1799</v>
      </c>
      <c r="K619" t="s">
        <v>1799</v>
      </c>
      <c r="L619" t="s">
        <v>1512</v>
      </c>
      <c r="M619" t="s">
        <v>1799</v>
      </c>
      <c r="N619" t="s">
        <v>1799</v>
      </c>
      <c r="O619" s="184" t="str">
        <f>"["&amp;$C619&amp;"]["&amp;$D619&amp;"]["&amp;$F619&amp;"]"</f>
        <v>[S06_InstallationsVerificationReportsIssueDetail][13][TypeOfIssue]</v>
      </c>
    </row>
    <row r="620" spans="1:15" x14ac:dyDescent="0.3">
      <c r="A620" t="s">
        <v>1793</v>
      </c>
      <c r="B620" t="s">
        <v>2067</v>
      </c>
      <c r="C620" t="s">
        <v>2069</v>
      </c>
      <c r="D620">
        <v>14</v>
      </c>
      <c r="E620" t="s">
        <v>1447</v>
      </c>
      <c r="F620" t="s">
        <v>2071</v>
      </c>
      <c r="G620" t="s">
        <v>1737</v>
      </c>
      <c r="H620" t="s">
        <v>1799</v>
      </c>
      <c r="I620" t="s">
        <v>1799</v>
      </c>
      <c r="J620" t="s">
        <v>1799</v>
      </c>
      <c r="K620" t="s">
        <v>1799</v>
      </c>
      <c r="L620" t="s">
        <v>1512</v>
      </c>
      <c r="M620" t="s">
        <v>1799</v>
      </c>
      <c r="N620" t="s">
        <v>1799</v>
      </c>
      <c r="O620" s="184" t="str">
        <f>"["&amp;$C620&amp;"]["&amp;$D620&amp;"]["&amp;$F620&amp;"]"</f>
        <v>[S06_InstallationsVerificationReportsIssueDetail][14][TypeOfIssue]</v>
      </c>
    </row>
    <row r="621" spans="1:15" x14ac:dyDescent="0.3">
      <c r="A621" t="s">
        <v>1793</v>
      </c>
      <c r="B621" t="s">
        <v>2067</v>
      </c>
      <c r="C621" t="s">
        <v>2069</v>
      </c>
      <c r="D621">
        <v>1</v>
      </c>
      <c r="E621" t="s">
        <v>1447</v>
      </c>
      <c r="F621" t="s">
        <v>1881</v>
      </c>
      <c r="G621" t="s">
        <v>1811</v>
      </c>
      <c r="H621" t="s">
        <v>1799</v>
      </c>
      <c r="I621">
        <v>1</v>
      </c>
      <c r="J621" t="s">
        <v>1799</v>
      </c>
      <c r="K621" t="s">
        <v>1799</v>
      </c>
      <c r="L621" t="s">
        <v>1799</v>
      </c>
      <c r="M621" t="s">
        <v>1799</v>
      </c>
      <c r="N621" t="s">
        <v>1799</v>
      </c>
      <c r="O621" s="184" t="str">
        <f>"["&amp;$C621&amp;"]["&amp;$D621&amp;"]["&amp;$F621&amp;"]"</f>
        <v>[S06_InstallationsVerificationReportsIssueDetail][1][NumberOfInstallations]</v>
      </c>
    </row>
    <row r="622" spans="1:15" x14ac:dyDescent="0.3">
      <c r="A622" t="s">
        <v>1793</v>
      </c>
      <c r="B622" t="s">
        <v>2067</v>
      </c>
      <c r="C622" t="s">
        <v>2069</v>
      </c>
      <c r="D622">
        <v>2</v>
      </c>
      <c r="E622" t="s">
        <v>1447</v>
      </c>
      <c r="F622" t="s">
        <v>1881</v>
      </c>
      <c r="G622" t="s">
        <v>1811</v>
      </c>
      <c r="H622" t="s">
        <v>1799</v>
      </c>
      <c r="I622">
        <v>2</v>
      </c>
      <c r="J622" t="s">
        <v>1799</v>
      </c>
      <c r="K622" t="s">
        <v>1799</v>
      </c>
      <c r="L622" t="s">
        <v>1799</v>
      </c>
      <c r="M622" t="s">
        <v>1799</v>
      </c>
      <c r="N622" t="s">
        <v>1799</v>
      </c>
      <c r="O622" s="184" t="str">
        <f>"["&amp;$C622&amp;"]["&amp;$D622&amp;"]["&amp;$F622&amp;"]"</f>
        <v>[S06_InstallationsVerificationReportsIssueDetail][2][NumberOfInstallations]</v>
      </c>
    </row>
    <row r="623" spans="1:15" x14ac:dyDescent="0.3">
      <c r="A623" t="s">
        <v>1793</v>
      </c>
      <c r="B623" t="s">
        <v>2067</v>
      </c>
      <c r="C623" t="s">
        <v>2069</v>
      </c>
      <c r="D623">
        <v>3</v>
      </c>
      <c r="E623" t="s">
        <v>1447</v>
      </c>
      <c r="F623" t="s">
        <v>1881</v>
      </c>
      <c r="G623" t="s">
        <v>1811</v>
      </c>
      <c r="H623" t="s">
        <v>1799</v>
      </c>
      <c r="I623">
        <v>11</v>
      </c>
      <c r="J623" t="s">
        <v>1799</v>
      </c>
      <c r="K623" t="s">
        <v>1799</v>
      </c>
      <c r="L623" t="s">
        <v>1799</v>
      </c>
      <c r="M623" t="s">
        <v>1799</v>
      </c>
      <c r="N623" t="s">
        <v>1799</v>
      </c>
      <c r="O623" s="184" t="str">
        <f>"["&amp;$C623&amp;"]["&amp;$D623&amp;"]["&amp;$F623&amp;"]"</f>
        <v>[S06_InstallationsVerificationReportsIssueDetail][3][NumberOfInstallations]</v>
      </c>
    </row>
    <row r="624" spans="1:15" x14ac:dyDescent="0.3">
      <c r="A624" t="s">
        <v>1793</v>
      </c>
      <c r="B624" t="s">
        <v>2067</v>
      </c>
      <c r="C624" t="s">
        <v>2069</v>
      </c>
      <c r="D624">
        <v>4</v>
      </c>
      <c r="E624" t="s">
        <v>1447</v>
      </c>
      <c r="F624" t="s">
        <v>1881</v>
      </c>
      <c r="G624" t="s">
        <v>1811</v>
      </c>
      <c r="H624" t="s">
        <v>1799</v>
      </c>
      <c r="I624">
        <v>2</v>
      </c>
      <c r="J624" t="s">
        <v>1799</v>
      </c>
      <c r="K624" t="s">
        <v>1799</v>
      </c>
      <c r="L624" t="s">
        <v>1799</v>
      </c>
      <c r="M624" t="s">
        <v>1799</v>
      </c>
      <c r="N624" t="s">
        <v>1799</v>
      </c>
      <c r="O624" s="184" t="str">
        <f>"["&amp;$C624&amp;"]["&amp;$D624&amp;"]["&amp;$F624&amp;"]"</f>
        <v>[S06_InstallationsVerificationReportsIssueDetail][4][NumberOfInstallations]</v>
      </c>
    </row>
    <row r="625" spans="1:15" x14ac:dyDescent="0.3">
      <c r="A625" t="s">
        <v>1793</v>
      </c>
      <c r="B625" t="s">
        <v>2067</v>
      </c>
      <c r="C625" t="s">
        <v>2069</v>
      </c>
      <c r="D625">
        <v>5</v>
      </c>
      <c r="E625" t="s">
        <v>1447</v>
      </c>
      <c r="F625" t="s">
        <v>1881</v>
      </c>
      <c r="G625" t="s">
        <v>1811</v>
      </c>
      <c r="H625" t="s">
        <v>1799</v>
      </c>
      <c r="I625">
        <v>5</v>
      </c>
      <c r="J625" t="s">
        <v>1799</v>
      </c>
      <c r="K625" t="s">
        <v>1799</v>
      </c>
      <c r="L625" t="s">
        <v>1799</v>
      </c>
      <c r="M625" t="s">
        <v>1799</v>
      </c>
      <c r="N625" t="s">
        <v>1799</v>
      </c>
      <c r="O625" s="184" t="str">
        <f>"["&amp;$C625&amp;"]["&amp;$D625&amp;"]["&amp;$F625&amp;"]"</f>
        <v>[S06_InstallationsVerificationReportsIssueDetail][5][NumberOfInstallations]</v>
      </c>
    </row>
    <row r="626" spans="1:15" x14ac:dyDescent="0.3">
      <c r="A626" t="s">
        <v>1793</v>
      </c>
      <c r="B626" t="s">
        <v>2067</v>
      </c>
      <c r="C626" t="s">
        <v>2069</v>
      </c>
      <c r="D626">
        <v>6</v>
      </c>
      <c r="E626" t="s">
        <v>1447</v>
      </c>
      <c r="F626" t="s">
        <v>1881</v>
      </c>
      <c r="G626" t="s">
        <v>1811</v>
      </c>
      <c r="H626" t="s">
        <v>1799</v>
      </c>
      <c r="I626">
        <v>1</v>
      </c>
      <c r="J626" t="s">
        <v>1799</v>
      </c>
      <c r="K626" t="s">
        <v>1799</v>
      </c>
      <c r="L626" t="s">
        <v>1799</v>
      </c>
      <c r="M626" t="s">
        <v>1799</v>
      </c>
      <c r="N626" t="s">
        <v>1799</v>
      </c>
      <c r="O626" s="184" t="str">
        <f>"["&amp;$C626&amp;"]["&amp;$D626&amp;"]["&amp;$F626&amp;"]"</f>
        <v>[S06_InstallationsVerificationReportsIssueDetail][6][NumberOfInstallations]</v>
      </c>
    </row>
    <row r="627" spans="1:15" x14ac:dyDescent="0.3">
      <c r="A627" t="s">
        <v>1793</v>
      </c>
      <c r="B627" t="s">
        <v>2067</v>
      </c>
      <c r="C627" t="s">
        <v>2069</v>
      </c>
      <c r="D627">
        <v>7</v>
      </c>
      <c r="E627" t="s">
        <v>1447</v>
      </c>
      <c r="F627" t="s">
        <v>1881</v>
      </c>
      <c r="G627" t="s">
        <v>1811</v>
      </c>
      <c r="H627" t="s">
        <v>1799</v>
      </c>
      <c r="I627">
        <v>4</v>
      </c>
      <c r="J627" t="s">
        <v>1799</v>
      </c>
      <c r="K627" t="s">
        <v>1799</v>
      </c>
      <c r="L627" t="s">
        <v>1799</v>
      </c>
      <c r="M627" t="s">
        <v>1799</v>
      </c>
      <c r="N627" t="s">
        <v>1799</v>
      </c>
      <c r="O627" s="184" t="str">
        <f>"["&amp;$C627&amp;"]["&amp;$D627&amp;"]["&amp;$F627&amp;"]"</f>
        <v>[S06_InstallationsVerificationReportsIssueDetail][7][NumberOfInstallations]</v>
      </c>
    </row>
    <row r="628" spans="1:15" x14ac:dyDescent="0.3">
      <c r="A628" t="s">
        <v>1793</v>
      </c>
      <c r="B628" t="s">
        <v>2067</v>
      </c>
      <c r="C628" t="s">
        <v>2069</v>
      </c>
      <c r="D628">
        <v>8</v>
      </c>
      <c r="E628" t="s">
        <v>1447</v>
      </c>
      <c r="F628" t="s">
        <v>1881</v>
      </c>
      <c r="G628" t="s">
        <v>1811</v>
      </c>
      <c r="H628" t="s">
        <v>1799</v>
      </c>
      <c r="I628">
        <v>2</v>
      </c>
      <c r="J628" t="s">
        <v>1799</v>
      </c>
      <c r="K628" t="s">
        <v>1799</v>
      </c>
      <c r="L628" t="s">
        <v>1799</v>
      </c>
      <c r="M628" t="s">
        <v>1799</v>
      </c>
      <c r="N628" t="s">
        <v>1799</v>
      </c>
      <c r="O628" s="184" t="str">
        <f>"["&amp;$C628&amp;"]["&amp;$D628&amp;"]["&amp;$F628&amp;"]"</f>
        <v>[S06_InstallationsVerificationReportsIssueDetail][8][NumberOfInstallations]</v>
      </c>
    </row>
    <row r="629" spans="1:15" x14ac:dyDescent="0.3">
      <c r="A629" t="s">
        <v>1793</v>
      </c>
      <c r="B629" t="s">
        <v>2067</v>
      </c>
      <c r="C629" t="s">
        <v>2069</v>
      </c>
      <c r="D629">
        <v>9</v>
      </c>
      <c r="E629" t="s">
        <v>1447</v>
      </c>
      <c r="F629" t="s">
        <v>1881</v>
      </c>
      <c r="G629" t="s">
        <v>1811</v>
      </c>
      <c r="H629" t="s">
        <v>1799</v>
      </c>
      <c r="I629">
        <v>1</v>
      </c>
      <c r="J629" t="s">
        <v>1799</v>
      </c>
      <c r="K629" t="s">
        <v>1799</v>
      </c>
      <c r="L629" t="s">
        <v>1799</v>
      </c>
      <c r="M629" t="s">
        <v>1799</v>
      </c>
      <c r="N629" t="s">
        <v>1799</v>
      </c>
      <c r="O629" s="184" t="str">
        <f>"["&amp;$C629&amp;"]["&amp;$D629&amp;"]["&amp;$F629&amp;"]"</f>
        <v>[S06_InstallationsVerificationReportsIssueDetail][9][NumberOfInstallations]</v>
      </c>
    </row>
    <row r="630" spans="1:15" x14ac:dyDescent="0.3">
      <c r="A630" t="s">
        <v>1793</v>
      </c>
      <c r="B630" t="s">
        <v>2067</v>
      </c>
      <c r="C630" t="s">
        <v>2069</v>
      </c>
      <c r="D630">
        <v>10</v>
      </c>
      <c r="E630" t="s">
        <v>1447</v>
      </c>
      <c r="F630" t="s">
        <v>1881</v>
      </c>
      <c r="G630" t="s">
        <v>1811</v>
      </c>
      <c r="H630" t="s">
        <v>1799</v>
      </c>
      <c r="I630">
        <v>1</v>
      </c>
      <c r="J630" t="s">
        <v>1799</v>
      </c>
      <c r="K630" t="s">
        <v>1799</v>
      </c>
      <c r="L630" t="s">
        <v>1799</v>
      </c>
      <c r="M630" t="s">
        <v>1799</v>
      </c>
      <c r="N630" t="s">
        <v>1799</v>
      </c>
      <c r="O630" s="184" t="str">
        <f>"["&amp;$C630&amp;"]["&amp;$D630&amp;"]["&amp;$F630&amp;"]"</f>
        <v>[S06_InstallationsVerificationReportsIssueDetail][10][NumberOfInstallations]</v>
      </c>
    </row>
    <row r="631" spans="1:15" x14ac:dyDescent="0.3">
      <c r="A631" t="s">
        <v>1793</v>
      </c>
      <c r="B631" t="s">
        <v>2067</v>
      </c>
      <c r="C631" t="s">
        <v>2069</v>
      </c>
      <c r="D631">
        <v>11</v>
      </c>
      <c r="E631" t="s">
        <v>1447</v>
      </c>
      <c r="F631" t="s">
        <v>1881</v>
      </c>
      <c r="G631" t="s">
        <v>1811</v>
      </c>
      <c r="H631" t="s">
        <v>1799</v>
      </c>
      <c r="I631">
        <v>1</v>
      </c>
      <c r="J631" t="s">
        <v>1799</v>
      </c>
      <c r="K631" t="s">
        <v>1799</v>
      </c>
      <c r="L631" t="s">
        <v>1799</v>
      </c>
      <c r="M631" t="s">
        <v>1799</v>
      </c>
      <c r="N631" t="s">
        <v>1799</v>
      </c>
      <c r="O631" s="184" t="str">
        <f>"["&amp;$C631&amp;"]["&amp;$D631&amp;"]["&amp;$F631&amp;"]"</f>
        <v>[S06_InstallationsVerificationReportsIssueDetail][11][NumberOfInstallations]</v>
      </c>
    </row>
    <row r="632" spans="1:15" x14ac:dyDescent="0.3">
      <c r="A632" t="s">
        <v>1793</v>
      </c>
      <c r="B632" t="s">
        <v>2067</v>
      </c>
      <c r="C632" t="s">
        <v>2069</v>
      </c>
      <c r="D632">
        <v>12</v>
      </c>
      <c r="E632" t="s">
        <v>1447</v>
      </c>
      <c r="F632" t="s">
        <v>1881</v>
      </c>
      <c r="G632" t="s">
        <v>1811</v>
      </c>
      <c r="H632" t="s">
        <v>1799</v>
      </c>
      <c r="I632">
        <v>1</v>
      </c>
      <c r="J632" t="s">
        <v>1799</v>
      </c>
      <c r="K632" t="s">
        <v>1799</v>
      </c>
      <c r="L632" t="s">
        <v>1799</v>
      </c>
      <c r="M632" t="s">
        <v>1799</v>
      </c>
      <c r="N632" t="s">
        <v>1799</v>
      </c>
      <c r="O632" s="184" t="str">
        <f>"["&amp;$C632&amp;"]["&amp;$D632&amp;"]["&amp;$F632&amp;"]"</f>
        <v>[S06_InstallationsVerificationReportsIssueDetail][12][NumberOfInstallations]</v>
      </c>
    </row>
    <row r="633" spans="1:15" x14ac:dyDescent="0.3">
      <c r="A633" t="s">
        <v>1793</v>
      </c>
      <c r="B633" t="s">
        <v>2067</v>
      </c>
      <c r="C633" t="s">
        <v>2069</v>
      </c>
      <c r="D633">
        <v>13</v>
      </c>
      <c r="E633" t="s">
        <v>1447</v>
      </c>
      <c r="F633" t="s">
        <v>1881</v>
      </c>
      <c r="G633" t="s">
        <v>1811</v>
      </c>
      <c r="H633" t="s">
        <v>1799</v>
      </c>
      <c r="I633">
        <v>3</v>
      </c>
      <c r="J633" t="s">
        <v>1799</v>
      </c>
      <c r="K633" t="s">
        <v>1799</v>
      </c>
      <c r="L633" t="s">
        <v>1799</v>
      </c>
      <c r="M633" t="s">
        <v>1799</v>
      </c>
      <c r="N633" t="s">
        <v>1799</v>
      </c>
      <c r="O633" s="184" t="str">
        <f>"["&amp;$C633&amp;"]["&amp;$D633&amp;"]["&amp;$F633&amp;"]"</f>
        <v>[S06_InstallationsVerificationReportsIssueDetail][13][NumberOfInstallations]</v>
      </c>
    </row>
    <row r="634" spans="1:15" x14ac:dyDescent="0.3">
      <c r="A634" t="s">
        <v>1793</v>
      </c>
      <c r="B634" t="s">
        <v>2067</v>
      </c>
      <c r="C634" t="s">
        <v>2069</v>
      </c>
      <c r="D634">
        <v>14</v>
      </c>
      <c r="E634" t="s">
        <v>1447</v>
      </c>
      <c r="F634" t="s">
        <v>1881</v>
      </c>
      <c r="G634" t="s">
        <v>1811</v>
      </c>
      <c r="H634" t="s">
        <v>1799</v>
      </c>
      <c r="I634">
        <v>1</v>
      </c>
      <c r="J634" t="s">
        <v>1799</v>
      </c>
      <c r="K634" t="s">
        <v>1799</v>
      </c>
      <c r="L634" t="s">
        <v>1799</v>
      </c>
      <c r="M634" t="s">
        <v>1799</v>
      </c>
      <c r="N634" t="s">
        <v>1799</v>
      </c>
      <c r="O634" s="184" t="str">
        <f>"["&amp;$C634&amp;"]["&amp;$D634&amp;"]["&amp;$F634&amp;"]"</f>
        <v>[S06_InstallationsVerificationReportsIssueDetail][14][NumberOfInstallations]</v>
      </c>
    </row>
    <row r="635" spans="1:15" x14ac:dyDescent="0.3">
      <c r="A635" t="s">
        <v>1793</v>
      </c>
      <c r="B635" t="s">
        <v>2067</v>
      </c>
      <c r="C635" t="s">
        <v>2069</v>
      </c>
      <c r="D635">
        <v>1</v>
      </c>
      <c r="E635" t="s">
        <v>1447</v>
      </c>
      <c r="F635" t="s">
        <v>2053</v>
      </c>
      <c r="G635" t="s">
        <v>1811</v>
      </c>
      <c r="H635" t="s">
        <v>1799</v>
      </c>
      <c r="I635">
        <v>1</v>
      </c>
      <c r="J635" t="s">
        <v>1799</v>
      </c>
      <c r="K635" t="s">
        <v>1799</v>
      </c>
      <c r="L635" t="s">
        <v>1799</v>
      </c>
      <c r="M635" t="s">
        <v>1799</v>
      </c>
      <c r="N635" t="s">
        <v>1799</v>
      </c>
      <c r="O635" s="184" t="str">
        <f>"["&amp;$C635&amp;"]["&amp;$D635&amp;"]["&amp;$F635&amp;"]"</f>
        <v>[S06_InstallationsVerificationReportsIssueDetail][1][NumberOfIssues]</v>
      </c>
    </row>
    <row r="636" spans="1:15" x14ac:dyDescent="0.3">
      <c r="A636" t="s">
        <v>1793</v>
      </c>
      <c r="B636" t="s">
        <v>2067</v>
      </c>
      <c r="C636" t="s">
        <v>2069</v>
      </c>
      <c r="D636">
        <v>2</v>
      </c>
      <c r="E636" t="s">
        <v>1447</v>
      </c>
      <c r="F636" t="s">
        <v>2053</v>
      </c>
      <c r="G636" t="s">
        <v>1811</v>
      </c>
      <c r="H636" t="s">
        <v>1799</v>
      </c>
      <c r="I636">
        <v>4</v>
      </c>
      <c r="J636" t="s">
        <v>1799</v>
      </c>
      <c r="K636" t="s">
        <v>1799</v>
      </c>
      <c r="L636" t="s">
        <v>1799</v>
      </c>
      <c r="M636" t="s">
        <v>1799</v>
      </c>
      <c r="N636" t="s">
        <v>1799</v>
      </c>
      <c r="O636" s="184" t="str">
        <f>"["&amp;$C636&amp;"]["&amp;$D636&amp;"]["&amp;$F636&amp;"]"</f>
        <v>[S06_InstallationsVerificationReportsIssueDetail][2][NumberOfIssues]</v>
      </c>
    </row>
    <row r="637" spans="1:15" x14ac:dyDescent="0.3">
      <c r="A637" t="s">
        <v>1793</v>
      </c>
      <c r="B637" t="s">
        <v>2067</v>
      </c>
      <c r="C637" t="s">
        <v>2069</v>
      </c>
      <c r="D637">
        <v>3</v>
      </c>
      <c r="E637" t="s">
        <v>1447</v>
      </c>
      <c r="F637" t="s">
        <v>2053</v>
      </c>
      <c r="G637" t="s">
        <v>1811</v>
      </c>
      <c r="H637" t="s">
        <v>1799</v>
      </c>
      <c r="I637">
        <v>33</v>
      </c>
      <c r="J637" t="s">
        <v>1799</v>
      </c>
      <c r="K637" t="s">
        <v>1799</v>
      </c>
      <c r="L637" t="s">
        <v>1799</v>
      </c>
      <c r="M637" t="s">
        <v>1799</v>
      </c>
      <c r="N637" t="s">
        <v>1799</v>
      </c>
      <c r="O637" s="184" t="str">
        <f>"["&amp;$C637&amp;"]["&amp;$D637&amp;"]["&amp;$F637&amp;"]"</f>
        <v>[S06_InstallationsVerificationReportsIssueDetail][3][NumberOfIssues]</v>
      </c>
    </row>
    <row r="638" spans="1:15" x14ac:dyDescent="0.3">
      <c r="A638" t="s">
        <v>1793</v>
      </c>
      <c r="B638" t="s">
        <v>2067</v>
      </c>
      <c r="C638" t="s">
        <v>2069</v>
      </c>
      <c r="D638">
        <v>4</v>
      </c>
      <c r="E638" t="s">
        <v>1447</v>
      </c>
      <c r="F638" t="s">
        <v>2053</v>
      </c>
      <c r="G638" t="s">
        <v>1811</v>
      </c>
      <c r="H638" t="s">
        <v>1799</v>
      </c>
      <c r="I638">
        <v>5</v>
      </c>
      <c r="J638" t="s">
        <v>1799</v>
      </c>
      <c r="K638" t="s">
        <v>1799</v>
      </c>
      <c r="L638" t="s">
        <v>1799</v>
      </c>
      <c r="M638" t="s">
        <v>1799</v>
      </c>
      <c r="N638" t="s">
        <v>1799</v>
      </c>
      <c r="O638" s="184" t="str">
        <f>"["&amp;$C638&amp;"]["&amp;$D638&amp;"]["&amp;$F638&amp;"]"</f>
        <v>[S06_InstallationsVerificationReportsIssueDetail][4][NumberOfIssues]</v>
      </c>
    </row>
    <row r="639" spans="1:15" x14ac:dyDescent="0.3">
      <c r="A639" t="s">
        <v>1793</v>
      </c>
      <c r="B639" t="s">
        <v>2067</v>
      </c>
      <c r="C639" t="s">
        <v>2069</v>
      </c>
      <c r="D639">
        <v>5</v>
      </c>
      <c r="E639" t="s">
        <v>1447</v>
      </c>
      <c r="F639" t="s">
        <v>2053</v>
      </c>
      <c r="G639" t="s">
        <v>1811</v>
      </c>
      <c r="H639" t="s">
        <v>1799</v>
      </c>
      <c r="I639">
        <v>8</v>
      </c>
      <c r="J639" t="s">
        <v>1799</v>
      </c>
      <c r="K639" t="s">
        <v>1799</v>
      </c>
      <c r="L639" t="s">
        <v>1799</v>
      </c>
      <c r="M639" t="s">
        <v>1799</v>
      </c>
      <c r="N639" t="s">
        <v>1799</v>
      </c>
      <c r="O639" s="184" t="str">
        <f>"["&amp;$C639&amp;"]["&amp;$D639&amp;"]["&amp;$F639&amp;"]"</f>
        <v>[S06_InstallationsVerificationReportsIssueDetail][5][NumberOfIssues]</v>
      </c>
    </row>
    <row r="640" spans="1:15" x14ac:dyDescent="0.3">
      <c r="A640" t="s">
        <v>1793</v>
      </c>
      <c r="B640" t="s">
        <v>2067</v>
      </c>
      <c r="C640" t="s">
        <v>2069</v>
      </c>
      <c r="D640">
        <v>6</v>
      </c>
      <c r="E640" t="s">
        <v>1447</v>
      </c>
      <c r="F640" t="s">
        <v>2053</v>
      </c>
      <c r="G640" t="s">
        <v>1811</v>
      </c>
      <c r="H640" t="s">
        <v>1799</v>
      </c>
      <c r="I640">
        <v>1</v>
      </c>
      <c r="J640" t="s">
        <v>1799</v>
      </c>
      <c r="K640" t="s">
        <v>1799</v>
      </c>
      <c r="L640" t="s">
        <v>1799</v>
      </c>
      <c r="M640" t="s">
        <v>1799</v>
      </c>
      <c r="N640" t="s">
        <v>1799</v>
      </c>
      <c r="O640" s="184" t="str">
        <f>"["&amp;$C640&amp;"]["&amp;$D640&amp;"]["&amp;$F640&amp;"]"</f>
        <v>[S06_InstallationsVerificationReportsIssueDetail][6][NumberOfIssues]</v>
      </c>
    </row>
    <row r="641" spans="1:15" x14ac:dyDescent="0.3">
      <c r="A641" t="s">
        <v>1793</v>
      </c>
      <c r="B641" t="s">
        <v>2067</v>
      </c>
      <c r="C641" t="s">
        <v>2069</v>
      </c>
      <c r="D641">
        <v>7</v>
      </c>
      <c r="E641" t="s">
        <v>1447</v>
      </c>
      <c r="F641" t="s">
        <v>2053</v>
      </c>
      <c r="G641" t="s">
        <v>1811</v>
      </c>
      <c r="H641" t="s">
        <v>1799</v>
      </c>
      <c r="I641">
        <v>8</v>
      </c>
      <c r="J641" t="s">
        <v>1799</v>
      </c>
      <c r="K641" t="s">
        <v>1799</v>
      </c>
      <c r="L641" t="s">
        <v>1799</v>
      </c>
      <c r="M641" t="s">
        <v>1799</v>
      </c>
      <c r="N641" t="s">
        <v>1799</v>
      </c>
      <c r="O641" s="184" t="str">
        <f>"["&amp;$C641&amp;"]["&amp;$D641&amp;"]["&amp;$F641&amp;"]"</f>
        <v>[S06_InstallationsVerificationReportsIssueDetail][7][NumberOfIssues]</v>
      </c>
    </row>
    <row r="642" spans="1:15" x14ac:dyDescent="0.3">
      <c r="A642" t="s">
        <v>1793</v>
      </c>
      <c r="B642" t="s">
        <v>2067</v>
      </c>
      <c r="C642" t="s">
        <v>2069</v>
      </c>
      <c r="D642">
        <v>8</v>
      </c>
      <c r="E642" t="s">
        <v>1447</v>
      </c>
      <c r="F642" t="s">
        <v>2053</v>
      </c>
      <c r="G642" t="s">
        <v>1811</v>
      </c>
      <c r="H642" t="s">
        <v>1799</v>
      </c>
      <c r="I642">
        <v>2</v>
      </c>
      <c r="J642" t="s">
        <v>1799</v>
      </c>
      <c r="K642" t="s">
        <v>1799</v>
      </c>
      <c r="L642" t="s">
        <v>1799</v>
      </c>
      <c r="M642" t="s">
        <v>1799</v>
      </c>
      <c r="N642" t="s">
        <v>1799</v>
      </c>
      <c r="O642" s="184" t="str">
        <f>"["&amp;$C642&amp;"]["&amp;$D642&amp;"]["&amp;$F642&amp;"]"</f>
        <v>[S06_InstallationsVerificationReportsIssueDetail][8][NumberOfIssues]</v>
      </c>
    </row>
    <row r="643" spans="1:15" x14ac:dyDescent="0.3">
      <c r="A643" t="s">
        <v>1793</v>
      </c>
      <c r="B643" t="s">
        <v>2067</v>
      </c>
      <c r="C643" t="s">
        <v>2069</v>
      </c>
      <c r="D643">
        <v>9</v>
      </c>
      <c r="E643" t="s">
        <v>1447</v>
      </c>
      <c r="F643" t="s">
        <v>2053</v>
      </c>
      <c r="G643" t="s">
        <v>1811</v>
      </c>
      <c r="H643" t="s">
        <v>1799</v>
      </c>
      <c r="I643">
        <v>1</v>
      </c>
      <c r="J643" t="s">
        <v>1799</v>
      </c>
      <c r="K643" t="s">
        <v>1799</v>
      </c>
      <c r="L643" t="s">
        <v>1799</v>
      </c>
      <c r="M643" t="s">
        <v>1799</v>
      </c>
      <c r="N643" t="s">
        <v>1799</v>
      </c>
      <c r="O643" s="184" t="str">
        <f>"["&amp;$C643&amp;"]["&amp;$D643&amp;"]["&amp;$F643&amp;"]"</f>
        <v>[S06_InstallationsVerificationReportsIssueDetail][9][NumberOfIssues]</v>
      </c>
    </row>
    <row r="644" spans="1:15" x14ac:dyDescent="0.3">
      <c r="A644" t="s">
        <v>1793</v>
      </c>
      <c r="B644" t="s">
        <v>2067</v>
      </c>
      <c r="C644" t="s">
        <v>2069</v>
      </c>
      <c r="D644">
        <v>10</v>
      </c>
      <c r="E644" t="s">
        <v>1447</v>
      </c>
      <c r="F644" t="s">
        <v>2053</v>
      </c>
      <c r="G644" t="s">
        <v>1811</v>
      </c>
      <c r="H644" t="s">
        <v>1799</v>
      </c>
      <c r="I644">
        <v>4</v>
      </c>
      <c r="J644" t="s">
        <v>1799</v>
      </c>
      <c r="K644" t="s">
        <v>1799</v>
      </c>
      <c r="L644" t="s">
        <v>1799</v>
      </c>
      <c r="M644" t="s">
        <v>1799</v>
      </c>
      <c r="N644" t="s">
        <v>1799</v>
      </c>
      <c r="O644" s="184" t="str">
        <f>"["&amp;$C644&amp;"]["&amp;$D644&amp;"]["&amp;$F644&amp;"]"</f>
        <v>[S06_InstallationsVerificationReportsIssueDetail][10][NumberOfIssues]</v>
      </c>
    </row>
    <row r="645" spans="1:15" x14ac:dyDescent="0.3">
      <c r="A645" t="s">
        <v>1793</v>
      </c>
      <c r="B645" t="s">
        <v>2067</v>
      </c>
      <c r="C645" t="s">
        <v>2069</v>
      </c>
      <c r="D645">
        <v>11</v>
      </c>
      <c r="E645" t="s">
        <v>1447</v>
      </c>
      <c r="F645" t="s">
        <v>2053</v>
      </c>
      <c r="G645" t="s">
        <v>1811</v>
      </c>
      <c r="H645" t="s">
        <v>1799</v>
      </c>
      <c r="I645">
        <v>1</v>
      </c>
      <c r="J645" t="s">
        <v>1799</v>
      </c>
      <c r="K645" t="s">
        <v>1799</v>
      </c>
      <c r="L645" t="s">
        <v>1799</v>
      </c>
      <c r="M645" t="s">
        <v>1799</v>
      </c>
      <c r="N645" t="s">
        <v>1799</v>
      </c>
      <c r="O645" s="184" t="str">
        <f>"["&amp;$C645&amp;"]["&amp;$D645&amp;"]["&amp;$F645&amp;"]"</f>
        <v>[S06_InstallationsVerificationReportsIssueDetail][11][NumberOfIssues]</v>
      </c>
    </row>
    <row r="646" spans="1:15" x14ac:dyDescent="0.3">
      <c r="A646" t="s">
        <v>1793</v>
      </c>
      <c r="B646" t="s">
        <v>2067</v>
      </c>
      <c r="C646" t="s">
        <v>2069</v>
      </c>
      <c r="D646">
        <v>12</v>
      </c>
      <c r="E646" t="s">
        <v>1447</v>
      </c>
      <c r="F646" t="s">
        <v>2053</v>
      </c>
      <c r="G646" t="s">
        <v>1811</v>
      </c>
      <c r="H646" t="s">
        <v>1799</v>
      </c>
      <c r="I646">
        <v>6</v>
      </c>
      <c r="J646" t="s">
        <v>1799</v>
      </c>
      <c r="K646" t="s">
        <v>1799</v>
      </c>
      <c r="L646" t="s">
        <v>1799</v>
      </c>
      <c r="M646" t="s">
        <v>1799</v>
      </c>
      <c r="N646" t="s">
        <v>1799</v>
      </c>
      <c r="O646" s="184" t="str">
        <f>"["&amp;$C646&amp;"]["&amp;$D646&amp;"]["&amp;$F646&amp;"]"</f>
        <v>[S06_InstallationsVerificationReportsIssueDetail][12][NumberOfIssues]</v>
      </c>
    </row>
    <row r="647" spans="1:15" x14ac:dyDescent="0.3">
      <c r="A647" t="s">
        <v>1793</v>
      </c>
      <c r="B647" t="s">
        <v>2067</v>
      </c>
      <c r="C647" t="s">
        <v>2069</v>
      </c>
      <c r="D647">
        <v>13</v>
      </c>
      <c r="E647" t="s">
        <v>1447</v>
      </c>
      <c r="F647" t="s">
        <v>2053</v>
      </c>
      <c r="G647" t="s">
        <v>1811</v>
      </c>
      <c r="H647" t="s">
        <v>1799</v>
      </c>
      <c r="I647">
        <v>5</v>
      </c>
      <c r="J647" t="s">
        <v>1799</v>
      </c>
      <c r="K647" t="s">
        <v>1799</v>
      </c>
      <c r="L647" t="s">
        <v>1799</v>
      </c>
      <c r="M647" t="s">
        <v>1799</v>
      </c>
      <c r="N647" t="s">
        <v>1799</v>
      </c>
      <c r="O647" s="184" t="str">
        <f>"["&amp;$C647&amp;"]["&amp;$D647&amp;"]["&amp;$F647&amp;"]"</f>
        <v>[S06_InstallationsVerificationReportsIssueDetail][13][NumberOfIssues]</v>
      </c>
    </row>
    <row r="648" spans="1:15" x14ac:dyDescent="0.3">
      <c r="A648" t="s">
        <v>1793</v>
      </c>
      <c r="B648" t="s">
        <v>2067</v>
      </c>
      <c r="C648" t="s">
        <v>2069</v>
      </c>
      <c r="D648">
        <v>14</v>
      </c>
      <c r="E648" t="s">
        <v>1447</v>
      </c>
      <c r="F648" t="s">
        <v>2053</v>
      </c>
      <c r="G648" t="s">
        <v>1811</v>
      </c>
      <c r="H648" t="s">
        <v>1799</v>
      </c>
      <c r="I648">
        <v>2</v>
      </c>
      <c r="J648" t="s">
        <v>1799</v>
      </c>
      <c r="K648" t="s">
        <v>1799</v>
      </c>
      <c r="L648" t="s">
        <v>1799</v>
      </c>
      <c r="M648" t="s">
        <v>1799</v>
      </c>
      <c r="N648" t="s">
        <v>1799</v>
      </c>
      <c r="O648" s="184" t="str">
        <f>"["&amp;$C648&amp;"]["&amp;$D648&amp;"]["&amp;$F648&amp;"]"</f>
        <v>[S06_InstallationsVerificationReportsIssueDetail][14][NumberOfIssues]</v>
      </c>
    </row>
    <row r="649" spans="1:15" x14ac:dyDescent="0.3">
      <c r="A649" t="s">
        <v>1793</v>
      </c>
      <c r="B649" t="s">
        <v>2067</v>
      </c>
      <c r="C649" t="s">
        <v>2069</v>
      </c>
      <c r="D649">
        <v>1</v>
      </c>
      <c r="E649" t="s">
        <v>1447</v>
      </c>
      <c r="F649" t="s">
        <v>2072</v>
      </c>
      <c r="G649" t="s">
        <v>1889</v>
      </c>
      <c r="H649" t="s">
        <v>1799</v>
      </c>
      <c r="I649" t="s">
        <v>1799</v>
      </c>
      <c r="J649">
        <v>0</v>
      </c>
      <c r="K649" t="s">
        <v>1799</v>
      </c>
      <c r="L649" t="s">
        <v>1799</v>
      </c>
      <c r="M649" t="s">
        <v>1799</v>
      </c>
      <c r="N649" t="s">
        <v>1799</v>
      </c>
      <c r="O649" s="184" t="str">
        <f>"["&amp;$C649&amp;"]["&amp;$D649&amp;"]["&amp;$F649&amp;"]"</f>
        <v>[S06_InstallationsVerificationReportsIssueDetail][1][ShareOfReportsConservativeEstimate]</v>
      </c>
    </row>
    <row r="650" spans="1:15" x14ac:dyDescent="0.3">
      <c r="A650" t="s">
        <v>1793</v>
      </c>
      <c r="B650" t="s">
        <v>2067</v>
      </c>
      <c r="C650" t="s">
        <v>2069</v>
      </c>
      <c r="D650">
        <v>2</v>
      </c>
      <c r="E650" t="s">
        <v>1447</v>
      </c>
      <c r="F650" t="s">
        <v>2072</v>
      </c>
      <c r="G650" t="s">
        <v>1889</v>
      </c>
      <c r="H650" t="s">
        <v>1799</v>
      </c>
      <c r="I650" t="s">
        <v>1799</v>
      </c>
      <c r="J650">
        <v>0</v>
      </c>
      <c r="K650" t="s">
        <v>1799</v>
      </c>
      <c r="L650" t="s">
        <v>1799</v>
      </c>
      <c r="M650" t="s">
        <v>1799</v>
      </c>
      <c r="N650" t="s">
        <v>1799</v>
      </c>
      <c r="O650" s="184" t="str">
        <f>"["&amp;$C650&amp;"]["&amp;$D650&amp;"]["&amp;$F650&amp;"]"</f>
        <v>[S06_InstallationsVerificationReportsIssueDetail][2][ShareOfReportsConservativeEstimate]</v>
      </c>
    </row>
    <row r="651" spans="1:15" x14ac:dyDescent="0.3">
      <c r="A651" t="s">
        <v>1793</v>
      </c>
      <c r="B651" t="s">
        <v>2067</v>
      </c>
      <c r="C651" t="s">
        <v>2069</v>
      </c>
      <c r="D651">
        <v>3</v>
      </c>
      <c r="E651" t="s">
        <v>1447</v>
      </c>
      <c r="F651" t="s">
        <v>2072</v>
      </c>
      <c r="G651" t="s">
        <v>1889</v>
      </c>
      <c r="H651" t="s">
        <v>1799</v>
      </c>
      <c r="I651" t="s">
        <v>1799</v>
      </c>
      <c r="J651">
        <v>0</v>
      </c>
      <c r="K651" t="s">
        <v>1799</v>
      </c>
      <c r="L651" t="s">
        <v>1799</v>
      </c>
      <c r="M651" t="s">
        <v>1799</v>
      </c>
      <c r="N651" t="s">
        <v>1799</v>
      </c>
      <c r="O651" s="184" t="str">
        <f>"["&amp;$C651&amp;"]["&amp;$D651&amp;"]["&amp;$F651&amp;"]"</f>
        <v>[S06_InstallationsVerificationReportsIssueDetail][3][ShareOfReportsConservativeEstimate]</v>
      </c>
    </row>
    <row r="652" spans="1:15" x14ac:dyDescent="0.3">
      <c r="A652" t="s">
        <v>1793</v>
      </c>
      <c r="B652" t="s">
        <v>2067</v>
      </c>
      <c r="C652" t="s">
        <v>2069</v>
      </c>
      <c r="D652">
        <v>4</v>
      </c>
      <c r="E652" t="s">
        <v>1447</v>
      </c>
      <c r="F652" t="s">
        <v>2072</v>
      </c>
      <c r="G652" t="s">
        <v>1889</v>
      </c>
      <c r="H652" t="s">
        <v>1799</v>
      </c>
      <c r="I652" t="s">
        <v>1799</v>
      </c>
      <c r="J652">
        <v>0</v>
      </c>
      <c r="K652" t="s">
        <v>1799</v>
      </c>
      <c r="L652" t="s">
        <v>1799</v>
      </c>
      <c r="M652" t="s">
        <v>1799</v>
      </c>
      <c r="N652" t="s">
        <v>1799</v>
      </c>
      <c r="O652" s="184" t="str">
        <f>"["&amp;$C652&amp;"]["&amp;$D652&amp;"]["&amp;$F652&amp;"]"</f>
        <v>[S06_InstallationsVerificationReportsIssueDetail][4][ShareOfReportsConservativeEstimate]</v>
      </c>
    </row>
    <row r="653" spans="1:15" x14ac:dyDescent="0.3">
      <c r="A653" t="s">
        <v>1793</v>
      </c>
      <c r="B653" t="s">
        <v>2067</v>
      </c>
      <c r="C653" t="s">
        <v>2069</v>
      </c>
      <c r="D653">
        <v>5</v>
      </c>
      <c r="E653" t="s">
        <v>1447</v>
      </c>
      <c r="F653" t="s">
        <v>2072</v>
      </c>
      <c r="G653" t="s">
        <v>1889</v>
      </c>
      <c r="H653" t="s">
        <v>1799</v>
      </c>
      <c r="I653" t="s">
        <v>1799</v>
      </c>
      <c r="J653">
        <v>0</v>
      </c>
      <c r="K653" t="s">
        <v>1799</v>
      </c>
      <c r="L653" t="s">
        <v>1799</v>
      </c>
      <c r="M653" t="s">
        <v>1799</v>
      </c>
      <c r="N653" t="s">
        <v>1799</v>
      </c>
      <c r="O653" s="184" t="str">
        <f>"["&amp;$C653&amp;"]["&amp;$D653&amp;"]["&amp;$F653&amp;"]"</f>
        <v>[S06_InstallationsVerificationReportsIssueDetail][5][ShareOfReportsConservativeEstimate]</v>
      </c>
    </row>
    <row r="654" spans="1:15" x14ac:dyDescent="0.3">
      <c r="A654" t="s">
        <v>1793</v>
      </c>
      <c r="B654" t="s">
        <v>2067</v>
      </c>
      <c r="C654" t="s">
        <v>2069</v>
      </c>
      <c r="D654">
        <v>6</v>
      </c>
      <c r="E654" t="s">
        <v>1447</v>
      </c>
      <c r="F654" t="s">
        <v>2072</v>
      </c>
      <c r="G654" t="s">
        <v>1889</v>
      </c>
      <c r="H654" t="s">
        <v>1799</v>
      </c>
      <c r="I654" t="s">
        <v>1799</v>
      </c>
      <c r="J654">
        <v>0</v>
      </c>
      <c r="K654" t="s">
        <v>1799</v>
      </c>
      <c r="L654" t="s">
        <v>1799</v>
      </c>
      <c r="M654" t="s">
        <v>1799</v>
      </c>
      <c r="N654" t="s">
        <v>1799</v>
      </c>
      <c r="O654" s="184" t="str">
        <f>"["&amp;$C654&amp;"]["&amp;$D654&amp;"]["&amp;$F654&amp;"]"</f>
        <v>[S06_InstallationsVerificationReportsIssueDetail][6][ShareOfReportsConservativeEstimate]</v>
      </c>
    </row>
    <row r="655" spans="1:15" x14ac:dyDescent="0.3">
      <c r="A655" t="s">
        <v>1793</v>
      </c>
      <c r="B655" t="s">
        <v>2067</v>
      </c>
      <c r="C655" t="s">
        <v>2069</v>
      </c>
      <c r="D655">
        <v>7</v>
      </c>
      <c r="E655" t="s">
        <v>1447</v>
      </c>
      <c r="F655" t="s">
        <v>2072</v>
      </c>
      <c r="G655" t="s">
        <v>1889</v>
      </c>
      <c r="H655" t="s">
        <v>1799</v>
      </c>
      <c r="I655" t="s">
        <v>1799</v>
      </c>
      <c r="J655">
        <v>0</v>
      </c>
      <c r="K655" t="s">
        <v>1799</v>
      </c>
      <c r="L655" t="s">
        <v>1799</v>
      </c>
      <c r="M655" t="s">
        <v>1799</v>
      </c>
      <c r="N655" t="s">
        <v>1799</v>
      </c>
      <c r="O655" s="184" t="str">
        <f>"["&amp;$C655&amp;"]["&amp;$D655&amp;"]["&amp;$F655&amp;"]"</f>
        <v>[S06_InstallationsVerificationReportsIssueDetail][7][ShareOfReportsConservativeEstimate]</v>
      </c>
    </row>
    <row r="656" spans="1:15" x14ac:dyDescent="0.3">
      <c r="A656" t="s">
        <v>1793</v>
      </c>
      <c r="B656" t="s">
        <v>2067</v>
      </c>
      <c r="C656" t="s">
        <v>2069</v>
      </c>
      <c r="D656">
        <v>8</v>
      </c>
      <c r="E656" t="s">
        <v>1447</v>
      </c>
      <c r="F656" t="s">
        <v>2072</v>
      </c>
      <c r="G656" t="s">
        <v>1889</v>
      </c>
      <c r="H656" t="s">
        <v>1799</v>
      </c>
      <c r="I656" t="s">
        <v>1799</v>
      </c>
      <c r="J656">
        <v>0</v>
      </c>
      <c r="K656" t="s">
        <v>1799</v>
      </c>
      <c r="L656" t="s">
        <v>1799</v>
      </c>
      <c r="M656" t="s">
        <v>1799</v>
      </c>
      <c r="N656" t="s">
        <v>1799</v>
      </c>
      <c r="O656" s="184" t="str">
        <f>"["&amp;$C656&amp;"]["&amp;$D656&amp;"]["&amp;$F656&amp;"]"</f>
        <v>[S06_InstallationsVerificationReportsIssueDetail][8][ShareOfReportsConservativeEstimate]</v>
      </c>
    </row>
    <row r="657" spans="1:15" x14ac:dyDescent="0.3">
      <c r="A657" t="s">
        <v>1793</v>
      </c>
      <c r="B657" t="s">
        <v>2067</v>
      </c>
      <c r="C657" t="s">
        <v>2069</v>
      </c>
      <c r="D657">
        <v>9</v>
      </c>
      <c r="E657" t="s">
        <v>1447</v>
      </c>
      <c r="F657" t="s">
        <v>2072</v>
      </c>
      <c r="G657" t="s">
        <v>1889</v>
      </c>
      <c r="H657" t="s">
        <v>1799</v>
      </c>
      <c r="I657" t="s">
        <v>1799</v>
      </c>
      <c r="J657">
        <v>0</v>
      </c>
      <c r="K657" t="s">
        <v>1799</v>
      </c>
      <c r="L657" t="s">
        <v>1799</v>
      </c>
      <c r="M657" t="s">
        <v>1799</v>
      </c>
      <c r="N657" t="s">
        <v>1799</v>
      </c>
      <c r="O657" s="184" t="str">
        <f>"["&amp;$C657&amp;"]["&amp;$D657&amp;"]["&amp;$F657&amp;"]"</f>
        <v>[S06_InstallationsVerificationReportsIssueDetail][9][ShareOfReportsConservativeEstimate]</v>
      </c>
    </row>
    <row r="658" spans="1:15" x14ac:dyDescent="0.3">
      <c r="A658" t="s">
        <v>1793</v>
      </c>
      <c r="B658" t="s">
        <v>2067</v>
      </c>
      <c r="C658" t="s">
        <v>2069</v>
      </c>
      <c r="D658">
        <v>10</v>
      </c>
      <c r="E658" t="s">
        <v>1447</v>
      </c>
      <c r="F658" t="s">
        <v>2072</v>
      </c>
      <c r="G658" t="s">
        <v>1889</v>
      </c>
      <c r="H658" t="s">
        <v>1799</v>
      </c>
      <c r="I658" t="s">
        <v>1799</v>
      </c>
      <c r="J658">
        <v>0</v>
      </c>
      <c r="K658" t="s">
        <v>1799</v>
      </c>
      <c r="L658" t="s">
        <v>1799</v>
      </c>
      <c r="M658" t="s">
        <v>1799</v>
      </c>
      <c r="N658" t="s">
        <v>1799</v>
      </c>
      <c r="O658" s="184" t="str">
        <f>"["&amp;$C658&amp;"]["&amp;$D658&amp;"]["&amp;$F658&amp;"]"</f>
        <v>[S06_InstallationsVerificationReportsIssueDetail][10][ShareOfReportsConservativeEstimate]</v>
      </c>
    </row>
    <row r="659" spans="1:15" x14ac:dyDescent="0.3">
      <c r="A659" t="s">
        <v>1793</v>
      </c>
      <c r="B659" t="s">
        <v>2067</v>
      </c>
      <c r="C659" t="s">
        <v>2069</v>
      </c>
      <c r="D659">
        <v>11</v>
      </c>
      <c r="E659" t="s">
        <v>1447</v>
      </c>
      <c r="F659" t="s">
        <v>2072</v>
      </c>
      <c r="G659" t="s">
        <v>1889</v>
      </c>
      <c r="H659" t="s">
        <v>1799</v>
      </c>
      <c r="I659" t="s">
        <v>1799</v>
      </c>
      <c r="J659">
        <v>0</v>
      </c>
      <c r="K659" t="s">
        <v>1799</v>
      </c>
      <c r="L659" t="s">
        <v>1799</v>
      </c>
      <c r="M659" t="s">
        <v>1799</v>
      </c>
      <c r="N659" t="s">
        <v>1799</v>
      </c>
      <c r="O659" s="184" t="str">
        <f>"["&amp;$C659&amp;"]["&amp;$D659&amp;"]["&amp;$F659&amp;"]"</f>
        <v>[S06_InstallationsVerificationReportsIssueDetail][11][ShareOfReportsConservativeEstimate]</v>
      </c>
    </row>
    <row r="660" spans="1:15" x14ac:dyDescent="0.3">
      <c r="A660" t="s">
        <v>1793</v>
      </c>
      <c r="B660" t="s">
        <v>2067</v>
      </c>
      <c r="C660" t="s">
        <v>2069</v>
      </c>
      <c r="D660">
        <v>12</v>
      </c>
      <c r="E660" t="s">
        <v>1447</v>
      </c>
      <c r="F660" t="s">
        <v>2072</v>
      </c>
      <c r="G660" t="s">
        <v>1889</v>
      </c>
      <c r="H660" t="s">
        <v>1799</v>
      </c>
      <c r="I660" t="s">
        <v>1799</v>
      </c>
      <c r="J660">
        <v>0</v>
      </c>
      <c r="K660" t="s">
        <v>1799</v>
      </c>
      <c r="L660" t="s">
        <v>1799</v>
      </c>
      <c r="M660" t="s">
        <v>1799</v>
      </c>
      <c r="N660" t="s">
        <v>1799</v>
      </c>
      <c r="O660" s="184" t="str">
        <f>"["&amp;$C660&amp;"]["&amp;$D660&amp;"]["&amp;$F660&amp;"]"</f>
        <v>[S06_InstallationsVerificationReportsIssueDetail][12][ShareOfReportsConservativeEstimate]</v>
      </c>
    </row>
    <row r="661" spans="1:15" x14ac:dyDescent="0.3">
      <c r="A661" t="s">
        <v>1793</v>
      </c>
      <c r="B661" t="s">
        <v>2067</v>
      </c>
      <c r="C661" t="s">
        <v>2069</v>
      </c>
      <c r="D661">
        <v>13</v>
      </c>
      <c r="E661" t="s">
        <v>1447</v>
      </c>
      <c r="F661" t="s">
        <v>2072</v>
      </c>
      <c r="G661" t="s">
        <v>1889</v>
      </c>
      <c r="H661" t="s">
        <v>1799</v>
      </c>
      <c r="I661" t="s">
        <v>1799</v>
      </c>
      <c r="J661">
        <v>0</v>
      </c>
      <c r="K661" t="s">
        <v>1799</v>
      </c>
      <c r="L661" t="s">
        <v>1799</v>
      </c>
      <c r="M661" t="s">
        <v>1799</v>
      </c>
      <c r="N661" t="s">
        <v>1799</v>
      </c>
      <c r="O661" s="184" t="str">
        <f>"["&amp;$C661&amp;"]["&amp;$D661&amp;"]["&amp;$F661&amp;"]"</f>
        <v>[S06_InstallationsVerificationReportsIssueDetail][13][ShareOfReportsConservativeEstimate]</v>
      </c>
    </row>
    <row r="662" spans="1:15" x14ac:dyDescent="0.3">
      <c r="A662" t="s">
        <v>1793</v>
      </c>
      <c r="B662" t="s">
        <v>2067</v>
      </c>
      <c r="C662" t="s">
        <v>2069</v>
      </c>
      <c r="D662">
        <v>14</v>
      </c>
      <c r="E662" t="s">
        <v>1447</v>
      </c>
      <c r="F662" t="s">
        <v>2072</v>
      </c>
      <c r="G662" t="s">
        <v>1889</v>
      </c>
      <c r="H662" t="s">
        <v>1799</v>
      </c>
      <c r="I662" t="s">
        <v>1799</v>
      </c>
      <c r="J662">
        <v>0</v>
      </c>
      <c r="K662" t="s">
        <v>1799</v>
      </c>
      <c r="L662" t="s">
        <v>1799</v>
      </c>
      <c r="M662" t="s">
        <v>1799</v>
      </c>
      <c r="N662" t="s">
        <v>1799</v>
      </c>
      <c r="O662" s="184" t="str">
        <f>"["&amp;$C662&amp;"]["&amp;$D662&amp;"]["&amp;$F662&amp;"]"</f>
        <v>[S06_InstallationsVerificationReportsIssueDetail][14][ShareOfReportsConservativeEstimate]</v>
      </c>
    </row>
    <row r="663" spans="1:15" x14ac:dyDescent="0.3">
      <c r="A663" t="s">
        <v>1793</v>
      </c>
      <c r="B663" t="s">
        <v>2073</v>
      </c>
      <c r="C663" t="s">
        <v>2074</v>
      </c>
      <c r="D663">
        <v>0</v>
      </c>
      <c r="E663" t="s">
        <v>1447</v>
      </c>
      <c r="F663" t="s">
        <v>2074</v>
      </c>
      <c r="G663" t="s">
        <v>1836</v>
      </c>
      <c r="H663" t="s">
        <v>1799</v>
      </c>
      <c r="I663" t="s">
        <v>1799</v>
      </c>
      <c r="J663" t="s">
        <v>1799</v>
      </c>
      <c r="K663" t="s">
        <v>1799</v>
      </c>
      <c r="L663" t="s">
        <v>1419</v>
      </c>
      <c r="M663" t="s">
        <v>1799</v>
      </c>
      <c r="N663" t="s">
        <v>1799</v>
      </c>
      <c r="O663" s="184" t="str">
        <f>"["&amp;$C663&amp;"]["&amp;$D663&amp;"]["&amp;$F663&amp;"]"</f>
        <v>[InstallationsVerificationReportChecks][0][InstallationsVerificationReportChecks]</v>
      </c>
    </row>
    <row r="664" spans="1:15" x14ac:dyDescent="0.3">
      <c r="A664" t="s">
        <v>1793</v>
      </c>
      <c r="B664" t="s">
        <v>2073</v>
      </c>
      <c r="C664" t="s">
        <v>2075</v>
      </c>
      <c r="D664">
        <v>1</v>
      </c>
      <c r="E664" t="s">
        <v>1447</v>
      </c>
      <c r="F664" t="s">
        <v>2076</v>
      </c>
      <c r="G664" t="s">
        <v>1889</v>
      </c>
      <c r="H664" t="s">
        <v>1799</v>
      </c>
      <c r="I664" t="s">
        <v>1799</v>
      </c>
      <c r="J664">
        <v>1</v>
      </c>
      <c r="K664" t="s">
        <v>1799</v>
      </c>
      <c r="L664" t="s">
        <v>1799</v>
      </c>
      <c r="M664" t="s">
        <v>1799</v>
      </c>
      <c r="N664" t="s">
        <v>1799</v>
      </c>
      <c r="O664" s="184" t="str">
        <f>"["&amp;$C664&amp;"]["&amp;$D664&amp;"]["&amp;$F664&amp;"]"</f>
        <v>[S06_InstallationsVerificationReportChecksDetail1][1][PercentageShare]</v>
      </c>
    </row>
    <row r="665" spans="1:15" x14ac:dyDescent="0.3">
      <c r="A665" t="s">
        <v>1793</v>
      </c>
      <c r="B665" t="s">
        <v>2073</v>
      </c>
      <c r="C665" t="s">
        <v>2075</v>
      </c>
      <c r="D665">
        <v>2</v>
      </c>
      <c r="E665" t="s">
        <v>1447</v>
      </c>
      <c r="F665" t="s">
        <v>2076</v>
      </c>
      <c r="G665" t="s">
        <v>1889</v>
      </c>
      <c r="H665" t="s">
        <v>1799</v>
      </c>
      <c r="I665" t="s">
        <v>1799</v>
      </c>
      <c r="J665">
        <v>1</v>
      </c>
      <c r="K665" t="s">
        <v>1799</v>
      </c>
      <c r="L665" t="s">
        <v>1799</v>
      </c>
      <c r="M665" t="s">
        <v>1799</v>
      </c>
      <c r="N665" t="s">
        <v>1799</v>
      </c>
      <c r="O665" s="184" t="str">
        <f>"["&amp;$C665&amp;"]["&amp;$D665&amp;"]["&amp;$F665&amp;"]"</f>
        <v>[S06_InstallationsVerificationReportChecksDetail1][2][PercentageShare]</v>
      </c>
    </row>
    <row r="666" spans="1:15" x14ac:dyDescent="0.3">
      <c r="A666" t="s">
        <v>1793</v>
      </c>
      <c r="B666" t="s">
        <v>2073</v>
      </c>
      <c r="C666" t="s">
        <v>2075</v>
      </c>
      <c r="D666">
        <v>3</v>
      </c>
      <c r="E666" t="s">
        <v>1447</v>
      </c>
      <c r="F666" t="s">
        <v>2076</v>
      </c>
      <c r="G666" t="s">
        <v>1889</v>
      </c>
      <c r="H666" t="s">
        <v>1799</v>
      </c>
      <c r="I666" t="s">
        <v>1799</v>
      </c>
      <c r="J666">
        <v>0</v>
      </c>
      <c r="K666" t="s">
        <v>1799</v>
      </c>
      <c r="L666" t="s">
        <v>1799</v>
      </c>
      <c r="M666" t="s">
        <v>1799</v>
      </c>
      <c r="N666" t="s">
        <v>1799</v>
      </c>
      <c r="O666" s="184" t="str">
        <f>"["&amp;$C666&amp;"]["&amp;$D666&amp;"]["&amp;$F666&amp;"]"</f>
        <v>[S06_InstallationsVerificationReportChecksDetail1][3][PercentageShare]</v>
      </c>
    </row>
    <row r="667" spans="1:15" x14ac:dyDescent="0.3">
      <c r="A667" t="s">
        <v>1793</v>
      </c>
      <c r="B667" t="s">
        <v>2073</v>
      </c>
      <c r="C667" t="s">
        <v>2075</v>
      </c>
      <c r="D667">
        <v>4</v>
      </c>
      <c r="E667" t="s">
        <v>1447</v>
      </c>
      <c r="F667" t="s">
        <v>2076</v>
      </c>
      <c r="G667" t="s">
        <v>1889</v>
      </c>
      <c r="H667" t="s">
        <v>1799</v>
      </c>
      <c r="I667" t="s">
        <v>1799</v>
      </c>
      <c r="J667">
        <v>1</v>
      </c>
      <c r="K667" t="s">
        <v>1799</v>
      </c>
      <c r="L667" t="s">
        <v>1799</v>
      </c>
      <c r="M667" t="s">
        <v>1799</v>
      </c>
      <c r="N667" t="s">
        <v>1799</v>
      </c>
      <c r="O667" s="184" t="str">
        <f>"["&amp;$C667&amp;"]["&amp;$D667&amp;"]["&amp;$F667&amp;"]"</f>
        <v>[S06_InstallationsVerificationReportChecksDetail1][4][PercentageShare]</v>
      </c>
    </row>
    <row r="668" spans="1:15" x14ac:dyDescent="0.3">
      <c r="A668" t="s">
        <v>1793</v>
      </c>
      <c r="B668" t="s">
        <v>2073</v>
      </c>
      <c r="C668" t="s">
        <v>2075</v>
      </c>
      <c r="D668">
        <v>5</v>
      </c>
      <c r="E668" t="s">
        <v>1447</v>
      </c>
      <c r="F668" t="s">
        <v>2076</v>
      </c>
      <c r="G668" t="s">
        <v>1889</v>
      </c>
      <c r="H668" t="s">
        <v>1799</v>
      </c>
      <c r="I668" t="s">
        <v>1799</v>
      </c>
      <c r="J668">
        <v>1</v>
      </c>
      <c r="K668" t="s">
        <v>1799</v>
      </c>
      <c r="L668" t="s">
        <v>1799</v>
      </c>
      <c r="M668" t="s">
        <v>1799</v>
      </c>
      <c r="N668" t="s">
        <v>1799</v>
      </c>
      <c r="O668" s="184" t="str">
        <f>"["&amp;$C668&amp;"]["&amp;$D668&amp;"]["&amp;$F668&amp;"]"</f>
        <v>[S06_InstallationsVerificationReportChecksDetail1][5][PercentageShare]</v>
      </c>
    </row>
    <row r="669" spans="1:15" x14ac:dyDescent="0.3">
      <c r="A669" t="s">
        <v>1793</v>
      </c>
      <c r="B669" t="s">
        <v>2073</v>
      </c>
      <c r="C669" t="s">
        <v>2075</v>
      </c>
      <c r="D669">
        <v>4</v>
      </c>
      <c r="E669" t="s">
        <v>1447</v>
      </c>
      <c r="F669" t="s">
        <v>2077</v>
      </c>
      <c r="G669" t="s">
        <v>1870</v>
      </c>
      <c r="H669" t="s">
        <v>1799</v>
      </c>
      <c r="I669" t="s">
        <v>1799</v>
      </c>
      <c r="J669" t="s">
        <v>1799</v>
      </c>
      <c r="K669" t="s">
        <v>2078</v>
      </c>
      <c r="L669" t="s">
        <v>1799</v>
      </c>
      <c r="M669" t="s">
        <v>1799</v>
      </c>
      <c r="N669" t="s">
        <v>1799</v>
      </c>
      <c r="O669" s="184" t="str">
        <f>"["&amp;$C669&amp;"]["&amp;$D669&amp;"]["&amp;$F669&amp;"]"</f>
        <v>[S06_InstallationsVerificationReportChecksDetail1][4][FurtherInformation]</v>
      </c>
    </row>
    <row r="670" spans="1:15" x14ac:dyDescent="0.3">
      <c r="A670" t="s">
        <v>1793</v>
      </c>
      <c r="B670" t="s">
        <v>2073</v>
      </c>
      <c r="C670" t="s">
        <v>2079</v>
      </c>
      <c r="D670">
        <v>1</v>
      </c>
      <c r="E670" t="s">
        <v>1447</v>
      </c>
      <c r="F670" t="s">
        <v>2080</v>
      </c>
      <c r="G670" t="s">
        <v>1811</v>
      </c>
      <c r="H670" t="s">
        <v>1799</v>
      </c>
      <c r="I670">
        <v>0</v>
      </c>
      <c r="J670" t="s">
        <v>1799</v>
      </c>
      <c r="K670" t="s">
        <v>1799</v>
      </c>
      <c r="L670" t="s">
        <v>1799</v>
      </c>
      <c r="M670" t="s">
        <v>1799</v>
      </c>
      <c r="N670" t="s">
        <v>1799</v>
      </c>
      <c r="O670" s="184" t="str">
        <f>"["&amp;$C670&amp;"]["&amp;$D670&amp;"]["&amp;$F670&amp;"]"</f>
        <v>[S06_InstallationsVerificationReportChecksDetail2][1][NumberOfReports]</v>
      </c>
    </row>
    <row r="671" spans="1:15" x14ac:dyDescent="0.3">
      <c r="A671" t="s">
        <v>1793</v>
      </c>
      <c r="B671" t="s">
        <v>2073</v>
      </c>
      <c r="C671" t="s">
        <v>2079</v>
      </c>
      <c r="D671">
        <v>2</v>
      </c>
      <c r="E671" t="s">
        <v>1447</v>
      </c>
      <c r="F671" t="s">
        <v>2080</v>
      </c>
      <c r="G671" t="s">
        <v>1811</v>
      </c>
      <c r="H671" t="s">
        <v>1799</v>
      </c>
      <c r="I671">
        <v>0</v>
      </c>
      <c r="J671" t="s">
        <v>1799</v>
      </c>
      <c r="K671" t="s">
        <v>1799</v>
      </c>
      <c r="L671" t="s">
        <v>1799</v>
      </c>
      <c r="M671" t="s">
        <v>1799</v>
      </c>
      <c r="N671" t="s">
        <v>1799</v>
      </c>
      <c r="O671" s="184" t="str">
        <f>"["&amp;$C671&amp;"]["&amp;$D671&amp;"]["&amp;$F671&amp;"]"</f>
        <v>[S06_InstallationsVerificationReportChecksDetail2][2][NumberOfReports]</v>
      </c>
    </row>
    <row r="672" spans="1:15" x14ac:dyDescent="0.3">
      <c r="A672" t="s">
        <v>1793</v>
      </c>
      <c r="B672" t="s">
        <v>2073</v>
      </c>
      <c r="C672" t="s">
        <v>2081</v>
      </c>
      <c r="D672">
        <v>1</v>
      </c>
      <c r="E672" t="s">
        <v>1447</v>
      </c>
      <c r="F672" t="s">
        <v>2082</v>
      </c>
      <c r="G672" t="s">
        <v>1797</v>
      </c>
      <c r="H672" t="s">
        <v>1755</v>
      </c>
      <c r="I672" t="s">
        <v>1799</v>
      </c>
      <c r="J672" t="s">
        <v>1799</v>
      </c>
      <c r="K672" t="s">
        <v>1799</v>
      </c>
      <c r="L672" t="s">
        <v>1799</v>
      </c>
      <c r="M672" t="s">
        <v>1799</v>
      </c>
      <c r="N672" t="s">
        <v>1799</v>
      </c>
      <c r="O672" s="184" t="str">
        <f>"["&amp;$C672&amp;"]["&amp;$D672&amp;"]["&amp;$F672&amp;"]"</f>
        <v>[S06_InstallationsVerificationReportChecksDetail3][1][ActionsTaken]</v>
      </c>
    </row>
    <row r="673" spans="1:15" x14ac:dyDescent="0.3">
      <c r="A673" t="s">
        <v>1793</v>
      </c>
      <c r="B673" t="s">
        <v>2073</v>
      </c>
      <c r="C673" t="s">
        <v>2081</v>
      </c>
      <c r="D673">
        <v>2</v>
      </c>
      <c r="E673" t="s">
        <v>1419</v>
      </c>
      <c r="F673" t="s">
        <v>2082</v>
      </c>
      <c r="G673" t="s">
        <v>1870</v>
      </c>
      <c r="H673" t="s">
        <v>1799</v>
      </c>
      <c r="I673" t="s">
        <v>1799</v>
      </c>
      <c r="J673" t="s">
        <v>1799</v>
      </c>
      <c r="K673" t="s">
        <v>1755</v>
      </c>
      <c r="L673" t="s">
        <v>1799</v>
      </c>
      <c r="M673" t="s">
        <v>1799</v>
      </c>
      <c r="N673" t="s">
        <v>1799</v>
      </c>
      <c r="O673" s="184" t="str">
        <f>"["&amp;$C673&amp;"]["&amp;$D673&amp;"]["&amp;$F673&amp;"]"</f>
        <v>[S06_InstallationsVerificationReportChecksDetail3][2][ActionsTaken]</v>
      </c>
    </row>
    <row r="674" spans="1:15" x14ac:dyDescent="0.3">
      <c r="A674" t="s">
        <v>1793</v>
      </c>
      <c r="B674" t="s">
        <v>2083</v>
      </c>
      <c r="C674" t="s">
        <v>2084</v>
      </c>
      <c r="D674">
        <v>0</v>
      </c>
      <c r="E674" t="s">
        <v>1447</v>
      </c>
      <c r="F674" t="s">
        <v>2084</v>
      </c>
      <c r="G674" t="s">
        <v>1836</v>
      </c>
      <c r="H674" t="s">
        <v>1799</v>
      </c>
      <c r="I674" t="s">
        <v>1799</v>
      </c>
      <c r="J674" t="s">
        <v>1799</v>
      </c>
      <c r="K674" t="s">
        <v>1799</v>
      </c>
      <c r="L674" t="s">
        <v>1447</v>
      </c>
      <c r="M674" t="s">
        <v>1799</v>
      </c>
      <c r="N674" t="s">
        <v>1799</v>
      </c>
      <c r="O674" s="184" t="str">
        <f>"["&amp;$C674&amp;"]["&amp;$D674&amp;"]["&amp;$F674&amp;"]"</f>
        <v>[InstallationVisitsWaivedHighEmitters][0][InstallationVisitsWaivedHighEmitters]</v>
      </c>
    </row>
    <row r="675" spans="1:15" x14ac:dyDescent="0.3">
      <c r="A675" t="s">
        <v>1793</v>
      </c>
      <c r="B675" t="s">
        <v>2083</v>
      </c>
      <c r="C675" t="s">
        <v>2085</v>
      </c>
      <c r="D675">
        <v>0</v>
      </c>
      <c r="E675" t="s">
        <v>1447</v>
      </c>
      <c r="F675" t="s">
        <v>2085</v>
      </c>
      <c r="G675" t="s">
        <v>1836</v>
      </c>
      <c r="H675" t="s">
        <v>1799</v>
      </c>
      <c r="I675" t="s">
        <v>1799</v>
      </c>
      <c r="J675" t="s">
        <v>1799</v>
      </c>
      <c r="K675" t="s">
        <v>1799</v>
      </c>
      <c r="L675" t="s">
        <v>1447</v>
      </c>
      <c r="M675" t="s">
        <v>1799</v>
      </c>
      <c r="N675" t="s">
        <v>1799</v>
      </c>
      <c r="O675" s="184" t="str">
        <f>"["&amp;$C675&amp;"]["&amp;$D675&amp;"]["&amp;$F675&amp;"]"</f>
        <v>[InstallationsVisitsWaivedLowEmitters][0][InstallationsVisitsWaivedLowEmitters]</v>
      </c>
    </row>
    <row r="676" spans="1:15" x14ac:dyDescent="0.3">
      <c r="A676" t="s">
        <v>1793</v>
      </c>
      <c r="B676" t="s">
        <v>2086</v>
      </c>
      <c r="C676" t="s">
        <v>2087</v>
      </c>
      <c r="D676">
        <v>0</v>
      </c>
      <c r="E676" t="s">
        <v>1447</v>
      </c>
      <c r="F676" t="s">
        <v>2087</v>
      </c>
      <c r="G676" t="s">
        <v>1836</v>
      </c>
      <c r="H676" t="s">
        <v>1799</v>
      </c>
      <c r="I676" t="s">
        <v>1799</v>
      </c>
      <c r="J676" t="s">
        <v>1799</v>
      </c>
      <c r="K676" t="s">
        <v>1799</v>
      </c>
      <c r="L676" t="s">
        <v>1447</v>
      </c>
      <c r="M676" t="s">
        <v>1799</v>
      </c>
      <c r="N676" t="s">
        <v>1799</v>
      </c>
      <c r="O676" s="184" t="str">
        <f>"["&amp;$C676&amp;"]["&amp;$D676&amp;"]["&amp;$F676&amp;"]"</f>
        <v>[VirtualVisitsInstallations][0][VirtualVisitsInstallations]</v>
      </c>
    </row>
    <row r="677" spans="1:15" x14ac:dyDescent="0.3">
      <c r="A677" t="s">
        <v>1793</v>
      </c>
      <c r="B677" t="s">
        <v>2088</v>
      </c>
      <c r="C677" t="s">
        <v>2089</v>
      </c>
      <c r="D677">
        <v>1</v>
      </c>
      <c r="E677" t="s">
        <v>1447</v>
      </c>
      <c r="F677" t="s">
        <v>2090</v>
      </c>
      <c r="G677" t="s">
        <v>1797</v>
      </c>
      <c r="H677" t="s">
        <v>1755</v>
      </c>
      <c r="I677" t="s">
        <v>1799</v>
      </c>
      <c r="J677" t="s">
        <v>1799</v>
      </c>
      <c r="K677" t="s">
        <v>1799</v>
      </c>
      <c r="L677" t="s">
        <v>1799</v>
      </c>
      <c r="M677" t="s">
        <v>1799</v>
      </c>
      <c r="N677" t="s">
        <v>1799</v>
      </c>
      <c r="O677" s="184" t="str">
        <f>"["&amp;$C677&amp;"]["&amp;$D677&amp;"]["&amp;$F677&amp;"]"</f>
        <v>[S06_AircraftOperatorsConservativeEstimates][1][AircraftOperatorID]</v>
      </c>
    </row>
    <row r="678" spans="1:15" x14ac:dyDescent="0.3">
      <c r="A678" t="s">
        <v>1793</v>
      </c>
      <c r="B678" t="s">
        <v>2088</v>
      </c>
      <c r="C678" t="s">
        <v>2091</v>
      </c>
      <c r="D678">
        <v>1</v>
      </c>
      <c r="E678" t="s">
        <v>1447</v>
      </c>
      <c r="F678" t="s">
        <v>2066</v>
      </c>
      <c r="G678" t="s">
        <v>1811</v>
      </c>
      <c r="H678" t="s">
        <v>1799</v>
      </c>
      <c r="I678">
        <v>0</v>
      </c>
      <c r="J678" t="s">
        <v>1799</v>
      </c>
      <c r="K678" t="s">
        <v>1799</v>
      </c>
      <c r="L678" t="s">
        <v>1799</v>
      </c>
      <c r="M678" t="s">
        <v>1799</v>
      </c>
      <c r="N678" t="s">
        <v>1799</v>
      </c>
      <c r="O678" s="184" t="str">
        <f>"["&amp;$C678&amp;"]["&amp;$D678&amp;"]["&amp;$F678&amp;"]"</f>
        <v>[S06_NegativeOpinionAircraft][1][CountNegativeOpinions]</v>
      </c>
    </row>
    <row r="679" spans="1:15" x14ac:dyDescent="0.3">
      <c r="A679" t="s">
        <v>1793</v>
      </c>
      <c r="B679" t="s">
        <v>2088</v>
      </c>
      <c r="C679" t="s">
        <v>2091</v>
      </c>
      <c r="D679">
        <v>2</v>
      </c>
      <c r="E679" t="s">
        <v>1447</v>
      </c>
      <c r="F679" t="s">
        <v>2066</v>
      </c>
      <c r="G679" t="s">
        <v>1811</v>
      </c>
      <c r="H679" t="s">
        <v>1799</v>
      </c>
      <c r="I679">
        <v>0</v>
      </c>
      <c r="J679" t="s">
        <v>1799</v>
      </c>
      <c r="K679" t="s">
        <v>1799</v>
      </c>
      <c r="L679" t="s">
        <v>1799</v>
      </c>
      <c r="M679" t="s">
        <v>1799</v>
      </c>
      <c r="N679" t="s">
        <v>1799</v>
      </c>
      <c r="O679" s="184" t="str">
        <f>"["&amp;$C679&amp;"]["&amp;$D679&amp;"]["&amp;$F679&amp;"]"</f>
        <v>[S06_NegativeOpinionAircraft][2][CountNegativeOpinions]</v>
      </c>
    </row>
    <row r="680" spans="1:15" x14ac:dyDescent="0.3">
      <c r="A680" t="s">
        <v>1793</v>
      </c>
      <c r="B680" t="s">
        <v>2088</v>
      </c>
      <c r="C680" t="s">
        <v>2091</v>
      </c>
      <c r="D680">
        <v>3</v>
      </c>
      <c r="E680" t="s">
        <v>1447</v>
      </c>
      <c r="F680" t="s">
        <v>2066</v>
      </c>
      <c r="G680" t="s">
        <v>1811</v>
      </c>
      <c r="H680" t="s">
        <v>1799</v>
      </c>
      <c r="I680">
        <v>0</v>
      </c>
      <c r="J680" t="s">
        <v>1799</v>
      </c>
      <c r="K680" t="s">
        <v>1799</v>
      </c>
      <c r="L680" t="s">
        <v>1799</v>
      </c>
      <c r="M680" t="s">
        <v>1799</v>
      </c>
      <c r="N680" t="s">
        <v>1799</v>
      </c>
      <c r="O680" s="184" t="str">
        <f>"["&amp;$C680&amp;"]["&amp;$D680&amp;"]["&amp;$F680&amp;"]"</f>
        <v>[S06_NegativeOpinionAircraft][3][CountNegativeOpinions]</v>
      </c>
    </row>
    <row r="681" spans="1:15" x14ac:dyDescent="0.3">
      <c r="A681" t="s">
        <v>1793</v>
      </c>
      <c r="B681" t="s">
        <v>2088</v>
      </c>
      <c r="C681" t="s">
        <v>2091</v>
      </c>
      <c r="D681">
        <v>4</v>
      </c>
      <c r="E681" t="s">
        <v>1447</v>
      </c>
      <c r="F681" t="s">
        <v>2066</v>
      </c>
      <c r="G681" t="s">
        <v>1811</v>
      </c>
      <c r="H681" t="s">
        <v>1799</v>
      </c>
      <c r="I681">
        <v>0</v>
      </c>
      <c r="J681" t="s">
        <v>1799</v>
      </c>
      <c r="K681" t="s">
        <v>1799</v>
      </c>
      <c r="L681" t="s">
        <v>1799</v>
      </c>
      <c r="M681" t="s">
        <v>1799</v>
      </c>
      <c r="N681" t="s">
        <v>1799</v>
      </c>
      <c r="O681" s="184" t="str">
        <f>"["&amp;$C681&amp;"]["&amp;$D681&amp;"]["&amp;$F681&amp;"]"</f>
        <v>[S06_NegativeOpinionAircraft][4][CountNegativeOpinions]</v>
      </c>
    </row>
    <row r="682" spans="1:15" x14ac:dyDescent="0.3">
      <c r="A682" t="s">
        <v>1793</v>
      </c>
      <c r="B682" t="s">
        <v>2092</v>
      </c>
      <c r="C682" t="s">
        <v>2093</v>
      </c>
      <c r="D682">
        <v>0</v>
      </c>
      <c r="E682" t="s">
        <v>1447</v>
      </c>
      <c r="F682" t="s">
        <v>2093</v>
      </c>
      <c r="G682" t="s">
        <v>1836</v>
      </c>
      <c r="H682" t="s">
        <v>1799</v>
      </c>
      <c r="I682" t="s">
        <v>1799</v>
      </c>
      <c r="J682" t="s">
        <v>1799</v>
      </c>
      <c r="K682" t="s">
        <v>1799</v>
      </c>
      <c r="L682" t="s">
        <v>1419</v>
      </c>
      <c r="M682" t="s">
        <v>1799</v>
      </c>
      <c r="N682" t="s">
        <v>1799</v>
      </c>
      <c r="O682" s="184" t="str">
        <f>"["&amp;$C682&amp;"]["&amp;$D682&amp;"]["&amp;$F682&amp;"]"</f>
        <v>[AircraftOperatorsVerificationReportIssues][0][AircraftOperatorsVerificationReportIssues]</v>
      </c>
    </row>
    <row r="683" spans="1:15" x14ac:dyDescent="0.3">
      <c r="A683" t="s">
        <v>1793</v>
      </c>
      <c r="B683" t="s">
        <v>2092</v>
      </c>
      <c r="C683" t="s">
        <v>2094</v>
      </c>
      <c r="D683">
        <v>1</v>
      </c>
      <c r="E683" t="s">
        <v>1447</v>
      </c>
      <c r="F683" t="s">
        <v>2071</v>
      </c>
      <c r="G683" t="s">
        <v>1737</v>
      </c>
      <c r="H683" t="s">
        <v>1799</v>
      </c>
      <c r="I683" t="s">
        <v>1799</v>
      </c>
      <c r="J683" t="s">
        <v>1799</v>
      </c>
      <c r="K683" t="s">
        <v>1799</v>
      </c>
      <c r="L683" t="s">
        <v>1439</v>
      </c>
      <c r="M683" t="s">
        <v>1799</v>
      </c>
      <c r="N683" t="s">
        <v>1799</v>
      </c>
      <c r="O683" s="184" t="str">
        <f>"["&amp;$C683&amp;"]["&amp;$D683&amp;"]["&amp;$F683&amp;"]"</f>
        <v>[S06_AircraftOperatorsVerificationReportIssuesEmissions][1][TypeOfIssue]</v>
      </c>
    </row>
    <row r="684" spans="1:15" x14ac:dyDescent="0.3">
      <c r="A684" t="s">
        <v>1793</v>
      </c>
      <c r="B684" t="s">
        <v>2092</v>
      </c>
      <c r="C684" t="s">
        <v>2094</v>
      </c>
      <c r="D684">
        <v>2</v>
      </c>
      <c r="E684" t="s">
        <v>1447</v>
      </c>
      <c r="F684" t="s">
        <v>2071</v>
      </c>
      <c r="G684" t="s">
        <v>1737</v>
      </c>
      <c r="H684" t="s">
        <v>1799</v>
      </c>
      <c r="I684" t="s">
        <v>1799</v>
      </c>
      <c r="J684" t="s">
        <v>1799</v>
      </c>
      <c r="K684" t="s">
        <v>1799</v>
      </c>
      <c r="L684" t="s">
        <v>1512</v>
      </c>
      <c r="M684" t="s">
        <v>1799</v>
      </c>
      <c r="N684" t="s">
        <v>1799</v>
      </c>
      <c r="O684" s="184" t="str">
        <f>"["&amp;$C684&amp;"]["&amp;$D684&amp;"]["&amp;$F684&amp;"]"</f>
        <v>[S06_AircraftOperatorsVerificationReportIssuesEmissions][2][TypeOfIssue]</v>
      </c>
    </row>
    <row r="685" spans="1:15" x14ac:dyDescent="0.3">
      <c r="A685" t="s">
        <v>1793</v>
      </c>
      <c r="B685" t="s">
        <v>2092</v>
      </c>
      <c r="C685" t="s">
        <v>2094</v>
      </c>
      <c r="D685">
        <v>1</v>
      </c>
      <c r="E685" t="s">
        <v>1447</v>
      </c>
      <c r="F685" t="s">
        <v>2095</v>
      </c>
      <c r="G685" t="s">
        <v>1811</v>
      </c>
      <c r="H685" t="s">
        <v>1799</v>
      </c>
      <c r="I685">
        <v>1</v>
      </c>
      <c r="J685" t="s">
        <v>1799</v>
      </c>
      <c r="K685" t="s">
        <v>1799</v>
      </c>
      <c r="L685" t="s">
        <v>1799</v>
      </c>
      <c r="M685" t="s">
        <v>1799</v>
      </c>
      <c r="N685" t="s">
        <v>1799</v>
      </c>
      <c r="O685" s="184" t="str">
        <f>"["&amp;$C685&amp;"]["&amp;$D685&amp;"]["&amp;$F685&amp;"]"</f>
        <v>[S06_AircraftOperatorsVerificationReportIssuesEmissions][1][NumberOfAircraftOperators]</v>
      </c>
    </row>
    <row r="686" spans="1:15" x14ac:dyDescent="0.3">
      <c r="A686" t="s">
        <v>1793</v>
      </c>
      <c r="B686" t="s">
        <v>2092</v>
      </c>
      <c r="C686" t="s">
        <v>2094</v>
      </c>
      <c r="D686">
        <v>2</v>
      </c>
      <c r="E686" t="s">
        <v>1447</v>
      </c>
      <c r="F686" t="s">
        <v>2095</v>
      </c>
      <c r="G686" t="s">
        <v>1811</v>
      </c>
      <c r="H686" t="s">
        <v>1799</v>
      </c>
      <c r="I686">
        <v>1</v>
      </c>
      <c r="J686" t="s">
        <v>1799</v>
      </c>
      <c r="K686" t="s">
        <v>1799</v>
      </c>
      <c r="L686" t="s">
        <v>1799</v>
      </c>
      <c r="M686" t="s">
        <v>1799</v>
      </c>
      <c r="N686" t="s">
        <v>1799</v>
      </c>
      <c r="O686" s="184" t="str">
        <f>"["&amp;$C686&amp;"]["&amp;$D686&amp;"]["&amp;$F686&amp;"]"</f>
        <v>[S06_AircraftOperatorsVerificationReportIssuesEmissions][2][NumberOfAircraftOperators]</v>
      </c>
    </row>
    <row r="687" spans="1:15" x14ac:dyDescent="0.3">
      <c r="A687" t="s">
        <v>1793</v>
      </c>
      <c r="B687" t="s">
        <v>2092</v>
      </c>
      <c r="C687" t="s">
        <v>2094</v>
      </c>
      <c r="D687">
        <v>1</v>
      </c>
      <c r="E687" t="s">
        <v>1447</v>
      </c>
      <c r="F687" t="s">
        <v>2053</v>
      </c>
      <c r="G687" t="s">
        <v>1811</v>
      </c>
      <c r="H687" t="s">
        <v>1799</v>
      </c>
      <c r="I687">
        <v>1</v>
      </c>
      <c r="J687" t="s">
        <v>1799</v>
      </c>
      <c r="K687" t="s">
        <v>1799</v>
      </c>
      <c r="L687" t="s">
        <v>1799</v>
      </c>
      <c r="M687" t="s">
        <v>1799</v>
      </c>
      <c r="N687" t="s">
        <v>1799</v>
      </c>
      <c r="O687" s="184" t="str">
        <f>"["&amp;$C687&amp;"]["&amp;$D687&amp;"]["&amp;$F687&amp;"]"</f>
        <v>[S06_AircraftOperatorsVerificationReportIssuesEmissions][1][NumberOfIssues]</v>
      </c>
    </row>
    <row r="688" spans="1:15" x14ac:dyDescent="0.3">
      <c r="A688" t="s">
        <v>1793</v>
      </c>
      <c r="B688" t="s">
        <v>2092</v>
      </c>
      <c r="C688" t="s">
        <v>2094</v>
      </c>
      <c r="D688">
        <v>2</v>
      </c>
      <c r="E688" t="s">
        <v>1447</v>
      </c>
      <c r="F688" t="s">
        <v>2053</v>
      </c>
      <c r="G688" t="s">
        <v>1811</v>
      </c>
      <c r="H688" t="s">
        <v>1799</v>
      </c>
      <c r="I688">
        <v>5</v>
      </c>
      <c r="J688" t="s">
        <v>1799</v>
      </c>
      <c r="K688" t="s">
        <v>1799</v>
      </c>
      <c r="L688" t="s">
        <v>1799</v>
      </c>
      <c r="M688" t="s">
        <v>1799</v>
      </c>
      <c r="N688" t="s">
        <v>1799</v>
      </c>
      <c r="O688" s="184" t="str">
        <f>"["&amp;$C688&amp;"]["&amp;$D688&amp;"]["&amp;$F688&amp;"]"</f>
        <v>[S06_AircraftOperatorsVerificationReportIssuesEmissions][2][NumberOfIssues]</v>
      </c>
    </row>
    <row r="689" spans="1:15" x14ac:dyDescent="0.3">
      <c r="A689" t="s">
        <v>1793</v>
      </c>
      <c r="B689" t="s">
        <v>2092</v>
      </c>
      <c r="C689" t="s">
        <v>2094</v>
      </c>
      <c r="D689">
        <v>1</v>
      </c>
      <c r="E689" t="s">
        <v>1447</v>
      </c>
      <c r="F689" t="s">
        <v>2072</v>
      </c>
      <c r="G689" t="s">
        <v>1889</v>
      </c>
      <c r="H689" t="s">
        <v>1799</v>
      </c>
      <c r="I689" t="s">
        <v>1799</v>
      </c>
      <c r="J689">
        <v>0</v>
      </c>
      <c r="K689" t="s">
        <v>1799</v>
      </c>
      <c r="L689" t="s">
        <v>1799</v>
      </c>
      <c r="M689" t="s">
        <v>1799</v>
      </c>
      <c r="N689" t="s">
        <v>1799</v>
      </c>
      <c r="O689" s="184" t="str">
        <f>"["&amp;$C689&amp;"]["&amp;$D689&amp;"]["&amp;$F689&amp;"]"</f>
        <v>[S06_AircraftOperatorsVerificationReportIssuesEmissions][1][ShareOfReportsConservativeEstimate]</v>
      </c>
    </row>
    <row r="690" spans="1:15" x14ac:dyDescent="0.3">
      <c r="A690" t="s">
        <v>1793</v>
      </c>
      <c r="B690" t="s">
        <v>2092</v>
      </c>
      <c r="C690" t="s">
        <v>2094</v>
      </c>
      <c r="D690">
        <v>2</v>
      </c>
      <c r="E690" t="s">
        <v>1447</v>
      </c>
      <c r="F690" t="s">
        <v>2072</v>
      </c>
      <c r="G690" t="s">
        <v>1889</v>
      </c>
      <c r="H690" t="s">
        <v>1799</v>
      </c>
      <c r="I690" t="s">
        <v>1799</v>
      </c>
      <c r="J690">
        <v>0</v>
      </c>
      <c r="K690" t="s">
        <v>1799</v>
      </c>
      <c r="L690" t="s">
        <v>1799</v>
      </c>
      <c r="M690" t="s">
        <v>1799</v>
      </c>
      <c r="N690" t="s">
        <v>1799</v>
      </c>
      <c r="O690" s="184" t="str">
        <f>"["&amp;$C690&amp;"]["&amp;$D690&amp;"]["&amp;$F690&amp;"]"</f>
        <v>[S06_AircraftOperatorsVerificationReportIssuesEmissions][2][ShareOfReportsConservativeEstimate]</v>
      </c>
    </row>
    <row r="691" spans="1:15" x14ac:dyDescent="0.3">
      <c r="A691" t="s">
        <v>1793</v>
      </c>
      <c r="B691" t="s">
        <v>2096</v>
      </c>
      <c r="C691" t="s">
        <v>2097</v>
      </c>
      <c r="D691">
        <v>1</v>
      </c>
      <c r="E691" t="s">
        <v>1447</v>
      </c>
      <c r="F691" t="s">
        <v>2076</v>
      </c>
      <c r="G691" t="s">
        <v>1889</v>
      </c>
      <c r="H691" t="s">
        <v>1799</v>
      </c>
      <c r="I691" t="s">
        <v>1799</v>
      </c>
      <c r="J691">
        <v>1</v>
      </c>
      <c r="K691" t="s">
        <v>1799</v>
      </c>
      <c r="L691" t="s">
        <v>1799</v>
      </c>
      <c r="M691" t="s">
        <v>1799</v>
      </c>
      <c r="N691" t="s">
        <v>1799</v>
      </c>
      <c r="O691" s="184" t="str">
        <f>"["&amp;$C691&amp;"]["&amp;$D691&amp;"]["&amp;$F691&amp;"]"</f>
        <v>[S06_AircraftOperatorsVerificationEmissionReportChecks1][1][PercentageShare]</v>
      </c>
    </row>
    <row r="692" spans="1:15" x14ac:dyDescent="0.3">
      <c r="A692" t="s">
        <v>1793</v>
      </c>
      <c r="B692" t="s">
        <v>2096</v>
      </c>
      <c r="C692" t="s">
        <v>2097</v>
      </c>
      <c r="D692">
        <v>2</v>
      </c>
      <c r="E692" t="s">
        <v>1447</v>
      </c>
      <c r="F692" t="s">
        <v>2076</v>
      </c>
      <c r="G692" t="s">
        <v>1889</v>
      </c>
      <c r="H692" t="s">
        <v>1799</v>
      </c>
      <c r="I692" t="s">
        <v>1799</v>
      </c>
      <c r="J692">
        <v>1</v>
      </c>
      <c r="K692" t="s">
        <v>1799</v>
      </c>
      <c r="L692" t="s">
        <v>1799</v>
      </c>
      <c r="M692" t="s">
        <v>1799</v>
      </c>
      <c r="N692" t="s">
        <v>1799</v>
      </c>
      <c r="O692" s="184" t="str">
        <f>"["&amp;$C692&amp;"]["&amp;$D692&amp;"]["&amp;$F692&amp;"]"</f>
        <v>[S06_AircraftOperatorsVerificationEmissionReportChecks1][2][PercentageShare]</v>
      </c>
    </row>
    <row r="693" spans="1:15" x14ac:dyDescent="0.3">
      <c r="A693" t="s">
        <v>1793</v>
      </c>
      <c r="B693" t="s">
        <v>2096</v>
      </c>
      <c r="C693" t="s">
        <v>2097</v>
      </c>
      <c r="D693">
        <v>3</v>
      </c>
      <c r="E693" t="s">
        <v>1447</v>
      </c>
      <c r="F693" t="s">
        <v>2076</v>
      </c>
      <c r="G693" t="s">
        <v>1889</v>
      </c>
      <c r="H693" t="s">
        <v>1799</v>
      </c>
      <c r="I693" t="s">
        <v>1799</v>
      </c>
      <c r="J693">
        <v>1</v>
      </c>
      <c r="K693" t="s">
        <v>1799</v>
      </c>
      <c r="L693" t="s">
        <v>1799</v>
      </c>
      <c r="M693" t="s">
        <v>1799</v>
      </c>
      <c r="N693" t="s">
        <v>1799</v>
      </c>
      <c r="O693" s="184" t="str">
        <f>"["&amp;$C693&amp;"]["&amp;$D693&amp;"]["&amp;$F693&amp;"]"</f>
        <v>[S06_AircraftOperatorsVerificationEmissionReportChecks1][3][PercentageShare]</v>
      </c>
    </row>
    <row r="694" spans="1:15" x14ac:dyDescent="0.3">
      <c r="A694" t="s">
        <v>1793</v>
      </c>
      <c r="B694" t="s">
        <v>2096</v>
      </c>
      <c r="C694" t="s">
        <v>2097</v>
      </c>
      <c r="D694">
        <v>4</v>
      </c>
      <c r="E694" t="s">
        <v>1447</v>
      </c>
      <c r="F694" t="s">
        <v>2076</v>
      </c>
      <c r="G694" t="s">
        <v>1889</v>
      </c>
      <c r="H694" t="s">
        <v>1799</v>
      </c>
      <c r="I694" t="s">
        <v>1799</v>
      </c>
      <c r="J694">
        <v>1</v>
      </c>
      <c r="K694" t="s">
        <v>1799</v>
      </c>
      <c r="L694" t="s">
        <v>1799</v>
      </c>
      <c r="M694" t="s">
        <v>1799</v>
      </c>
      <c r="N694" t="s">
        <v>1799</v>
      </c>
      <c r="O694" s="184" t="str">
        <f>"["&amp;$C694&amp;"]["&amp;$D694&amp;"]["&amp;$F694&amp;"]"</f>
        <v>[S06_AircraftOperatorsVerificationEmissionReportChecks1][4][PercentageShare]</v>
      </c>
    </row>
    <row r="695" spans="1:15" x14ac:dyDescent="0.3">
      <c r="A695" t="s">
        <v>1793</v>
      </c>
      <c r="B695" t="s">
        <v>2096</v>
      </c>
      <c r="C695" t="s">
        <v>2097</v>
      </c>
      <c r="D695">
        <v>3</v>
      </c>
      <c r="E695" t="s">
        <v>1447</v>
      </c>
      <c r="F695" t="s">
        <v>2077</v>
      </c>
      <c r="G695" t="s">
        <v>1870</v>
      </c>
      <c r="H695" t="s">
        <v>1799</v>
      </c>
      <c r="I695" t="s">
        <v>1799</v>
      </c>
      <c r="J695" t="s">
        <v>1799</v>
      </c>
      <c r="K695" t="s">
        <v>2098</v>
      </c>
      <c r="L695" t="s">
        <v>1799</v>
      </c>
      <c r="M695" t="s">
        <v>1799</v>
      </c>
      <c r="N695" t="s">
        <v>1799</v>
      </c>
      <c r="O695" s="184" t="str">
        <f>"["&amp;$C695&amp;"]["&amp;$D695&amp;"]["&amp;$F695&amp;"]"</f>
        <v>[S06_AircraftOperatorsVerificationEmissionReportChecks1][3][FurtherInformation]</v>
      </c>
    </row>
    <row r="696" spans="1:15" x14ac:dyDescent="0.3">
      <c r="A696" t="s">
        <v>1793</v>
      </c>
      <c r="B696" t="s">
        <v>2096</v>
      </c>
      <c r="C696" t="s">
        <v>2099</v>
      </c>
      <c r="D696">
        <v>1</v>
      </c>
      <c r="E696" t="s">
        <v>1447</v>
      </c>
      <c r="F696" t="s">
        <v>2080</v>
      </c>
      <c r="G696" t="s">
        <v>1811</v>
      </c>
      <c r="H696" t="s">
        <v>1799</v>
      </c>
      <c r="I696">
        <v>0</v>
      </c>
      <c r="J696" t="s">
        <v>1799</v>
      </c>
      <c r="K696" t="s">
        <v>1799</v>
      </c>
      <c r="L696" t="s">
        <v>1799</v>
      </c>
      <c r="M696" t="s">
        <v>1799</v>
      </c>
      <c r="N696" t="s">
        <v>1799</v>
      </c>
      <c r="O696" s="184" t="str">
        <f>"["&amp;$C696&amp;"]["&amp;$D696&amp;"]["&amp;$F696&amp;"]"</f>
        <v>[S06_AircraftOperatorsVerificationEmissionReportChecks2][1][NumberOfReports]</v>
      </c>
    </row>
    <row r="697" spans="1:15" x14ac:dyDescent="0.3">
      <c r="A697" t="s">
        <v>1793</v>
      </c>
      <c r="B697" t="s">
        <v>2096</v>
      </c>
      <c r="C697" t="s">
        <v>2099</v>
      </c>
      <c r="D697">
        <v>2</v>
      </c>
      <c r="E697" t="s">
        <v>1447</v>
      </c>
      <c r="F697" t="s">
        <v>2080</v>
      </c>
      <c r="G697" t="s">
        <v>1811</v>
      </c>
      <c r="H697" t="s">
        <v>1799</v>
      </c>
      <c r="I697">
        <v>0</v>
      </c>
      <c r="J697" t="s">
        <v>1799</v>
      </c>
      <c r="K697" t="s">
        <v>1799</v>
      </c>
      <c r="L697" t="s">
        <v>1799</v>
      </c>
      <c r="M697" t="s">
        <v>1799</v>
      </c>
      <c r="N697" t="s">
        <v>1799</v>
      </c>
      <c r="O697" s="184" t="str">
        <f>"["&amp;$C697&amp;"]["&amp;$D697&amp;"]["&amp;$F697&amp;"]"</f>
        <v>[S06_AircraftOperatorsVerificationEmissionReportChecks2][2][NumberOfReports]</v>
      </c>
    </row>
    <row r="698" spans="1:15" x14ac:dyDescent="0.3">
      <c r="A698" t="s">
        <v>1793</v>
      </c>
      <c r="B698" t="s">
        <v>2096</v>
      </c>
      <c r="C698" t="s">
        <v>2100</v>
      </c>
      <c r="D698">
        <v>1</v>
      </c>
      <c r="E698" t="s">
        <v>1447</v>
      </c>
      <c r="F698" t="s">
        <v>2082</v>
      </c>
      <c r="G698" t="s">
        <v>1797</v>
      </c>
      <c r="H698" t="s">
        <v>1755</v>
      </c>
      <c r="I698" t="s">
        <v>1799</v>
      </c>
      <c r="J698" t="s">
        <v>1799</v>
      </c>
      <c r="K698" t="s">
        <v>1799</v>
      </c>
      <c r="L698" t="s">
        <v>1799</v>
      </c>
      <c r="M698" t="s">
        <v>1799</v>
      </c>
      <c r="N698" t="s">
        <v>1799</v>
      </c>
      <c r="O698" s="184" t="str">
        <f>"["&amp;$C698&amp;"]["&amp;$D698&amp;"]["&amp;$F698&amp;"]"</f>
        <v>[S06_AircraftOperatorsVerificationEmissionReportChecks3][1][ActionsTaken]</v>
      </c>
    </row>
    <row r="699" spans="1:15" x14ac:dyDescent="0.3">
      <c r="A699" t="s">
        <v>1793</v>
      </c>
      <c r="B699" t="s">
        <v>2096</v>
      </c>
      <c r="C699" t="s">
        <v>2100</v>
      </c>
      <c r="D699">
        <v>2</v>
      </c>
      <c r="E699" t="s">
        <v>1419</v>
      </c>
      <c r="F699" t="s">
        <v>2082</v>
      </c>
      <c r="G699" t="s">
        <v>1870</v>
      </c>
      <c r="H699" t="s">
        <v>1799</v>
      </c>
      <c r="I699" t="s">
        <v>1799</v>
      </c>
      <c r="J699" t="s">
        <v>1799</v>
      </c>
      <c r="K699" t="s">
        <v>1755</v>
      </c>
      <c r="L699" t="s">
        <v>1799</v>
      </c>
      <c r="M699" t="s">
        <v>1799</v>
      </c>
      <c r="N699" t="s">
        <v>1799</v>
      </c>
      <c r="O699" s="184" t="str">
        <f>"["&amp;$C699&amp;"]["&amp;$D699&amp;"]["&amp;$F699&amp;"]"</f>
        <v>[S06_AircraftOperatorsVerificationEmissionReportChecks3][2][ActionsTaken]</v>
      </c>
    </row>
    <row r="700" spans="1:15" x14ac:dyDescent="0.3">
      <c r="A700" t="s">
        <v>1793</v>
      </c>
      <c r="B700" t="s">
        <v>2096</v>
      </c>
      <c r="C700" t="s">
        <v>2101</v>
      </c>
      <c r="D700">
        <v>1</v>
      </c>
      <c r="E700" t="s">
        <v>1447</v>
      </c>
      <c r="F700" t="s">
        <v>2076</v>
      </c>
      <c r="G700" t="s">
        <v>1889</v>
      </c>
      <c r="H700" t="s">
        <v>1799</v>
      </c>
      <c r="I700" t="s">
        <v>1799</v>
      </c>
      <c r="J700">
        <v>0</v>
      </c>
      <c r="K700" t="s">
        <v>1799</v>
      </c>
      <c r="L700" t="s">
        <v>1799</v>
      </c>
      <c r="M700" t="s">
        <v>1799</v>
      </c>
      <c r="N700" t="s">
        <v>1799</v>
      </c>
      <c r="O700" s="184" t="str">
        <f>"["&amp;$C700&amp;"]["&amp;$D700&amp;"]["&amp;$F700&amp;"]"</f>
        <v>[S06_AircraftOperatorsVerificationTKMReportChecks1][1][PercentageShare]</v>
      </c>
    </row>
    <row r="701" spans="1:15" x14ac:dyDescent="0.3">
      <c r="A701" t="s">
        <v>1793</v>
      </c>
      <c r="B701" t="s">
        <v>2096</v>
      </c>
      <c r="C701" t="s">
        <v>2101</v>
      </c>
      <c r="D701">
        <v>2</v>
      </c>
      <c r="E701" t="s">
        <v>1447</v>
      </c>
      <c r="F701" t="s">
        <v>2076</v>
      </c>
      <c r="G701" t="s">
        <v>1889</v>
      </c>
      <c r="H701" t="s">
        <v>1799</v>
      </c>
      <c r="I701" t="s">
        <v>1799</v>
      </c>
      <c r="J701">
        <v>0</v>
      </c>
      <c r="K701" t="s">
        <v>1799</v>
      </c>
      <c r="L701" t="s">
        <v>1799</v>
      </c>
      <c r="M701" t="s">
        <v>1799</v>
      </c>
      <c r="N701" t="s">
        <v>1799</v>
      </c>
      <c r="O701" s="184" t="str">
        <f>"["&amp;$C701&amp;"]["&amp;$D701&amp;"]["&amp;$F701&amp;"]"</f>
        <v>[S06_AircraftOperatorsVerificationTKMReportChecks1][2][PercentageShare]</v>
      </c>
    </row>
    <row r="702" spans="1:15" x14ac:dyDescent="0.3">
      <c r="A702" t="s">
        <v>1793</v>
      </c>
      <c r="B702" t="s">
        <v>2096</v>
      </c>
      <c r="C702" t="s">
        <v>2101</v>
      </c>
      <c r="D702">
        <v>3</v>
      </c>
      <c r="E702" t="s">
        <v>1447</v>
      </c>
      <c r="F702" t="s">
        <v>2076</v>
      </c>
      <c r="G702" t="s">
        <v>1889</v>
      </c>
      <c r="H702" t="s">
        <v>1799</v>
      </c>
      <c r="I702" t="s">
        <v>1799</v>
      </c>
      <c r="J702">
        <v>0</v>
      </c>
      <c r="K702" t="s">
        <v>1799</v>
      </c>
      <c r="L702" t="s">
        <v>1799</v>
      </c>
      <c r="M702" t="s">
        <v>1799</v>
      </c>
      <c r="N702" t="s">
        <v>1799</v>
      </c>
      <c r="O702" s="184" t="str">
        <f>"["&amp;$C702&amp;"]["&amp;$D702&amp;"]["&amp;$F702&amp;"]"</f>
        <v>[S06_AircraftOperatorsVerificationTKMReportChecks1][3][PercentageShare]</v>
      </c>
    </row>
    <row r="703" spans="1:15" x14ac:dyDescent="0.3">
      <c r="A703" t="s">
        <v>1793</v>
      </c>
      <c r="B703" t="s">
        <v>2096</v>
      </c>
      <c r="C703" t="s">
        <v>2101</v>
      </c>
      <c r="D703">
        <v>4</v>
      </c>
      <c r="E703" t="s">
        <v>1447</v>
      </c>
      <c r="F703" t="s">
        <v>2076</v>
      </c>
      <c r="G703" t="s">
        <v>1889</v>
      </c>
      <c r="H703" t="s">
        <v>1799</v>
      </c>
      <c r="I703" t="s">
        <v>1799</v>
      </c>
      <c r="J703">
        <v>0</v>
      </c>
      <c r="K703" t="s">
        <v>1799</v>
      </c>
      <c r="L703" t="s">
        <v>1799</v>
      </c>
      <c r="M703" t="s">
        <v>1799</v>
      </c>
      <c r="N703" t="s">
        <v>1799</v>
      </c>
      <c r="O703" s="184" t="str">
        <f>"["&amp;$C703&amp;"]["&amp;$D703&amp;"]["&amp;$F703&amp;"]"</f>
        <v>[S06_AircraftOperatorsVerificationTKMReportChecks1][4][PercentageShare]</v>
      </c>
    </row>
    <row r="704" spans="1:15" x14ac:dyDescent="0.3">
      <c r="A704" t="s">
        <v>1793</v>
      </c>
      <c r="B704" t="s">
        <v>2096</v>
      </c>
      <c r="C704" t="s">
        <v>2102</v>
      </c>
      <c r="D704">
        <v>1</v>
      </c>
      <c r="E704" t="s">
        <v>1447</v>
      </c>
      <c r="F704" t="s">
        <v>2080</v>
      </c>
      <c r="G704" t="s">
        <v>1811</v>
      </c>
      <c r="H704" t="s">
        <v>1799</v>
      </c>
      <c r="I704">
        <v>0</v>
      </c>
      <c r="J704" t="s">
        <v>1799</v>
      </c>
      <c r="K704" t="s">
        <v>1799</v>
      </c>
      <c r="L704" t="s">
        <v>1799</v>
      </c>
      <c r="M704" t="s">
        <v>1799</v>
      </c>
      <c r="N704" t="s">
        <v>1799</v>
      </c>
      <c r="O704" s="184" t="str">
        <f>"["&amp;$C704&amp;"]["&amp;$D704&amp;"]["&amp;$F704&amp;"]"</f>
        <v>[S06_AircraftOperatorsVerificationTKMReportChecks2][1][NumberOfReports]</v>
      </c>
    </row>
    <row r="705" spans="1:15" x14ac:dyDescent="0.3">
      <c r="A705" t="s">
        <v>1793</v>
      </c>
      <c r="B705" t="s">
        <v>2096</v>
      </c>
      <c r="C705" t="s">
        <v>2102</v>
      </c>
      <c r="D705">
        <v>2</v>
      </c>
      <c r="E705" t="s">
        <v>1447</v>
      </c>
      <c r="F705" t="s">
        <v>2080</v>
      </c>
      <c r="G705" t="s">
        <v>1811</v>
      </c>
      <c r="H705" t="s">
        <v>1799</v>
      </c>
      <c r="I705">
        <v>0</v>
      </c>
      <c r="J705" t="s">
        <v>1799</v>
      </c>
      <c r="K705" t="s">
        <v>1799</v>
      </c>
      <c r="L705" t="s">
        <v>1799</v>
      </c>
      <c r="M705" t="s">
        <v>1799</v>
      </c>
      <c r="N705" t="s">
        <v>1799</v>
      </c>
      <c r="O705" s="184" t="str">
        <f>"["&amp;$C705&amp;"]["&amp;$D705&amp;"]["&amp;$F705&amp;"]"</f>
        <v>[S06_AircraftOperatorsVerificationTKMReportChecks2][2][NumberOfReports]</v>
      </c>
    </row>
    <row r="706" spans="1:15" x14ac:dyDescent="0.3">
      <c r="A706" t="s">
        <v>1793</v>
      </c>
      <c r="B706" t="s">
        <v>2096</v>
      </c>
      <c r="C706" t="s">
        <v>2103</v>
      </c>
      <c r="D706">
        <v>1</v>
      </c>
      <c r="E706" t="s">
        <v>1447</v>
      </c>
      <c r="F706" t="s">
        <v>2082</v>
      </c>
      <c r="G706" t="s">
        <v>1797</v>
      </c>
      <c r="H706" t="s">
        <v>1755</v>
      </c>
      <c r="I706" t="s">
        <v>1799</v>
      </c>
      <c r="J706" t="s">
        <v>1799</v>
      </c>
      <c r="K706" t="s">
        <v>1799</v>
      </c>
      <c r="L706" t="s">
        <v>1799</v>
      </c>
      <c r="M706" t="s">
        <v>1799</v>
      </c>
      <c r="N706" t="s">
        <v>1799</v>
      </c>
      <c r="O706" s="184" t="str">
        <f>"["&amp;$C706&amp;"]["&amp;$D706&amp;"]["&amp;$F706&amp;"]"</f>
        <v>[S06_AircraftOperatorsVerificationTKMReportChecks3][1][ActionsTaken]</v>
      </c>
    </row>
    <row r="707" spans="1:15" x14ac:dyDescent="0.3">
      <c r="A707" t="s">
        <v>1793</v>
      </c>
      <c r="B707" t="s">
        <v>2104</v>
      </c>
      <c r="C707" t="s">
        <v>2105</v>
      </c>
      <c r="D707">
        <v>0</v>
      </c>
      <c r="E707" t="s">
        <v>1447</v>
      </c>
      <c r="F707" t="s">
        <v>2105</v>
      </c>
      <c r="G707" t="s">
        <v>1836</v>
      </c>
      <c r="H707" t="s">
        <v>1799</v>
      </c>
      <c r="I707" t="s">
        <v>1799</v>
      </c>
      <c r="J707" t="s">
        <v>1799</v>
      </c>
      <c r="K707" t="s">
        <v>1799</v>
      </c>
      <c r="L707" t="s">
        <v>1419</v>
      </c>
      <c r="M707" t="s">
        <v>1799</v>
      </c>
      <c r="N707" t="s">
        <v>1799</v>
      </c>
      <c r="O707" s="184" t="str">
        <f>"["&amp;$C707&amp;"]["&amp;$D707&amp;"]["&amp;$F707&amp;"]"</f>
        <v>[AircraftOperatorsVisitsWaivedLowEmitters][0][AircraftOperatorsVisitsWaivedLowEmitters]</v>
      </c>
    </row>
    <row r="708" spans="1:15" x14ac:dyDescent="0.3">
      <c r="A708" t="s">
        <v>1793</v>
      </c>
      <c r="B708" t="s">
        <v>2104</v>
      </c>
      <c r="C708" t="s">
        <v>2106</v>
      </c>
      <c r="D708">
        <v>0</v>
      </c>
      <c r="E708" t="s">
        <v>1447</v>
      </c>
      <c r="F708" t="s">
        <v>2106</v>
      </c>
      <c r="G708" t="s">
        <v>1811</v>
      </c>
      <c r="H708" t="s">
        <v>1799</v>
      </c>
      <c r="I708">
        <v>1</v>
      </c>
      <c r="J708" t="s">
        <v>1799</v>
      </c>
      <c r="K708" t="s">
        <v>1799</v>
      </c>
      <c r="L708" t="s">
        <v>1799</v>
      </c>
      <c r="M708" t="s">
        <v>1799</v>
      </c>
      <c r="N708" t="s">
        <v>1799</v>
      </c>
      <c r="O708" s="184" t="str">
        <f>"["&amp;$C708&amp;"]["&amp;$D708&amp;"]["&amp;$F708&amp;"]"</f>
        <v>[AircraftOperatorsVisitsWaivedLowEmittersDetail][0][AircraftOperatorsVisitsWaivedLowEmittersDetail]</v>
      </c>
    </row>
    <row r="709" spans="1:15" x14ac:dyDescent="0.3">
      <c r="A709" t="s">
        <v>1793</v>
      </c>
      <c r="B709" t="s">
        <v>2107</v>
      </c>
      <c r="C709" t="s">
        <v>2108</v>
      </c>
      <c r="D709">
        <v>0</v>
      </c>
      <c r="E709" t="s">
        <v>1447</v>
      </c>
      <c r="F709" t="s">
        <v>2108</v>
      </c>
      <c r="G709" t="s">
        <v>1836</v>
      </c>
      <c r="H709" t="s">
        <v>1799</v>
      </c>
      <c r="I709" t="s">
        <v>1799</v>
      </c>
      <c r="J709" t="s">
        <v>1799</v>
      </c>
      <c r="K709" t="s">
        <v>1799</v>
      </c>
      <c r="L709" t="s">
        <v>1447</v>
      </c>
      <c r="M709" t="s">
        <v>1799</v>
      </c>
      <c r="N709" t="s">
        <v>1799</v>
      </c>
      <c r="O709" s="184" t="str">
        <f>"["&amp;$C709&amp;"]["&amp;$D709&amp;"]["&amp;$F709&amp;"]"</f>
        <v>[VirtualVisitsAircraft][0][VirtualVisitsAircraft]</v>
      </c>
    </row>
    <row r="710" spans="1:15" x14ac:dyDescent="0.3">
      <c r="A710" t="s">
        <v>1793</v>
      </c>
      <c r="B710" t="s">
        <v>2109</v>
      </c>
      <c r="C710" t="s">
        <v>2110</v>
      </c>
      <c r="D710">
        <v>1</v>
      </c>
      <c r="E710" t="s">
        <v>1447</v>
      </c>
      <c r="F710" t="s">
        <v>2111</v>
      </c>
      <c r="G710" t="s">
        <v>1797</v>
      </c>
      <c r="H710" t="s">
        <v>1991</v>
      </c>
      <c r="I710" t="s">
        <v>1799</v>
      </c>
      <c r="J710" t="s">
        <v>1799</v>
      </c>
      <c r="K710" t="s">
        <v>1799</v>
      </c>
      <c r="L710" t="s">
        <v>1799</v>
      </c>
      <c r="M710" t="s">
        <v>1799</v>
      </c>
      <c r="N710" t="s">
        <v>1799</v>
      </c>
      <c r="O710" s="184" t="str">
        <f>"["&amp;$C710&amp;"]["&amp;$D710&amp;"]["&amp;$F710&amp;"]"</f>
        <v>[S07_NoFurtherAllowancesSurrendered][1][InstallationIDCode]</v>
      </c>
    </row>
    <row r="711" spans="1:15" x14ac:dyDescent="0.3">
      <c r="A711" t="s">
        <v>1793</v>
      </c>
      <c r="B711" t="s">
        <v>2109</v>
      </c>
      <c r="C711" t="s">
        <v>2110</v>
      </c>
      <c r="D711">
        <v>1</v>
      </c>
      <c r="E711" t="s">
        <v>1447</v>
      </c>
      <c r="F711" t="s">
        <v>2112</v>
      </c>
      <c r="G711" t="s">
        <v>1797</v>
      </c>
      <c r="H711" t="s">
        <v>1991</v>
      </c>
      <c r="I711" t="s">
        <v>1799</v>
      </c>
      <c r="J711" t="s">
        <v>1799</v>
      </c>
      <c r="K711" t="s">
        <v>1799</v>
      </c>
      <c r="L711" t="s">
        <v>1799</v>
      </c>
      <c r="M711" t="s">
        <v>1799</v>
      </c>
      <c r="N711" t="s">
        <v>1799</v>
      </c>
      <c r="O711" s="184" t="str">
        <f>"["&amp;$C711&amp;"]["&amp;$D711&amp;"]["&amp;$F711&amp;"]"</f>
        <v>[S07_NoFurtherAllowancesSurrendered][1][OperatorName]</v>
      </c>
    </row>
    <row r="712" spans="1:15" x14ac:dyDescent="0.3">
      <c r="A712" t="s">
        <v>1793</v>
      </c>
      <c r="B712" t="s">
        <v>2109</v>
      </c>
      <c r="C712" t="s">
        <v>2110</v>
      </c>
      <c r="D712">
        <v>1</v>
      </c>
      <c r="E712" t="s">
        <v>1447</v>
      </c>
      <c r="F712" t="s">
        <v>2113</v>
      </c>
      <c r="G712" t="s">
        <v>1797</v>
      </c>
      <c r="H712" t="s">
        <v>1991</v>
      </c>
      <c r="I712" t="s">
        <v>1799</v>
      </c>
      <c r="J712" t="s">
        <v>1799</v>
      </c>
      <c r="K712" t="s">
        <v>1799</v>
      </c>
      <c r="L712" t="s">
        <v>1799</v>
      </c>
      <c r="M712" t="s">
        <v>1799</v>
      </c>
      <c r="N712" t="s">
        <v>1799</v>
      </c>
      <c r="O712" s="184" t="str">
        <f>"["&amp;$C712&amp;"]["&amp;$D712&amp;"]["&amp;$F712&amp;"]"</f>
        <v>[S07_NoFurtherAllowancesSurrendered][1][InstallationName]</v>
      </c>
    </row>
    <row r="713" spans="1:15" x14ac:dyDescent="0.3">
      <c r="A713" t="s">
        <v>1793</v>
      </c>
      <c r="B713" t="s">
        <v>2109</v>
      </c>
      <c r="C713" t="s">
        <v>2110</v>
      </c>
      <c r="D713">
        <v>1</v>
      </c>
      <c r="E713" t="s">
        <v>1447</v>
      </c>
      <c r="F713" t="s">
        <v>2114</v>
      </c>
      <c r="G713" t="s">
        <v>1811</v>
      </c>
      <c r="H713" t="s">
        <v>1799</v>
      </c>
      <c r="I713">
        <v>0</v>
      </c>
      <c r="J713" t="s">
        <v>1799</v>
      </c>
      <c r="K713" t="s">
        <v>1799</v>
      </c>
      <c r="L713" t="s">
        <v>1799</v>
      </c>
      <c r="M713" t="s">
        <v>1799</v>
      </c>
      <c r="N713" t="s">
        <v>1799</v>
      </c>
      <c r="O713" s="184" t="str">
        <f>"["&amp;$C713&amp;"]["&amp;$D713&amp;"]["&amp;$F713&amp;"]"</f>
        <v>[S07_NoFurtherAllowancesSurrendered][1][OutstandingAllowances]</v>
      </c>
    </row>
    <row r="714" spans="1:15" x14ac:dyDescent="0.3">
      <c r="A714" t="s">
        <v>1793</v>
      </c>
      <c r="B714" t="s">
        <v>2109</v>
      </c>
      <c r="C714" t="s">
        <v>2110</v>
      </c>
      <c r="D714">
        <v>1</v>
      </c>
      <c r="E714" t="s">
        <v>1447</v>
      </c>
      <c r="F714" t="s">
        <v>2115</v>
      </c>
      <c r="G714" t="s">
        <v>1797</v>
      </c>
      <c r="H714" t="s">
        <v>1991</v>
      </c>
      <c r="I714" t="s">
        <v>1799</v>
      </c>
      <c r="J714" t="s">
        <v>1799</v>
      </c>
      <c r="K714" t="s">
        <v>1799</v>
      </c>
      <c r="L714" t="s">
        <v>1799</v>
      </c>
      <c r="M714" t="s">
        <v>1799</v>
      </c>
      <c r="N714" t="s">
        <v>1799</v>
      </c>
      <c r="O714" s="184" t="str">
        <f>"["&amp;$C714&amp;"]["&amp;$D714&amp;"]["&amp;$F714&amp;"]"</f>
        <v>[S07_NoFurtherAllowancesSurrendered][1][ReasonNoFurtherAllowancesSurrendered]</v>
      </c>
    </row>
    <row r="715" spans="1:15" x14ac:dyDescent="0.3">
      <c r="A715" t="s">
        <v>1793</v>
      </c>
      <c r="B715" t="s">
        <v>2116</v>
      </c>
      <c r="C715" t="s">
        <v>2117</v>
      </c>
      <c r="D715">
        <v>0</v>
      </c>
      <c r="E715" t="s">
        <v>1447</v>
      </c>
      <c r="F715" t="s">
        <v>2117</v>
      </c>
      <c r="G715" t="s">
        <v>1811</v>
      </c>
      <c r="H715" t="s">
        <v>1799</v>
      </c>
      <c r="I715">
        <v>0</v>
      </c>
      <c r="J715" t="s">
        <v>1799</v>
      </c>
      <c r="K715" t="s">
        <v>1799</v>
      </c>
      <c r="L715" t="s">
        <v>1799</v>
      </c>
      <c r="M715" t="s">
        <v>1799</v>
      </c>
      <c r="N715" t="s">
        <v>1799</v>
      </c>
      <c r="O715" s="184" t="str">
        <f>"["&amp;$C715&amp;"]["&amp;$D715&amp;"]["&amp;$F715&amp;"]"</f>
        <v>[AircraftOperatorsMandateArt15UseNumber][0][AircraftOperatorsMandateArt15UseNumber]</v>
      </c>
    </row>
    <row r="716" spans="1:15" x14ac:dyDescent="0.3">
      <c r="A716" t="s">
        <v>1793</v>
      </c>
      <c r="B716" t="s">
        <v>2116</v>
      </c>
      <c r="C716" t="s">
        <v>2118</v>
      </c>
      <c r="D716">
        <v>1</v>
      </c>
      <c r="E716" t="s">
        <v>1447</v>
      </c>
      <c r="F716" t="s">
        <v>2090</v>
      </c>
      <c r="G716" t="s">
        <v>1797</v>
      </c>
      <c r="H716" t="s">
        <v>1991</v>
      </c>
      <c r="I716" t="s">
        <v>1799</v>
      </c>
      <c r="J716" t="s">
        <v>1799</v>
      </c>
      <c r="K716" t="s">
        <v>1799</v>
      </c>
      <c r="L716" t="s">
        <v>1799</v>
      </c>
      <c r="M716" t="s">
        <v>1799</v>
      </c>
      <c r="N716" t="s">
        <v>1799</v>
      </c>
      <c r="O716" s="184" t="str">
        <f>"["&amp;$C716&amp;"]["&amp;$D716&amp;"]["&amp;$F716&amp;"]"</f>
        <v>[S07_AircraftOperatorsUseArt15MandateDetail][1][AircraftOperatorID]</v>
      </c>
    </row>
    <row r="717" spans="1:15" x14ac:dyDescent="0.3">
      <c r="A717" t="s">
        <v>1793</v>
      </c>
      <c r="B717" t="s">
        <v>2116</v>
      </c>
      <c r="C717" t="s">
        <v>2118</v>
      </c>
      <c r="D717">
        <v>1</v>
      </c>
      <c r="E717" t="s">
        <v>1447</v>
      </c>
      <c r="F717" t="s">
        <v>2119</v>
      </c>
      <c r="G717" t="s">
        <v>1797</v>
      </c>
      <c r="H717" t="s">
        <v>1991</v>
      </c>
      <c r="I717" t="s">
        <v>1799</v>
      </c>
      <c r="J717" t="s">
        <v>1799</v>
      </c>
      <c r="K717" t="s">
        <v>1799</v>
      </c>
      <c r="L717" t="s">
        <v>1799</v>
      </c>
      <c r="M717" t="s">
        <v>1799</v>
      </c>
      <c r="N717" t="s">
        <v>1799</v>
      </c>
      <c r="O717" s="184" t="str">
        <f>"["&amp;$C717&amp;"]["&amp;$D717&amp;"]["&amp;$F717&amp;"]"</f>
        <v>[S07_AircraftOperatorsUseArt15MandateDetail][1][AircraftOperatorName]</v>
      </c>
    </row>
    <row r="718" spans="1:15" x14ac:dyDescent="0.3">
      <c r="A718" t="s">
        <v>1793</v>
      </c>
      <c r="B718" t="s">
        <v>2120</v>
      </c>
      <c r="C718" t="s">
        <v>2121</v>
      </c>
      <c r="D718">
        <v>0</v>
      </c>
      <c r="E718" t="s">
        <v>1447</v>
      </c>
      <c r="F718" t="s">
        <v>2121</v>
      </c>
      <c r="G718" t="s">
        <v>1836</v>
      </c>
      <c r="H718" t="s">
        <v>1799</v>
      </c>
      <c r="I718" t="s">
        <v>1799</v>
      </c>
      <c r="J718" t="s">
        <v>1799</v>
      </c>
      <c r="K718" t="s">
        <v>1799</v>
      </c>
      <c r="L718" t="s">
        <v>1419</v>
      </c>
      <c r="M718" t="s">
        <v>1799</v>
      </c>
      <c r="N718" t="s">
        <v>1799</v>
      </c>
      <c r="O718" s="184" t="str">
        <f>"["&amp;$C718&amp;"]["&amp;$D718&amp;"]["&amp;$F718&amp;"]"</f>
        <v>[CommissionTemplatesAllocation][0][CommissionTemplatesAllocation]</v>
      </c>
    </row>
    <row r="719" spans="1:15" x14ac:dyDescent="0.3">
      <c r="A719" t="s">
        <v>1793</v>
      </c>
      <c r="B719" t="s">
        <v>2122</v>
      </c>
      <c r="C719" t="s">
        <v>2123</v>
      </c>
      <c r="D719">
        <v>0</v>
      </c>
      <c r="E719" t="s">
        <v>1447</v>
      </c>
      <c r="F719" t="s">
        <v>2123</v>
      </c>
      <c r="G719" t="s">
        <v>1836</v>
      </c>
      <c r="H719" t="s">
        <v>1799</v>
      </c>
      <c r="I719" t="s">
        <v>1799</v>
      </c>
      <c r="J719" t="s">
        <v>1799</v>
      </c>
      <c r="K719" t="s">
        <v>1799</v>
      </c>
      <c r="L719" t="s">
        <v>1419</v>
      </c>
      <c r="M719" t="s">
        <v>1799</v>
      </c>
      <c r="N719" t="s">
        <v>1799</v>
      </c>
      <c r="O719" s="184" t="str">
        <f>"["&amp;$C719&amp;"]["&amp;$D719&amp;"]["&amp;$F719&amp;"]"</f>
        <v>[FeesAllocation][0][FeesAllocation]</v>
      </c>
    </row>
    <row r="720" spans="1:15" x14ac:dyDescent="0.3">
      <c r="A720" t="s">
        <v>1793</v>
      </c>
      <c r="B720" t="s">
        <v>2122</v>
      </c>
      <c r="C720" t="s">
        <v>2124</v>
      </c>
      <c r="D720">
        <v>1</v>
      </c>
      <c r="E720" t="s">
        <v>1447</v>
      </c>
      <c r="F720" t="s">
        <v>2125</v>
      </c>
      <c r="G720" t="s">
        <v>1889</v>
      </c>
      <c r="H720" t="s">
        <v>1799</v>
      </c>
      <c r="I720" t="s">
        <v>1799</v>
      </c>
      <c r="J720">
        <v>5</v>
      </c>
      <c r="K720" t="s">
        <v>1799</v>
      </c>
      <c r="L720" t="s">
        <v>1799</v>
      </c>
      <c r="M720" t="s">
        <v>1799</v>
      </c>
      <c r="N720" t="s">
        <v>1799</v>
      </c>
      <c r="O720" s="184" t="str">
        <f>"["&amp;$C720&amp;"]["&amp;$D720&amp;"]["&amp;$F720&amp;"]"</f>
        <v>[S08_FeesAllocationDetail][1][FeeAmount]</v>
      </c>
    </row>
    <row r="721" spans="1:15" x14ac:dyDescent="0.3">
      <c r="A721" t="s">
        <v>1793</v>
      </c>
      <c r="B721" t="s">
        <v>2122</v>
      </c>
      <c r="C721" t="s">
        <v>2124</v>
      </c>
      <c r="D721">
        <v>2</v>
      </c>
      <c r="E721" t="s">
        <v>1447</v>
      </c>
      <c r="F721" t="s">
        <v>2125</v>
      </c>
      <c r="G721" t="s">
        <v>1889</v>
      </c>
      <c r="H721" t="s">
        <v>1799</v>
      </c>
      <c r="I721" t="s">
        <v>1799</v>
      </c>
      <c r="J721">
        <v>5</v>
      </c>
      <c r="K721" t="s">
        <v>1799</v>
      </c>
      <c r="L721" t="s">
        <v>1799</v>
      </c>
      <c r="M721" t="s">
        <v>1799</v>
      </c>
      <c r="N721" t="s">
        <v>1799</v>
      </c>
      <c r="O721" s="184" t="str">
        <f>"["&amp;$C721&amp;"]["&amp;$D721&amp;"]["&amp;$F721&amp;"]"</f>
        <v>[S08_FeesAllocationDetail][2][FeeAmount]</v>
      </c>
    </row>
    <row r="722" spans="1:15" x14ac:dyDescent="0.3">
      <c r="A722" t="s">
        <v>1793</v>
      </c>
      <c r="B722" t="s">
        <v>2122</v>
      </c>
      <c r="C722" t="s">
        <v>2124</v>
      </c>
      <c r="D722">
        <v>3</v>
      </c>
      <c r="E722" t="s">
        <v>1419</v>
      </c>
      <c r="F722" t="s">
        <v>2125</v>
      </c>
      <c r="G722" t="s">
        <v>1889</v>
      </c>
      <c r="H722" t="s">
        <v>1799</v>
      </c>
      <c r="I722" t="s">
        <v>1799</v>
      </c>
      <c r="J722">
        <v>5</v>
      </c>
      <c r="K722" t="s">
        <v>1799</v>
      </c>
      <c r="L722" t="s">
        <v>1799</v>
      </c>
      <c r="M722" t="s">
        <v>1799</v>
      </c>
      <c r="N722" t="s">
        <v>1799</v>
      </c>
      <c r="O722" s="184" t="str">
        <f>"["&amp;$C722&amp;"]["&amp;$D722&amp;"]["&amp;$F722&amp;"]"</f>
        <v>[S08_FeesAllocationDetail][3][FeeAmount]</v>
      </c>
    </row>
    <row r="723" spans="1:15" x14ac:dyDescent="0.3">
      <c r="A723" t="s">
        <v>1793</v>
      </c>
      <c r="B723" t="s">
        <v>2122</v>
      </c>
      <c r="C723" t="s">
        <v>2124</v>
      </c>
      <c r="D723">
        <v>3</v>
      </c>
      <c r="E723" t="s">
        <v>1419</v>
      </c>
      <c r="F723" t="s">
        <v>2126</v>
      </c>
      <c r="G723" t="s">
        <v>1870</v>
      </c>
      <c r="H723" t="s">
        <v>1799</v>
      </c>
      <c r="I723" t="s">
        <v>1799</v>
      </c>
      <c r="J723" t="s">
        <v>1799</v>
      </c>
      <c r="K723" t="s">
        <v>2127</v>
      </c>
      <c r="L723" t="s">
        <v>1799</v>
      </c>
      <c r="M723" t="s">
        <v>1799</v>
      </c>
      <c r="N723" t="s">
        <v>1799</v>
      </c>
      <c r="O723" s="184" t="str">
        <f>"["&amp;$C723&amp;"]["&amp;$D723&amp;"]["&amp;$F723&amp;"]"</f>
        <v>[S08_FeesAllocationDetail][3][FeeOther]</v>
      </c>
    </row>
    <row r="724" spans="1:15" x14ac:dyDescent="0.3">
      <c r="A724" t="s">
        <v>1793</v>
      </c>
      <c r="B724" t="s">
        <v>2128</v>
      </c>
      <c r="C724" t="s">
        <v>2129</v>
      </c>
      <c r="D724">
        <v>1</v>
      </c>
      <c r="E724" t="s">
        <v>1447</v>
      </c>
      <c r="F724" t="s">
        <v>1881</v>
      </c>
      <c r="G724" t="s">
        <v>1811</v>
      </c>
      <c r="H724" t="s">
        <v>1799</v>
      </c>
      <c r="I724">
        <v>0</v>
      </c>
      <c r="J724" t="s">
        <v>1799</v>
      </c>
      <c r="K724" t="s">
        <v>1799</v>
      </c>
      <c r="L724" t="s">
        <v>1799</v>
      </c>
      <c r="M724" t="s">
        <v>1799</v>
      </c>
      <c r="N724" t="s">
        <v>1799</v>
      </c>
      <c r="O724" s="184" t="str">
        <f>"["&amp;$C724&amp;"]["&amp;$D724&amp;"]["&amp;$F724&amp;"]"</f>
        <v>[S08_RenunciationSuspensionAllowances][1][NumberOfInstallations]</v>
      </c>
    </row>
    <row r="725" spans="1:15" x14ac:dyDescent="0.3">
      <c r="A725" t="s">
        <v>1793</v>
      </c>
      <c r="B725" t="s">
        <v>2128</v>
      </c>
      <c r="C725" t="s">
        <v>2129</v>
      </c>
      <c r="D725">
        <v>2</v>
      </c>
      <c r="E725" t="s">
        <v>1447</v>
      </c>
      <c r="F725" t="s">
        <v>1881</v>
      </c>
      <c r="G725" t="s">
        <v>1811</v>
      </c>
      <c r="H725" t="s">
        <v>1799</v>
      </c>
      <c r="I725">
        <v>38</v>
      </c>
      <c r="J725" t="s">
        <v>1799</v>
      </c>
      <c r="K725" t="s">
        <v>1799</v>
      </c>
      <c r="L725" t="s">
        <v>1799</v>
      </c>
      <c r="M725" t="s">
        <v>1799</v>
      </c>
      <c r="N725" t="s">
        <v>1799</v>
      </c>
      <c r="O725" s="184" t="str">
        <f>"["&amp;$C725&amp;"]["&amp;$D725&amp;"]["&amp;$F725&amp;"]"</f>
        <v>[S08_RenunciationSuspensionAllowances][2][NumberOfInstallations]</v>
      </c>
    </row>
    <row r="726" spans="1:15" x14ac:dyDescent="0.3">
      <c r="A726" t="s">
        <v>1793</v>
      </c>
      <c r="B726" t="s">
        <v>2128</v>
      </c>
      <c r="C726" t="s">
        <v>2129</v>
      </c>
      <c r="D726">
        <v>3</v>
      </c>
      <c r="E726" t="s">
        <v>1447</v>
      </c>
      <c r="F726" t="s">
        <v>1881</v>
      </c>
      <c r="G726" t="s">
        <v>1811</v>
      </c>
      <c r="H726" t="s">
        <v>1799</v>
      </c>
      <c r="I726">
        <v>0</v>
      </c>
      <c r="J726" t="s">
        <v>1799</v>
      </c>
      <c r="K726" t="s">
        <v>1799</v>
      </c>
      <c r="L726" t="s">
        <v>1799</v>
      </c>
      <c r="M726" t="s">
        <v>1799</v>
      </c>
      <c r="N726" t="s">
        <v>1799</v>
      </c>
      <c r="O726" s="184" t="str">
        <f>"["&amp;$C726&amp;"]["&amp;$D726&amp;"]["&amp;$F726&amp;"]"</f>
        <v>[S08_RenunciationSuspensionAllowances][3][NumberOfInstallations]</v>
      </c>
    </row>
    <row r="727" spans="1:15" x14ac:dyDescent="0.3">
      <c r="A727" t="s">
        <v>1793</v>
      </c>
      <c r="B727" t="s">
        <v>2130</v>
      </c>
      <c r="C727" t="s">
        <v>2131</v>
      </c>
      <c r="D727">
        <v>0</v>
      </c>
      <c r="E727" t="s">
        <v>1447</v>
      </c>
      <c r="F727" t="s">
        <v>2131</v>
      </c>
      <c r="G727" t="s">
        <v>1836</v>
      </c>
      <c r="H727" t="s">
        <v>1799</v>
      </c>
      <c r="I727" t="s">
        <v>1799</v>
      </c>
      <c r="J727" t="s">
        <v>1799</v>
      </c>
      <c r="K727" t="s">
        <v>1799</v>
      </c>
      <c r="L727" t="s">
        <v>1419</v>
      </c>
      <c r="M727" t="s">
        <v>1799</v>
      </c>
      <c r="N727" t="s">
        <v>1799</v>
      </c>
      <c r="O727" s="184" t="str">
        <f>"["&amp;$C727&amp;"]["&amp;$D727&amp;"]["&amp;$F727&amp;"]"</f>
        <v>[SubInstallationBenchmark61][0][SubInstallationBenchmark61]</v>
      </c>
    </row>
    <row r="728" spans="1:15" x14ac:dyDescent="0.3">
      <c r="A728" t="s">
        <v>1793</v>
      </c>
      <c r="B728" t="s">
        <v>2130</v>
      </c>
      <c r="C728" t="s">
        <v>2132</v>
      </c>
      <c r="D728">
        <v>1</v>
      </c>
      <c r="E728" t="s">
        <v>1447</v>
      </c>
      <c r="F728" t="s">
        <v>2133</v>
      </c>
      <c r="G728" t="s">
        <v>1811</v>
      </c>
      <c r="H728" t="s">
        <v>1799</v>
      </c>
      <c r="I728">
        <v>2</v>
      </c>
      <c r="J728" t="s">
        <v>1799</v>
      </c>
      <c r="K728" t="s">
        <v>1799</v>
      </c>
      <c r="L728" t="s">
        <v>1799</v>
      </c>
      <c r="M728" t="s">
        <v>1799</v>
      </c>
      <c r="N728" t="s">
        <v>1799</v>
      </c>
      <c r="O728" s="184" t="str">
        <f>"["&amp;$C728&amp;"]["&amp;$D728&amp;"]["&amp;$F728&amp;"]"</f>
        <v>[S08_SubInstallationBenchmark61Detail][1][FuelBenchmark]</v>
      </c>
    </row>
    <row r="729" spans="1:15" x14ac:dyDescent="0.3">
      <c r="A729" t="s">
        <v>1793</v>
      </c>
      <c r="B729" t="s">
        <v>2130</v>
      </c>
      <c r="C729" t="s">
        <v>2132</v>
      </c>
      <c r="D729">
        <v>1</v>
      </c>
      <c r="E729" t="s">
        <v>1447</v>
      </c>
      <c r="F729" t="s">
        <v>2134</v>
      </c>
      <c r="G729" t="s">
        <v>1811</v>
      </c>
      <c r="H729" t="s">
        <v>1799</v>
      </c>
      <c r="I729">
        <v>0</v>
      </c>
      <c r="J729" t="s">
        <v>1799</v>
      </c>
      <c r="K729" t="s">
        <v>1799</v>
      </c>
      <c r="L729" t="s">
        <v>1799</v>
      </c>
      <c r="M729" t="s">
        <v>1799</v>
      </c>
      <c r="N729" t="s">
        <v>1799</v>
      </c>
      <c r="O729" s="184" t="str">
        <f>"["&amp;$C729&amp;"]["&amp;$D729&amp;"]["&amp;$F729&amp;"]"</f>
        <v>[S08_SubInstallationBenchmark61Detail][1][HeatBenchmark]</v>
      </c>
    </row>
    <row r="730" spans="1:15" x14ac:dyDescent="0.3">
      <c r="A730" t="s">
        <v>1793</v>
      </c>
      <c r="B730" t="s">
        <v>2130</v>
      </c>
      <c r="C730" t="s">
        <v>2135</v>
      </c>
      <c r="D730">
        <v>0</v>
      </c>
      <c r="E730" t="s">
        <v>1447</v>
      </c>
      <c r="F730" t="s">
        <v>2135</v>
      </c>
      <c r="G730" t="s">
        <v>1836</v>
      </c>
      <c r="H730" t="s">
        <v>1799</v>
      </c>
      <c r="I730" t="s">
        <v>1799</v>
      </c>
      <c r="J730" t="s">
        <v>1799</v>
      </c>
      <c r="K730" t="s">
        <v>1799</v>
      </c>
      <c r="L730" t="s">
        <v>1419</v>
      </c>
      <c r="M730" t="s">
        <v>1799</v>
      </c>
      <c r="N730" t="s">
        <v>1799</v>
      </c>
      <c r="O730" s="184" t="str">
        <f>"["&amp;$C730&amp;"]["&amp;$D730&amp;"]["&amp;$F730&amp;"]"</f>
        <v>[SubInstallationBenchmark61Reject][0][SubInstallationBenchmark61Reject]</v>
      </c>
    </row>
    <row r="731" spans="1:15" x14ac:dyDescent="0.3">
      <c r="A731" t="s">
        <v>1793</v>
      </c>
      <c r="B731" t="s">
        <v>2130</v>
      </c>
      <c r="C731" t="s">
        <v>2136</v>
      </c>
      <c r="D731">
        <v>1</v>
      </c>
      <c r="E731" t="s">
        <v>1447</v>
      </c>
      <c r="F731" t="s">
        <v>2133</v>
      </c>
      <c r="G731" t="s">
        <v>1811</v>
      </c>
      <c r="H731" t="s">
        <v>1799</v>
      </c>
      <c r="I731">
        <v>2</v>
      </c>
      <c r="J731" t="s">
        <v>1799</v>
      </c>
      <c r="K731" t="s">
        <v>1799</v>
      </c>
      <c r="L731" t="s">
        <v>1799</v>
      </c>
      <c r="M731" t="s">
        <v>1799</v>
      </c>
      <c r="N731" t="s">
        <v>1799</v>
      </c>
      <c r="O731" s="184" t="str">
        <f>"["&amp;$C731&amp;"]["&amp;$D731&amp;"]["&amp;$F731&amp;"]"</f>
        <v>[S08_SubInstallationBenchmark61RejectDetail][1][FuelBenchmark]</v>
      </c>
    </row>
    <row r="732" spans="1:15" x14ac:dyDescent="0.3">
      <c r="A732" t="s">
        <v>1793</v>
      </c>
      <c r="B732" t="s">
        <v>2130</v>
      </c>
      <c r="C732" t="s">
        <v>2136</v>
      </c>
      <c r="D732">
        <v>1</v>
      </c>
      <c r="E732" t="s">
        <v>1447</v>
      </c>
      <c r="F732" t="s">
        <v>2134</v>
      </c>
      <c r="G732" t="s">
        <v>1811</v>
      </c>
      <c r="H732" t="s">
        <v>1799</v>
      </c>
      <c r="I732">
        <v>0</v>
      </c>
      <c r="J732" t="s">
        <v>1799</v>
      </c>
      <c r="K732" t="s">
        <v>1799</v>
      </c>
      <c r="L732" t="s">
        <v>1799</v>
      </c>
      <c r="M732" t="s">
        <v>1799</v>
      </c>
      <c r="N732" t="s">
        <v>1799</v>
      </c>
      <c r="O732" s="184" t="str">
        <f>"["&amp;$C732&amp;"]["&amp;$D732&amp;"]["&amp;$F732&amp;"]"</f>
        <v>[S08_SubInstallationBenchmark61RejectDetail][1][HeatBenchmark]</v>
      </c>
    </row>
    <row r="733" spans="1:15" x14ac:dyDescent="0.3">
      <c r="A733" t="s">
        <v>1793</v>
      </c>
      <c r="B733" t="s">
        <v>2130</v>
      </c>
      <c r="C733" t="s">
        <v>2137</v>
      </c>
      <c r="D733">
        <v>0</v>
      </c>
      <c r="E733" t="s">
        <v>1447</v>
      </c>
      <c r="F733" t="s">
        <v>2137</v>
      </c>
      <c r="G733" t="s">
        <v>1836</v>
      </c>
      <c r="H733" t="s">
        <v>1799</v>
      </c>
      <c r="I733" t="s">
        <v>1799</v>
      </c>
      <c r="J733" t="s">
        <v>1799</v>
      </c>
      <c r="K733" t="s">
        <v>1799</v>
      </c>
      <c r="L733" t="s">
        <v>1419</v>
      </c>
      <c r="M733" t="s">
        <v>1799</v>
      </c>
      <c r="N733" t="s">
        <v>1799</v>
      </c>
      <c r="O733" s="184" t="str">
        <f>"["&amp;$C733&amp;"]["&amp;$D733&amp;"]["&amp;$F733&amp;"]"</f>
        <v>[SubInstallationBenchmark62][0][SubInstallationBenchmark62]</v>
      </c>
    </row>
    <row r="734" spans="1:15" x14ac:dyDescent="0.3">
      <c r="A734" t="s">
        <v>1793</v>
      </c>
      <c r="B734" t="s">
        <v>2130</v>
      </c>
      <c r="C734" t="s">
        <v>2138</v>
      </c>
      <c r="D734">
        <v>1</v>
      </c>
      <c r="E734" t="s">
        <v>1447</v>
      </c>
      <c r="F734" t="s">
        <v>2133</v>
      </c>
      <c r="G734" t="s">
        <v>1811</v>
      </c>
      <c r="H734" t="s">
        <v>1799</v>
      </c>
      <c r="I734">
        <v>0</v>
      </c>
      <c r="J734" t="s">
        <v>1799</v>
      </c>
      <c r="K734" t="s">
        <v>1799</v>
      </c>
      <c r="L734" t="s">
        <v>1799</v>
      </c>
      <c r="M734" t="s">
        <v>1799</v>
      </c>
      <c r="N734" t="s">
        <v>1799</v>
      </c>
      <c r="O734" s="184" t="str">
        <f>"["&amp;$C734&amp;"]["&amp;$D734&amp;"]["&amp;$F734&amp;"]"</f>
        <v>[S08_SubInstallationBenchmark62Detail][1][FuelBenchmark]</v>
      </c>
    </row>
    <row r="735" spans="1:15" x14ac:dyDescent="0.3">
      <c r="A735" t="s">
        <v>1793</v>
      </c>
      <c r="B735" t="s">
        <v>2130</v>
      </c>
      <c r="C735" t="s">
        <v>2138</v>
      </c>
      <c r="D735">
        <v>1</v>
      </c>
      <c r="E735" t="s">
        <v>1447</v>
      </c>
      <c r="F735" t="s">
        <v>2134</v>
      </c>
      <c r="G735" t="s">
        <v>1811</v>
      </c>
      <c r="H735" t="s">
        <v>1799</v>
      </c>
      <c r="I735">
        <v>1</v>
      </c>
      <c r="J735" t="s">
        <v>1799</v>
      </c>
      <c r="K735" t="s">
        <v>1799</v>
      </c>
      <c r="L735" t="s">
        <v>1799</v>
      </c>
      <c r="M735" t="s">
        <v>1799</v>
      </c>
      <c r="N735" t="s">
        <v>1799</v>
      </c>
      <c r="O735" s="184" t="str">
        <f>"["&amp;$C735&amp;"]["&amp;$D735&amp;"]["&amp;$F735&amp;"]"</f>
        <v>[S08_SubInstallationBenchmark62Detail][1][HeatBenchmark]</v>
      </c>
    </row>
    <row r="736" spans="1:15" x14ac:dyDescent="0.3">
      <c r="A736" t="s">
        <v>1793</v>
      </c>
      <c r="B736" t="s">
        <v>2139</v>
      </c>
      <c r="C736" t="s">
        <v>2140</v>
      </c>
      <c r="D736">
        <v>1</v>
      </c>
      <c r="E736" t="s">
        <v>1447</v>
      </c>
      <c r="F736" t="s">
        <v>1881</v>
      </c>
      <c r="G736" t="s">
        <v>1811</v>
      </c>
      <c r="H736" t="s">
        <v>1799</v>
      </c>
      <c r="I736">
        <v>0</v>
      </c>
      <c r="J736" t="s">
        <v>1799</v>
      </c>
      <c r="K736" t="s">
        <v>1799</v>
      </c>
      <c r="L736" t="s">
        <v>1799</v>
      </c>
      <c r="M736" t="s">
        <v>1799</v>
      </c>
      <c r="N736" t="s">
        <v>1799</v>
      </c>
      <c r="O736" s="184" t="str">
        <f>"["&amp;$C736&amp;"]["&amp;$D736&amp;"]["&amp;$F736&amp;"]"</f>
        <v>[S08_ScopeExclusion][1][NumberOfInstallations]</v>
      </c>
    </row>
    <row r="737" spans="1:15" x14ac:dyDescent="0.3">
      <c r="A737" t="s">
        <v>1793</v>
      </c>
      <c r="B737" t="s">
        <v>2139</v>
      </c>
      <c r="C737" t="s">
        <v>2140</v>
      </c>
      <c r="D737">
        <v>2</v>
      </c>
      <c r="E737" t="s">
        <v>1447</v>
      </c>
      <c r="F737" t="s">
        <v>1881</v>
      </c>
      <c r="G737" t="s">
        <v>1811</v>
      </c>
      <c r="H737" t="s">
        <v>1799</v>
      </c>
      <c r="I737">
        <v>0</v>
      </c>
      <c r="J737" t="s">
        <v>1799</v>
      </c>
      <c r="K737" t="s">
        <v>1799</v>
      </c>
      <c r="L737" t="s">
        <v>1799</v>
      </c>
      <c r="M737" t="s">
        <v>1799</v>
      </c>
      <c r="N737" t="s">
        <v>1799</v>
      </c>
      <c r="O737" s="184" t="str">
        <f>"["&amp;$C737&amp;"]["&amp;$D737&amp;"]["&amp;$F737&amp;"]"</f>
        <v>[S08_ScopeExclusion][2][NumberOfInstallations]</v>
      </c>
    </row>
    <row r="738" spans="1:15" x14ac:dyDescent="0.3">
      <c r="A738" t="s">
        <v>1793</v>
      </c>
      <c r="B738" t="s">
        <v>2139</v>
      </c>
      <c r="C738" t="s">
        <v>2140</v>
      </c>
      <c r="D738">
        <v>3</v>
      </c>
      <c r="E738" t="s">
        <v>1447</v>
      </c>
      <c r="F738" t="s">
        <v>1881</v>
      </c>
      <c r="G738" t="s">
        <v>1811</v>
      </c>
      <c r="H738" t="s">
        <v>1799</v>
      </c>
      <c r="I738">
        <v>0</v>
      </c>
      <c r="J738" t="s">
        <v>1799</v>
      </c>
      <c r="K738" t="s">
        <v>1799</v>
      </c>
      <c r="L738" t="s">
        <v>1799</v>
      </c>
      <c r="M738" t="s">
        <v>1799</v>
      </c>
      <c r="N738" t="s">
        <v>1799</v>
      </c>
      <c r="O738" s="184" t="str">
        <f>"["&amp;$C738&amp;"]["&amp;$D738&amp;"]["&amp;$F738&amp;"]"</f>
        <v>[S08_ScopeExclusion][3][NumberOfInstallations]</v>
      </c>
    </row>
    <row r="739" spans="1:15" x14ac:dyDescent="0.3">
      <c r="A739" t="s">
        <v>1793</v>
      </c>
      <c r="B739" t="s">
        <v>2139</v>
      </c>
      <c r="C739" t="s">
        <v>2140</v>
      </c>
      <c r="D739">
        <v>4</v>
      </c>
      <c r="E739" t="s">
        <v>1447</v>
      </c>
      <c r="F739" t="s">
        <v>1881</v>
      </c>
      <c r="G739" t="s">
        <v>1811</v>
      </c>
      <c r="H739" t="s">
        <v>1799</v>
      </c>
      <c r="I739">
        <v>0</v>
      </c>
      <c r="J739" t="s">
        <v>1799</v>
      </c>
      <c r="K739" t="s">
        <v>1799</v>
      </c>
      <c r="L739" t="s">
        <v>1799</v>
      </c>
      <c r="M739" t="s">
        <v>1799</v>
      </c>
      <c r="N739" t="s">
        <v>1799</v>
      </c>
      <c r="O739" s="184" t="str">
        <f>"["&amp;$C739&amp;"]["&amp;$D739&amp;"]["&amp;$F739&amp;"]"</f>
        <v>[S08_ScopeExclusion][4][NumberOfInstallations]</v>
      </c>
    </row>
    <row r="740" spans="1:15" x14ac:dyDescent="0.3">
      <c r="A740" t="s">
        <v>1793</v>
      </c>
      <c r="B740" t="s">
        <v>2139</v>
      </c>
      <c r="C740" t="s">
        <v>2140</v>
      </c>
      <c r="D740">
        <v>5</v>
      </c>
      <c r="E740" t="s">
        <v>1447</v>
      </c>
      <c r="F740" t="s">
        <v>1881</v>
      </c>
      <c r="G740" t="s">
        <v>1811</v>
      </c>
      <c r="H740" t="s">
        <v>1799</v>
      </c>
      <c r="I740">
        <v>0</v>
      </c>
      <c r="J740" t="s">
        <v>1799</v>
      </c>
      <c r="K740" t="s">
        <v>1799</v>
      </c>
      <c r="L740" t="s">
        <v>1799</v>
      </c>
      <c r="M740" t="s">
        <v>1799</v>
      </c>
      <c r="N740" t="s">
        <v>1799</v>
      </c>
      <c r="O740" s="184" t="str">
        <f>"["&amp;$C740&amp;"]["&amp;$D740&amp;"]["&amp;$F740&amp;"]"</f>
        <v>[S08_ScopeExclusion][5][NumberOfInstallations]</v>
      </c>
    </row>
    <row r="741" spans="1:15" x14ac:dyDescent="0.3">
      <c r="A741" t="s">
        <v>1793</v>
      </c>
      <c r="B741" t="s">
        <v>2141</v>
      </c>
      <c r="C741" t="s">
        <v>2142</v>
      </c>
      <c r="D741">
        <v>0</v>
      </c>
      <c r="E741" t="s">
        <v>1447</v>
      </c>
      <c r="F741" t="s">
        <v>2142</v>
      </c>
      <c r="G741" t="s">
        <v>1836</v>
      </c>
      <c r="H741" t="s">
        <v>1799</v>
      </c>
      <c r="I741" t="s">
        <v>1799</v>
      </c>
      <c r="J741" t="s">
        <v>1799</v>
      </c>
      <c r="K741" t="s">
        <v>1799</v>
      </c>
      <c r="L741" t="s">
        <v>1447</v>
      </c>
      <c r="M741" t="s">
        <v>1799</v>
      </c>
      <c r="N741" t="s">
        <v>1799</v>
      </c>
      <c r="O741" s="184" t="str">
        <f>"["&amp;$C741&amp;"]["&amp;$D741&amp;"]["&amp;$F741&amp;"]"</f>
        <v>[Article10cApplied][0][Article10cApplied]</v>
      </c>
    </row>
    <row r="742" spans="1:15" x14ac:dyDescent="0.3">
      <c r="A742" t="s">
        <v>1793</v>
      </c>
      <c r="B742" t="s">
        <v>2143</v>
      </c>
      <c r="C742" t="s">
        <v>2144</v>
      </c>
      <c r="D742">
        <v>0</v>
      </c>
      <c r="E742" t="s">
        <v>1447</v>
      </c>
      <c r="F742" t="s">
        <v>2144</v>
      </c>
      <c r="G742" t="s">
        <v>1836</v>
      </c>
      <c r="H742" t="s">
        <v>1799</v>
      </c>
      <c r="I742" t="s">
        <v>1799</v>
      </c>
      <c r="J742" t="s">
        <v>1799</v>
      </c>
      <c r="K742" t="s">
        <v>1799</v>
      </c>
      <c r="L742" t="s">
        <v>1447</v>
      </c>
      <c r="M742" t="s">
        <v>1799</v>
      </c>
      <c r="N742" t="s">
        <v>1799</v>
      </c>
      <c r="O742" s="184" t="str">
        <f>"["&amp;$C742&amp;"]["&amp;$D742&amp;"]["&amp;$F742&amp;"]"</f>
        <v>[AdditionalParametersRequired][0][AdditionalParametersRequired]</v>
      </c>
    </row>
    <row r="743" spans="1:15" x14ac:dyDescent="0.3">
      <c r="A743" t="s">
        <v>1793</v>
      </c>
      <c r="B743" t="s">
        <v>2145</v>
      </c>
      <c r="C743" t="s">
        <v>2146</v>
      </c>
      <c r="D743">
        <v>0</v>
      </c>
      <c r="E743" t="s">
        <v>1447</v>
      </c>
      <c r="F743" t="s">
        <v>2146</v>
      </c>
      <c r="G743" t="s">
        <v>1836</v>
      </c>
      <c r="H743" t="s">
        <v>1799</v>
      </c>
      <c r="I743" t="s">
        <v>1799</v>
      </c>
      <c r="J743" t="s">
        <v>1799</v>
      </c>
      <c r="K743" t="s">
        <v>1799</v>
      </c>
      <c r="L743" t="s">
        <v>1447</v>
      </c>
      <c r="M743" t="s">
        <v>1799</v>
      </c>
      <c r="N743" t="s">
        <v>1799</v>
      </c>
      <c r="O743" s="184" t="str">
        <f>"["&amp;$C743&amp;"]["&amp;$D743&amp;"]["&amp;$F743&amp;"]"</f>
        <v>[PreliminaryActivityRequired][0][PreliminaryActivityRequired]</v>
      </c>
    </row>
    <row r="744" spans="1:15" x14ac:dyDescent="0.3">
      <c r="A744" t="s">
        <v>1793</v>
      </c>
      <c r="B744" t="s">
        <v>2147</v>
      </c>
      <c r="C744" t="s">
        <v>2148</v>
      </c>
      <c r="D744">
        <v>1</v>
      </c>
      <c r="E744" t="s">
        <v>1447</v>
      </c>
      <c r="F744" t="s">
        <v>1881</v>
      </c>
      <c r="G744" t="s">
        <v>1811</v>
      </c>
      <c r="H744" t="s">
        <v>1799</v>
      </c>
      <c r="I744">
        <v>0</v>
      </c>
      <c r="J744" t="s">
        <v>1799</v>
      </c>
      <c r="K744" t="s">
        <v>1799</v>
      </c>
      <c r="L744" t="s">
        <v>1799</v>
      </c>
      <c r="M744" t="s">
        <v>1799</v>
      </c>
      <c r="N744" t="s">
        <v>1799</v>
      </c>
      <c r="O744" s="184" t="str">
        <f>"["&amp;$C744&amp;"]["&amp;$D744&amp;"]["&amp;$F744&amp;"]"</f>
        <v>[S08_NegativeOpinionActivityData][1][NumberOfInstallations]</v>
      </c>
    </row>
    <row r="745" spans="1:15" x14ac:dyDescent="0.3">
      <c r="A745" t="s">
        <v>1793</v>
      </c>
      <c r="B745" t="s">
        <v>2147</v>
      </c>
      <c r="C745" t="s">
        <v>2148</v>
      </c>
      <c r="D745">
        <v>2</v>
      </c>
      <c r="E745" t="s">
        <v>1447</v>
      </c>
      <c r="F745" t="s">
        <v>1881</v>
      </c>
      <c r="G745" t="s">
        <v>1811</v>
      </c>
      <c r="H745" t="s">
        <v>1799</v>
      </c>
      <c r="I745">
        <v>0</v>
      </c>
      <c r="J745" t="s">
        <v>1799</v>
      </c>
      <c r="K745" t="s">
        <v>1799</v>
      </c>
      <c r="L745" t="s">
        <v>1799</v>
      </c>
      <c r="M745" t="s">
        <v>1799</v>
      </c>
      <c r="N745" t="s">
        <v>1799</v>
      </c>
      <c r="O745" s="184" t="str">
        <f>"["&amp;$C745&amp;"]["&amp;$D745&amp;"]["&amp;$F745&amp;"]"</f>
        <v>[S08_NegativeOpinionActivityData][2][NumberOfInstallations]</v>
      </c>
    </row>
    <row r="746" spans="1:15" x14ac:dyDescent="0.3">
      <c r="A746" t="s">
        <v>1793</v>
      </c>
      <c r="B746" t="s">
        <v>2147</v>
      </c>
      <c r="C746" t="s">
        <v>2148</v>
      </c>
      <c r="D746">
        <v>3</v>
      </c>
      <c r="E746" t="s">
        <v>1447</v>
      </c>
      <c r="F746" t="s">
        <v>1881</v>
      </c>
      <c r="G746" t="s">
        <v>1811</v>
      </c>
      <c r="H746" t="s">
        <v>1799</v>
      </c>
      <c r="I746">
        <v>0</v>
      </c>
      <c r="J746" t="s">
        <v>1799</v>
      </c>
      <c r="K746" t="s">
        <v>1799</v>
      </c>
      <c r="L746" t="s">
        <v>1799</v>
      </c>
      <c r="M746" t="s">
        <v>1799</v>
      </c>
      <c r="N746" t="s">
        <v>1799</v>
      </c>
      <c r="O746" s="184" t="str">
        <f>"["&amp;$C746&amp;"]["&amp;$D746&amp;"]["&amp;$F746&amp;"]"</f>
        <v>[S08_NegativeOpinionActivityData][3][NumberOfInstallations]</v>
      </c>
    </row>
    <row r="747" spans="1:15" x14ac:dyDescent="0.3">
      <c r="A747" t="s">
        <v>1793</v>
      </c>
      <c r="B747" t="s">
        <v>2147</v>
      </c>
      <c r="C747" t="s">
        <v>2148</v>
      </c>
      <c r="D747">
        <v>4</v>
      </c>
      <c r="E747" t="s">
        <v>1447</v>
      </c>
      <c r="F747" t="s">
        <v>1881</v>
      </c>
      <c r="G747" t="s">
        <v>1811</v>
      </c>
      <c r="H747" t="s">
        <v>1799</v>
      </c>
      <c r="I747">
        <v>0</v>
      </c>
      <c r="J747" t="s">
        <v>1799</v>
      </c>
      <c r="K747" t="s">
        <v>1799</v>
      </c>
      <c r="L747" t="s">
        <v>1799</v>
      </c>
      <c r="M747" t="s">
        <v>1799</v>
      </c>
      <c r="N747" t="s">
        <v>1799</v>
      </c>
      <c r="O747" s="184" t="str">
        <f>"["&amp;$C747&amp;"]["&amp;$D747&amp;"]["&amp;$F747&amp;"]"</f>
        <v>[S08_NegativeOpinionActivityData][4][NumberOfInstallations]</v>
      </c>
    </row>
    <row r="748" spans="1:15" x14ac:dyDescent="0.3">
      <c r="A748" t="s">
        <v>1793</v>
      </c>
      <c r="B748" t="s">
        <v>2147</v>
      </c>
      <c r="C748" t="s">
        <v>2148</v>
      </c>
      <c r="D748">
        <v>1</v>
      </c>
      <c r="E748" t="s">
        <v>1447</v>
      </c>
      <c r="F748" t="s">
        <v>2149</v>
      </c>
      <c r="G748" t="s">
        <v>1811</v>
      </c>
      <c r="H748" t="s">
        <v>1799</v>
      </c>
      <c r="I748">
        <v>0</v>
      </c>
      <c r="J748" t="s">
        <v>1799</v>
      </c>
      <c r="K748" t="s">
        <v>1799</v>
      </c>
      <c r="L748" t="s">
        <v>1799</v>
      </c>
      <c r="M748" t="s">
        <v>1799</v>
      </c>
      <c r="N748" t="s">
        <v>1799</v>
      </c>
      <c r="O748" s="184" t="str">
        <f>"["&amp;$C748&amp;"]["&amp;$D748&amp;"]["&amp;$F748&amp;"]"</f>
        <v>[S08_NegativeOpinionActivityData][1][NumberOfInstallationsConEst]</v>
      </c>
    </row>
    <row r="749" spans="1:15" x14ac:dyDescent="0.3">
      <c r="A749" t="s">
        <v>1793</v>
      </c>
      <c r="B749" t="s">
        <v>2147</v>
      </c>
      <c r="C749" t="s">
        <v>2148</v>
      </c>
      <c r="D749">
        <v>2</v>
      </c>
      <c r="E749" t="s">
        <v>1447</v>
      </c>
      <c r="F749" t="s">
        <v>2149</v>
      </c>
      <c r="G749" t="s">
        <v>1811</v>
      </c>
      <c r="H749" t="s">
        <v>1799</v>
      </c>
      <c r="I749">
        <v>0</v>
      </c>
      <c r="J749" t="s">
        <v>1799</v>
      </c>
      <c r="K749" t="s">
        <v>1799</v>
      </c>
      <c r="L749" t="s">
        <v>1799</v>
      </c>
      <c r="M749" t="s">
        <v>1799</v>
      </c>
      <c r="N749" t="s">
        <v>1799</v>
      </c>
      <c r="O749" s="184" t="str">
        <f>"["&amp;$C749&amp;"]["&amp;$D749&amp;"]["&amp;$F749&amp;"]"</f>
        <v>[S08_NegativeOpinionActivityData][2][NumberOfInstallationsConEst]</v>
      </c>
    </row>
    <row r="750" spans="1:15" x14ac:dyDescent="0.3">
      <c r="A750" t="s">
        <v>1793</v>
      </c>
      <c r="B750" t="s">
        <v>2147</v>
      </c>
      <c r="C750" t="s">
        <v>2148</v>
      </c>
      <c r="D750">
        <v>3</v>
      </c>
      <c r="E750" t="s">
        <v>1447</v>
      </c>
      <c r="F750" t="s">
        <v>2149</v>
      </c>
      <c r="G750" t="s">
        <v>1811</v>
      </c>
      <c r="H750" t="s">
        <v>1799</v>
      </c>
      <c r="I750">
        <v>0</v>
      </c>
      <c r="J750" t="s">
        <v>1799</v>
      </c>
      <c r="K750" t="s">
        <v>1799</v>
      </c>
      <c r="L750" t="s">
        <v>1799</v>
      </c>
      <c r="M750" t="s">
        <v>1799</v>
      </c>
      <c r="N750" t="s">
        <v>1799</v>
      </c>
      <c r="O750" s="184" t="str">
        <f>"["&amp;$C750&amp;"]["&amp;$D750&amp;"]["&amp;$F750&amp;"]"</f>
        <v>[S08_NegativeOpinionActivityData][3][NumberOfInstallationsConEst]</v>
      </c>
    </row>
    <row r="751" spans="1:15" x14ac:dyDescent="0.3">
      <c r="A751" t="s">
        <v>1793</v>
      </c>
      <c r="B751" t="s">
        <v>2147</v>
      </c>
      <c r="C751" t="s">
        <v>2148</v>
      </c>
      <c r="D751">
        <v>4</v>
      </c>
      <c r="E751" t="s">
        <v>1447</v>
      </c>
      <c r="F751" t="s">
        <v>2149</v>
      </c>
      <c r="G751" t="s">
        <v>1811</v>
      </c>
      <c r="H751" t="s">
        <v>1799</v>
      </c>
      <c r="I751">
        <v>0</v>
      </c>
      <c r="J751" t="s">
        <v>1799</v>
      </c>
      <c r="K751" t="s">
        <v>1799</v>
      </c>
      <c r="L751" t="s">
        <v>1799</v>
      </c>
      <c r="M751" t="s">
        <v>1799</v>
      </c>
      <c r="N751" t="s">
        <v>1799</v>
      </c>
      <c r="O751" s="184" t="str">
        <f>"["&amp;$C751&amp;"]["&amp;$D751&amp;"]["&amp;$F751&amp;"]"</f>
        <v>[S08_NegativeOpinionActivityData][4][NumberOfInstallationsConEst]</v>
      </c>
    </row>
    <row r="752" spans="1:15" x14ac:dyDescent="0.3">
      <c r="A752" t="s">
        <v>1793</v>
      </c>
      <c r="B752" t="s">
        <v>2150</v>
      </c>
      <c r="C752" t="s">
        <v>2151</v>
      </c>
      <c r="D752">
        <v>1</v>
      </c>
      <c r="E752" t="s">
        <v>1447</v>
      </c>
      <c r="F752" t="s">
        <v>2070</v>
      </c>
      <c r="G752" t="s">
        <v>1737</v>
      </c>
      <c r="H752" t="s">
        <v>1799</v>
      </c>
      <c r="I752" t="s">
        <v>1799</v>
      </c>
      <c r="J752" t="s">
        <v>1799</v>
      </c>
      <c r="K752" t="s">
        <v>1799</v>
      </c>
      <c r="L752" t="s">
        <v>1597</v>
      </c>
      <c r="M752" t="s">
        <v>1799</v>
      </c>
      <c r="N752" t="s">
        <v>1799</v>
      </c>
      <c r="O752" s="184" t="str">
        <f>"["&amp;$C752&amp;"]["&amp;$D752&amp;"]["&amp;$F752&amp;"]"</f>
        <v>[S08_ActivityDataIssuesDetail][1][AnnexIActivity]</v>
      </c>
    </row>
    <row r="753" spans="1:15" x14ac:dyDescent="0.3">
      <c r="A753" t="s">
        <v>1793</v>
      </c>
      <c r="B753" t="s">
        <v>2150</v>
      </c>
      <c r="C753" t="s">
        <v>2151</v>
      </c>
      <c r="D753">
        <v>2</v>
      </c>
      <c r="E753" t="s">
        <v>1447</v>
      </c>
      <c r="F753" t="s">
        <v>2070</v>
      </c>
      <c r="G753" t="s">
        <v>1737</v>
      </c>
      <c r="H753" t="s">
        <v>1799</v>
      </c>
      <c r="I753" t="s">
        <v>1799</v>
      </c>
      <c r="J753" t="s">
        <v>1799</v>
      </c>
      <c r="K753" t="s">
        <v>1799</v>
      </c>
      <c r="L753" t="s">
        <v>1420</v>
      </c>
      <c r="M753" t="s">
        <v>1799</v>
      </c>
      <c r="N753" t="s">
        <v>1799</v>
      </c>
      <c r="O753" s="184" t="str">
        <f>"["&amp;$C753&amp;"]["&amp;$D753&amp;"]["&amp;$F753&amp;"]"</f>
        <v>[S08_ActivityDataIssuesDetail][2][AnnexIActivity]</v>
      </c>
    </row>
    <row r="754" spans="1:15" x14ac:dyDescent="0.3">
      <c r="A754" t="s">
        <v>1793</v>
      </c>
      <c r="B754" t="s">
        <v>2150</v>
      </c>
      <c r="C754" t="s">
        <v>2151</v>
      </c>
      <c r="D754">
        <v>3</v>
      </c>
      <c r="E754" t="s">
        <v>1447</v>
      </c>
      <c r="F754" t="s">
        <v>2070</v>
      </c>
      <c r="G754" t="s">
        <v>1737</v>
      </c>
      <c r="H754" t="s">
        <v>1799</v>
      </c>
      <c r="I754" t="s">
        <v>1799</v>
      </c>
      <c r="J754" t="s">
        <v>1799</v>
      </c>
      <c r="K754" t="s">
        <v>1799</v>
      </c>
      <c r="L754" t="s">
        <v>1420</v>
      </c>
      <c r="M754" t="s">
        <v>1799</v>
      </c>
      <c r="N754" t="s">
        <v>1799</v>
      </c>
      <c r="O754" s="184" t="str">
        <f>"["&amp;$C754&amp;"]["&amp;$D754&amp;"]["&amp;$F754&amp;"]"</f>
        <v>[S08_ActivityDataIssuesDetail][3][AnnexIActivity]</v>
      </c>
    </row>
    <row r="755" spans="1:15" x14ac:dyDescent="0.3">
      <c r="A755" t="s">
        <v>1793</v>
      </c>
      <c r="B755" t="s">
        <v>2150</v>
      </c>
      <c r="C755" t="s">
        <v>2151</v>
      </c>
      <c r="D755">
        <v>4</v>
      </c>
      <c r="E755" t="s">
        <v>1447</v>
      </c>
      <c r="F755" t="s">
        <v>2070</v>
      </c>
      <c r="G755" t="s">
        <v>1737</v>
      </c>
      <c r="H755" t="s">
        <v>1799</v>
      </c>
      <c r="I755" t="s">
        <v>1799</v>
      </c>
      <c r="J755" t="s">
        <v>1799</v>
      </c>
      <c r="K755" t="s">
        <v>1799</v>
      </c>
      <c r="L755" t="s">
        <v>1577</v>
      </c>
      <c r="M755" t="s">
        <v>1799</v>
      </c>
      <c r="N755" t="s">
        <v>1799</v>
      </c>
      <c r="O755" s="184" t="str">
        <f>"["&amp;$C755&amp;"]["&amp;$D755&amp;"]["&amp;$F755&amp;"]"</f>
        <v>[S08_ActivityDataIssuesDetail][4][AnnexIActivity]</v>
      </c>
    </row>
    <row r="756" spans="1:15" x14ac:dyDescent="0.3">
      <c r="A756" t="s">
        <v>1793</v>
      </c>
      <c r="B756" t="s">
        <v>2150</v>
      </c>
      <c r="C756" t="s">
        <v>2151</v>
      </c>
      <c r="D756">
        <v>5</v>
      </c>
      <c r="E756" t="s">
        <v>1447</v>
      </c>
      <c r="F756" t="s">
        <v>2070</v>
      </c>
      <c r="G756" t="s">
        <v>1737</v>
      </c>
      <c r="H756" t="s">
        <v>1799</v>
      </c>
      <c r="I756" t="s">
        <v>1799</v>
      </c>
      <c r="J756" t="s">
        <v>1799</v>
      </c>
      <c r="K756" t="s">
        <v>1799</v>
      </c>
      <c r="L756" t="s">
        <v>1577</v>
      </c>
      <c r="M756" t="s">
        <v>1799</v>
      </c>
      <c r="N756" t="s">
        <v>1799</v>
      </c>
      <c r="O756" s="184" t="str">
        <f>"["&amp;$C756&amp;"]["&amp;$D756&amp;"]["&amp;$F756&amp;"]"</f>
        <v>[S08_ActivityDataIssuesDetail][5][AnnexIActivity]</v>
      </c>
    </row>
    <row r="757" spans="1:15" x14ac:dyDescent="0.3">
      <c r="A757" t="s">
        <v>1793</v>
      </c>
      <c r="B757" t="s">
        <v>2150</v>
      </c>
      <c r="C757" t="s">
        <v>2151</v>
      </c>
      <c r="D757">
        <v>6</v>
      </c>
      <c r="E757" t="s">
        <v>1447</v>
      </c>
      <c r="F757" t="s">
        <v>2070</v>
      </c>
      <c r="G757" t="s">
        <v>1737</v>
      </c>
      <c r="H757" t="s">
        <v>1799</v>
      </c>
      <c r="I757" t="s">
        <v>1799</v>
      </c>
      <c r="J757" t="s">
        <v>1799</v>
      </c>
      <c r="K757" t="s">
        <v>1799</v>
      </c>
      <c r="L757" t="s">
        <v>1577</v>
      </c>
      <c r="M757" t="s">
        <v>1799</v>
      </c>
      <c r="N757" t="s">
        <v>1799</v>
      </c>
      <c r="O757" s="184" t="str">
        <f>"["&amp;$C757&amp;"]["&amp;$D757&amp;"]["&amp;$F757&amp;"]"</f>
        <v>[S08_ActivityDataIssuesDetail][6][AnnexIActivity]</v>
      </c>
    </row>
    <row r="758" spans="1:15" x14ac:dyDescent="0.3">
      <c r="A758" t="s">
        <v>1793</v>
      </c>
      <c r="B758" t="s">
        <v>2150</v>
      </c>
      <c r="C758" t="s">
        <v>2151</v>
      </c>
      <c r="D758">
        <v>7</v>
      </c>
      <c r="E758" t="s">
        <v>1447</v>
      </c>
      <c r="F758" t="s">
        <v>2070</v>
      </c>
      <c r="G758" t="s">
        <v>1737</v>
      </c>
      <c r="H758" t="s">
        <v>1799</v>
      </c>
      <c r="I758" t="s">
        <v>1799</v>
      </c>
      <c r="J758" t="s">
        <v>1799</v>
      </c>
      <c r="K758" t="s">
        <v>1799</v>
      </c>
      <c r="L758" t="s">
        <v>1577</v>
      </c>
      <c r="M758" t="s">
        <v>1799</v>
      </c>
      <c r="N758" t="s">
        <v>1799</v>
      </c>
      <c r="O758" s="184" t="str">
        <f>"["&amp;$C758&amp;"]["&amp;$D758&amp;"]["&amp;$F758&amp;"]"</f>
        <v>[S08_ActivityDataIssuesDetail][7][AnnexIActivity]</v>
      </c>
    </row>
    <row r="759" spans="1:15" x14ac:dyDescent="0.3">
      <c r="A759" t="s">
        <v>1793</v>
      </c>
      <c r="B759" t="s">
        <v>2150</v>
      </c>
      <c r="C759" t="s">
        <v>2151</v>
      </c>
      <c r="D759">
        <v>8</v>
      </c>
      <c r="E759" t="s">
        <v>1447</v>
      </c>
      <c r="F759" t="s">
        <v>2070</v>
      </c>
      <c r="G759" t="s">
        <v>1737</v>
      </c>
      <c r="H759" t="s">
        <v>1799</v>
      </c>
      <c r="I759" t="s">
        <v>1799</v>
      </c>
      <c r="J759" t="s">
        <v>1799</v>
      </c>
      <c r="K759" t="s">
        <v>1799</v>
      </c>
      <c r="L759" t="s">
        <v>1573</v>
      </c>
      <c r="M759" t="s">
        <v>1799</v>
      </c>
      <c r="N759" t="s">
        <v>1799</v>
      </c>
      <c r="O759" s="184" t="str">
        <f>"["&amp;$C759&amp;"]["&amp;$D759&amp;"]["&amp;$F759&amp;"]"</f>
        <v>[S08_ActivityDataIssuesDetail][8][AnnexIActivity]</v>
      </c>
    </row>
    <row r="760" spans="1:15" x14ac:dyDescent="0.3">
      <c r="A760" t="s">
        <v>1793</v>
      </c>
      <c r="B760" t="s">
        <v>2150</v>
      </c>
      <c r="C760" t="s">
        <v>2151</v>
      </c>
      <c r="D760">
        <v>9</v>
      </c>
      <c r="E760" t="s">
        <v>1447</v>
      </c>
      <c r="F760" t="s">
        <v>2070</v>
      </c>
      <c r="G760" t="s">
        <v>1737</v>
      </c>
      <c r="H760" t="s">
        <v>1799</v>
      </c>
      <c r="I760" t="s">
        <v>1799</v>
      </c>
      <c r="J760" t="s">
        <v>1799</v>
      </c>
      <c r="K760" t="s">
        <v>1799</v>
      </c>
      <c r="L760" t="s">
        <v>1582</v>
      </c>
      <c r="M760" t="s">
        <v>1799</v>
      </c>
      <c r="N760" t="s">
        <v>1799</v>
      </c>
      <c r="O760" s="184" t="str">
        <f>"["&amp;$C760&amp;"]["&amp;$D760&amp;"]["&amp;$F760&amp;"]"</f>
        <v>[S08_ActivityDataIssuesDetail][9][AnnexIActivity]</v>
      </c>
    </row>
    <row r="761" spans="1:15" x14ac:dyDescent="0.3">
      <c r="A761" t="s">
        <v>1793</v>
      </c>
      <c r="B761" t="s">
        <v>2150</v>
      </c>
      <c r="C761" t="s">
        <v>2151</v>
      </c>
      <c r="D761">
        <v>10</v>
      </c>
      <c r="E761" t="s">
        <v>1447</v>
      </c>
      <c r="F761" t="s">
        <v>2070</v>
      </c>
      <c r="G761" t="s">
        <v>1737</v>
      </c>
      <c r="H761" t="s">
        <v>1799</v>
      </c>
      <c r="I761" t="s">
        <v>1799</v>
      </c>
      <c r="J761" t="s">
        <v>1799</v>
      </c>
      <c r="K761" t="s">
        <v>1799</v>
      </c>
      <c r="L761" t="s">
        <v>1622</v>
      </c>
      <c r="M761" t="s">
        <v>1799</v>
      </c>
      <c r="N761" t="s">
        <v>1799</v>
      </c>
      <c r="O761" s="184" t="str">
        <f>"["&amp;$C761&amp;"]["&amp;$D761&amp;"]["&amp;$F761&amp;"]"</f>
        <v>[S08_ActivityDataIssuesDetail][10][AnnexIActivity]</v>
      </c>
    </row>
    <row r="762" spans="1:15" x14ac:dyDescent="0.3">
      <c r="A762" t="s">
        <v>1793</v>
      </c>
      <c r="B762" t="s">
        <v>2150</v>
      </c>
      <c r="C762" t="s">
        <v>2151</v>
      </c>
      <c r="D762">
        <v>11</v>
      </c>
      <c r="E762" t="s">
        <v>1447</v>
      </c>
      <c r="F762" t="s">
        <v>2070</v>
      </c>
      <c r="G762" t="s">
        <v>1737</v>
      </c>
      <c r="H762" t="s">
        <v>1799</v>
      </c>
      <c r="I762" t="s">
        <v>1799</v>
      </c>
      <c r="J762" t="s">
        <v>1799</v>
      </c>
      <c r="K762" t="s">
        <v>1799</v>
      </c>
      <c r="L762" t="s">
        <v>1568</v>
      </c>
      <c r="M762" t="s">
        <v>1799</v>
      </c>
      <c r="N762" t="s">
        <v>1799</v>
      </c>
      <c r="O762" s="184" t="str">
        <f>"["&amp;$C762&amp;"]["&amp;$D762&amp;"]["&amp;$F762&amp;"]"</f>
        <v>[S08_ActivityDataIssuesDetail][11][AnnexIActivity]</v>
      </c>
    </row>
    <row r="763" spans="1:15" x14ac:dyDescent="0.3">
      <c r="A763" t="s">
        <v>1793</v>
      </c>
      <c r="B763" t="s">
        <v>2150</v>
      </c>
      <c r="C763" t="s">
        <v>2151</v>
      </c>
      <c r="D763">
        <v>12</v>
      </c>
      <c r="E763" t="s">
        <v>1447</v>
      </c>
      <c r="F763" t="s">
        <v>2070</v>
      </c>
      <c r="G763" t="s">
        <v>1737</v>
      </c>
      <c r="H763" t="s">
        <v>1799</v>
      </c>
      <c r="I763" t="s">
        <v>1799</v>
      </c>
      <c r="J763" t="s">
        <v>1799</v>
      </c>
      <c r="K763" t="s">
        <v>1799</v>
      </c>
      <c r="L763" t="s">
        <v>1448</v>
      </c>
      <c r="M763" t="s">
        <v>1799</v>
      </c>
      <c r="N763" t="s">
        <v>1799</v>
      </c>
      <c r="O763" s="184" t="str">
        <f>"["&amp;$C763&amp;"]["&amp;$D763&amp;"]["&amp;$F763&amp;"]"</f>
        <v>[S08_ActivityDataIssuesDetail][12][AnnexIActivity]</v>
      </c>
    </row>
    <row r="764" spans="1:15" x14ac:dyDescent="0.3">
      <c r="A764" t="s">
        <v>1793</v>
      </c>
      <c r="B764" t="s">
        <v>2150</v>
      </c>
      <c r="C764" t="s">
        <v>2151</v>
      </c>
      <c r="D764">
        <v>1</v>
      </c>
      <c r="E764" t="s">
        <v>1447</v>
      </c>
      <c r="F764" t="s">
        <v>2071</v>
      </c>
      <c r="G764" t="s">
        <v>1737</v>
      </c>
      <c r="H764" t="s">
        <v>1799</v>
      </c>
      <c r="I764" t="s">
        <v>1799</v>
      </c>
      <c r="J764" t="s">
        <v>1799</v>
      </c>
      <c r="K764" t="s">
        <v>1799</v>
      </c>
      <c r="L764" t="s">
        <v>1512</v>
      </c>
      <c r="M764" t="s">
        <v>1799</v>
      </c>
      <c r="N764" t="s">
        <v>1799</v>
      </c>
      <c r="O764" s="184" t="str">
        <f>"["&amp;$C764&amp;"]["&amp;$D764&amp;"]["&amp;$F764&amp;"]"</f>
        <v>[S08_ActivityDataIssuesDetail][1][TypeOfIssue]</v>
      </c>
    </row>
    <row r="765" spans="1:15" x14ac:dyDescent="0.3">
      <c r="A765" t="s">
        <v>1793</v>
      </c>
      <c r="B765" t="s">
        <v>2150</v>
      </c>
      <c r="C765" t="s">
        <v>2151</v>
      </c>
      <c r="D765">
        <v>2</v>
      </c>
      <c r="E765" t="s">
        <v>1447</v>
      </c>
      <c r="F765" t="s">
        <v>2071</v>
      </c>
      <c r="G765" t="s">
        <v>1737</v>
      </c>
      <c r="H765" t="s">
        <v>1799</v>
      </c>
      <c r="I765" t="s">
        <v>1799</v>
      </c>
      <c r="J765" t="s">
        <v>1799</v>
      </c>
      <c r="K765" t="s">
        <v>1799</v>
      </c>
      <c r="L765" t="s">
        <v>1512</v>
      </c>
      <c r="M765" t="s">
        <v>1799</v>
      </c>
      <c r="N765" t="s">
        <v>1799</v>
      </c>
      <c r="O765" s="184" t="str">
        <f>"["&amp;$C765&amp;"]["&amp;$D765&amp;"]["&amp;$F765&amp;"]"</f>
        <v>[S08_ActivityDataIssuesDetail][2][TypeOfIssue]</v>
      </c>
    </row>
    <row r="766" spans="1:15" x14ac:dyDescent="0.3">
      <c r="A766" t="s">
        <v>1793</v>
      </c>
      <c r="B766" t="s">
        <v>2150</v>
      </c>
      <c r="C766" t="s">
        <v>2151</v>
      </c>
      <c r="D766">
        <v>3</v>
      </c>
      <c r="E766" t="s">
        <v>1447</v>
      </c>
      <c r="F766" t="s">
        <v>2071</v>
      </c>
      <c r="G766" t="s">
        <v>1737</v>
      </c>
      <c r="H766" t="s">
        <v>1799</v>
      </c>
      <c r="I766" t="s">
        <v>1799</v>
      </c>
      <c r="J766" t="s">
        <v>1799</v>
      </c>
      <c r="K766" t="s">
        <v>1799</v>
      </c>
      <c r="L766" t="s">
        <v>1497</v>
      </c>
      <c r="M766" t="s">
        <v>1799</v>
      </c>
      <c r="N766" t="s">
        <v>1799</v>
      </c>
      <c r="O766" s="184" t="str">
        <f>"["&amp;$C766&amp;"]["&amp;$D766&amp;"]["&amp;$F766&amp;"]"</f>
        <v>[S08_ActivityDataIssuesDetail][3][TypeOfIssue]</v>
      </c>
    </row>
    <row r="767" spans="1:15" x14ac:dyDescent="0.3">
      <c r="A767" t="s">
        <v>1793</v>
      </c>
      <c r="B767" t="s">
        <v>2150</v>
      </c>
      <c r="C767" t="s">
        <v>2151</v>
      </c>
      <c r="D767">
        <v>4</v>
      </c>
      <c r="E767" t="s">
        <v>1447</v>
      </c>
      <c r="F767" t="s">
        <v>2071</v>
      </c>
      <c r="G767" t="s">
        <v>1737</v>
      </c>
      <c r="H767" t="s">
        <v>1799</v>
      </c>
      <c r="I767" t="s">
        <v>1799</v>
      </c>
      <c r="J767" t="s">
        <v>1799</v>
      </c>
      <c r="K767" t="s">
        <v>1799</v>
      </c>
      <c r="L767" t="s">
        <v>1439</v>
      </c>
      <c r="M767" t="s">
        <v>1799</v>
      </c>
      <c r="N767" t="s">
        <v>1799</v>
      </c>
      <c r="O767" s="184" t="str">
        <f>"["&amp;$C767&amp;"]["&amp;$D767&amp;"]["&amp;$F767&amp;"]"</f>
        <v>[S08_ActivityDataIssuesDetail][4][TypeOfIssue]</v>
      </c>
    </row>
    <row r="768" spans="1:15" x14ac:dyDescent="0.3">
      <c r="A768" t="s">
        <v>1793</v>
      </c>
      <c r="B768" t="s">
        <v>2150</v>
      </c>
      <c r="C768" t="s">
        <v>2151</v>
      </c>
      <c r="D768">
        <v>5</v>
      </c>
      <c r="E768" t="s">
        <v>1447</v>
      </c>
      <c r="F768" t="s">
        <v>2071</v>
      </c>
      <c r="G768" t="s">
        <v>1737</v>
      </c>
      <c r="H768" t="s">
        <v>1799</v>
      </c>
      <c r="I768" t="s">
        <v>1799</v>
      </c>
      <c r="J768" t="s">
        <v>1799</v>
      </c>
      <c r="K768" t="s">
        <v>1799</v>
      </c>
      <c r="L768" t="s">
        <v>1497</v>
      </c>
      <c r="M768" t="s">
        <v>1799</v>
      </c>
      <c r="N768" t="s">
        <v>1799</v>
      </c>
      <c r="O768" s="184" t="str">
        <f>"["&amp;$C768&amp;"]["&amp;$D768&amp;"]["&amp;$F768&amp;"]"</f>
        <v>[S08_ActivityDataIssuesDetail][5][TypeOfIssue]</v>
      </c>
    </row>
    <row r="769" spans="1:15" x14ac:dyDescent="0.3">
      <c r="A769" t="s">
        <v>1793</v>
      </c>
      <c r="B769" t="s">
        <v>2150</v>
      </c>
      <c r="C769" t="s">
        <v>2151</v>
      </c>
      <c r="D769">
        <v>6</v>
      </c>
      <c r="E769" t="s">
        <v>1447</v>
      </c>
      <c r="F769" t="s">
        <v>2071</v>
      </c>
      <c r="G769" t="s">
        <v>1737</v>
      </c>
      <c r="H769" t="s">
        <v>1799</v>
      </c>
      <c r="I769" t="s">
        <v>1799</v>
      </c>
      <c r="J769" t="s">
        <v>1799</v>
      </c>
      <c r="K769" t="s">
        <v>1799</v>
      </c>
      <c r="L769" t="s">
        <v>1467</v>
      </c>
      <c r="M769" t="s">
        <v>1799</v>
      </c>
      <c r="N769" t="s">
        <v>1799</v>
      </c>
      <c r="O769" s="184" t="str">
        <f>"["&amp;$C769&amp;"]["&amp;$D769&amp;"]["&amp;$F769&amp;"]"</f>
        <v>[S08_ActivityDataIssuesDetail][6][TypeOfIssue]</v>
      </c>
    </row>
    <row r="770" spans="1:15" x14ac:dyDescent="0.3">
      <c r="A770" t="s">
        <v>1793</v>
      </c>
      <c r="B770" t="s">
        <v>2150</v>
      </c>
      <c r="C770" t="s">
        <v>2151</v>
      </c>
      <c r="D770">
        <v>7</v>
      </c>
      <c r="E770" t="s">
        <v>1447</v>
      </c>
      <c r="F770" t="s">
        <v>2071</v>
      </c>
      <c r="G770" t="s">
        <v>1737</v>
      </c>
      <c r="H770" t="s">
        <v>1799</v>
      </c>
      <c r="I770" t="s">
        <v>1799</v>
      </c>
      <c r="J770" t="s">
        <v>1799</v>
      </c>
      <c r="K770" t="s">
        <v>1799</v>
      </c>
      <c r="L770" t="s">
        <v>1512</v>
      </c>
      <c r="M770" t="s">
        <v>1799</v>
      </c>
      <c r="N770" t="s">
        <v>1799</v>
      </c>
      <c r="O770" s="184" t="str">
        <f>"["&amp;$C770&amp;"]["&amp;$D770&amp;"]["&amp;$F770&amp;"]"</f>
        <v>[S08_ActivityDataIssuesDetail][7][TypeOfIssue]</v>
      </c>
    </row>
    <row r="771" spans="1:15" x14ac:dyDescent="0.3">
      <c r="A771" t="s">
        <v>1793</v>
      </c>
      <c r="B771" t="s">
        <v>2150</v>
      </c>
      <c r="C771" t="s">
        <v>2151</v>
      </c>
      <c r="D771">
        <v>8</v>
      </c>
      <c r="E771" t="s">
        <v>1447</v>
      </c>
      <c r="F771" t="s">
        <v>2071</v>
      </c>
      <c r="G771" t="s">
        <v>1737</v>
      </c>
      <c r="H771" t="s">
        <v>1799</v>
      </c>
      <c r="I771" t="s">
        <v>1799</v>
      </c>
      <c r="J771" t="s">
        <v>1799</v>
      </c>
      <c r="K771" t="s">
        <v>1799</v>
      </c>
      <c r="L771" t="s">
        <v>1512</v>
      </c>
      <c r="M771" t="s">
        <v>1799</v>
      </c>
      <c r="N771" t="s">
        <v>1799</v>
      </c>
      <c r="O771" s="184" t="str">
        <f>"["&amp;$C771&amp;"]["&amp;$D771&amp;"]["&amp;$F771&amp;"]"</f>
        <v>[S08_ActivityDataIssuesDetail][8][TypeOfIssue]</v>
      </c>
    </row>
    <row r="772" spans="1:15" x14ac:dyDescent="0.3">
      <c r="A772" t="s">
        <v>1793</v>
      </c>
      <c r="B772" t="s">
        <v>2150</v>
      </c>
      <c r="C772" t="s">
        <v>2151</v>
      </c>
      <c r="D772">
        <v>9</v>
      </c>
      <c r="E772" t="s">
        <v>1447</v>
      </c>
      <c r="F772" t="s">
        <v>2071</v>
      </c>
      <c r="G772" t="s">
        <v>1737</v>
      </c>
      <c r="H772" t="s">
        <v>1799</v>
      </c>
      <c r="I772" t="s">
        <v>1799</v>
      </c>
      <c r="J772" t="s">
        <v>1799</v>
      </c>
      <c r="K772" t="s">
        <v>1799</v>
      </c>
      <c r="L772" t="s">
        <v>1512</v>
      </c>
      <c r="M772" t="s">
        <v>1799</v>
      </c>
      <c r="N772" t="s">
        <v>1799</v>
      </c>
      <c r="O772" s="184" t="str">
        <f>"["&amp;$C772&amp;"]["&amp;$D772&amp;"]["&amp;$F772&amp;"]"</f>
        <v>[S08_ActivityDataIssuesDetail][9][TypeOfIssue]</v>
      </c>
    </row>
    <row r="773" spans="1:15" x14ac:dyDescent="0.3">
      <c r="A773" t="s">
        <v>1793</v>
      </c>
      <c r="B773" t="s">
        <v>2150</v>
      </c>
      <c r="C773" t="s">
        <v>2151</v>
      </c>
      <c r="D773">
        <v>10</v>
      </c>
      <c r="E773" t="s">
        <v>1447</v>
      </c>
      <c r="F773" t="s">
        <v>2071</v>
      </c>
      <c r="G773" t="s">
        <v>1737</v>
      </c>
      <c r="H773" t="s">
        <v>1799</v>
      </c>
      <c r="I773" t="s">
        <v>1799</v>
      </c>
      <c r="J773" t="s">
        <v>1799</v>
      </c>
      <c r="K773" t="s">
        <v>1799</v>
      </c>
      <c r="L773" t="s">
        <v>1512</v>
      </c>
      <c r="M773" t="s">
        <v>1799</v>
      </c>
      <c r="N773" t="s">
        <v>1799</v>
      </c>
      <c r="O773" s="184" t="str">
        <f>"["&amp;$C773&amp;"]["&amp;$D773&amp;"]["&amp;$F773&amp;"]"</f>
        <v>[S08_ActivityDataIssuesDetail][10][TypeOfIssue]</v>
      </c>
    </row>
    <row r="774" spans="1:15" x14ac:dyDescent="0.3">
      <c r="A774" t="s">
        <v>1793</v>
      </c>
      <c r="B774" t="s">
        <v>2150</v>
      </c>
      <c r="C774" t="s">
        <v>2151</v>
      </c>
      <c r="D774">
        <v>11</v>
      </c>
      <c r="E774" t="s">
        <v>1447</v>
      </c>
      <c r="F774" t="s">
        <v>2071</v>
      </c>
      <c r="G774" t="s">
        <v>1737</v>
      </c>
      <c r="H774" t="s">
        <v>1799</v>
      </c>
      <c r="I774" t="s">
        <v>1799</v>
      </c>
      <c r="J774" t="s">
        <v>1799</v>
      </c>
      <c r="K774" t="s">
        <v>1799</v>
      </c>
      <c r="L774" t="s">
        <v>1512</v>
      </c>
      <c r="M774" t="s">
        <v>1799</v>
      </c>
      <c r="N774" t="s">
        <v>1799</v>
      </c>
      <c r="O774" s="184" t="str">
        <f>"["&amp;$C774&amp;"]["&amp;$D774&amp;"]["&amp;$F774&amp;"]"</f>
        <v>[S08_ActivityDataIssuesDetail][11][TypeOfIssue]</v>
      </c>
    </row>
    <row r="775" spans="1:15" x14ac:dyDescent="0.3">
      <c r="A775" t="s">
        <v>1793</v>
      </c>
      <c r="B775" t="s">
        <v>2150</v>
      </c>
      <c r="C775" t="s">
        <v>2151</v>
      </c>
      <c r="D775">
        <v>12</v>
      </c>
      <c r="E775" t="s">
        <v>1447</v>
      </c>
      <c r="F775" t="s">
        <v>2071</v>
      </c>
      <c r="G775" t="s">
        <v>1737</v>
      </c>
      <c r="H775" t="s">
        <v>1799</v>
      </c>
      <c r="I775" t="s">
        <v>1799</v>
      </c>
      <c r="J775" t="s">
        <v>1799</v>
      </c>
      <c r="K775" t="s">
        <v>1799</v>
      </c>
      <c r="L775" t="s">
        <v>1497</v>
      </c>
      <c r="M775" t="s">
        <v>1799</v>
      </c>
      <c r="N775" t="s">
        <v>1799</v>
      </c>
      <c r="O775" s="184" t="str">
        <f>"["&amp;$C775&amp;"]["&amp;$D775&amp;"]["&amp;$F775&amp;"]"</f>
        <v>[S08_ActivityDataIssuesDetail][12][TypeOfIssue]</v>
      </c>
    </row>
    <row r="776" spans="1:15" x14ac:dyDescent="0.3">
      <c r="A776" t="s">
        <v>1793</v>
      </c>
      <c r="B776" t="s">
        <v>2150</v>
      </c>
      <c r="C776" t="s">
        <v>2151</v>
      </c>
      <c r="D776">
        <v>1</v>
      </c>
      <c r="E776" t="s">
        <v>1447</v>
      </c>
      <c r="F776" t="s">
        <v>1881</v>
      </c>
      <c r="G776" t="s">
        <v>1811</v>
      </c>
      <c r="H776" t="s">
        <v>1799</v>
      </c>
      <c r="I776">
        <v>1</v>
      </c>
      <c r="J776" t="s">
        <v>1799</v>
      </c>
      <c r="K776" t="s">
        <v>1799</v>
      </c>
      <c r="L776" t="s">
        <v>1799</v>
      </c>
      <c r="M776" t="s">
        <v>1799</v>
      </c>
      <c r="N776" t="s">
        <v>1799</v>
      </c>
      <c r="O776" s="184" t="str">
        <f>"["&amp;$C776&amp;"]["&amp;$D776&amp;"]["&amp;$F776&amp;"]"</f>
        <v>[S08_ActivityDataIssuesDetail][1][NumberOfInstallations]</v>
      </c>
    </row>
    <row r="777" spans="1:15" x14ac:dyDescent="0.3">
      <c r="A777" t="s">
        <v>1793</v>
      </c>
      <c r="B777" t="s">
        <v>2150</v>
      </c>
      <c r="C777" t="s">
        <v>2151</v>
      </c>
      <c r="D777">
        <v>2</v>
      </c>
      <c r="E777" t="s">
        <v>1447</v>
      </c>
      <c r="F777" t="s">
        <v>1881</v>
      </c>
      <c r="G777" t="s">
        <v>1811</v>
      </c>
      <c r="H777" t="s">
        <v>1799</v>
      </c>
      <c r="I777">
        <v>6</v>
      </c>
      <c r="J777" t="s">
        <v>1799</v>
      </c>
      <c r="K777" t="s">
        <v>1799</v>
      </c>
      <c r="L777" t="s">
        <v>1799</v>
      </c>
      <c r="M777" t="s">
        <v>1799</v>
      </c>
      <c r="N777" t="s">
        <v>1799</v>
      </c>
      <c r="O777" s="184" t="str">
        <f>"["&amp;$C777&amp;"]["&amp;$D777&amp;"]["&amp;$F777&amp;"]"</f>
        <v>[S08_ActivityDataIssuesDetail][2][NumberOfInstallations]</v>
      </c>
    </row>
    <row r="778" spans="1:15" x14ac:dyDescent="0.3">
      <c r="A778" t="s">
        <v>1793</v>
      </c>
      <c r="B778" t="s">
        <v>2150</v>
      </c>
      <c r="C778" t="s">
        <v>2151</v>
      </c>
      <c r="D778">
        <v>3</v>
      </c>
      <c r="E778" t="s">
        <v>1447</v>
      </c>
      <c r="F778" t="s">
        <v>1881</v>
      </c>
      <c r="G778" t="s">
        <v>1811</v>
      </c>
      <c r="H778" t="s">
        <v>1799</v>
      </c>
      <c r="I778">
        <v>1</v>
      </c>
      <c r="J778" t="s">
        <v>1799</v>
      </c>
      <c r="K778" t="s">
        <v>1799</v>
      </c>
      <c r="L778" t="s">
        <v>1799</v>
      </c>
      <c r="M778" t="s">
        <v>1799</v>
      </c>
      <c r="N778" t="s">
        <v>1799</v>
      </c>
      <c r="O778" s="184" t="str">
        <f>"["&amp;$C778&amp;"]["&amp;$D778&amp;"]["&amp;$F778&amp;"]"</f>
        <v>[S08_ActivityDataIssuesDetail][3][NumberOfInstallations]</v>
      </c>
    </row>
    <row r="779" spans="1:15" x14ac:dyDescent="0.3">
      <c r="A779" t="s">
        <v>1793</v>
      </c>
      <c r="B779" t="s">
        <v>2150</v>
      </c>
      <c r="C779" t="s">
        <v>2151</v>
      </c>
      <c r="D779">
        <v>4</v>
      </c>
      <c r="E779" t="s">
        <v>1447</v>
      </c>
      <c r="F779" t="s">
        <v>1881</v>
      </c>
      <c r="G779" t="s">
        <v>1811</v>
      </c>
      <c r="H779" t="s">
        <v>1799</v>
      </c>
      <c r="I779">
        <v>1</v>
      </c>
      <c r="J779" t="s">
        <v>1799</v>
      </c>
      <c r="K779" t="s">
        <v>1799</v>
      </c>
      <c r="L779" t="s">
        <v>1799</v>
      </c>
      <c r="M779" t="s">
        <v>1799</v>
      </c>
      <c r="N779" t="s">
        <v>1799</v>
      </c>
      <c r="O779" s="184" t="str">
        <f>"["&amp;$C779&amp;"]["&amp;$D779&amp;"]["&amp;$F779&amp;"]"</f>
        <v>[S08_ActivityDataIssuesDetail][4][NumberOfInstallations]</v>
      </c>
    </row>
    <row r="780" spans="1:15" x14ac:dyDescent="0.3">
      <c r="A780" t="s">
        <v>1793</v>
      </c>
      <c r="B780" t="s">
        <v>2150</v>
      </c>
      <c r="C780" t="s">
        <v>2151</v>
      </c>
      <c r="D780">
        <v>5</v>
      </c>
      <c r="E780" t="s">
        <v>1447</v>
      </c>
      <c r="F780" t="s">
        <v>1881</v>
      </c>
      <c r="G780" t="s">
        <v>1811</v>
      </c>
      <c r="H780" t="s">
        <v>1799</v>
      </c>
      <c r="I780">
        <v>2</v>
      </c>
      <c r="J780" t="s">
        <v>1799</v>
      </c>
      <c r="K780" t="s">
        <v>1799</v>
      </c>
      <c r="L780" t="s">
        <v>1799</v>
      </c>
      <c r="M780" t="s">
        <v>1799</v>
      </c>
      <c r="N780" t="s">
        <v>1799</v>
      </c>
      <c r="O780" s="184" t="str">
        <f>"["&amp;$C780&amp;"]["&amp;$D780&amp;"]["&amp;$F780&amp;"]"</f>
        <v>[S08_ActivityDataIssuesDetail][5][NumberOfInstallations]</v>
      </c>
    </row>
    <row r="781" spans="1:15" x14ac:dyDescent="0.3">
      <c r="A781" t="s">
        <v>1793</v>
      </c>
      <c r="B781" t="s">
        <v>2150</v>
      </c>
      <c r="C781" t="s">
        <v>2151</v>
      </c>
      <c r="D781">
        <v>6</v>
      </c>
      <c r="E781" t="s">
        <v>1447</v>
      </c>
      <c r="F781" t="s">
        <v>1881</v>
      </c>
      <c r="G781" t="s">
        <v>1811</v>
      </c>
      <c r="H781" t="s">
        <v>1799</v>
      </c>
      <c r="I781">
        <v>3</v>
      </c>
      <c r="J781" t="s">
        <v>1799</v>
      </c>
      <c r="K781" t="s">
        <v>1799</v>
      </c>
      <c r="L781" t="s">
        <v>1799</v>
      </c>
      <c r="M781" t="s">
        <v>1799</v>
      </c>
      <c r="N781" t="s">
        <v>1799</v>
      </c>
      <c r="O781" s="184" t="str">
        <f>"["&amp;$C781&amp;"]["&amp;$D781&amp;"]["&amp;$F781&amp;"]"</f>
        <v>[S08_ActivityDataIssuesDetail][6][NumberOfInstallations]</v>
      </c>
    </row>
    <row r="782" spans="1:15" x14ac:dyDescent="0.3">
      <c r="A782" t="s">
        <v>1793</v>
      </c>
      <c r="B782" t="s">
        <v>2150</v>
      </c>
      <c r="C782" t="s">
        <v>2151</v>
      </c>
      <c r="D782">
        <v>7</v>
      </c>
      <c r="E782" t="s">
        <v>1447</v>
      </c>
      <c r="F782" t="s">
        <v>1881</v>
      </c>
      <c r="G782" t="s">
        <v>1811</v>
      </c>
      <c r="H782" t="s">
        <v>1799</v>
      </c>
      <c r="I782">
        <v>4</v>
      </c>
      <c r="J782" t="s">
        <v>1799</v>
      </c>
      <c r="K782" t="s">
        <v>1799</v>
      </c>
      <c r="L782" t="s">
        <v>1799</v>
      </c>
      <c r="M782" t="s">
        <v>1799</v>
      </c>
      <c r="N782" t="s">
        <v>1799</v>
      </c>
      <c r="O782" s="184" t="str">
        <f>"["&amp;$C782&amp;"]["&amp;$D782&amp;"]["&amp;$F782&amp;"]"</f>
        <v>[S08_ActivityDataIssuesDetail][7][NumberOfInstallations]</v>
      </c>
    </row>
    <row r="783" spans="1:15" x14ac:dyDescent="0.3">
      <c r="A783" t="s">
        <v>1793</v>
      </c>
      <c r="B783" t="s">
        <v>2150</v>
      </c>
      <c r="C783" t="s">
        <v>2151</v>
      </c>
      <c r="D783">
        <v>8</v>
      </c>
      <c r="E783" t="s">
        <v>1447</v>
      </c>
      <c r="F783" t="s">
        <v>1881</v>
      </c>
      <c r="G783" t="s">
        <v>1811</v>
      </c>
      <c r="H783" t="s">
        <v>1799</v>
      </c>
      <c r="I783">
        <v>1</v>
      </c>
      <c r="J783" t="s">
        <v>1799</v>
      </c>
      <c r="K783" t="s">
        <v>1799</v>
      </c>
      <c r="L783" t="s">
        <v>1799</v>
      </c>
      <c r="M783" t="s">
        <v>1799</v>
      </c>
      <c r="N783" t="s">
        <v>1799</v>
      </c>
      <c r="O783" s="184" t="str">
        <f>"["&amp;$C783&amp;"]["&amp;$D783&amp;"]["&amp;$F783&amp;"]"</f>
        <v>[S08_ActivityDataIssuesDetail][8][NumberOfInstallations]</v>
      </c>
    </row>
    <row r="784" spans="1:15" x14ac:dyDescent="0.3">
      <c r="A784" t="s">
        <v>1793</v>
      </c>
      <c r="B784" t="s">
        <v>2150</v>
      </c>
      <c r="C784" t="s">
        <v>2151</v>
      </c>
      <c r="D784">
        <v>9</v>
      </c>
      <c r="E784" t="s">
        <v>1447</v>
      </c>
      <c r="F784" t="s">
        <v>1881</v>
      </c>
      <c r="G784" t="s">
        <v>1811</v>
      </c>
      <c r="H784" t="s">
        <v>1799</v>
      </c>
      <c r="I784">
        <v>1</v>
      </c>
      <c r="J784" t="s">
        <v>1799</v>
      </c>
      <c r="K784" t="s">
        <v>1799</v>
      </c>
      <c r="L784" t="s">
        <v>1799</v>
      </c>
      <c r="M784" t="s">
        <v>1799</v>
      </c>
      <c r="N784" t="s">
        <v>1799</v>
      </c>
      <c r="O784" s="184" t="str">
        <f>"["&amp;$C784&amp;"]["&amp;$D784&amp;"]["&amp;$F784&amp;"]"</f>
        <v>[S08_ActivityDataIssuesDetail][9][NumberOfInstallations]</v>
      </c>
    </row>
    <row r="785" spans="1:15" x14ac:dyDescent="0.3">
      <c r="A785" t="s">
        <v>1793</v>
      </c>
      <c r="B785" t="s">
        <v>2150</v>
      </c>
      <c r="C785" t="s">
        <v>2151</v>
      </c>
      <c r="D785">
        <v>10</v>
      </c>
      <c r="E785" t="s">
        <v>1447</v>
      </c>
      <c r="F785" t="s">
        <v>1881</v>
      </c>
      <c r="G785" t="s">
        <v>1811</v>
      </c>
      <c r="H785" t="s">
        <v>1799</v>
      </c>
      <c r="I785">
        <v>1</v>
      </c>
      <c r="J785" t="s">
        <v>1799</v>
      </c>
      <c r="K785" t="s">
        <v>1799</v>
      </c>
      <c r="L785" t="s">
        <v>1799</v>
      </c>
      <c r="M785" t="s">
        <v>1799</v>
      </c>
      <c r="N785" t="s">
        <v>1799</v>
      </c>
      <c r="O785" s="184" t="str">
        <f>"["&amp;$C785&amp;"]["&amp;$D785&amp;"]["&amp;$F785&amp;"]"</f>
        <v>[S08_ActivityDataIssuesDetail][10][NumberOfInstallations]</v>
      </c>
    </row>
    <row r="786" spans="1:15" x14ac:dyDescent="0.3">
      <c r="A786" t="s">
        <v>1793</v>
      </c>
      <c r="B786" t="s">
        <v>2150</v>
      </c>
      <c r="C786" t="s">
        <v>2151</v>
      </c>
      <c r="D786">
        <v>11</v>
      </c>
      <c r="E786" t="s">
        <v>1447</v>
      </c>
      <c r="F786" t="s">
        <v>1881</v>
      </c>
      <c r="G786" t="s">
        <v>1811</v>
      </c>
      <c r="H786" t="s">
        <v>1799</v>
      </c>
      <c r="I786">
        <v>1</v>
      </c>
      <c r="J786" t="s">
        <v>1799</v>
      </c>
      <c r="K786" t="s">
        <v>1799</v>
      </c>
      <c r="L786" t="s">
        <v>1799</v>
      </c>
      <c r="M786" t="s">
        <v>1799</v>
      </c>
      <c r="N786" t="s">
        <v>1799</v>
      </c>
      <c r="O786" s="184" t="str">
        <f>"["&amp;$C786&amp;"]["&amp;$D786&amp;"]["&amp;$F786&amp;"]"</f>
        <v>[S08_ActivityDataIssuesDetail][11][NumberOfInstallations]</v>
      </c>
    </row>
    <row r="787" spans="1:15" x14ac:dyDescent="0.3">
      <c r="A787" t="s">
        <v>1793</v>
      </c>
      <c r="B787" t="s">
        <v>2150</v>
      </c>
      <c r="C787" t="s">
        <v>2151</v>
      </c>
      <c r="D787">
        <v>12</v>
      </c>
      <c r="E787" t="s">
        <v>1447</v>
      </c>
      <c r="F787" t="s">
        <v>1881</v>
      </c>
      <c r="G787" t="s">
        <v>1811</v>
      </c>
      <c r="H787" t="s">
        <v>1799</v>
      </c>
      <c r="I787">
        <v>1</v>
      </c>
      <c r="J787" t="s">
        <v>1799</v>
      </c>
      <c r="K787" t="s">
        <v>1799</v>
      </c>
      <c r="L787" t="s">
        <v>1799</v>
      </c>
      <c r="M787" t="s">
        <v>1799</v>
      </c>
      <c r="N787" t="s">
        <v>1799</v>
      </c>
      <c r="O787" s="184" t="str">
        <f>"["&amp;$C787&amp;"]["&amp;$D787&amp;"]["&amp;$F787&amp;"]"</f>
        <v>[S08_ActivityDataIssuesDetail][12][NumberOfInstallations]</v>
      </c>
    </row>
    <row r="788" spans="1:15" x14ac:dyDescent="0.3">
      <c r="A788" t="s">
        <v>1793</v>
      </c>
      <c r="B788" t="s">
        <v>2150</v>
      </c>
      <c r="C788" t="s">
        <v>2151</v>
      </c>
      <c r="D788">
        <v>1</v>
      </c>
      <c r="E788" t="s">
        <v>1447</v>
      </c>
      <c r="F788" t="s">
        <v>2053</v>
      </c>
      <c r="G788" t="s">
        <v>1811</v>
      </c>
      <c r="H788" t="s">
        <v>1799</v>
      </c>
      <c r="I788">
        <v>1</v>
      </c>
      <c r="J788" t="s">
        <v>1799</v>
      </c>
      <c r="K788" t="s">
        <v>1799</v>
      </c>
      <c r="L788" t="s">
        <v>1799</v>
      </c>
      <c r="M788" t="s">
        <v>1799</v>
      </c>
      <c r="N788" t="s">
        <v>1799</v>
      </c>
      <c r="O788" s="184" t="str">
        <f>"["&amp;$C788&amp;"]["&amp;$D788&amp;"]["&amp;$F788&amp;"]"</f>
        <v>[S08_ActivityDataIssuesDetail][1][NumberOfIssues]</v>
      </c>
    </row>
    <row r="789" spans="1:15" x14ac:dyDescent="0.3">
      <c r="A789" t="s">
        <v>1793</v>
      </c>
      <c r="B789" t="s">
        <v>2150</v>
      </c>
      <c r="C789" t="s">
        <v>2151</v>
      </c>
      <c r="D789">
        <v>2</v>
      </c>
      <c r="E789" t="s">
        <v>1447</v>
      </c>
      <c r="F789" t="s">
        <v>2053</v>
      </c>
      <c r="G789" t="s">
        <v>1811</v>
      </c>
      <c r="H789" t="s">
        <v>1799</v>
      </c>
      <c r="I789">
        <v>9</v>
      </c>
      <c r="J789" t="s">
        <v>1799</v>
      </c>
      <c r="K789" t="s">
        <v>1799</v>
      </c>
      <c r="L789" t="s">
        <v>1799</v>
      </c>
      <c r="M789" t="s">
        <v>1799</v>
      </c>
      <c r="N789" t="s">
        <v>1799</v>
      </c>
      <c r="O789" s="184" t="str">
        <f>"["&amp;$C789&amp;"]["&amp;$D789&amp;"]["&amp;$F789&amp;"]"</f>
        <v>[S08_ActivityDataIssuesDetail][2][NumberOfIssues]</v>
      </c>
    </row>
    <row r="790" spans="1:15" x14ac:dyDescent="0.3">
      <c r="A790" t="s">
        <v>1793</v>
      </c>
      <c r="B790" t="s">
        <v>2150</v>
      </c>
      <c r="C790" t="s">
        <v>2151</v>
      </c>
      <c r="D790">
        <v>3</v>
      </c>
      <c r="E790" t="s">
        <v>1447</v>
      </c>
      <c r="F790" t="s">
        <v>2053</v>
      </c>
      <c r="G790" t="s">
        <v>1811</v>
      </c>
      <c r="H790" t="s">
        <v>1799</v>
      </c>
      <c r="I790">
        <v>1</v>
      </c>
      <c r="J790" t="s">
        <v>1799</v>
      </c>
      <c r="K790" t="s">
        <v>1799</v>
      </c>
      <c r="L790" t="s">
        <v>1799</v>
      </c>
      <c r="M790" t="s">
        <v>1799</v>
      </c>
      <c r="N790" t="s">
        <v>1799</v>
      </c>
      <c r="O790" s="184" t="str">
        <f>"["&amp;$C790&amp;"]["&amp;$D790&amp;"]["&amp;$F790&amp;"]"</f>
        <v>[S08_ActivityDataIssuesDetail][3][NumberOfIssues]</v>
      </c>
    </row>
    <row r="791" spans="1:15" x14ac:dyDescent="0.3">
      <c r="A791" t="s">
        <v>1793</v>
      </c>
      <c r="B791" t="s">
        <v>2150</v>
      </c>
      <c r="C791" t="s">
        <v>2151</v>
      </c>
      <c r="D791">
        <v>4</v>
      </c>
      <c r="E791" t="s">
        <v>1447</v>
      </c>
      <c r="F791" t="s">
        <v>2053</v>
      </c>
      <c r="G791" t="s">
        <v>1811</v>
      </c>
      <c r="H791" t="s">
        <v>1799</v>
      </c>
      <c r="I791">
        <v>1</v>
      </c>
      <c r="J791" t="s">
        <v>1799</v>
      </c>
      <c r="K791" t="s">
        <v>1799</v>
      </c>
      <c r="L791" t="s">
        <v>1799</v>
      </c>
      <c r="M791" t="s">
        <v>1799</v>
      </c>
      <c r="N791" t="s">
        <v>1799</v>
      </c>
      <c r="O791" s="184" t="str">
        <f>"["&amp;$C791&amp;"]["&amp;$D791&amp;"]["&amp;$F791&amp;"]"</f>
        <v>[S08_ActivityDataIssuesDetail][4][NumberOfIssues]</v>
      </c>
    </row>
    <row r="792" spans="1:15" x14ac:dyDescent="0.3">
      <c r="A792" t="s">
        <v>1793</v>
      </c>
      <c r="B792" t="s">
        <v>2150</v>
      </c>
      <c r="C792" t="s">
        <v>2151</v>
      </c>
      <c r="D792">
        <v>5</v>
      </c>
      <c r="E792" t="s">
        <v>1447</v>
      </c>
      <c r="F792" t="s">
        <v>2053</v>
      </c>
      <c r="G792" t="s">
        <v>1811</v>
      </c>
      <c r="H792" t="s">
        <v>1799</v>
      </c>
      <c r="I792">
        <v>4</v>
      </c>
      <c r="J792" t="s">
        <v>1799</v>
      </c>
      <c r="K792" t="s">
        <v>1799</v>
      </c>
      <c r="L792" t="s">
        <v>1799</v>
      </c>
      <c r="M792" t="s">
        <v>1799</v>
      </c>
      <c r="N792" t="s">
        <v>1799</v>
      </c>
      <c r="O792" s="184" t="str">
        <f>"["&amp;$C792&amp;"]["&amp;$D792&amp;"]["&amp;$F792&amp;"]"</f>
        <v>[S08_ActivityDataIssuesDetail][5][NumberOfIssues]</v>
      </c>
    </row>
    <row r="793" spans="1:15" x14ac:dyDescent="0.3">
      <c r="A793" t="s">
        <v>1793</v>
      </c>
      <c r="B793" t="s">
        <v>2150</v>
      </c>
      <c r="C793" t="s">
        <v>2151</v>
      </c>
      <c r="D793">
        <v>6</v>
      </c>
      <c r="E793" t="s">
        <v>1447</v>
      </c>
      <c r="F793" t="s">
        <v>2053</v>
      </c>
      <c r="G793" t="s">
        <v>1811</v>
      </c>
      <c r="H793" t="s">
        <v>1799</v>
      </c>
      <c r="I793">
        <v>3</v>
      </c>
      <c r="J793" t="s">
        <v>1799</v>
      </c>
      <c r="K793" t="s">
        <v>1799</v>
      </c>
      <c r="L793" t="s">
        <v>1799</v>
      </c>
      <c r="M793" t="s">
        <v>1799</v>
      </c>
      <c r="N793" t="s">
        <v>1799</v>
      </c>
      <c r="O793" s="184" t="str">
        <f>"["&amp;$C793&amp;"]["&amp;$D793&amp;"]["&amp;$F793&amp;"]"</f>
        <v>[S08_ActivityDataIssuesDetail][6][NumberOfIssues]</v>
      </c>
    </row>
    <row r="794" spans="1:15" x14ac:dyDescent="0.3">
      <c r="A794" t="s">
        <v>1793</v>
      </c>
      <c r="B794" t="s">
        <v>2150</v>
      </c>
      <c r="C794" t="s">
        <v>2151</v>
      </c>
      <c r="D794">
        <v>7</v>
      </c>
      <c r="E794" t="s">
        <v>1447</v>
      </c>
      <c r="F794" t="s">
        <v>2053</v>
      </c>
      <c r="G794" t="s">
        <v>1811</v>
      </c>
      <c r="H794" t="s">
        <v>1799</v>
      </c>
      <c r="I794">
        <v>12</v>
      </c>
      <c r="J794" t="s">
        <v>1799</v>
      </c>
      <c r="K794" t="s">
        <v>1799</v>
      </c>
      <c r="L794" t="s">
        <v>1799</v>
      </c>
      <c r="M794" t="s">
        <v>1799</v>
      </c>
      <c r="N794" t="s">
        <v>1799</v>
      </c>
      <c r="O794" s="184" t="str">
        <f>"["&amp;$C794&amp;"]["&amp;$D794&amp;"]["&amp;$F794&amp;"]"</f>
        <v>[S08_ActivityDataIssuesDetail][7][NumberOfIssues]</v>
      </c>
    </row>
    <row r="795" spans="1:15" x14ac:dyDescent="0.3">
      <c r="A795" t="s">
        <v>1793</v>
      </c>
      <c r="B795" t="s">
        <v>2150</v>
      </c>
      <c r="C795" t="s">
        <v>2151</v>
      </c>
      <c r="D795">
        <v>8</v>
      </c>
      <c r="E795" t="s">
        <v>1447</v>
      </c>
      <c r="F795" t="s">
        <v>2053</v>
      </c>
      <c r="G795" t="s">
        <v>1811</v>
      </c>
      <c r="H795" t="s">
        <v>1799</v>
      </c>
      <c r="I795">
        <v>1</v>
      </c>
      <c r="J795" t="s">
        <v>1799</v>
      </c>
      <c r="K795" t="s">
        <v>1799</v>
      </c>
      <c r="L795" t="s">
        <v>1799</v>
      </c>
      <c r="M795" t="s">
        <v>1799</v>
      </c>
      <c r="N795" t="s">
        <v>1799</v>
      </c>
      <c r="O795" s="184" t="str">
        <f>"["&amp;$C795&amp;"]["&amp;$D795&amp;"]["&amp;$F795&amp;"]"</f>
        <v>[S08_ActivityDataIssuesDetail][8][NumberOfIssues]</v>
      </c>
    </row>
    <row r="796" spans="1:15" x14ac:dyDescent="0.3">
      <c r="A796" t="s">
        <v>1793</v>
      </c>
      <c r="B796" t="s">
        <v>2150</v>
      </c>
      <c r="C796" t="s">
        <v>2151</v>
      </c>
      <c r="D796">
        <v>9</v>
      </c>
      <c r="E796" t="s">
        <v>1447</v>
      </c>
      <c r="F796" t="s">
        <v>2053</v>
      </c>
      <c r="G796" t="s">
        <v>1811</v>
      </c>
      <c r="H796" t="s">
        <v>1799</v>
      </c>
      <c r="I796">
        <v>4</v>
      </c>
      <c r="J796" t="s">
        <v>1799</v>
      </c>
      <c r="K796" t="s">
        <v>1799</v>
      </c>
      <c r="L796" t="s">
        <v>1799</v>
      </c>
      <c r="M796" t="s">
        <v>1799</v>
      </c>
      <c r="N796" t="s">
        <v>1799</v>
      </c>
      <c r="O796" s="184" t="str">
        <f>"["&amp;$C796&amp;"]["&amp;$D796&amp;"]["&amp;$F796&amp;"]"</f>
        <v>[S08_ActivityDataIssuesDetail][9][NumberOfIssues]</v>
      </c>
    </row>
    <row r="797" spans="1:15" x14ac:dyDescent="0.3">
      <c r="A797" t="s">
        <v>1793</v>
      </c>
      <c r="B797" t="s">
        <v>2150</v>
      </c>
      <c r="C797" t="s">
        <v>2151</v>
      </c>
      <c r="D797">
        <v>10</v>
      </c>
      <c r="E797" t="s">
        <v>1447</v>
      </c>
      <c r="F797" t="s">
        <v>2053</v>
      </c>
      <c r="G797" t="s">
        <v>1811</v>
      </c>
      <c r="H797" t="s">
        <v>1799</v>
      </c>
      <c r="I797">
        <v>1</v>
      </c>
      <c r="J797" t="s">
        <v>1799</v>
      </c>
      <c r="K797" t="s">
        <v>1799</v>
      </c>
      <c r="L797" t="s">
        <v>1799</v>
      </c>
      <c r="M797" t="s">
        <v>1799</v>
      </c>
      <c r="N797" t="s">
        <v>1799</v>
      </c>
      <c r="O797" s="184" t="str">
        <f>"["&amp;$C797&amp;"]["&amp;$D797&amp;"]["&amp;$F797&amp;"]"</f>
        <v>[S08_ActivityDataIssuesDetail][10][NumberOfIssues]</v>
      </c>
    </row>
    <row r="798" spans="1:15" x14ac:dyDescent="0.3">
      <c r="A798" t="s">
        <v>1793</v>
      </c>
      <c r="B798" t="s">
        <v>2150</v>
      </c>
      <c r="C798" t="s">
        <v>2151</v>
      </c>
      <c r="D798">
        <v>11</v>
      </c>
      <c r="E798" t="s">
        <v>1447</v>
      </c>
      <c r="F798" t="s">
        <v>2053</v>
      </c>
      <c r="G798" t="s">
        <v>1811</v>
      </c>
      <c r="H798" t="s">
        <v>1799</v>
      </c>
      <c r="I798">
        <v>2</v>
      </c>
      <c r="J798" t="s">
        <v>1799</v>
      </c>
      <c r="K798" t="s">
        <v>1799</v>
      </c>
      <c r="L798" t="s">
        <v>1799</v>
      </c>
      <c r="M798" t="s">
        <v>1799</v>
      </c>
      <c r="N798" t="s">
        <v>1799</v>
      </c>
      <c r="O798" s="184" t="str">
        <f>"["&amp;$C798&amp;"]["&amp;$D798&amp;"]["&amp;$F798&amp;"]"</f>
        <v>[S08_ActivityDataIssuesDetail][11][NumberOfIssues]</v>
      </c>
    </row>
    <row r="799" spans="1:15" x14ac:dyDescent="0.3">
      <c r="A799" t="s">
        <v>1793</v>
      </c>
      <c r="B799" t="s">
        <v>2150</v>
      </c>
      <c r="C799" t="s">
        <v>2151</v>
      </c>
      <c r="D799">
        <v>12</v>
      </c>
      <c r="E799" t="s">
        <v>1447</v>
      </c>
      <c r="F799" t="s">
        <v>2053</v>
      </c>
      <c r="G799" t="s">
        <v>1811</v>
      </c>
      <c r="H799" t="s">
        <v>1799</v>
      </c>
      <c r="I799">
        <v>2</v>
      </c>
      <c r="J799" t="s">
        <v>1799</v>
      </c>
      <c r="K799" t="s">
        <v>1799</v>
      </c>
      <c r="L799" t="s">
        <v>1799</v>
      </c>
      <c r="M799" t="s">
        <v>1799</v>
      </c>
      <c r="N799" t="s">
        <v>1799</v>
      </c>
      <c r="O799" s="184" t="str">
        <f>"["&amp;$C799&amp;"]["&amp;$D799&amp;"]["&amp;$F799&amp;"]"</f>
        <v>[S08_ActivityDataIssuesDetail][12][NumberOfIssues]</v>
      </c>
    </row>
    <row r="800" spans="1:15" x14ac:dyDescent="0.3">
      <c r="A800" t="s">
        <v>1793</v>
      </c>
      <c r="B800" t="s">
        <v>2150</v>
      </c>
      <c r="C800" t="s">
        <v>2151</v>
      </c>
      <c r="D800">
        <v>1</v>
      </c>
      <c r="E800" t="s">
        <v>1447</v>
      </c>
      <c r="F800" t="s">
        <v>2149</v>
      </c>
      <c r="G800" t="s">
        <v>1811</v>
      </c>
      <c r="H800" t="s">
        <v>1799</v>
      </c>
      <c r="I800">
        <v>0</v>
      </c>
      <c r="J800" t="s">
        <v>1799</v>
      </c>
      <c r="K800" t="s">
        <v>1799</v>
      </c>
      <c r="L800" t="s">
        <v>1799</v>
      </c>
      <c r="M800" t="s">
        <v>1799</v>
      </c>
      <c r="N800" t="s">
        <v>1799</v>
      </c>
      <c r="O800" s="184" t="str">
        <f>"["&amp;$C800&amp;"]["&amp;$D800&amp;"]["&amp;$F800&amp;"]"</f>
        <v>[S08_ActivityDataIssuesDetail][1][NumberOfInstallationsConEst]</v>
      </c>
    </row>
    <row r="801" spans="1:15" x14ac:dyDescent="0.3">
      <c r="A801" t="s">
        <v>1793</v>
      </c>
      <c r="B801" t="s">
        <v>2150</v>
      </c>
      <c r="C801" t="s">
        <v>2151</v>
      </c>
      <c r="D801">
        <v>2</v>
      </c>
      <c r="E801" t="s">
        <v>1447</v>
      </c>
      <c r="F801" t="s">
        <v>2149</v>
      </c>
      <c r="G801" t="s">
        <v>1811</v>
      </c>
      <c r="H801" t="s">
        <v>1799</v>
      </c>
      <c r="I801">
        <v>0</v>
      </c>
      <c r="J801" t="s">
        <v>1799</v>
      </c>
      <c r="K801" t="s">
        <v>1799</v>
      </c>
      <c r="L801" t="s">
        <v>1799</v>
      </c>
      <c r="M801" t="s">
        <v>1799</v>
      </c>
      <c r="N801" t="s">
        <v>1799</v>
      </c>
      <c r="O801" s="184" t="str">
        <f>"["&amp;$C801&amp;"]["&amp;$D801&amp;"]["&amp;$F801&amp;"]"</f>
        <v>[S08_ActivityDataIssuesDetail][2][NumberOfInstallationsConEst]</v>
      </c>
    </row>
    <row r="802" spans="1:15" x14ac:dyDescent="0.3">
      <c r="A802" t="s">
        <v>1793</v>
      </c>
      <c r="B802" t="s">
        <v>2150</v>
      </c>
      <c r="C802" t="s">
        <v>2151</v>
      </c>
      <c r="D802">
        <v>3</v>
      </c>
      <c r="E802" t="s">
        <v>1447</v>
      </c>
      <c r="F802" t="s">
        <v>2149</v>
      </c>
      <c r="G802" t="s">
        <v>1811</v>
      </c>
      <c r="H802" t="s">
        <v>1799</v>
      </c>
      <c r="I802">
        <v>0</v>
      </c>
      <c r="J802" t="s">
        <v>1799</v>
      </c>
      <c r="K802" t="s">
        <v>1799</v>
      </c>
      <c r="L802" t="s">
        <v>1799</v>
      </c>
      <c r="M802" t="s">
        <v>1799</v>
      </c>
      <c r="N802" t="s">
        <v>1799</v>
      </c>
      <c r="O802" s="184" t="str">
        <f>"["&amp;$C802&amp;"]["&amp;$D802&amp;"]["&amp;$F802&amp;"]"</f>
        <v>[S08_ActivityDataIssuesDetail][3][NumberOfInstallationsConEst]</v>
      </c>
    </row>
    <row r="803" spans="1:15" x14ac:dyDescent="0.3">
      <c r="A803" t="s">
        <v>1793</v>
      </c>
      <c r="B803" t="s">
        <v>2150</v>
      </c>
      <c r="C803" t="s">
        <v>2151</v>
      </c>
      <c r="D803">
        <v>4</v>
      </c>
      <c r="E803" t="s">
        <v>1447</v>
      </c>
      <c r="F803" t="s">
        <v>2149</v>
      </c>
      <c r="G803" t="s">
        <v>1811</v>
      </c>
      <c r="H803" t="s">
        <v>1799</v>
      </c>
      <c r="I803">
        <v>0</v>
      </c>
      <c r="J803" t="s">
        <v>1799</v>
      </c>
      <c r="K803" t="s">
        <v>1799</v>
      </c>
      <c r="L803" t="s">
        <v>1799</v>
      </c>
      <c r="M803" t="s">
        <v>1799</v>
      </c>
      <c r="N803" t="s">
        <v>1799</v>
      </c>
      <c r="O803" s="184" t="str">
        <f>"["&amp;$C803&amp;"]["&amp;$D803&amp;"]["&amp;$F803&amp;"]"</f>
        <v>[S08_ActivityDataIssuesDetail][4][NumberOfInstallationsConEst]</v>
      </c>
    </row>
    <row r="804" spans="1:15" x14ac:dyDescent="0.3">
      <c r="A804" t="s">
        <v>1793</v>
      </c>
      <c r="B804" t="s">
        <v>2150</v>
      </c>
      <c r="C804" t="s">
        <v>2151</v>
      </c>
      <c r="D804">
        <v>5</v>
      </c>
      <c r="E804" t="s">
        <v>1447</v>
      </c>
      <c r="F804" t="s">
        <v>2149</v>
      </c>
      <c r="G804" t="s">
        <v>1811</v>
      </c>
      <c r="H804" t="s">
        <v>1799</v>
      </c>
      <c r="I804">
        <v>0</v>
      </c>
      <c r="J804" t="s">
        <v>1799</v>
      </c>
      <c r="K804" t="s">
        <v>1799</v>
      </c>
      <c r="L804" t="s">
        <v>1799</v>
      </c>
      <c r="M804" t="s">
        <v>1799</v>
      </c>
      <c r="N804" t="s">
        <v>1799</v>
      </c>
      <c r="O804" s="184" t="str">
        <f>"["&amp;$C804&amp;"]["&amp;$D804&amp;"]["&amp;$F804&amp;"]"</f>
        <v>[S08_ActivityDataIssuesDetail][5][NumberOfInstallationsConEst]</v>
      </c>
    </row>
    <row r="805" spans="1:15" x14ac:dyDescent="0.3">
      <c r="A805" t="s">
        <v>1793</v>
      </c>
      <c r="B805" t="s">
        <v>2150</v>
      </c>
      <c r="C805" t="s">
        <v>2151</v>
      </c>
      <c r="D805">
        <v>6</v>
      </c>
      <c r="E805" t="s">
        <v>1447</v>
      </c>
      <c r="F805" t="s">
        <v>2149</v>
      </c>
      <c r="G805" t="s">
        <v>1811</v>
      </c>
      <c r="H805" t="s">
        <v>1799</v>
      </c>
      <c r="I805">
        <v>0</v>
      </c>
      <c r="J805" t="s">
        <v>1799</v>
      </c>
      <c r="K805" t="s">
        <v>1799</v>
      </c>
      <c r="L805" t="s">
        <v>1799</v>
      </c>
      <c r="M805" t="s">
        <v>1799</v>
      </c>
      <c r="N805" t="s">
        <v>1799</v>
      </c>
      <c r="O805" s="184" t="str">
        <f>"["&amp;$C805&amp;"]["&amp;$D805&amp;"]["&amp;$F805&amp;"]"</f>
        <v>[S08_ActivityDataIssuesDetail][6][NumberOfInstallationsConEst]</v>
      </c>
    </row>
    <row r="806" spans="1:15" x14ac:dyDescent="0.3">
      <c r="A806" t="s">
        <v>1793</v>
      </c>
      <c r="B806" t="s">
        <v>2150</v>
      </c>
      <c r="C806" t="s">
        <v>2151</v>
      </c>
      <c r="D806">
        <v>7</v>
      </c>
      <c r="E806" t="s">
        <v>1447</v>
      </c>
      <c r="F806" t="s">
        <v>2149</v>
      </c>
      <c r="G806" t="s">
        <v>1811</v>
      </c>
      <c r="H806" t="s">
        <v>1799</v>
      </c>
      <c r="I806">
        <v>0</v>
      </c>
      <c r="J806" t="s">
        <v>1799</v>
      </c>
      <c r="K806" t="s">
        <v>1799</v>
      </c>
      <c r="L806" t="s">
        <v>1799</v>
      </c>
      <c r="M806" t="s">
        <v>1799</v>
      </c>
      <c r="N806" t="s">
        <v>1799</v>
      </c>
      <c r="O806" s="184" t="str">
        <f>"["&amp;$C806&amp;"]["&amp;$D806&amp;"]["&amp;$F806&amp;"]"</f>
        <v>[S08_ActivityDataIssuesDetail][7][NumberOfInstallationsConEst]</v>
      </c>
    </row>
    <row r="807" spans="1:15" x14ac:dyDescent="0.3">
      <c r="A807" t="s">
        <v>1793</v>
      </c>
      <c r="B807" t="s">
        <v>2150</v>
      </c>
      <c r="C807" t="s">
        <v>2151</v>
      </c>
      <c r="D807">
        <v>8</v>
      </c>
      <c r="E807" t="s">
        <v>1447</v>
      </c>
      <c r="F807" t="s">
        <v>2149</v>
      </c>
      <c r="G807" t="s">
        <v>1811</v>
      </c>
      <c r="H807" t="s">
        <v>1799</v>
      </c>
      <c r="I807">
        <v>0</v>
      </c>
      <c r="J807" t="s">
        <v>1799</v>
      </c>
      <c r="K807" t="s">
        <v>1799</v>
      </c>
      <c r="L807" t="s">
        <v>1799</v>
      </c>
      <c r="M807" t="s">
        <v>1799</v>
      </c>
      <c r="N807" t="s">
        <v>1799</v>
      </c>
      <c r="O807" s="184" t="str">
        <f>"["&amp;$C807&amp;"]["&amp;$D807&amp;"]["&amp;$F807&amp;"]"</f>
        <v>[S08_ActivityDataIssuesDetail][8][NumberOfInstallationsConEst]</v>
      </c>
    </row>
    <row r="808" spans="1:15" x14ac:dyDescent="0.3">
      <c r="A808" t="s">
        <v>1793</v>
      </c>
      <c r="B808" t="s">
        <v>2150</v>
      </c>
      <c r="C808" t="s">
        <v>2151</v>
      </c>
      <c r="D808">
        <v>9</v>
      </c>
      <c r="E808" t="s">
        <v>1447</v>
      </c>
      <c r="F808" t="s">
        <v>2149</v>
      </c>
      <c r="G808" t="s">
        <v>1811</v>
      </c>
      <c r="H808" t="s">
        <v>1799</v>
      </c>
      <c r="I808">
        <v>0</v>
      </c>
      <c r="J808" t="s">
        <v>1799</v>
      </c>
      <c r="K808" t="s">
        <v>1799</v>
      </c>
      <c r="L808" t="s">
        <v>1799</v>
      </c>
      <c r="M808" t="s">
        <v>1799</v>
      </c>
      <c r="N808" t="s">
        <v>1799</v>
      </c>
      <c r="O808" s="184" t="str">
        <f>"["&amp;$C808&amp;"]["&amp;$D808&amp;"]["&amp;$F808&amp;"]"</f>
        <v>[S08_ActivityDataIssuesDetail][9][NumberOfInstallationsConEst]</v>
      </c>
    </row>
    <row r="809" spans="1:15" x14ac:dyDescent="0.3">
      <c r="A809" t="s">
        <v>1793</v>
      </c>
      <c r="B809" t="s">
        <v>2150</v>
      </c>
      <c r="C809" t="s">
        <v>2151</v>
      </c>
      <c r="D809">
        <v>10</v>
      </c>
      <c r="E809" t="s">
        <v>1447</v>
      </c>
      <c r="F809" t="s">
        <v>2149</v>
      </c>
      <c r="G809" t="s">
        <v>1811</v>
      </c>
      <c r="H809" t="s">
        <v>1799</v>
      </c>
      <c r="I809">
        <v>0</v>
      </c>
      <c r="J809" t="s">
        <v>1799</v>
      </c>
      <c r="K809" t="s">
        <v>1799</v>
      </c>
      <c r="L809" t="s">
        <v>1799</v>
      </c>
      <c r="M809" t="s">
        <v>1799</v>
      </c>
      <c r="N809" t="s">
        <v>1799</v>
      </c>
      <c r="O809" s="184" t="str">
        <f>"["&amp;$C809&amp;"]["&amp;$D809&amp;"]["&amp;$F809&amp;"]"</f>
        <v>[S08_ActivityDataIssuesDetail][10][NumberOfInstallationsConEst]</v>
      </c>
    </row>
    <row r="810" spans="1:15" x14ac:dyDescent="0.3">
      <c r="A810" t="s">
        <v>1793</v>
      </c>
      <c r="B810" t="s">
        <v>2150</v>
      </c>
      <c r="C810" t="s">
        <v>2151</v>
      </c>
      <c r="D810">
        <v>11</v>
      </c>
      <c r="E810" t="s">
        <v>1447</v>
      </c>
      <c r="F810" t="s">
        <v>2149</v>
      </c>
      <c r="G810" t="s">
        <v>1811</v>
      </c>
      <c r="H810" t="s">
        <v>1799</v>
      </c>
      <c r="I810">
        <v>0</v>
      </c>
      <c r="J810" t="s">
        <v>1799</v>
      </c>
      <c r="K810" t="s">
        <v>1799</v>
      </c>
      <c r="L810" t="s">
        <v>1799</v>
      </c>
      <c r="M810" t="s">
        <v>1799</v>
      </c>
      <c r="N810" t="s">
        <v>1799</v>
      </c>
      <c r="O810" s="184" t="str">
        <f>"["&amp;$C810&amp;"]["&amp;$D810&amp;"]["&amp;$F810&amp;"]"</f>
        <v>[S08_ActivityDataIssuesDetail][11][NumberOfInstallationsConEst]</v>
      </c>
    </row>
    <row r="811" spans="1:15" x14ac:dyDescent="0.3">
      <c r="A811" t="s">
        <v>1793</v>
      </c>
      <c r="B811" t="s">
        <v>2150</v>
      </c>
      <c r="C811" t="s">
        <v>2151</v>
      </c>
      <c r="D811">
        <v>12</v>
      </c>
      <c r="E811" t="s">
        <v>1447</v>
      </c>
      <c r="F811" t="s">
        <v>2149</v>
      </c>
      <c r="G811" t="s">
        <v>1811</v>
      </c>
      <c r="H811" t="s">
        <v>1799</v>
      </c>
      <c r="I811">
        <v>0</v>
      </c>
      <c r="J811" t="s">
        <v>1799</v>
      </c>
      <c r="K811" t="s">
        <v>1799</v>
      </c>
      <c r="L811" t="s">
        <v>1799</v>
      </c>
      <c r="M811" t="s">
        <v>1799</v>
      </c>
      <c r="N811" t="s">
        <v>1799</v>
      </c>
      <c r="O811" s="184" t="str">
        <f>"["&amp;$C811&amp;"]["&amp;$D811&amp;"]["&amp;$F811&amp;"]"</f>
        <v>[S08_ActivityDataIssuesDetail][12][NumberOfInstallationsConEst]</v>
      </c>
    </row>
    <row r="812" spans="1:15" x14ac:dyDescent="0.3">
      <c r="A812" t="s">
        <v>1793</v>
      </c>
      <c r="B812" t="s">
        <v>2152</v>
      </c>
      <c r="C812" t="s">
        <v>2153</v>
      </c>
      <c r="D812">
        <v>0</v>
      </c>
      <c r="E812" t="s">
        <v>1447</v>
      </c>
      <c r="F812" t="s">
        <v>2153</v>
      </c>
      <c r="G812" t="s">
        <v>1836</v>
      </c>
      <c r="H812" t="s">
        <v>1799</v>
      </c>
      <c r="I812" t="s">
        <v>1799</v>
      </c>
      <c r="J812" t="s">
        <v>1799</v>
      </c>
      <c r="K812" t="s">
        <v>1799</v>
      </c>
      <c r="L812" t="s">
        <v>1447</v>
      </c>
      <c r="M812" t="s">
        <v>1799</v>
      </c>
      <c r="N812" t="s">
        <v>1799</v>
      </c>
      <c r="O812" s="184" t="str">
        <f>"["&amp;$C812&amp;"]["&amp;$D812&amp;"]["&amp;$F812&amp;"]"</f>
        <v>[ActivityReportRejected][0][ActivityReportRejected]</v>
      </c>
    </row>
    <row r="813" spans="1:15" x14ac:dyDescent="0.3">
      <c r="A813" t="s">
        <v>1793</v>
      </c>
      <c r="B813" t="s">
        <v>2152</v>
      </c>
      <c r="C813" t="s">
        <v>2154</v>
      </c>
      <c r="D813">
        <v>1</v>
      </c>
      <c r="E813" t="s">
        <v>1447</v>
      </c>
      <c r="F813" t="s">
        <v>2155</v>
      </c>
      <c r="G813" t="s">
        <v>1811</v>
      </c>
      <c r="H813" t="s">
        <v>1799</v>
      </c>
      <c r="I813">
        <v>0</v>
      </c>
      <c r="J813" t="s">
        <v>1799</v>
      </c>
      <c r="K813" t="s">
        <v>1799</v>
      </c>
      <c r="L813" t="s">
        <v>1799</v>
      </c>
      <c r="M813" t="s">
        <v>1799</v>
      </c>
      <c r="N813" t="s">
        <v>1799</v>
      </c>
      <c r="O813" s="184" t="str">
        <f>"["&amp;$C813&amp;"]["&amp;$D813&amp;"]["&amp;$F813&amp;"]"</f>
        <v>[S08_ActivityReportRejectedDetail][1][NumberActivityReportRejected]</v>
      </c>
    </row>
    <row r="814" spans="1:15" x14ac:dyDescent="0.3">
      <c r="A814" t="s">
        <v>1793</v>
      </c>
      <c r="B814" t="s">
        <v>2152</v>
      </c>
      <c r="C814" t="s">
        <v>2154</v>
      </c>
      <c r="D814">
        <v>2</v>
      </c>
      <c r="E814" t="s">
        <v>1447</v>
      </c>
      <c r="F814" t="s">
        <v>2155</v>
      </c>
      <c r="G814" t="s">
        <v>1811</v>
      </c>
      <c r="H814" t="s">
        <v>1799</v>
      </c>
      <c r="I814">
        <v>0</v>
      </c>
      <c r="J814" t="s">
        <v>1799</v>
      </c>
      <c r="K814" t="s">
        <v>1799</v>
      </c>
      <c r="L814" t="s">
        <v>1799</v>
      </c>
      <c r="M814" t="s">
        <v>1799</v>
      </c>
      <c r="N814" t="s">
        <v>1799</v>
      </c>
      <c r="O814" s="184" t="str">
        <f>"["&amp;$C814&amp;"]["&amp;$D814&amp;"]["&amp;$F814&amp;"]"</f>
        <v>[S08_ActivityReportRejectedDetail][2][NumberActivityReportRejected]</v>
      </c>
    </row>
    <row r="815" spans="1:15" x14ac:dyDescent="0.3">
      <c r="A815" t="s">
        <v>1793</v>
      </c>
      <c r="B815" t="s">
        <v>2152</v>
      </c>
      <c r="C815" t="s">
        <v>2154</v>
      </c>
      <c r="D815">
        <v>3</v>
      </c>
      <c r="E815" t="s">
        <v>1447</v>
      </c>
      <c r="F815" t="s">
        <v>2082</v>
      </c>
      <c r="G815" t="s">
        <v>1797</v>
      </c>
      <c r="H815" t="s">
        <v>1755</v>
      </c>
      <c r="I815" t="s">
        <v>1799</v>
      </c>
      <c r="J815" t="s">
        <v>1799</v>
      </c>
      <c r="K815" t="s">
        <v>1799</v>
      </c>
      <c r="L815" t="s">
        <v>1799</v>
      </c>
      <c r="M815" t="s">
        <v>1799</v>
      </c>
      <c r="N815" t="s">
        <v>1799</v>
      </c>
      <c r="O815" s="184" t="str">
        <f>"["&amp;$C815&amp;"]["&amp;$D815&amp;"]["&amp;$F815&amp;"]"</f>
        <v>[S08_ActivityReportRejectedDetail][3][ActionsTaken]</v>
      </c>
    </row>
    <row r="816" spans="1:15" x14ac:dyDescent="0.3">
      <c r="A816" t="s">
        <v>1793</v>
      </c>
      <c r="B816" t="s">
        <v>2152</v>
      </c>
      <c r="C816" t="s">
        <v>2154</v>
      </c>
      <c r="D816">
        <v>4</v>
      </c>
      <c r="E816" t="s">
        <v>1419</v>
      </c>
      <c r="F816" t="s">
        <v>2082</v>
      </c>
      <c r="G816" t="s">
        <v>1870</v>
      </c>
      <c r="H816" t="s">
        <v>1799</v>
      </c>
      <c r="I816" t="s">
        <v>1799</v>
      </c>
      <c r="J816" t="s">
        <v>1799</v>
      </c>
      <c r="K816" t="s">
        <v>2156</v>
      </c>
      <c r="L816" t="s">
        <v>1799</v>
      </c>
      <c r="M816" t="s">
        <v>1799</v>
      </c>
      <c r="N816" t="s">
        <v>1799</v>
      </c>
      <c r="O816" s="184" t="str">
        <f>"["&amp;$C816&amp;"]["&amp;$D816&amp;"]["&amp;$F816&amp;"]"</f>
        <v>[S08_ActivityReportRejectedDetail][4][ActionsTaken]</v>
      </c>
    </row>
    <row r="817" spans="1:15" x14ac:dyDescent="0.3">
      <c r="A817" t="s">
        <v>1793</v>
      </c>
      <c r="B817" t="s">
        <v>2157</v>
      </c>
      <c r="C817" t="s">
        <v>2158</v>
      </c>
      <c r="D817">
        <v>0</v>
      </c>
      <c r="E817" t="s">
        <v>1447</v>
      </c>
      <c r="F817" t="s">
        <v>2158</v>
      </c>
      <c r="G817" t="s">
        <v>1836</v>
      </c>
      <c r="H817" t="s">
        <v>1799</v>
      </c>
      <c r="I817" t="s">
        <v>1799</v>
      </c>
      <c r="J817" t="s">
        <v>1799</v>
      </c>
      <c r="K817" t="s">
        <v>1799</v>
      </c>
      <c r="L817" t="s">
        <v>1447</v>
      </c>
      <c r="M817" t="s">
        <v>1799</v>
      </c>
      <c r="N817" t="s">
        <v>1799</v>
      </c>
      <c r="O817" s="184" t="str">
        <f>"["&amp;$C817&amp;"]["&amp;$D817&amp;"]["&amp;$F817&amp;"]"</f>
        <v>[ActivityLevelVisitsWaived][0][ActivityLevelVisitsWaived]</v>
      </c>
    </row>
    <row r="818" spans="1:15" x14ac:dyDescent="0.3">
      <c r="A818" t="s">
        <v>1793</v>
      </c>
      <c r="B818" t="s">
        <v>2159</v>
      </c>
      <c r="C818" t="s">
        <v>2160</v>
      </c>
      <c r="D818">
        <v>0</v>
      </c>
      <c r="E818" t="s">
        <v>1447</v>
      </c>
      <c r="F818" t="s">
        <v>2160</v>
      </c>
      <c r="G818" t="s">
        <v>1836</v>
      </c>
      <c r="H818" t="s">
        <v>1799</v>
      </c>
      <c r="I818" t="s">
        <v>1799</v>
      </c>
      <c r="J818" t="s">
        <v>1799</v>
      </c>
      <c r="K818" t="s">
        <v>1799</v>
      </c>
      <c r="L818" t="s">
        <v>1447</v>
      </c>
      <c r="M818" t="s">
        <v>1799</v>
      </c>
      <c r="N818" t="s">
        <v>1799</v>
      </c>
      <c r="O818" s="184" t="str">
        <f>"["&amp;$C818&amp;"]["&amp;$D818&amp;"]["&amp;$F818&amp;"]"</f>
        <v>[VirtualVisitsActivityLevel][0][VirtualVisitsActivityLevel]</v>
      </c>
    </row>
    <row r="819" spans="1:15" x14ac:dyDescent="0.3">
      <c r="A819" t="s">
        <v>1793</v>
      </c>
      <c r="B819" t="s">
        <v>2161</v>
      </c>
      <c r="C819" t="s">
        <v>2162</v>
      </c>
      <c r="D819">
        <v>1</v>
      </c>
      <c r="E819" t="s">
        <v>1447</v>
      </c>
      <c r="F819" t="s">
        <v>2163</v>
      </c>
      <c r="G819" t="s">
        <v>1889</v>
      </c>
      <c r="H819" t="s">
        <v>1799</v>
      </c>
      <c r="I819" t="s">
        <v>1799</v>
      </c>
      <c r="J819">
        <v>0</v>
      </c>
      <c r="K819" t="s">
        <v>1799</v>
      </c>
      <c r="L819" t="s">
        <v>1799</v>
      </c>
      <c r="M819" t="s">
        <v>1799</v>
      </c>
      <c r="N819" t="s">
        <v>1799</v>
      </c>
      <c r="O819" s="184" t="str">
        <f>"["&amp;$C819&amp;"]["&amp;$D819&amp;"]["&amp;$F819&amp;"]"</f>
        <v>[S08_PenaltiesAllocation][1][MinFine]</v>
      </c>
    </row>
    <row r="820" spans="1:15" x14ac:dyDescent="0.3">
      <c r="A820" t="s">
        <v>1793</v>
      </c>
      <c r="B820" t="s">
        <v>2161</v>
      </c>
      <c r="C820" t="s">
        <v>2162</v>
      </c>
      <c r="D820">
        <v>2</v>
      </c>
      <c r="E820" t="s">
        <v>1447</v>
      </c>
      <c r="F820" t="s">
        <v>2163</v>
      </c>
      <c r="G820" t="s">
        <v>1889</v>
      </c>
      <c r="H820" t="s">
        <v>1799</v>
      </c>
      <c r="I820" t="s">
        <v>1799</v>
      </c>
      <c r="J820">
        <v>0</v>
      </c>
      <c r="K820" t="s">
        <v>1799</v>
      </c>
      <c r="L820" t="s">
        <v>1799</v>
      </c>
      <c r="M820" t="s">
        <v>1799</v>
      </c>
      <c r="N820" t="s">
        <v>1799</v>
      </c>
      <c r="O820" s="184" t="str">
        <f>"["&amp;$C820&amp;"]["&amp;$D820&amp;"]["&amp;$F820&amp;"]"</f>
        <v>[S08_PenaltiesAllocation][2][MinFine]</v>
      </c>
    </row>
    <row r="821" spans="1:15" x14ac:dyDescent="0.3">
      <c r="A821" t="s">
        <v>1793</v>
      </c>
      <c r="B821" t="s">
        <v>2161</v>
      </c>
      <c r="C821" t="s">
        <v>2162</v>
      </c>
      <c r="D821">
        <v>3</v>
      </c>
      <c r="E821" t="s">
        <v>1447</v>
      </c>
      <c r="F821" t="s">
        <v>2163</v>
      </c>
      <c r="G821" t="s">
        <v>1889</v>
      </c>
      <c r="H821" t="s">
        <v>1799</v>
      </c>
      <c r="I821" t="s">
        <v>1799</v>
      </c>
      <c r="J821">
        <v>0</v>
      </c>
      <c r="K821" t="s">
        <v>1799</v>
      </c>
      <c r="L821" t="s">
        <v>1799</v>
      </c>
      <c r="M821" t="s">
        <v>1799</v>
      </c>
      <c r="N821" t="s">
        <v>1799</v>
      </c>
      <c r="O821" s="184" t="str">
        <f>"["&amp;$C821&amp;"]["&amp;$D821&amp;"]["&amp;$F821&amp;"]"</f>
        <v>[S08_PenaltiesAllocation][3][MinFine]</v>
      </c>
    </row>
    <row r="822" spans="1:15" x14ac:dyDescent="0.3">
      <c r="A822" t="s">
        <v>1793</v>
      </c>
      <c r="B822" t="s">
        <v>2161</v>
      </c>
      <c r="C822" t="s">
        <v>2162</v>
      </c>
      <c r="D822">
        <v>4</v>
      </c>
      <c r="E822" t="s">
        <v>1447</v>
      </c>
      <c r="F822" t="s">
        <v>2163</v>
      </c>
      <c r="G822" t="s">
        <v>1889</v>
      </c>
      <c r="H822" t="s">
        <v>1799</v>
      </c>
      <c r="I822" t="s">
        <v>1799</v>
      </c>
      <c r="J822">
        <v>13270</v>
      </c>
      <c r="K822" t="s">
        <v>1799</v>
      </c>
      <c r="L822" t="s">
        <v>1799</v>
      </c>
      <c r="M822" t="s">
        <v>1799</v>
      </c>
      <c r="N822" t="s">
        <v>1799</v>
      </c>
      <c r="O822" s="184" t="str">
        <f>"["&amp;$C822&amp;"]["&amp;$D822&amp;"]["&amp;$F822&amp;"]"</f>
        <v>[S08_PenaltiesAllocation][4][MinFine]</v>
      </c>
    </row>
    <row r="823" spans="1:15" x14ac:dyDescent="0.3">
      <c r="A823" t="s">
        <v>1793</v>
      </c>
      <c r="B823" t="s">
        <v>2161</v>
      </c>
      <c r="C823" t="s">
        <v>2162</v>
      </c>
      <c r="D823">
        <v>5</v>
      </c>
      <c r="E823" t="s">
        <v>1419</v>
      </c>
      <c r="F823" t="s">
        <v>2163</v>
      </c>
      <c r="G823" t="s">
        <v>1889</v>
      </c>
      <c r="H823" t="s">
        <v>1799</v>
      </c>
      <c r="I823" t="s">
        <v>1799</v>
      </c>
      <c r="J823">
        <v>0</v>
      </c>
      <c r="K823" t="s">
        <v>1799</v>
      </c>
      <c r="L823" t="s">
        <v>1799</v>
      </c>
      <c r="M823" t="s">
        <v>1799</v>
      </c>
      <c r="N823" t="s">
        <v>1799</v>
      </c>
      <c r="O823" s="184" t="str">
        <f>"["&amp;$C823&amp;"]["&amp;$D823&amp;"]["&amp;$F823&amp;"]"</f>
        <v>[S08_PenaltiesAllocation][5][MinFine]</v>
      </c>
    </row>
    <row r="824" spans="1:15" x14ac:dyDescent="0.3">
      <c r="A824" t="s">
        <v>1793</v>
      </c>
      <c r="B824" t="s">
        <v>2161</v>
      </c>
      <c r="C824" t="s">
        <v>2162</v>
      </c>
      <c r="D824">
        <v>1</v>
      </c>
      <c r="E824" t="s">
        <v>1447</v>
      </c>
      <c r="F824" t="s">
        <v>2164</v>
      </c>
      <c r="G824" t="s">
        <v>1889</v>
      </c>
      <c r="H824" t="s">
        <v>1799</v>
      </c>
      <c r="I824" t="s">
        <v>1799</v>
      </c>
      <c r="J824">
        <v>0</v>
      </c>
      <c r="K824" t="s">
        <v>1799</v>
      </c>
      <c r="L824" t="s">
        <v>1799</v>
      </c>
      <c r="M824" t="s">
        <v>1799</v>
      </c>
      <c r="N824" t="s">
        <v>1799</v>
      </c>
      <c r="O824" s="184" t="str">
        <f>"["&amp;$C824&amp;"]["&amp;$D824&amp;"]["&amp;$F824&amp;"]"</f>
        <v>[S08_PenaltiesAllocation][1][MaxFine]</v>
      </c>
    </row>
    <row r="825" spans="1:15" x14ac:dyDescent="0.3">
      <c r="A825" t="s">
        <v>1793</v>
      </c>
      <c r="B825" t="s">
        <v>2161</v>
      </c>
      <c r="C825" t="s">
        <v>2162</v>
      </c>
      <c r="D825">
        <v>2</v>
      </c>
      <c r="E825" t="s">
        <v>1447</v>
      </c>
      <c r="F825" t="s">
        <v>2164</v>
      </c>
      <c r="G825" t="s">
        <v>1889</v>
      </c>
      <c r="H825" t="s">
        <v>1799</v>
      </c>
      <c r="I825" t="s">
        <v>1799</v>
      </c>
      <c r="J825">
        <v>0</v>
      </c>
      <c r="K825" t="s">
        <v>1799</v>
      </c>
      <c r="L825" t="s">
        <v>1799</v>
      </c>
      <c r="M825" t="s">
        <v>1799</v>
      </c>
      <c r="N825" t="s">
        <v>1799</v>
      </c>
      <c r="O825" s="184" t="str">
        <f>"["&amp;$C825&amp;"]["&amp;$D825&amp;"]["&amp;$F825&amp;"]"</f>
        <v>[S08_PenaltiesAllocation][2][MaxFine]</v>
      </c>
    </row>
    <row r="826" spans="1:15" x14ac:dyDescent="0.3">
      <c r="A826" t="s">
        <v>1793</v>
      </c>
      <c r="B826" t="s">
        <v>2161</v>
      </c>
      <c r="C826" t="s">
        <v>2162</v>
      </c>
      <c r="D826">
        <v>3</v>
      </c>
      <c r="E826" t="s">
        <v>1447</v>
      </c>
      <c r="F826" t="s">
        <v>2164</v>
      </c>
      <c r="G826" t="s">
        <v>1889</v>
      </c>
      <c r="H826" t="s">
        <v>1799</v>
      </c>
      <c r="I826" t="s">
        <v>1799</v>
      </c>
      <c r="J826">
        <v>0</v>
      </c>
      <c r="K826" t="s">
        <v>1799</v>
      </c>
      <c r="L826" t="s">
        <v>1799</v>
      </c>
      <c r="M826" t="s">
        <v>1799</v>
      </c>
      <c r="N826" t="s">
        <v>1799</v>
      </c>
      <c r="O826" s="184" t="str">
        <f>"["&amp;$C826&amp;"]["&amp;$D826&amp;"]["&amp;$F826&amp;"]"</f>
        <v>[S08_PenaltiesAllocation][3][MaxFine]</v>
      </c>
    </row>
    <row r="827" spans="1:15" x14ac:dyDescent="0.3">
      <c r="A827" t="s">
        <v>1793</v>
      </c>
      <c r="B827" t="s">
        <v>2161</v>
      </c>
      <c r="C827" t="s">
        <v>2162</v>
      </c>
      <c r="D827">
        <v>4</v>
      </c>
      <c r="E827" t="s">
        <v>1447</v>
      </c>
      <c r="F827" t="s">
        <v>2164</v>
      </c>
      <c r="G827" t="s">
        <v>1889</v>
      </c>
      <c r="H827" t="s">
        <v>1799</v>
      </c>
      <c r="I827" t="s">
        <v>1799</v>
      </c>
      <c r="J827">
        <v>66360</v>
      </c>
      <c r="K827" t="s">
        <v>1799</v>
      </c>
      <c r="L827" t="s">
        <v>1799</v>
      </c>
      <c r="M827" t="s">
        <v>1799</v>
      </c>
      <c r="N827" t="s">
        <v>1799</v>
      </c>
      <c r="O827" s="184" t="str">
        <f>"["&amp;$C827&amp;"]["&amp;$D827&amp;"]["&amp;$F827&amp;"]"</f>
        <v>[S08_PenaltiesAllocation][4][MaxFine]</v>
      </c>
    </row>
    <row r="828" spans="1:15" x14ac:dyDescent="0.3">
      <c r="A828" t="s">
        <v>1793</v>
      </c>
      <c r="B828" t="s">
        <v>2161</v>
      </c>
      <c r="C828" t="s">
        <v>2162</v>
      </c>
      <c r="D828">
        <v>5</v>
      </c>
      <c r="E828" t="s">
        <v>1419</v>
      </c>
      <c r="F828" t="s">
        <v>2164</v>
      </c>
      <c r="G828" t="s">
        <v>1889</v>
      </c>
      <c r="H828" t="s">
        <v>1799</v>
      </c>
      <c r="I828" t="s">
        <v>1799</v>
      </c>
      <c r="J828">
        <v>0</v>
      </c>
      <c r="K828" t="s">
        <v>1799</v>
      </c>
      <c r="L828" t="s">
        <v>1799</v>
      </c>
      <c r="M828" t="s">
        <v>1799</v>
      </c>
      <c r="N828" t="s">
        <v>1799</v>
      </c>
      <c r="O828" s="184" t="str">
        <f>"["&amp;$C828&amp;"]["&amp;$D828&amp;"]["&amp;$F828&amp;"]"</f>
        <v>[S08_PenaltiesAllocation][5][MaxFine]</v>
      </c>
    </row>
    <row r="829" spans="1:15" x14ac:dyDescent="0.3">
      <c r="A829" t="s">
        <v>1793</v>
      </c>
      <c r="B829" t="s">
        <v>2161</v>
      </c>
      <c r="C829" t="s">
        <v>2162</v>
      </c>
      <c r="D829">
        <v>1</v>
      </c>
      <c r="E829" t="s">
        <v>1447</v>
      </c>
      <c r="F829" t="s">
        <v>2165</v>
      </c>
      <c r="G829" t="s">
        <v>1889</v>
      </c>
      <c r="H829" t="s">
        <v>1799</v>
      </c>
      <c r="I829" t="s">
        <v>1799</v>
      </c>
      <c r="J829">
        <v>0</v>
      </c>
      <c r="K829" t="s">
        <v>1799</v>
      </c>
      <c r="L829" t="s">
        <v>1799</v>
      </c>
      <c r="M829" t="s">
        <v>1799</v>
      </c>
      <c r="N829" t="s">
        <v>1799</v>
      </c>
      <c r="O829" s="184" t="str">
        <f>"["&amp;$C829&amp;"]["&amp;$D829&amp;"]["&amp;$F829&amp;"]"</f>
        <v>[S08_PenaltiesAllocation][1][PrisonMin]</v>
      </c>
    </row>
    <row r="830" spans="1:15" x14ac:dyDescent="0.3">
      <c r="A830" t="s">
        <v>1793</v>
      </c>
      <c r="B830" t="s">
        <v>2161</v>
      </c>
      <c r="C830" t="s">
        <v>2162</v>
      </c>
      <c r="D830">
        <v>2</v>
      </c>
      <c r="E830" t="s">
        <v>1447</v>
      </c>
      <c r="F830" t="s">
        <v>2165</v>
      </c>
      <c r="G830" t="s">
        <v>1889</v>
      </c>
      <c r="H830" t="s">
        <v>1799</v>
      </c>
      <c r="I830" t="s">
        <v>1799</v>
      </c>
      <c r="J830">
        <v>0</v>
      </c>
      <c r="K830" t="s">
        <v>1799</v>
      </c>
      <c r="L830" t="s">
        <v>1799</v>
      </c>
      <c r="M830" t="s">
        <v>1799</v>
      </c>
      <c r="N830" t="s">
        <v>1799</v>
      </c>
      <c r="O830" s="184" t="str">
        <f>"["&amp;$C830&amp;"]["&amp;$D830&amp;"]["&amp;$F830&amp;"]"</f>
        <v>[S08_PenaltiesAllocation][2][PrisonMin]</v>
      </c>
    </row>
    <row r="831" spans="1:15" x14ac:dyDescent="0.3">
      <c r="A831" t="s">
        <v>1793</v>
      </c>
      <c r="B831" t="s">
        <v>2161</v>
      </c>
      <c r="C831" t="s">
        <v>2162</v>
      </c>
      <c r="D831">
        <v>3</v>
      </c>
      <c r="E831" t="s">
        <v>1447</v>
      </c>
      <c r="F831" t="s">
        <v>2165</v>
      </c>
      <c r="G831" t="s">
        <v>1889</v>
      </c>
      <c r="H831" t="s">
        <v>1799</v>
      </c>
      <c r="I831" t="s">
        <v>1799</v>
      </c>
      <c r="J831">
        <v>0</v>
      </c>
      <c r="K831" t="s">
        <v>1799</v>
      </c>
      <c r="L831" t="s">
        <v>1799</v>
      </c>
      <c r="M831" t="s">
        <v>1799</v>
      </c>
      <c r="N831" t="s">
        <v>1799</v>
      </c>
      <c r="O831" s="184" t="str">
        <f>"["&amp;$C831&amp;"]["&amp;$D831&amp;"]["&amp;$F831&amp;"]"</f>
        <v>[S08_PenaltiesAllocation][3][PrisonMin]</v>
      </c>
    </row>
    <row r="832" spans="1:15" x14ac:dyDescent="0.3">
      <c r="A832" t="s">
        <v>1793</v>
      </c>
      <c r="B832" t="s">
        <v>2161</v>
      </c>
      <c r="C832" t="s">
        <v>2162</v>
      </c>
      <c r="D832">
        <v>4</v>
      </c>
      <c r="E832" t="s">
        <v>1447</v>
      </c>
      <c r="F832" t="s">
        <v>2165</v>
      </c>
      <c r="G832" t="s">
        <v>1889</v>
      </c>
      <c r="H832" t="s">
        <v>1799</v>
      </c>
      <c r="I832" t="s">
        <v>1799</v>
      </c>
      <c r="J832">
        <v>0</v>
      </c>
      <c r="K832" t="s">
        <v>1799</v>
      </c>
      <c r="L832" t="s">
        <v>1799</v>
      </c>
      <c r="M832" t="s">
        <v>1799</v>
      </c>
      <c r="N832" t="s">
        <v>1799</v>
      </c>
      <c r="O832" s="184" t="str">
        <f>"["&amp;$C832&amp;"]["&amp;$D832&amp;"]["&amp;$F832&amp;"]"</f>
        <v>[S08_PenaltiesAllocation][4][PrisonMin]</v>
      </c>
    </row>
    <row r="833" spans="1:15" x14ac:dyDescent="0.3">
      <c r="A833" t="s">
        <v>1793</v>
      </c>
      <c r="B833" t="s">
        <v>2161</v>
      </c>
      <c r="C833" t="s">
        <v>2162</v>
      </c>
      <c r="D833">
        <v>5</v>
      </c>
      <c r="E833" t="s">
        <v>1419</v>
      </c>
      <c r="F833" t="s">
        <v>2165</v>
      </c>
      <c r="G833" t="s">
        <v>1889</v>
      </c>
      <c r="H833" t="s">
        <v>1799</v>
      </c>
      <c r="I833" t="s">
        <v>1799</v>
      </c>
      <c r="J833">
        <v>0</v>
      </c>
      <c r="K833" t="s">
        <v>1799</v>
      </c>
      <c r="L833" t="s">
        <v>1799</v>
      </c>
      <c r="M833" t="s">
        <v>1799</v>
      </c>
      <c r="N833" t="s">
        <v>1799</v>
      </c>
      <c r="O833" s="184" t="str">
        <f>"["&amp;$C833&amp;"]["&amp;$D833&amp;"]["&amp;$F833&amp;"]"</f>
        <v>[S08_PenaltiesAllocation][5][PrisonMin]</v>
      </c>
    </row>
    <row r="834" spans="1:15" x14ac:dyDescent="0.3">
      <c r="A834" t="s">
        <v>1793</v>
      </c>
      <c r="B834" t="s">
        <v>2161</v>
      </c>
      <c r="C834" t="s">
        <v>2162</v>
      </c>
      <c r="D834">
        <v>1</v>
      </c>
      <c r="E834" t="s">
        <v>1447</v>
      </c>
      <c r="F834" t="s">
        <v>2166</v>
      </c>
      <c r="G834" t="s">
        <v>1889</v>
      </c>
      <c r="H834" t="s">
        <v>1799</v>
      </c>
      <c r="I834" t="s">
        <v>1799</v>
      </c>
      <c r="J834">
        <v>0</v>
      </c>
      <c r="K834" t="s">
        <v>1799</v>
      </c>
      <c r="L834" t="s">
        <v>1799</v>
      </c>
      <c r="M834" t="s">
        <v>1799</v>
      </c>
      <c r="N834" t="s">
        <v>1799</v>
      </c>
      <c r="O834" s="184" t="str">
        <f>"["&amp;$C834&amp;"]["&amp;$D834&amp;"]["&amp;$F834&amp;"]"</f>
        <v>[S08_PenaltiesAllocation][1][PrisonMax]</v>
      </c>
    </row>
    <row r="835" spans="1:15" x14ac:dyDescent="0.3">
      <c r="A835" t="s">
        <v>1793</v>
      </c>
      <c r="B835" t="s">
        <v>2161</v>
      </c>
      <c r="C835" t="s">
        <v>2162</v>
      </c>
      <c r="D835">
        <v>2</v>
      </c>
      <c r="E835" t="s">
        <v>1447</v>
      </c>
      <c r="F835" t="s">
        <v>2166</v>
      </c>
      <c r="G835" t="s">
        <v>1889</v>
      </c>
      <c r="H835" t="s">
        <v>1799</v>
      </c>
      <c r="I835" t="s">
        <v>1799</v>
      </c>
      <c r="J835">
        <v>0</v>
      </c>
      <c r="K835" t="s">
        <v>1799</v>
      </c>
      <c r="L835" t="s">
        <v>1799</v>
      </c>
      <c r="M835" t="s">
        <v>1799</v>
      </c>
      <c r="N835" t="s">
        <v>1799</v>
      </c>
      <c r="O835" s="184" t="str">
        <f>"["&amp;$C835&amp;"]["&amp;$D835&amp;"]["&amp;$F835&amp;"]"</f>
        <v>[S08_PenaltiesAllocation][2][PrisonMax]</v>
      </c>
    </row>
    <row r="836" spans="1:15" x14ac:dyDescent="0.3">
      <c r="A836" t="s">
        <v>1793</v>
      </c>
      <c r="B836" t="s">
        <v>2161</v>
      </c>
      <c r="C836" t="s">
        <v>2162</v>
      </c>
      <c r="D836">
        <v>3</v>
      </c>
      <c r="E836" t="s">
        <v>1447</v>
      </c>
      <c r="F836" t="s">
        <v>2166</v>
      </c>
      <c r="G836" t="s">
        <v>1889</v>
      </c>
      <c r="H836" t="s">
        <v>1799</v>
      </c>
      <c r="I836" t="s">
        <v>1799</v>
      </c>
      <c r="J836">
        <v>0</v>
      </c>
      <c r="K836" t="s">
        <v>1799</v>
      </c>
      <c r="L836" t="s">
        <v>1799</v>
      </c>
      <c r="M836" t="s">
        <v>1799</v>
      </c>
      <c r="N836" t="s">
        <v>1799</v>
      </c>
      <c r="O836" s="184" t="str">
        <f>"["&amp;$C836&amp;"]["&amp;$D836&amp;"]["&amp;$F836&amp;"]"</f>
        <v>[S08_PenaltiesAllocation][3][PrisonMax]</v>
      </c>
    </row>
    <row r="837" spans="1:15" x14ac:dyDescent="0.3">
      <c r="A837" t="s">
        <v>1793</v>
      </c>
      <c r="B837" t="s">
        <v>2161</v>
      </c>
      <c r="C837" t="s">
        <v>2162</v>
      </c>
      <c r="D837">
        <v>4</v>
      </c>
      <c r="E837" t="s">
        <v>1447</v>
      </c>
      <c r="F837" t="s">
        <v>2166</v>
      </c>
      <c r="G837" t="s">
        <v>1889</v>
      </c>
      <c r="H837" t="s">
        <v>1799</v>
      </c>
      <c r="I837" t="s">
        <v>1799</v>
      </c>
      <c r="J837">
        <v>0</v>
      </c>
      <c r="K837" t="s">
        <v>1799</v>
      </c>
      <c r="L837" t="s">
        <v>1799</v>
      </c>
      <c r="M837" t="s">
        <v>1799</v>
      </c>
      <c r="N837" t="s">
        <v>1799</v>
      </c>
      <c r="O837" s="184" t="str">
        <f>"["&amp;$C837&amp;"]["&amp;$D837&amp;"]["&amp;$F837&amp;"]"</f>
        <v>[S08_PenaltiesAllocation][4][PrisonMax]</v>
      </c>
    </row>
    <row r="838" spans="1:15" x14ac:dyDescent="0.3">
      <c r="A838" t="s">
        <v>1793</v>
      </c>
      <c r="B838" t="s">
        <v>2161</v>
      </c>
      <c r="C838" t="s">
        <v>2162</v>
      </c>
      <c r="D838">
        <v>5</v>
      </c>
      <c r="E838" t="s">
        <v>1419</v>
      </c>
      <c r="F838" t="s">
        <v>2166</v>
      </c>
      <c r="G838" t="s">
        <v>1889</v>
      </c>
      <c r="H838" t="s">
        <v>1799</v>
      </c>
      <c r="I838" t="s">
        <v>1799</v>
      </c>
      <c r="J838">
        <v>0</v>
      </c>
      <c r="K838" t="s">
        <v>1799</v>
      </c>
      <c r="L838" t="s">
        <v>1799</v>
      </c>
      <c r="M838" t="s">
        <v>1799</v>
      </c>
      <c r="N838" t="s">
        <v>1799</v>
      </c>
      <c r="O838" s="184" t="str">
        <f>"["&amp;$C838&amp;"]["&amp;$D838&amp;"]["&amp;$F838&amp;"]"</f>
        <v>[S08_PenaltiesAllocation][5][PrisonMax]</v>
      </c>
    </row>
    <row r="839" spans="1:15" x14ac:dyDescent="0.3">
      <c r="A839" t="s">
        <v>1793</v>
      </c>
      <c r="B839" t="s">
        <v>2167</v>
      </c>
      <c r="C839" t="s">
        <v>2168</v>
      </c>
      <c r="D839">
        <v>1</v>
      </c>
      <c r="E839" t="s">
        <v>1447</v>
      </c>
      <c r="F839" t="s">
        <v>2169</v>
      </c>
      <c r="G839" t="s">
        <v>1889</v>
      </c>
      <c r="H839" t="s">
        <v>1799</v>
      </c>
      <c r="I839" t="s">
        <v>1799</v>
      </c>
      <c r="J839">
        <v>0</v>
      </c>
      <c r="K839" t="s">
        <v>1799</v>
      </c>
      <c r="L839" t="s">
        <v>1799</v>
      </c>
      <c r="M839" t="s">
        <v>1799</v>
      </c>
      <c r="N839" t="s">
        <v>1799</v>
      </c>
      <c r="O839" s="184" t="str">
        <f>"["&amp;$C839&amp;"]["&amp;$D839&amp;"]["&amp;$F839&amp;"]"</f>
        <v>[S08_InfringementsIncurredAllocation][1][ActualFines]</v>
      </c>
    </row>
    <row r="840" spans="1:15" x14ac:dyDescent="0.3">
      <c r="A840" t="s">
        <v>1793</v>
      </c>
      <c r="B840" t="s">
        <v>2167</v>
      </c>
      <c r="C840" t="s">
        <v>2168</v>
      </c>
      <c r="D840">
        <v>2</v>
      </c>
      <c r="E840" t="s">
        <v>1447</v>
      </c>
      <c r="F840" t="s">
        <v>2169</v>
      </c>
      <c r="G840" t="s">
        <v>1889</v>
      </c>
      <c r="H840" t="s">
        <v>1799</v>
      </c>
      <c r="I840" t="s">
        <v>1799</v>
      </c>
      <c r="J840">
        <v>0</v>
      </c>
      <c r="K840" t="s">
        <v>1799</v>
      </c>
      <c r="L840" t="s">
        <v>1799</v>
      </c>
      <c r="M840" t="s">
        <v>1799</v>
      </c>
      <c r="N840" t="s">
        <v>1799</v>
      </c>
      <c r="O840" s="184" t="str">
        <f>"["&amp;$C840&amp;"]["&amp;$D840&amp;"]["&amp;$F840&amp;"]"</f>
        <v>[S08_InfringementsIncurredAllocation][2][ActualFines]</v>
      </c>
    </row>
    <row r="841" spans="1:15" x14ac:dyDescent="0.3">
      <c r="A841" t="s">
        <v>1793</v>
      </c>
      <c r="B841" t="s">
        <v>2167</v>
      </c>
      <c r="C841" t="s">
        <v>2168</v>
      </c>
      <c r="D841">
        <v>3</v>
      </c>
      <c r="E841" t="s">
        <v>1447</v>
      </c>
      <c r="F841" t="s">
        <v>2169</v>
      </c>
      <c r="G841" t="s">
        <v>1889</v>
      </c>
      <c r="H841" t="s">
        <v>1799</v>
      </c>
      <c r="I841" t="s">
        <v>1799</v>
      </c>
      <c r="J841">
        <v>0</v>
      </c>
      <c r="K841" t="s">
        <v>1799</v>
      </c>
      <c r="L841" t="s">
        <v>1799</v>
      </c>
      <c r="M841" t="s">
        <v>1799</v>
      </c>
      <c r="N841" t="s">
        <v>1799</v>
      </c>
      <c r="O841" s="184" t="str">
        <f>"["&amp;$C841&amp;"]["&amp;$D841&amp;"]["&amp;$F841&amp;"]"</f>
        <v>[S08_InfringementsIncurredAllocation][3][ActualFines]</v>
      </c>
    </row>
    <row r="842" spans="1:15" x14ac:dyDescent="0.3">
      <c r="A842" t="s">
        <v>1793</v>
      </c>
      <c r="B842" t="s">
        <v>2167</v>
      </c>
      <c r="C842" t="s">
        <v>2168</v>
      </c>
      <c r="D842">
        <v>4</v>
      </c>
      <c r="E842" t="s">
        <v>1447</v>
      </c>
      <c r="F842" t="s">
        <v>2169</v>
      </c>
      <c r="G842" t="s">
        <v>1889</v>
      </c>
      <c r="H842" t="s">
        <v>1799</v>
      </c>
      <c r="I842" t="s">
        <v>1799</v>
      </c>
      <c r="J842">
        <v>0</v>
      </c>
      <c r="K842" t="s">
        <v>1799</v>
      </c>
      <c r="L842" t="s">
        <v>1799</v>
      </c>
      <c r="M842" t="s">
        <v>1799</v>
      </c>
      <c r="N842" t="s">
        <v>1799</v>
      </c>
      <c r="O842" s="184" t="str">
        <f>"["&amp;$C842&amp;"]["&amp;$D842&amp;"]["&amp;$F842&amp;"]"</f>
        <v>[S08_InfringementsIncurredAllocation][4][ActualFines]</v>
      </c>
    </row>
    <row r="843" spans="1:15" x14ac:dyDescent="0.3">
      <c r="A843" t="s">
        <v>1793</v>
      </c>
      <c r="B843" t="s">
        <v>2167</v>
      </c>
      <c r="C843" t="s">
        <v>2168</v>
      </c>
      <c r="D843">
        <v>5</v>
      </c>
      <c r="E843" t="s">
        <v>1447</v>
      </c>
      <c r="F843" t="s">
        <v>2169</v>
      </c>
      <c r="G843" t="s">
        <v>1889</v>
      </c>
      <c r="H843" t="s">
        <v>1799</v>
      </c>
      <c r="I843" t="s">
        <v>1799</v>
      </c>
      <c r="J843">
        <v>0</v>
      </c>
      <c r="K843" t="s">
        <v>1799</v>
      </c>
      <c r="L843" t="s">
        <v>1799</v>
      </c>
      <c r="M843" t="s">
        <v>1799</v>
      </c>
      <c r="N843" t="s">
        <v>1799</v>
      </c>
      <c r="O843" s="184" t="str">
        <f>"["&amp;$C843&amp;"]["&amp;$D843&amp;"]["&amp;$F843&amp;"]"</f>
        <v>[S08_InfringementsIncurredAllocation][5][ActualFines]</v>
      </c>
    </row>
    <row r="844" spans="1:15" x14ac:dyDescent="0.3">
      <c r="A844" t="s">
        <v>1793</v>
      </c>
      <c r="B844" t="s">
        <v>2167</v>
      </c>
      <c r="C844" t="s">
        <v>2168</v>
      </c>
      <c r="D844">
        <v>1</v>
      </c>
      <c r="E844" t="s">
        <v>1447</v>
      </c>
      <c r="F844" t="s">
        <v>2170</v>
      </c>
      <c r="G844" t="s">
        <v>1889</v>
      </c>
      <c r="H844" t="s">
        <v>1799</v>
      </c>
      <c r="I844" t="s">
        <v>1799</v>
      </c>
      <c r="J844">
        <v>0</v>
      </c>
      <c r="K844" t="s">
        <v>1799</v>
      </c>
      <c r="L844" t="s">
        <v>1799</v>
      </c>
      <c r="M844" t="s">
        <v>1799</v>
      </c>
      <c r="N844" t="s">
        <v>1799</v>
      </c>
      <c r="O844" s="184" t="str">
        <f>"["&amp;$C844&amp;"]["&amp;$D844&amp;"]["&amp;$F844&amp;"]"</f>
        <v>[S08_InfringementsIncurredAllocation][1][ActualImprisonment]</v>
      </c>
    </row>
    <row r="845" spans="1:15" x14ac:dyDescent="0.3">
      <c r="A845" t="s">
        <v>1793</v>
      </c>
      <c r="B845" t="s">
        <v>2167</v>
      </c>
      <c r="C845" t="s">
        <v>2168</v>
      </c>
      <c r="D845">
        <v>2</v>
      </c>
      <c r="E845" t="s">
        <v>1447</v>
      </c>
      <c r="F845" t="s">
        <v>2170</v>
      </c>
      <c r="G845" t="s">
        <v>1889</v>
      </c>
      <c r="H845" t="s">
        <v>1799</v>
      </c>
      <c r="I845" t="s">
        <v>1799</v>
      </c>
      <c r="J845">
        <v>0</v>
      </c>
      <c r="K845" t="s">
        <v>1799</v>
      </c>
      <c r="L845" t="s">
        <v>1799</v>
      </c>
      <c r="M845" t="s">
        <v>1799</v>
      </c>
      <c r="N845" t="s">
        <v>1799</v>
      </c>
      <c r="O845" s="184" t="str">
        <f>"["&amp;$C845&amp;"]["&amp;$D845&amp;"]["&amp;$F845&amp;"]"</f>
        <v>[S08_InfringementsIncurredAllocation][2][ActualImprisonment]</v>
      </c>
    </row>
    <row r="846" spans="1:15" x14ac:dyDescent="0.3">
      <c r="A846" t="s">
        <v>1793</v>
      </c>
      <c r="B846" t="s">
        <v>2167</v>
      </c>
      <c r="C846" t="s">
        <v>2168</v>
      </c>
      <c r="D846">
        <v>3</v>
      </c>
      <c r="E846" t="s">
        <v>1447</v>
      </c>
      <c r="F846" t="s">
        <v>2170</v>
      </c>
      <c r="G846" t="s">
        <v>1889</v>
      </c>
      <c r="H846" t="s">
        <v>1799</v>
      </c>
      <c r="I846" t="s">
        <v>1799</v>
      </c>
      <c r="J846">
        <v>0</v>
      </c>
      <c r="K846" t="s">
        <v>1799</v>
      </c>
      <c r="L846" t="s">
        <v>1799</v>
      </c>
      <c r="M846" t="s">
        <v>1799</v>
      </c>
      <c r="N846" t="s">
        <v>1799</v>
      </c>
      <c r="O846" s="184" t="str">
        <f>"["&amp;$C846&amp;"]["&amp;$D846&amp;"]["&amp;$F846&amp;"]"</f>
        <v>[S08_InfringementsIncurredAllocation][3][ActualImprisonment]</v>
      </c>
    </row>
    <row r="847" spans="1:15" x14ac:dyDescent="0.3">
      <c r="A847" t="s">
        <v>1793</v>
      </c>
      <c r="B847" t="s">
        <v>2167</v>
      </c>
      <c r="C847" t="s">
        <v>2168</v>
      </c>
      <c r="D847">
        <v>4</v>
      </c>
      <c r="E847" t="s">
        <v>1447</v>
      </c>
      <c r="F847" t="s">
        <v>2170</v>
      </c>
      <c r="G847" t="s">
        <v>1889</v>
      </c>
      <c r="H847" t="s">
        <v>1799</v>
      </c>
      <c r="I847" t="s">
        <v>1799</v>
      </c>
      <c r="J847">
        <v>0</v>
      </c>
      <c r="K847" t="s">
        <v>1799</v>
      </c>
      <c r="L847" t="s">
        <v>1799</v>
      </c>
      <c r="M847" t="s">
        <v>1799</v>
      </c>
      <c r="N847" t="s">
        <v>1799</v>
      </c>
      <c r="O847" s="184" t="str">
        <f>"["&amp;$C847&amp;"]["&amp;$D847&amp;"]["&amp;$F847&amp;"]"</f>
        <v>[S08_InfringementsIncurredAllocation][4][ActualImprisonment]</v>
      </c>
    </row>
    <row r="848" spans="1:15" x14ac:dyDescent="0.3">
      <c r="A848" t="s">
        <v>1793</v>
      </c>
      <c r="B848" t="s">
        <v>2167</v>
      </c>
      <c r="C848" t="s">
        <v>2168</v>
      </c>
      <c r="D848">
        <v>5</v>
      </c>
      <c r="E848" t="s">
        <v>1447</v>
      </c>
      <c r="F848" t="s">
        <v>2170</v>
      </c>
      <c r="G848" t="s">
        <v>1889</v>
      </c>
      <c r="H848" t="s">
        <v>1799</v>
      </c>
      <c r="I848" t="s">
        <v>1799</v>
      </c>
      <c r="J848">
        <v>0</v>
      </c>
      <c r="K848" t="s">
        <v>1799</v>
      </c>
      <c r="L848" t="s">
        <v>1799</v>
      </c>
      <c r="M848" t="s">
        <v>1799</v>
      </c>
      <c r="N848" t="s">
        <v>1799</v>
      </c>
      <c r="O848" s="184" t="str">
        <f>"["&amp;$C848&amp;"]["&amp;$D848&amp;"]["&amp;$F848&amp;"]"</f>
        <v>[S08_InfringementsIncurredAllocation][5][ActualImprisonment]</v>
      </c>
    </row>
    <row r="849" spans="1:15" x14ac:dyDescent="0.3">
      <c r="A849" t="s">
        <v>1793</v>
      </c>
      <c r="B849" t="s">
        <v>2171</v>
      </c>
      <c r="C849" t="s">
        <v>2172</v>
      </c>
      <c r="D849">
        <v>0</v>
      </c>
      <c r="E849" t="s">
        <v>1447</v>
      </c>
      <c r="F849" t="s">
        <v>2172</v>
      </c>
      <c r="G849" t="s">
        <v>1836</v>
      </c>
      <c r="H849" t="s">
        <v>1799</v>
      </c>
      <c r="I849" t="s">
        <v>1799</v>
      </c>
      <c r="J849" t="s">
        <v>1799</v>
      </c>
      <c r="K849" t="s">
        <v>1799</v>
      </c>
      <c r="L849" t="s">
        <v>1419</v>
      </c>
      <c r="M849" t="s">
        <v>1799</v>
      </c>
      <c r="N849" t="s">
        <v>1799</v>
      </c>
      <c r="O849" s="184" t="str">
        <f>"["&amp;$C849&amp;"]["&amp;$D849&amp;"]["&amp;$F849&amp;"]"</f>
        <v>[InstallationOperatorFees][0][InstallationOperatorFees]</v>
      </c>
    </row>
    <row r="850" spans="1:15" x14ac:dyDescent="0.3">
      <c r="A850" t="s">
        <v>1793</v>
      </c>
      <c r="B850" t="s">
        <v>2171</v>
      </c>
      <c r="C850" t="s">
        <v>2173</v>
      </c>
      <c r="D850">
        <v>1</v>
      </c>
      <c r="E850" t="s">
        <v>1447</v>
      </c>
      <c r="F850" t="s">
        <v>2174</v>
      </c>
      <c r="G850" t="s">
        <v>1889</v>
      </c>
      <c r="H850" t="s">
        <v>1799</v>
      </c>
      <c r="I850" t="s">
        <v>1799</v>
      </c>
      <c r="J850">
        <v>5</v>
      </c>
      <c r="K850" t="s">
        <v>1799</v>
      </c>
      <c r="L850" t="s">
        <v>1799</v>
      </c>
      <c r="M850" t="s">
        <v>1799</v>
      </c>
      <c r="N850" t="s">
        <v>1799</v>
      </c>
      <c r="O850" s="184" t="str">
        <f>"["&amp;$C850&amp;"]["&amp;$D850&amp;"]["&amp;$F850&amp;"]"</f>
        <v>[S09_InstallationOperatorFeesPermits][1][FeesAmount]</v>
      </c>
    </row>
    <row r="851" spans="1:15" x14ac:dyDescent="0.3">
      <c r="A851" t="s">
        <v>1793</v>
      </c>
      <c r="B851" t="s">
        <v>2171</v>
      </c>
      <c r="C851" t="s">
        <v>2173</v>
      </c>
      <c r="D851">
        <v>2</v>
      </c>
      <c r="E851" t="s">
        <v>1447</v>
      </c>
      <c r="F851" t="s">
        <v>2174</v>
      </c>
      <c r="G851" t="s">
        <v>1889</v>
      </c>
      <c r="H851" t="s">
        <v>1799</v>
      </c>
      <c r="I851" t="s">
        <v>1799</v>
      </c>
      <c r="J851">
        <v>5</v>
      </c>
      <c r="K851" t="s">
        <v>1799</v>
      </c>
      <c r="L851" t="s">
        <v>1799</v>
      </c>
      <c r="M851" t="s">
        <v>1799</v>
      </c>
      <c r="N851" t="s">
        <v>1799</v>
      </c>
      <c r="O851" s="184" t="str">
        <f>"["&amp;$C851&amp;"]["&amp;$D851&amp;"]["&amp;$F851&amp;"]"</f>
        <v>[S09_InstallationOperatorFeesPermits][2][FeesAmount]</v>
      </c>
    </row>
    <row r="852" spans="1:15" x14ac:dyDescent="0.3">
      <c r="A852" t="s">
        <v>1793</v>
      </c>
      <c r="B852" t="s">
        <v>2171</v>
      </c>
      <c r="C852" t="s">
        <v>2173</v>
      </c>
      <c r="D852">
        <v>3</v>
      </c>
      <c r="E852" t="s">
        <v>1447</v>
      </c>
      <c r="F852" t="s">
        <v>2174</v>
      </c>
      <c r="G852" t="s">
        <v>1889</v>
      </c>
      <c r="H852" t="s">
        <v>1799</v>
      </c>
      <c r="I852" t="s">
        <v>1799</v>
      </c>
      <c r="J852">
        <v>5</v>
      </c>
      <c r="K852" t="s">
        <v>1799</v>
      </c>
      <c r="L852" t="s">
        <v>1799</v>
      </c>
      <c r="M852" t="s">
        <v>1799</v>
      </c>
      <c r="N852" t="s">
        <v>1799</v>
      </c>
      <c r="O852" s="184" t="str">
        <f>"["&amp;$C852&amp;"]["&amp;$D852&amp;"]["&amp;$F852&amp;"]"</f>
        <v>[S09_InstallationOperatorFeesPermits][3][FeesAmount]</v>
      </c>
    </row>
    <row r="853" spans="1:15" x14ac:dyDescent="0.3">
      <c r="A853" t="s">
        <v>1793</v>
      </c>
      <c r="B853" t="s">
        <v>2171</v>
      </c>
      <c r="C853" t="s">
        <v>2173</v>
      </c>
      <c r="D853">
        <v>4</v>
      </c>
      <c r="E853" t="s">
        <v>1447</v>
      </c>
      <c r="F853" t="s">
        <v>2174</v>
      </c>
      <c r="G853" t="s">
        <v>1889</v>
      </c>
      <c r="H853" t="s">
        <v>1799</v>
      </c>
      <c r="I853" t="s">
        <v>1799</v>
      </c>
      <c r="J853">
        <v>0</v>
      </c>
      <c r="K853" t="s">
        <v>1799</v>
      </c>
      <c r="L853" t="s">
        <v>1799</v>
      </c>
      <c r="M853" t="s">
        <v>1799</v>
      </c>
      <c r="N853" t="s">
        <v>1799</v>
      </c>
      <c r="O853" s="184" t="str">
        <f>"["&amp;$C853&amp;"]["&amp;$D853&amp;"]["&amp;$F853&amp;"]"</f>
        <v>[S09_InstallationOperatorFeesPermits][4][FeesAmount]</v>
      </c>
    </row>
    <row r="854" spans="1:15" x14ac:dyDescent="0.3">
      <c r="A854" t="s">
        <v>1793</v>
      </c>
      <c r="B854" t="s">
        <v>2171</v>
      </c>
      <c r="C854" t="s">
        <v>2173</v>
      </c>
      <c r="D854">
        <v>5</v>
      </c>
      <c r="E854" t="s">
        <v>1447</v>
      </c>
      <c r="F854" t="s">
        <v>2174</v>
      </c>
      <c r="G854" t="s">
        <v>1889</v>
      </c>
      <c r="H854" t="s">
        <v>1799</v>
      </c>
      <c r="I854" t="s">
        <v>1799</v>
      </c>
      <c r="J854">
        <v>5</v>
      </c>
      <c r="K854" t="s">
        <v>1799</v>
      </c>
      <c r="L854" t="s">
        <v>1799</v>
      </c>
      <c r="M854" t="s">
        <v>1799</v>
      </c>
      <c r="N854" t="s">
        <v>1799</v>
      </c>
      <c r="O854" s="184" t="str">
        <f>"["&amp;$C854&amp;"]["&amp;$D854&amp;"]["&amp;$F854&amp;"]"</f>
        <v>[S09_InstallationOperatorFeesPermits][5][FeesAmount]</v>
      </c>
    </row>
    <row r="855" spans="1:15" x14ac:dyDescent="0.3">
      <c r="A855" t="s">
        <v>1793</v>
      </c>
      <c r="B855" t="s">
        <v>2171</v>
      </c>
      <c r="C855" t="s">
        <v>2175</v>
      </c>
      <c r="D855">
        <v>1</v>
      </c>
      <c r="E855" t="s">
        <v>1447</v>
      </c>
      <c r="F855" t="s">
        <v>2174</v>
      </c>
      <c r="G855" t="s">
        <v>1889</v>
      </c>
      <c r="H855" t="s">
        <v>1799</v>
      </c>
      <c r="I855" t="s">
        <v>1799</v>
      </c>
      <c r="J855">
        <v>0</v>
      </c>
      <c r="K855" t="s">
        <v>1799</v>
      </c>
      <c r="L855" t="s">
        <v>1799</v>
      </c>
      <c r="M855" t="s">
        <v>1799</v>
      </c>
      <c r="N855" t="s">
        <v>1799</v>
      </c>
      <c r="O855" s="184" t="str">
        <f>"["&amp;$C855&amp;"]["&amp;$D855&amp;"]["&amp;$F855&amp;"]"</f>
        <v>[S09_InstallationOperatorFeesSubsistence][1][FeesAmount]</v>
      </c>
    </row>
    <row r="856" spans="1:15" x14ac:dyDescent="0.3">
      <c r="A856" t="s">
        <v>1793</v>
      </c>
      <c r="B856" t="s">
        <v>2171</v>
      </c>
      <c r="C856" t="s">
        <v>2175</v>
      </c>
      <c r="D856">
        <v>2</v>
      </c>
      <c r="E856" t="s">
        <v>1419</v>
      </c>
      <c r="F856" t="s">
        <v>2174</v>
      </c>
      <c r="G856" t="s">
        <v>1889</v>
      </c>
      <c r="H856" t="s">
        <v>1799</v>
      </c>
      <c r="I856" t="s">
        <v>1799</v>
      </c>
      <c r="J856">
        <v>0</v>
      </c>
      <c r="K856" t="s">
        <v>1799</v>
      </c>
      <c r="L856" t="s">
        <v>1799</v>
      </c>
      <c r="M856" t="s">
        <v>1799</v>
      </c>
      <c r="N856" t="s">
        <v>1799</v>
      </c>
      <c r="O856" s="184" t="str">
        <f>"["&amp;$C856&amp;"]["&amp;$D856&amp;"]["&amp;$F856&amp;"]"</f>
        <v>[S09_InstallationOperatorFeesSubsistence][2][FeesAmount]</v>
      </c>
    </row>
    <row r="857" spans="1:15" x14ac:dyDescent="0.3">
      <c r="A857" t="s">
        <v>1793</v>
      </c>
      <c r="B857" t="s">
        <v>2176</v>
      </c>
      <c r="C857" t="s">
        <v>2177</v>
      </c>
      <c r="D857">
        <v>0</v>
      </c>
      <c r="E857" t="s">
        <v>1447</v>
      </c>
      <c r="F857" t="s">
        <v>2177</v>
      </c>
      <c r="G857" t="s">
        <v>1836</v>
      </c>
      <c r="H857" t="s">
        <v>1799</v>
      </c>
      <c r="I857" t="s">
        <v>1799</v>
      </c>
      <c r="J857" t="s">
        <v>1799</v>
      </c>
      <c r="K857" t="s">
        <v>1799</v>
      </c>
      <c r="L857" t="s">
        <v>1419</v>
      </c>
      <c r="M857" t="s">
        <v>1799</v>
      </c>
      <c r="N857" t="s">
        <v>1799</v>
      </c>
      <c r="O857" s="184" t="str">
        <f>"["&amp;$C857&amp;"]["&amp;$D857&amp;"]["&amp;$F857&amp;"]"</f>
        <v>[AircraftOperatorFees][0][AircraftOperatorFees]</v>
      </c>
    </row>
    <row r="858" spans="1:15" x14ac:dyDescent="0.3">
      <c r="A858" t="s">
        <v>1793</v>
      </c>
      <c r="B858" t="s">
        <v>2176</v>
      </c>
      <c r="C858" t="s">
        <v>2178</v>
      </c>
      <c r="D858">
        <v>1</v>
      </c>
      <c r="E858" t="s">
        <v>1447</v>
      </c>
      <c r="F858" t="s">
        <v>2174</v>
      </c>
      <c r="G858" t="s">
        <v>1889</v>
      </c>
      <c r="H858" t="s">
        <v>1799</v>
      </c>
      <c r="I858" t="s">
        <v>1799</v>
      </c>
      <c r="J858">
        <v>5</v>
      </c>
      <c r="K858" t="s">
        <v>1799</v>
      </c>
      <c r="L858" t="s">
        <v>1799</v>
      </c>
      <c r="M858" t="s">
        <v>1799</v>
      </c>
      <c r="N858" t="s">
        <v>1799</v>
      </c>
      <c r="O858" s="184" t="str">
        <f>"["&amp;$C858&amp;"]["&amp;$D858&amp;"]["&amp;$F858&amp;"]"</f>
        <v>[S09_AircraftOperatorFeesMonitoringPlans][1][FeesAmount]</v>
      </c>
    </row>
    <row r="859" spans="1:15" x14ac:dyDescent="0.3">
      <c r="A859" t="s">
        <v>1793</v>
      </c>
      <c r="B859" t="s">
        <v>2176</v>
      </c>
      <c r="C859" t="s">
        <v>2178</v>
      </c>
      <c r="D859">
        <v>2</v>
      </c>
      <c r="E859" t="s">
        <v>1447</v>
      </c>
      <c r="F859" t="s">
        <v>2174</v>
      </c>
      <c r="G859" t="s">
        <v>1889</v>
      </c>
      <c r="H859" t="s">
        <v>1799</v>
      </c>
      <c r="I859" t="s">
        <v>1799</v>
      </c>
      <c r="J859">
        <v>5</v>
      </c>
      <c r="K859" t="s">
        <v>1799</v>
      </c>
      <c r="L859" t="s">
        <v>1799</v>
      </c>
      <c r="M859" t="s">
        <v>1799</v>
      </c>
      <c r="N859" t="s">
        <v>1799</v>
      </c>
      <c r="O859" s="184" t="str">
        <f>"["&amp;$C859&amp;"]["&amp;$D859&amp;"]["&amp;$F859&amp;"]"</f>
        <v>[S09_AircraftOperatorFeesMonitoringPlans][2][FeesAmount]</v>
      </c>
    </row>
    <row r="860" spans="1:15" x14ac:dyDescent="0.3">
      <c r="A860" t="s">
        <v>1793</v>
      </c>
      <c r="B860" t="s">
        <v>2176</v>
      </c>
      <c r="C860" t="s">
        <v>2178</v>
      </c>
      <c r="D860">
        <v>3</v>
      </c>
      <c r="E860" t="s">
        <v>1447</v>
      </c>
      <c r="F860" t="s">
        <v>2174</v>
      </c>
      <c r="G860" t="s">
        <v>1889</v>
      </c>
      <c r="H860" t="s">
        <v>1799</v>
      </c>
      <c r="I860" t="s">
        <v>1799</v>
      </c>
      <c r="J860">
        <v>0</v>
      </c>
      <c r="K860" t="s">
        <v>1799</v>
      </c>
      <c r="L860" t="s">
        <v>1799</v>
      </c>
      <c r="M860" t="s">
        <v>1799</v>
      </c>
      <c r="N860" t="s">
        <v>1799</v>
      </c>
      <c r="O860" s="184" t="str">
        <f>"["&amp;$C860&amp;"]["&amp;$D860&amp;"]["&amp;$F860&amp;"]"</f>
        <v>[S09_AircraftOperatorFeesMonitoringPlans][3][FeesAmount]</v>
      </c>
    </row>
    <row r="861" spans="1:15" x14ac:dyDescent="0.3">
      <c r="A861" t="s">
        <v>1793</v>
      </c>
      <c r="B861" t="s">
        <v>2176</v>
      </c>
      <c r="C861" t="s">
        <v>2178</v>
      </c>
      <c r="D861">
        <v>4</v>
      </c>
      <c r="E861" t="s">
        <v>1447</v>
      </c>
      <c r="F861" t="s">
        <v>2174</v>
      </c>
      <c r="G861" t="s">
        <v>1889</v>
      </c>
      <c r="H861" t="s">
        <v>1799</v>
      </c>
      <c r="I861" t="s">
        <v>1799</v>
      </c>
      <c r="J861">
        <v>0</v>
      </c>
      <c r="K861" t="s">
        <v>1799</v>
      </c>
      <c r="L861" t="s">
        <v>1799</v>
      </c>
      <c r="M861" t="s">
        <v>1799</v>
      </c>
      <c r="N861" t="s">
        <v>1799</v>
      </c>
      <c r="O861" s="184" t="str">
        <f>"["&amp;$C861&amp;"]["&amp;$D861&amp;"]["&amp;$F861&amp;"]"</f>
        <v>[S09_AircraftOperatorFeesMonitoringPlans][4][FeesAmount]</v>
      </c>
    </row>
    <row r="862" spans="1:15" x14ac:dyDescent="0.3">
      <c r="A862" t="s">
        <v>1793</v>
      </c>
      <c r="B862" t="s">
        <v>2176</v>
      </c>
      <c r="C862" t="s">
        <v>2178</v>
      </c>
      <c r="D862">
        <v>5</v>
      </c>
      <c r="E862" t="s">
        <v>1447</v>
      </c>
      <c r="F862" t="s">
        <v>2174</v>
      </c>
      <c r="G862" t="s">
        <v>1889</v>
      </c>
      <c r="H862" t="s">
        <v>1799</v>
      </c>
      <c r="I862" t="s">
        <v>1799</v>
      </c>
      <c r="J862">
        <v>5</v>
      </c>
      <c r="K862" t="s">
        <v>1799</v>
      </c>
      <c r="L862" t="s">
        <v>1799</v>
      </c>
      <c r="M862" t="s">
        <v>1799</v>
      </c>
      <c r="N862" t="s">
        <v>1799</v>
      </c>
      <c r="O862" s="184" t="str">
        <f>"["&amp;$C862&amp;"]["&amp;$D862&amp;"]["&amp;$F862&amp;"]"</f>
        <v>[S09_AircraftOperatorFeesMonitoringPlans][5][FeesAmount]</v>
      </c>
    </row>
    <row r="863" spans="1:15" x14ac:dyDescent="0.3">
      <c r="A863" t="s">
        <v>1793</v>
      </c>
      <c r="B863" t="s">
        <v>2176</v>
      </c>
      <c r="C863" t="s">
        <v>2178</v>
      </c>
      <c r="D863">
        <v>6</v>
      </c>
      <c r="E863" t="s">
        <v>1447</v>
      </c>
      <c r="F863" t="s">
        <v>2174</v>
      </c>
      <c r="G863" t="s">
        <v>1889</v>
      </c>
      <c r="H863" t="s">
        <v>1799</v>
      </c>
      <c r="I863" t="s">
        <v>1799</v>
      </c>
      <c r="J863">
        <v>0</v>
      </c>
      <c r="K863" t="s">
        <v>1799</v>
      </c>
      <c r="L863" t="s">
        <v>1799</v>
      </c>
      <c r="M863" t="s">
        <v>1799</v>
      </c>
      <c r="N863" t="s">
        <v>1799</v>
      </c>
      <c r="O863" s="184" t="str">
        <f>"["&amp;$C863&amp;"]["&amp;$D863&amp;"]["&amp;$F863&amp;"]"</f>
        <v>[S09_AircraftOperatorFeesMonitoringPlans][6][FeesAmount]</v>
      </c>
    </row>
    <row r="864" spans="1:15" x14ac:dyDescent="0.3">
      <c r="A864" t="s">
        <v>1793</v>
      </c>
      <c r="B864" t="s">
        <v>2176</v>
      </c>
      <c r="C864" t="s">
        <v>2179</v>
      </c>
      <c r="D864">
        <v>1</v>
      </c>
      <c r="E864" t="s">
        <v>1447</v>
      </c>
      <c r="F864" t="s">
        <v>2174</v>
      </c>
      <c r="G864" t="s">
        <v>1889</v>
      </c>
      <c r="H864" t="s">
        <v>1799</v>
      </c>
      <c r="I864" t="s">
        <v>1799</v>
      </c>
      <c r="J864">
        <v>0</v>
      </c>
      <c r="K864" t="s">
        <v>1799</v>
      </c>
      <c r="L864" t="s">
        <v>1799</v>
      </c>
      <c r="M864" t="s">
        <v>1799</v>
      </c>
      <c r="N864" t="s">
        <v>1799</v>
      </c>
      <c r="O864" s="184" t="str">
        <f>"["&amp;$C864&amp;"]["&amp;$D864&amp;"]["&amp;$F864&amp;"]"</f>
        <v>[S09_AircraftOperatorFeesSubsistence][1][FeesAmount]</v>
      </c>
    </row>
    <row r="865" spans="1:15" x14ac:dyDescent="0.3">
      <c r="A865" t="s">
        <v>1793</v>
      </c>
      <c r="B865" t="s">
        <v>2176</v>
      </c>
      <c r="C865" t="s">
        <v>2180</v>
      </c>
      <c r="D865">
        <v>1</v>
      </c>
      <c r="E865" t="s">
        <v>1447</v>
      </c>
      <c r="F865" t="s">
        <v>2181</v>
      </c>
      <c r="G865" t="s">
        <v>1797</v>
      </c>
      <c r="H865" t="s">
        <v>2182</v>
      </c>
      <c r="I865" t="s">
        <v>1799</v>
      </c>
      <c r="J865" t="s">
        <v>1799</v>
      </c>
      <c r="K865" t="s">
        <v>1799</v>
      </c>
      <c r="L865" t="s">
        <v>1799</v>
      </c>
      <c r="M865" t="s">
        <v>1799</v>
      </c>
      <c r="N865" t="s">
        <v>1799</v>
      </c>
      <c r="O865" s="184" t="str">
        <f>"["&amp;$C865&amp;"]["&amp;$D865&amp;"]["&amp;$F865&amp;"]"</f>
        <v>[S09_RegistryAccountOneOffFees][1][OneOffFeeReason]</v>
      </c>
    </row>
    <row r="866" spans="1:15" x14ac:dyDescent="0.3">
      <c r="A866" t="s">
        <v>1793</v>
      </c>
      <c r="B866" t="s">
        <v>2176</v>
      </c>
      <c r="C866" t="s">
        <v>2180</v>
      </c>
      <c r="D866">
        <v>1</v>
      </c>
      <c r="E866" t="s">
        <v>1447</v>
      </c>
      <c r="F866" t="s">
        <v>2183</v>
      </c>
      <c r="G866" t="s">
        <v>1889</v>
      </c>
      <c r="H866" t="s">
        <v>1799</v>
      </c>
      <c r="I866" t="s">
        <v>1799</v>
      </c>
      <c r="J866">
        <v>0</v>
      </c>
      <c r="K866" t="s">
        <v>1799</v>
      </c>
      <c r="L866" t="s">
        <v>1799</v>
      </c>
      <c r="M866" t="s">
        <v>1799</v>
      </c>
      <c r="N866" t="s">
        <v>1799</v>
      </c>
      <c r="O866" s="184" t="str">
        <f>"["&amp;$C866&amp;"]["&amp;$D866&amp;"]["&amp;$F866&amp;"]"</f>
        <v>[S09_RegistryAccountOneOffFees][1][OneOffFeeAmount]</v>
      </c>
    </row>
    <row r="867" spans="1:15" x14ac:dyDescent="0.3">
      <c r="A867" t="s">
        <v>1793</v>
      </c>
      <c r="B867" t="s">
        <v>2176</v>
      </c>
      <c r="C867" t="s">
        <v>2184</v>
      </c>
      <c r="D867">
        <v>1</v>
      </c>
      <c r="E867" t="s">
        <v>1447</v>
      </c>
      <c r="F867" t="s">
        <v>2185</v>
      </c>
      <c r="G867" t="s">
        <v>1797</v>
      </c>
      <c r="H867" t="s">
        <v>2182</v>
      </c>
      <c r="I867" t="s">
        <v>1799</v>
      </c>
      <c r="J867" t="s">
        <v>1799</v>
      </c>
      <c r="K867" t="s">
        <v>1799</v>
      </c>
      <c r="L867" t="s">
        <v>1799</v>
      </c>
      <c r="M867" t="s">
        <v>1799</v>
      </c>
      <c r="N867" t="s">
        <v>1799</v>
      </c>
      <c r="O867" s="184" t="str">
        <f>"["&amp;$C867&amp;"]["&amp;$D867&amp;"]["&amp;$F867&amp;"]"</f>
        <v>[S09_RegistryAccountAnnualFees][1][AnnualFeeReason]</v>
      </c>
    </row>
    <row r="868" spans="1:15" x14ac:dyDescent="0.3">
      <c r="A868" t="s">
        <v>1793</v>
      </c>
      <c r="B868" t="s">
        <v>2176</v>
      </c>
      <c r="C868" t="s">
        <v>2184</v>
      </c>
      <c r="D868">
        <v>1</v>
      </c>
      <c r="E868" t="s">
        <v>1447</v>
      </c>
      <c r="F868" t="s">
        <v>2186</v>
      </c>
      <c r="G868" t="s">
        <v>1889</v>
      </c>
      <c r="H868" t="s">
        <v>1799</v>
      </c>
      <c r="I868" t="s">
        <v>1799</v>
      </c>
      <c r="J868">
        <v>0</v>
      </c>
      <c r="K868" t="s">
        <v>1799</v>
      </c>
      <c r="L868" t="s">
        <v>1799</v>
      </c>
      <c r="M868" t="s">
        <v>1799</v>
      </c>
      <c r="N868" t="s">
        <v>1799</v>
      </c>
      <c r="O868" s="184" t="str">
        <f>"["&amp;$C868&amp;"]["&amp;$D868&amp;"]["&amp;$F868&amp;"]"</f>
        <v>[S09_RegistryAccountAnnualFees][1][AnnualFeeAmount]</v>
      </c>
    </row>
    <row r="869" spans="1:15" x14ac:dyDescent="0.3">
      <c r="A869" t="s">
        <v>1793</v>
      </c>
      <c r="B869" t="s">
        <v>2187</v>
      </c>
      <c r="C869" t="s">
        <v>2188</v>
      </c>
      <c r="D869">
        <v>1</v>
      </c>
      <c r="E869" t="s">
        <v>1447</v>
      </c>
      <c r="F869" t="s">
        <v>2189</v>
      </c>
      <c r="G869" t="s">
        <v>1836</v>
      </c>
      <c r="H869" t="s">
        <v>1799</v>
      </c>
      <c r="I869" t="s">
        <v>1799</v>
      </c>
      <c r="J869" t="s">
        <v>1799</v>
      </c>
      <c r="K869" t="s">
        <v>1799</v>
      </c>
      <c r="L869" t="s">
        <v>1419</v>
      </c>
      <c r="M869" t="s">
        <v>1799</v>
      </c>
      <c r="N869" t="s">
        <v>1799</v>
      </c>
      <c r="O869" s="184" t="str">
        <f>"["&amp;$C869&amp;"]["&amp;$D869&amp;"]["&amp;$F869&amp;"]"</f>
        <v>[S10_InstallationsComplianceMeasures][1][ComplianceMeasuresYesNo]</v>
      </c>
    </row>
    <row r="870" spans="1:15" x14ac:dyDescent="0.3">
      <c r="A870" t="s">
        <v>1793</v>
      </c>
      <c r="B870" t="s">
        <v>2187</v>
      </c>
      <c r="C870" t="s">
        <v>2188</v>
      </c>
      <c r="D870">
        <v>2</v>
      </c>
      <c r="E870" t="s">
        <v>1447</v>
      </c>
      <c r="F870" t="s">
        <v>2189</v>
      </c>
      <c r="G870" t="s">
        <v>1836</v>
      </c>
      <c r="H870" t="s">
        <v>1799</v>
      </c>
      <c r="I870" t="s">
        <v>1799</v>
      </c>
      <c r="J870" t="s">
        <v>1799</v>
      </c>
      <c r="K870" t="s">
        <v>1799</v>
      </c>
      <c r="L870" t="s">
        <v>1447</v>
      </c>
      <c r="M870" t="s">
        <v>1799</v>
      </c>
      <c r="N870" t="s">
        <v>1799</v>
      </c>
      <c r="O870" s="184" t="str">
        <f>"["&amp;$C870&amp;"]["&amp;$D870&amp;"]["&amp;$F870&amp;"]"</f>
        <v>[S10_InstallationsComplianceMeasures][2][ComplianceMeasuresYesNo]</v>
      </c>
    </row>
    <row r="871" spans="1:15" x14ac:dyDescent="0.3">
      <c r="A871" t="s">
        <v>1793</v>
      </c>
      <c r="B871" t="s">
        <v>2187</v>
      </c>
      <c r="C871" t="s">
        <v>2188</v>
      </c>
      <c r="D871">
        <v>3</v>
      </c>
      <c r="E871" t="s">
        <v>1447</v>
      </c>
      <c r="F871" t="s">
        <v>2189</v>
      </c>
      <c r="G871" t="s">
        <v>1836</v>
      </c>
      <c r="H871" t="s">
        <v>1799</v>
      </c>
      <c r="I871" t="s">
        <v>1799</v>
      </c>
      <c r="J871" t="s">
        <v>1799</v>
      </c>
      <c r="K871" t="s">
        <v>1799</v>
      </c>
      <c r="L871" t="s">
        <v>1419</v>
      </c>
      <c r="M871" t="s">
        <v>1799</v>
      </c>
      <c r="N871" t="s">
        <v>1799</v>
      </c>
      <c r="O871" s="184" t="str">
        <f>"["&amp;$C871&amp;"]["&amp;$D871&amp;"]["&amp;$F871&amp;"]"</f>
        <v>[S10_InstallationsComplianceMeasures][3][ComplianceMeasuresYesNo]</v>
      </c>
    </row>
    <row r="872" spans="1:15" x14ac:dyDescent="0.3">
      <c r="A872" t="s">
        <v>1793</v>
      </c>
      <c r="B872" t="s">
        <v>2187</v>
      </c>
      <c r="C872" t="s">
        <v>2188</v>
      </c>
      <c r="D872">
        <v>4</v>
      </c>
      <c r="E872" t="s">
        <v>1447</v>
      </c>
      <c r="F872" t="s">
        <v>2189</v>
      </c>
      <c r="G872" t="s">
        <v>1836</v>
      </c>
      <c r="H872" t="s">
        <v>1799</v>
      </c>
      <c r="I872" t="s">
        <v>1799</v>
      </c>
      <c r="J872" t="s">
        <v>1799</v>
      </c>
      <c r="K872" t="s">
        <v>1799</v>
      </c>
      <c r="L872" t="s">
        <v>1419</v>
      </c>
      <c r="M872" t="s">
        <v>1799</v>
      </c>
      <c r="N872" t="s">
        <v>1799</v>
      </c>
      <c r="O872" s="184" t="str">
        <f>"["&amp;$C872&amp;"]["&amp;$D872&amp;"]["&amp;$F872&amp;"]"</f>
        <v>[S10_InstallationsComplianceMeasures][4][ComplianceMeasuresYesNo]</v>
      </c>
    </row>
    <row r="873" spans="1:15" x14ac:dyDescent="0.3">
      <c r="A873" t="s">
        <v>1793</v>
      </c>
      <c r="B873" t="s">
        <v>2187</v>
      </c>
      <c r="C873" t="s">
        <v>2188</v>
      </c>
      <c r="D873">
        <v>1</v>
      </c>
      <c r="E873" t="s">
        <v>1447</v>
      </c>
      <c r="F873" t="s">
        <v>2190</v>
      </c>
      <c r="G873" t="s">
        <v>1870</v>
      </c>
      <c r="H873" t="s">
        <v>1799</v>
      </c>
      <c r="I873" t="s">
        <v>1799</v>
      </c>
      <c r="J873" t="s">
        <v>1799</v>
      </c>
      <c r="K873" t="s">
        <v>2191</v>
      </c>
      <c r="L873" t="s">
        <v>1799</v>
      </c>
      <c r="M873" t="s">
        <v>1799</v>
      </c>
      <c r="N873" t="s">
        <v>1799</v>
      </c>
      <c r="O873" s="184" t="str">
        <f>"["&amp;$C873&amp;"]["&amp;$D873&amp;"]["&amp;$F873&amp;"]"</f>
        <v>[S10_InstallationsComplianceMeasures][1][ComplianceMeasuresComment]</v>
      </c>
    </row>
    <row r="874" spans="1:15" x14ac:dyDescent="0.3">
      <c r="A874" t="s">
        <v>1793</v>
      </c>
      <c r="B874" t="s">
        <v>2187</v>
      </c>
      <c r="C874" t="s">
        <v>2188</v>
      </c>
      <c r="D874">
        <v>2</v>
      </c>
      <c r="E874" t="s">
        <v>1447</v>
      </c>
      <c r="F874" t="s">
        <v>2190</v>
      </c>
      <c r="G874" t="s">
        <v>1870</v>
      </c>
      <c r="H874" t="s">
        <v>1799</v>
      </c>
      <c r="I874" t="s">
        <v>1799</v>
      </c>
      <c r="J874" t="s">
        <v>1799</v>
      </c>
      <c r="K874" t="s">
        <v>2192</v>
      </c>
      <c r="L874" t="s">
        <v>1799</v>
      </c>
      <c r="M874" t="s">
        <v>1799</v>
      </c>
      <c r="N874" t="s">
        <v>1799</v>
      </c>
      <c r="O874" s="184" t="str">
        <f>"["&amp;$C874&amp;"]["&amp;$D874&amp;"]["&amp;$F874&amp;"]"</f>
        <v>[S10_InstallationsComplianceMeasures][2][ComplianceMeasuresComment]</v>
      </c>
    </row>
    <row r="875" spans="1:15" x14ac:dyDescent="0.3">
      <c r="A875" t="s">
        <v>1793</v>
      </c>
      <c r="B875" t="s">
        <v>2187</v>
      </c>
      <c r="C875" t="s">
        <v>2188</v>
      </c>
      <c r="D875">
        <v>3</v>
      </c>
      <c r="E875" t="s">
        <v>1447</v>
      </c>
      <c r="F875" t="s">
        <v>2190</v>
      </c>
      <c r="G875" t="s">
        <v>1870</v>
      </c>
      <c r="H875" t="s">
        <v>1799</v>
      </c>
      <c r="I875" t="s">
        <v>1799</v>
      </c>
      <c r="J875" t="s">
        <v>1799</v>
      </c>
      <c r="K875" t="s">
        <v>2193</v>
      </c>
      <c r="L875" t="s">
        <v>1799</v>
      </c>
      <c r="M875" t="s">
        <v>1799</v>
      </c>
      <c r="N875" t="s">
        <v>1799</v>
      </c>
      <c r="O875" s="184" t="str">
        <f>"["&amp;$C875&amp;"]["&amp;$D875&amp;"]["&amp;$F875&amp;"]"</f>
        <v>[S10_InstallationsComplianceMeasures][3][ComplianceMeasuresComment]</v>
      </c>
    </row>
    <row r="876" spans="1:15" x14ac:dyDescent="0.3">
      <c r="A876" t="s">
        <v>1793</v>
      </c>
      <c r="B876" t="s">
        <v>2194</v>
      </c>
      <c r="C876" t="s">
        <v>2195</v>
      </c>
      <c r="D876">
        <v>1</v>
      </c>
      <c r="E876" t="s">
        <v>1447</v>
      </c>
      <c r="F876" t="s">
        <v>2163</v>
      </c>
      <c r="G876" t="s">
        <v>1889</v>
      </c>
      <c r="H876" t="s">
        <v>1799</v>
      </c>
      <c r="I876" t="s">
        <v>1799</v>
      </c>
      <c r="J876">
        <v>13270</v>
      </c>
      <c r="K876" t="s">
        <v>1799</v>
      </c>
      <c r="L876" t="s">
        <v>1799</v>
      </c>
      <c r="M876" t="s">
        <v>1799</v>
      </c>
      <c r="N876" t="s">
        <v>1799</v>
      </c>
      <c r="O876" s="184" t="str">
        <f>"["&amp;$C876&amp;"]["&amp;$D876&amp;"]["&amp;$F876&amp;"]"</f>
        <v>[S10_InstallationsInfringementPenalties][1][MinFine]</v>
      </c>
    </row>
    <row r="877" spans="1:15" x14ac:dyDescent="0.3">
      <c r="A877" t="s">
        <v>1793</v>
      </c>
      <c r="B877" t="s">
        <v>2194</v>
      </c>
      <c r="C877" t="s">
        <v>2195</v>
      </c>
      <c r="D877">
        <v>2</v>
      </c>
      <c r="E877" t="s">
        <v>1447</v>
      </c>
      <c r="F877" t="s">
        <v>2163</v>
      </c>
      <c r="G877" t="s">
        <v>1889</v>
      </c>
      <c r="H877" t="s">
        <v>1799</v>
      </c>
      <c r="I877" t="s">
        <v>1799</v>
      </c>
      <c r="J877">
        <v>0</v>
      </c>
      <c r="K877" t="s">
        <v>1799</v>
      </c>
      <c r="L877" t="s">
        <v>1799</v>
      </c>
      <c r="M877" t="s">
        <v>1799</v>
      </c>
      <c r="N877" t="s">
        <v>1799</v>
      </c>
      <c r="O877" s="184" t="str">
        <f>"["&amp;$C877&amp;"]["&amp;$D877&amp;"]["&amp;$F877&amp;"]"</f>
        <v>[S10_InstallationsInfringementPenalties][2][MinFine]</v>
      </c>
    </row>
    <row r="878" spans="1:15" x14ac:dyDescent="0.3">
      <c r="A878" t="s">
        <v>1793</v>
      </c>
      <c r="B878" t="s">
        <v>2194</v>
      </c>
      <c r="C878" t="s">
        <v>2195</v>
      </c>
      <c r="D878">
        <v>3</v>
      </c>
      <c r="E878" t="s">
        <v>1447</v>
      </c>
      <c r="F878" t="s">
        <v>2163</v>
      </c>
      <c r="G878" t="s">
        <v>1889</v>
      </c>
      <c r="H878" t="s">
        <v>1799</v>
      </c>
      <c r="I878" t="s">
        <v>1799</v>
      </c>
      <c r="J878">
        <v>13270</v>
      </c>
      <c r="K878" t="s">
        <v>1799</v>
      </c>
      <c r="L878" t="s">
        <v>1799</v>
      </c>
      <c r="M878" t="s">
        <v>1799</v>
      </c>
      <c r="N878" t="s">
        <v>1799</v>
      </c>
      <c r="O878" s="184" t="str">
        <f>"["&amp;$C878&amp;"]["&amp;$D878&amp;"]["&amp;$F878&amp;"]"</f>
        <v>[S10_InstallationsInfringementPenalties][3][MinFine]</v>
      </c>
    </row>
    <row r="879" spans="1:15" x14ac:dyDescent="0.3">
      <c r="A879" t="s">
        <v>1793</v>
      </c>
      <c r="B879" t="s">
        <v>2194</v>
      </c>
      <c r="C879" t="s">
        <v>2195</v>
      </c>
      <c r="D879">
        <v>4</v>
      </c>
      <c r="E879" t="s">
        <v>1447</v>
      </c>
      <c r="F879" t="s">
        <v>2163</v>
      </c>
      <c r="G879" t="s">
        <v>1889</v>
      </c>
      <c r="H879" t="s">
        <v>1799</v>
      </c>
      <c r="I879" t="s">
        <v>1799</v>
      </c>
      <c r="J879">
        <v>0</v>
      </c>
      <c r="K879" t="s">
        <v>1799</v>
      </c>
      <c r="L879" t="s">
        <v>1799</v>
      </c>
      <c r="M879" t="s">
        <v>1799</v>
      </c>
      <c r="N879" t="s">
        <v>1799</v>
      </c>
      <c r="O879" s="184" t="str">
        <f>"["&amp;$C879&amp;"]["&amp;$D879&amp;"]["&amp;$F879&amp;"]"</f>
        <v>[S10_InstallationsInfringementPenalties][4][MinFine]</v>
      </c>
    </row>
    <row r="880" spans="1:15" x14ac:dyDescent="0.3">
      <c r="A880" t="s">
        <v>1793</v>
      </c>
      <c r="B880" t="s">
        <v>2194</v>
      </c>
      <c r="C880" t="s">
        <v>2195</v>
      </c>
      <c r="D880">
        <v>5</v>
      </c>
      <c r="E880" t="s">
        <v>1447</v>
      </c>
      <c r="F880" t="s">
        <v>2163</v>
      </c>
      <c r="G880" t="s">
        <v>1889</v>
      </c>
      <c r="H880" t="s">
        <v>1799</v>
      </c>
      <c r="I880" t="s">
        <v>1799</v>
      </c>
      <c r="J880">
        <v>0</v>
      </c>
      <c r="K880" t="s">
        <v>1799</v>
      </c>
      <c r="L880" t="s">
        <v>1799</v>
      </c>
      <c r="M880" t="s">
        <v>1799</v>
      </c>
      <c r="N880" t="s">
        <v>1799</v>
      </c>
      <c r="O880" s="184" t="str">
        <f>"["&amp;$C880&amp;"]["&amp;$D880&amp;"]["&amp;$F880&amp;"]"</f>
        <v>[S10_InstallationsInfringementPenalties][5][MinFine]</v>
      </c>
    </row>
    <row r="881" spans="1:15" x14ac:dyDescent="0.3">
      <c r="A881" t="s">
        <v>1793</v>
      </c>
      <c r="B881" t="s">
        <v>2194</v>
      </c>
      <c r="C881" t="s">
        <v>2195</v>
      </c>
      <c r="D881">
        <v>6</v>
      </c>
      <c r="E881" t="s">
        <v>1447</v>
      </c>
      <c r="F881" t="s">
        <v>2163</v>
      </c>
      <c r="G881" t="s">
        <v>1889</v>
      </c>
      <c r="H881" t="s">
        <v>1799</v>
      </c>
      <c r="I881" t="s">
        <v>1799</v>
      </c>
      <c r="J881">
        <v>0</v>
      </c>
      <c r="K881" t="s">
        <v>1799</v>
      </c>
      <c r="L881" t="s">
        <v>1799</v>
      </c>
      <c r="M881" t="s">
        <v>1799</v>
      </c>
      <c r="N881" t="s">
        <v>1799</v>
      </c>
      <c r="O881" s="184" t="str">
        <f>"["&amp;$C881&amp;"]["&amp;$D881&amp;"]["&amp;$F881&amp;"]"</f>
        <v>[S10_InstallationsInfringementPenalties][6][MinFine]</v>
      </c>
    </row>
    <row r="882" spans="1:15" x14ac:dyDescent="0.3">
      <c r="A882" t="s">
        <v>1793</v>
      </c>
      <c r="B882" t="s">
        <v>2194</v>
      </c>
      <c r="C882" t="s">
        <v>2195</v>
      </c>
      <c r="D882">
        <v>7</v>
      </c>
      <c r="E882" t="s">
        <v>1447</v>
      </c>
      <c r="F882" t="s">
        <v>2163</v>
      </c>
      <c r="G882" t="s">
        <v>1889</v>
      </c>
      <c r="H882" t="s">
        <v>1799</v>
      </c>
      <c r="I882" t="s">
        <v>1799</v>
      </c>
      <c r="J882">
        <v>3980</v>
      </c>
      <c r="K882" t="s">
        <v>1799</v>
      </c>
      <c r="L882" t="s">
        <v>1799</v>
      </c>
      <c r="M882" t="s">
        <v>1799</v>
      </c>
      <c r="N882" t="s">
        <v>1799</v>
      </c>
      <c r="O882" s="184" t="str">
        <f>"["&amp;$C882&amp;"]["&amp;$D882&amp;"]["&amp;$F882&amp;"]"</f>
        <v>[S10_InstallationsInfringementPenalties][7][MinFine]</v>
      </c>
    </row>
    <row r="883" spans="1:15" x14ac:dyDescent="0.3">
      <c r="A883" t="s">
        <v>1793</v>
      </c>
      <c r="B883" t="s">
        <v>2194</v>
      </c>
      <c r="C883" t="s">
        <v>2195</v>
      </c>
      <c r="D883">
        <v>8</v>
      </c>
      <c r="E883" t="s">
        <v>1447</v>
      </c>
      <c r="F883" t="s">
        <v>2163</v>
      </c>
      <c r="G883" t="s">
        <v>1889</v>
      </c>
      <c r="H883" t="s">
        <v>1799</v>
      </c>
      <c r="I883" t="s">
        <v>1799</v>
      </c>
      <c r="J883">
        <v>13270</v>
      </c>
      <c r="K883" t="s">
        <v>1799</v>
      </c>
      <c r="L883" t="s">
        <v>1799</v>
      </c>
      <c r="M883" t="s">
        <v>1799</v>
      </c>
      <c r="N883" t="s">
        <v>1799</v>
      </c>
      <c r="O883" s="184" t="str">
        <f>"["&amp;$C883&amp;"]["&amp;$D883&amp;"]["&amp;$F883&amp;"]"</f>
        <v>[S10_InstallationsInfringementPenalties][8][MinFine]</v>
      </c>
    </row>
    <row r="884" spans="1:15" x14ac:dyDescent="0.3">
      <c r="A884" t="s">
        <v>1793</v>
      </c>
      <c r="B884" t="s">
        <v>2194</v>
      </c>
      <c r="C884" t="s">
        <v>2195</v>
      </c>
      <c r="D884">
        <v>9</v>
      </c>
      <c r="E884" t="s">
        <v>1447</v>
      </c>
      <c r="F884" t="s">
        <v>2163</v>
      </c>
      <c r="G884" t="s">
        <v>1889</v>
      </c>
      <c r="H884" t="s">
        <v>1799</v>
      </c>
      <c r="I884" t="s">
        <v>1799</v>
      </c>
      <c r="J884">
        <v>0</v>
      </c>
      <c r="K884" t="s">
        <v>1799</v>
      </c>
      <c r="L884" t="s">
        <v>1799</v>
      </c>
      <c r="M884" t="s">
        <v>1799</v>
      </c>
      <c r="N884" t="s">
        <v>1799</v>
      </c>
      <c r="O884" s="184" t="str">
        <f>"["&amp;$C884&amp;"]["&amp;$D884&amp;"]["&amp;$F884&amp;"]"</f>
        <v>[S10_InstallationsInfringementPenalties][9][MinFine]</v>
      </c>
    </row>
    <row r="885" spans="1:15" x14ac:dyDescent="0.3">
      <c r="A885" t="s">
        <v>1793</v>
      </c>
      <c r="B885" t="s">
        <v>2194</v>
      </c>
      <c r="C885" t="s">
        <v>2195</v>
      </c>
      <c r="D885">
        <v>10</v>
      </c>
      <c r="E885" t="s">
        <v>1447</v>
      </c>
      <c r="F885" t="s">
        <v>2163</v>
      </c>
      <c r="G885" t="s">
        <v>1889</v>
      </c>
      <c r="H885" t="s">
        <v>1799</v>
      </c>
      <c r="I885" t="s">
        <v>1799</v>
      </c>
      <c r="J885">
        <v>0</v>
      </c>
      <c r="K885" t="s">
        <v>1799</v>
      </c>
      <c r="L885" t="s">
        <v>1799</v>
      </c>
      <c r="M885" t="s">
        <v>1799</v>
      </c>
      <c r="N885" t="s">
        <v>1799</v>
      </c>
      <c r="O885" s="184" t="str">
        <f>"["&amp;$C885&amp;"]["&amp;$D885&amp;"]["&amp;$F885&amp;"]"</f>
        <v>[S10_InstallationsInfringementPenalties][10][MinFine]</v>
      </c>
    </row>
    <row r="886" spans="1:15" x14ac:dyDescent="0.3">
      <c r="A886" t="s">
        <v>1793</v>
      </c>
      <c r="B886" t="s">
        <v>2194</v>
      </c>
      <c r="C886" t="s">
        <v>2195</v>
      </c>
      <c r="D886">
        <v>11</v>
      </c>
      <c r="E886" t="s">
        <v>1447</v>
      </c>
      <c r="F886" t="s">
        <v>2163</v>
      </c>
      <c r="G886" t="s">
        <v>1889</v>
      </c>
      <c r="H886" t="s">
        <v>1799</v>
      </c>
      <c r="I886" t="s">
        <v>1799</v>
      </c>
      <c r="J886">
        <v>0</v>
      </c>
      <c r="K886" t="s">
        <v>1799</v>
      </c>
      <c r="L886" t="s">
        <v>1799</v>
      </c>
      <c r="M886" t="s">
        <v>1799</v>
      </c>
      <c r="N886" t="s">
        <v>1799</v>
      </c>
      <c r="O886" s="184" t="str">
        <f>"["&amp;$C886&amp;"]["&amp;$D886&amp;"]["&amp;$F886&amp;"]"</f>
        <v>[S10_InstallationsInfringementPenalties][11][MinFine]</v>
      </c>
    </row>
    <row r="887" spans="1:15" x14ac:dyDescent="0.3">
      <c r="A887" t="s">
        <v>1793</v>
      </c>
      <c r="B887" t="s">
        <v>2194</v>
      </c>
      <c r="C887" t="s">
        <v>2195</v>
      </c>
      <c r="D887">
        <v>1</v>
      </c>
      <c r="E887" t="s">
        <v>1447</v>
      </c>
      <c r="F887" t="s">
        <v>2164</v>
      </c>
      <c r="G887" t="s">
        <v>1889</v>
      </c>
      <c r="H887" t="s">
        <v>1799</v>
      </c>
      <c r="I887" t="s">
        <v>1799</v>
      </c>
      <c r="J887">
        <v>66360</v>
      </c>
      <c r="K887" t="s">
        <v>1799</v>
      </c>
      <c r="L887" t="s">
        <v>1799</v>
      </c>
      <c r="M887" t="s">
        <v>1799</v>
      </c>
      <c r="N887" t="s">
        <v>1799</v>
      </c>
      <c r="O887" s="184" t="str">
        <f>"["&amp;$C887&amp;"]["&amp;$D887&amp;"]["&amp;$F887&amp;"]"</f>
        <v>[S10_InstallationsInfringementPenalties][1][MaxFine]</v>
      </c>
    </row>
    <row r="888" spans="1:15" x14ac:dyDescent="0.3">
      <c r="A888" t="s">
        <v>1793</v>
      </c>
      <c r="B888" t="s">
        <v>2194</v>
      </c>
      <c r="C888" t="s">
        <v>2195</v>
      </c>
      <c r="D888">
        <v>2</v>
      </c>
      <c r="E888" t="s">
        <v>1447</v>
      </c>
      <c r="F888" t="s">
        <v>2164</v>
      </c>
      <c r="G888" t="s">
        <v>1889</v>
      </c>
      <c r="H888" t="s">
        <v>1799</v>
      </c>
      <c r="I888" t="s">
        <v>1799</v>
      </c>
      <c r="J888">
        <v>0</v>
      </c>
      <c r="K888" t="s">
        <v>1799</v>
      </c>
      <c r="L888" t="s">
        <v>1799</v>
      </c>
      <c r="M888" t="s">
        <v>1799</v>
      </c>
      <c r="N888" t="s">
        <v>1799</v>
      </c>
      <c r="O888" s="184" t="str">
        <f>"["&amp;$C888&amp;"]["&amp;$D888&amp;"]["&amp;$F888&amp;"]"</f>
        <v>[S10_InstallationsInfringementPenalties][2][MaxFine]</v>
      </c>
    </row>
    <row r="889" spans="1:15" x14ac:dyDescent="0.3">
      <c r="A889" t="s">
        <v>1793</v>
      </c>
      <c r="B889" t="s">
        <v>2194</v>
      </c>
      <c r="C889" t="s">
        <v>2195</v>
      </c>
      <c r="D889">
        <v>3</v>
      </c>
      <c r="E889" t="s">
        <v>1447</v>
      </c>
      <c r="F889" t="s">
        <v>2164</v>
      </c>
      <c r="G889" t="s">
        <v>1889</v>
      </c>
      <c r="H889" t="s">
        <v>1799</v>
      </c>
      <c r="I889" t="s">
        <v>1799</v>
      </c>
      <c r="J889">
        <v>66360</v>
      </c>
      <c r="K889" t="s">
        <v>1799</v>
      </c>
      <c r="L889" t="s">
        <v>1799</v>
      </c>
      <c r="M889" t="s">
        <v>1799</v>
      </c>
      <c r="N889" t="s">
        <v>1799</v>
      </c>
      <c r="O889" s="184" t="str">
        <f>"["&amp;$C889&amp;"]["&amp;$D889&amp;"]["&amp;$F889&amp;"]"</f>
        <v>[S10_InstallationsInfringementPenalties][3][MaxFine]</v>
      </c>
    </row>
    <row r="890" spans="1:15" x14ac:dyDescent="0.3">
      <c r="A890" t="s">
        <v>1793</v>
      </c>
      <c r="B890" t="s">
        <v>2194</v>
      </c>
      <c r="C890" t="s">
        <v>2195</v>
      </c>
      <c r="D890">
        <v>4</v>
      </c>
      <c r="E890" t="s">
        <v>1447</v>
      </c>
      <c r="F890" t="s">
        <v>2164</v>
      </c>
      <c r="G890" t="s">
        <v>1889</v>
      </c>
      <c r="H890" t="s">
        <v>1799</v>
      </c>
      <c r="I890" t="s">
        <v>1799</v>
      </c>
      <c r="J890">
        <v>0</v>
      </c>
      <c r="K890" t="s">
        <v>1799</v>
      </c>
      <c r="L890" t="s">
        <v>1799</v>
      </c>
      <c r="M890" t="s">
        <v>1799</v>
      </c>
      <c r="N890" t="s">
        <v>1799</v>
      </c>
      <c r="O890" s="184" t="str">
        <f>"["&amp;$C890&amp;"]["&amp;$D890&amp;"]["&amp;$F890&amp;"]"</f>
        <v>[S10_InstallationsInfringementPenalties][4][MaxFine]</v>
      </c>
    </row>
    <row r="891" spans="1:15" x14ac:dyDescent="0.3">
      <c r="A891" t="s">
        <v>1793</v>
      </c>
      <c r="B891" t="s">
        <v>2194</v>
      </c>
      <c r="C891" t="s">
        <v>2195</v>
      </c>
      <c r="D891">
        <v>5</v>
      </c>
      <c r="E891" t="s">
        <v>1447</v>
      </c>
      <c r="F891" t="s">
        <v>2164</v>
      </c>
      <c r="G891" t="s">
        <v>1889</v>
      </c>
      <c r="H891" t="s">
        <v>1799</v>
      </c>
      <c r="I891" t="s">
        <v>1799</v>
      </c>
      <c r="J891">
        <v>0</v>
      </c>
      <c r="K891" t="s">
        <v>1799</v>
      </c>
      <c r="L891" t="s">
        <v>1799</v>
      </c>
      <c r="M891" t="s">
        <v>1799</v>
      </c>
      <c r="N891" t="s">
        <v>1799</v>
      </c>
      <c r="O891" s="184" t="str">
        <f>"["&amp;$C891&amp;"]["&amp;$D891&amp;"]["&amp;$F891&amp;"]"</f>
        <v>[S10_InstallationsInfringementPenalties][5][MaxFine]</v>
      </c>
    </row>
    <row r="892" spans="1:15" x14ac:dyDescent="0.3">
      <c r="A892" t="s">
        <v>1793</v>
      </c>
      <c r="B892" t="s">
        <v>2194</v>
      </c>
      <c r="C892" t="s">
        <v>2195</v>
      </c>
      <c r="D892">
        <v>6</v>
      </c>
      <c r="E892" t="s">
        <v>1447</v>
      </c>
      <c r="F892" t="s">
        <v>2164</v>
      </c>
      <c r="G892" t="s">
        <v>1889</v>
      </c>
      <c r="H892" t="s">
        <v>1799</v>
      </c>
      <c r="I892" t="s">
        <v>1799</v>
      </c>
      <c r="J892">
        <v>0</v>
      </c>
      <c r="K892" t="s">
        <v>1799</v>
      </c>
      <c r="L892" t="s">
        <v>1799</v>
      </c>
      <c r="M892" t="s">
        <v>1799</v>
      </c>
      <c r="N892" t="s">
        <v>1799</v>
      </c>
      <c r="O892" s="184" t="str">
        <f>"["&amp;$C892&amp;"]["&amp;$D892&amp;"]["&amp;$F892&amp;"]"</f>
        <v>[S10_InstallationsInfringementPenalties][6][MaxFine]</v>
      </c>
    </row>
    <row r="893" spans="1:15" x14ac:dyDescent="0.3">
      <c r="A893" t="s">
        <v>1793</v>
      </c>
      <c r="B893" t="s">
        <v>2194</v>
      </c>
      <c r="C893" t="s">
        <v>2195</v>
      </c>
      <c r="D893">
        <v>7</v>
      </c>
      <c r="E893" t="s">
        <v>1447</v>
      </c>
      <c r="F893" t="s">
        <v>2164</v>
      </c>
      <c r="G893" t="s">
        <v>1889</v>
      </c>
      <c r="H893" t="s">
        <v>1799</v>
      </c>
      <c r="I893" t="s">
        <v>1799</v>
      </c>
      <c r="J893">
        <v>13270</v>
      </c>
      <c r="K893" t="s">
        <v>1799</v>
      </c>
      <c r="L893" t="s">
        <v>1799</v>
      </c>
      <c r="M893" t="s">
        <v>1799</v>
      </c>
      <c r="N893" t="s">
        <v>1799</v>
      </c>
      <c r="O893" s="184" t="str">
        <f>"["&amp;$C893&amp;"]["&amp;$D893&amp;"]["&amp;$F893&amp;"]"</f>
        <v>[S10_InstallationsInfringementPenalties][7][MaxFine]</v>
      </c>
    </row>
    <row r="894" spans="1:15" x14ac:dyDescent="0.3">
      <c r="A894" t="s">
        <v>1793</v>
      </c>
      <c r="B894" t="s">
        <v>2194</v>
      </c>
      <c r="C894" t="s">
        <v>2195</v>
      </c>
      <c r="D894">
        <v>8</v>
      </c>
      <c r="E894" t="s">
        <v>1447</v>
      </c>
      <c r="F894" t="s">
        <v>2164</v>
      </c>
      <c r="G894" t="s">
        <v>1889</v>
      </c>
      <c r="H894" t="s">
        <v>1799</v>
      </c>
      <c r="I894" t="s">
        <v>1799</v>
      </c>
      <c r="J894">
        <v>66360</v>
      </c>
      <c r="K894" t="s">
        <v>1799</v>
      </c>
      <c r="L894" t="s">
        <v>1799</v>
      </c>
      <c r="M894" t="s">
        <v>1799</v>
      </c>
      <c r="N894" t="s">
        <v>1799</v>
      </c>
      <c r="O894" s="184" t="str">
        <f>"["&amp;$C894&amp;"]["&amp;$D894&amp;"]["&amp;$F894&amp;"]"</f>
        <v>[S10_InstallationsInfringementPenalties][8][MaxFine]</v>
      </c>
    </row>
    <row r="895" spans="1:15" x14ac:dyDescent="0.3">
      <c r="A895" t="s">
        <v>1793</v>
      </c>
      <c r="B895" t="s">
        <v>2194</v>
      </c>
      <c r="C895" t="s">
        <v>2195</v>
      </c>
      <c r="D895">
        <v>9</v>
      </c>
      <c r="E895" t="s">
        <v>1447</v>
      </c>
      <c r="F895" t="s">
        <v>2164</v>
      </c>
      <c r="G895" t="s">
        <v>1889</v>
      </c>
      <c r="H895" t="s">
        <v>1799</v>
      </c>
      <c r="I895" t="s">
        <v>1799</v>
      </c>
      <c r="J895">
        <v>0</v>
      </c>
      <c r="K895" t="s">
        <v>1799</v>
      </c>
      <c r="L895" t="s">
        <v>1799</v>
      </c>
      <c r="M895" t="s">
        <v>1799</v>
      </c>
      <c r="N895" t="s">
        <v>1799</v>
      </c>
      <c r="O895" s="184" t="str">
        <f>"["&amp;$C895&amp;"]["&amp;$D895&amp;"]["&amp;$F895&amp;"]"</f>
        <v>[S10_InstallationsInfringementPenalties][9][MaxFine]</v>
      </c>
    </row>
    <row r="896" spans="1:15" x14ac:dyDescent="0.3">
      <c r="A896" t="s">
        <v>1793</v>
      </c>
      <c r="B896" t="s">
        <v>2194</v>
      </c>
      <c r="C896" t="s">
        <v>2195</v>
      </c>
      <c r="D896">
        <v>10</v>
      </c>
      <c r="E896" t="s">
        <v>1447</v>
      </c>
      <c r="F896" t="s">
        <v>2164</v>
      </c>
      <c r="G896" t="s">
        <v>1889</v>
      </c>
      <c r="H896" t="s">
        <v>1799</v>
      </c>
      <c r="I896" t="s">
        <v>1799</v>
      </c>
      <c r="J896">
        <v>0</v>
      </c>
      <c r="K896" t="s">
        <v>1799</v>
      </c>
      <c r="L896" t="s">
        <v>1799</v>
      </c>
      <c r="M896" t="s">
        <v>1799</v>
      </c>
      <c r="N896" t="s">
        <v>1799</v>
      </c>
      <c r="O896" s="184" t="str">
        <f>"["&amp;$C896&amp;"]["&amp;$D896&amp;"]["&amp;$F896&amp;"]"</f>
        <v>[S10_InstallationsInfringementPenalties][10][MaxFine]</v>
      </c>
    </row>
    <row r="897" spans="1:15" x14ac:dyDescent="0.3">
      <c r="A897" t="s">
        <v>1793</v>
      </c>
      <c r="B897" t="s">
        <v>2194</v>
      </c>
      <c r="C897" t="s">
        <v>2195</v>
      </c>
      <c r="D897">
        <v>11</v>
      </c>
      <c r="E897" t="s">
        <v>1447</v>
      </c>
      <c r="F897" t="s">
        <v>2164</v>
      </c>
      <c r="G897" t="s">
        <v>1889</v>
      </c>
      <c r="H897" t="s">
        <v>1799</v>
      </c>
      <c r="I897" t="s">
        <v>1799</v>
      </c>
      <c r="J897">
        <v>0</v>
      </c>
      <c r="K897" t="s">
        <v>1799</v>
      </c>
      <c r="L897" t="s">
        <v>1799</v>
      </c>
      <c r="M897" t="s">
        <v>1799</v>
      </c>
      <c r="N897" t="s">
        <v>1799</v>
      </c>
      <c r="O897" s="184" t="str">
        <f>"["&amp;$C897&amp;"]["&amp;$D897&amp;"]["&amp;$F897&amp;"]"</f>
        <v>[S10_InstallationsInfringementPenalties][11][MaxFine]</v>
      </c>
    </row>
    <row r="898" spans="1:15" x14ac:dyDescent="0.3">
      <c r="A898" t="s">
        <v>1793</v>
      </c>
      <c r="B898" t="s">
        <v>2194</v>
      </c>
      <c r="C898" t="s">
        <v>2195</v>
      </c>
      <c r="D898">
        <v>1</v>
      </c>
      <c r="E898" t="s">
        <v>1447</v>
      </c>
      <c r="F898" t="s">
        <v>2165</v>
      </c>
      <c r="G898" t="s">
        <v>1889</v>
      </c>
      <c r="H898" t="s">
        <v>1799</v>
      </c>
      <c r="I898" t="s">
        <v>1799</v>
      </c>
      <c r="J898">
        <v>0</v>
      </c>
      <c r="K898" t="s">
        <v>1799</v>
      </c>
      <c r="L898" t="s">
        <v>1799</v>
      </c>
      <c r="M898" t="s">
        <v>1799</v>
      </c>
      <c r="N898" t="s">
        <v>1799</v>
      </c>
      <c r="O898" s="184" t="str">
        <f>"["&amp;$C898&amp;"]["&amp;$D898&amp;"]["&amp;$F898&amp;"]"</f>
        <v>[S10_InstallationsInfringementPenalties][1][PrisonMin]</v>
      </c>
    </row>
    <row r="899" spans="1:15" x14ac:dyDescent="0.3">
      <c r="A899" t="s">
        <v>1793</v>
      </c>
      <c r="B899" t="s">
        <v>2194</v>
      </c>
      <c r="C899" t="s">
        <v>2195</v>
      </c>
      <c r="D899">
        <v>2</v>
      </c>
      <c r="E899" t="s">
        <v>1447</v>
      </c>
      <c r="F899" t="s">
        <v>2165</v>
      </c>
      <c r="G899" t="s">
        <v>1889</v>
      </c>
      <c r="H899" t="s">
        <v>1799</v>
      </c>
      <c r="I899" t="s">
        <v>1799</v>
      </c>
      <c r="J899">
        <v>0</v>
      </c>
      <c r="K899" t="s">
        <v>1799</v>
      </c>
      <c r="L899" t="s">
        <v>1799</v>
      </c>
      <c r="M899" t="s">
        <v>1799</v>
      </c>
      <c r="N899" t="s">
        <v>1799</v>
      </c>
      <c r="O899" s="184" t="str">
        <f>"["&amp;$C899&amp;"]["&amp;$D899&amp;"]["&amp;$F899&amp;"]"</f>
        <v>[S10_InstallationsInfringementPenalties][2][PrisonMin]</v>
      </c>
    </row>
    <row r="900" spans="1:15" x14ac:dyDescent="0.3">
      <c r="A900" t="s">
        <v>1793</v>
      </c>
      <c r="B900" t="s">
        <v>2194</v>
      </c>
      <c r="C900" t="s">
        <v>2195</v>
      </c>
      <c r="D900">
        <v>3</v>
      </c>
      <c r="E900" t="s">
        <v>1447</v>
      </c>
      <c r="F900" t="s">
        <v>2165</v>
      </c>
      <c r="G900" t="s">
        <v>1889</v>
      </c>
      <c r="H900" t="s">
        <v>1799</v>
      </c>
      <c r="I900" t="s">
        <v>1799</v>
      </c>
      <c r="J900">
        <v>0</v>
      </c>
      <c r="K900" t="s">
        <v>1799</v>
      </c>
      <c r="L900" t="s">
        <v>1799</v>
      </c>
      <c r="M900" t="s">
        <v>1799</v>
      </c>
      <c r="N900" t="s">
        <v>1799</v>
      </c>
      <c r="O900" s="184" t="str">
        <f>"["&amp;$C900&amp;"]["&amp;$D900&amp;"]["&amp;$F900&amp;"]"</f>
        <v>[S10_InstallationsInfringementPenalties][3][PrisonMin]</v>
      </c>
    </row>
    <row r="901" spans="1:15" x14ac:dyDescent="0.3">
      <c r="A901" t="s">
        <v>1793</v>
      </c>
      <c r="B901" t="s">
        <v>2194</v>
      </c>
      <c r="C901" t="s">
        <v>2195</v>
      </c>
      <c r="D901">
        <v>4</v>
      </c>
      <c r="E901" t="s">
        <v>1447</v>
      </c>
      <c r="F901" t="s">
        <v>2165</v>
      </c>
      <c r="G901" t="s">
        <v>1889</v>
      </c>
      <c r="H901" t="s">
        <v>1799</v>
      </c>
      <c r="I901" t="s">
        <v>1799</v>
      </c>
      <c r="J901">
        <v>0</v>
      </c>
      <c r="K901" t="s">
        <v>1799</v>
      </c>
      <c r="L901" t="s">
        <v>1799</v>
      </c>
      <c r="M901" t="s">
        <v>1799</v>
      </c>
      <c r="N901" t="s">
        <v>1799</v>
      </c>
      <c r="O901" s="184" t="str">
        <f>"["&amp;$C901&amp;"]["&amp;$D901&amp;"]["&amp;$F901&amp;"]"</f>
        <v>[S10_InstallationsInfringementPenalties][4][PrisonMin]</v>
      </c>
    </row>
    <row r="902" spans="1:15" x14ac:dyDescent="0.3">
      <c r="A902" t="s">
        <v>1793</v>
      </c>
      <c r="B902" t="s">
        <v>2194</v>
      </c>
      <c r="C902" t="s">
        <v>2195</v>
      </c>
      <c r="D902">
        <v>5</v>
      </c>
      <c r="E902" t="s">
        <v>1447</v>
      </c>
      <c r="F902" t="s">
        <v>2165</v>
      </c>
      <c r="G902" t="s">
        <v>1889</v>
      </c>
      <c r="H902" t="s">
        <v>1799</v>
      </c>
      <c r="I902" t="s">
        <v>1799</v>
      </c>
      <c r="J902">
        <v>0</v>
      </c>
      <c r="K902" t="s">
        <v>1799</v>
      </c>
      <c r="L902" t="s">
        <v>1799</v>
      </c>
      <c r="M902" t="s">
        <v>1799</v>
      </c>
      <c r="N902" t="s">
        <v>1799</v>
      </c>
      <c r="O902" s="184" t="str">
        <f>"["&amp;$C902&amp;"]["&amp;$D902&amp;"]["&amp;$F902&amp;"]"</f>
        <v>[S10_InstallationsInfringementPenalties][5][PrisonMin]</v>
      </c>
    </row>
    <row r="903" spans="1:15" x14ac:dyDescent="0.3">
      <c r="A903" t="s">
        <v>1793</v>
      </c>
      <c r="B903" t="s">
        <v>2194</v>
      </c>
      <c r="C903" t="s">
        <v>2195</v>
      </c>
      <c r="D903">
        <v>6</v>
      </c>
      <c r="E903" t="s">
        <v>1447</v>
      </c>
      <c r="F903" t="s">
        <v>2165</v>
      </c>
      <c r="G903" t="s">
        <v>1889</v>
      </c>
      <c r="H903" t="s">
        <v>1799</v>
      </c>
      <c r="I903" t="s">
        <v>1799</v>
      </c>
      <c r="J903">
        <v>0</v>
      </c>
      <c r="K903" t="s">
        <v>1799</v>
      </c>
      <c r="L903" t="s">
        <v>1799</v>
      </c>
      <c r="M903" t="s">
        <v>1799</v>
      </c>
      <c r="N903" t="s">
        <v>1799</v>
      </c>
      <c r="O903" s="184" t="str">
        <f>"["&amp;$C903&amp;"]["&amp;$D903&amp;"]["&amp;$F903&amp;"]"</f>
        <v>[S10_InstallationsInfringementPenalties][6][PrisonMin]</v>
      </c>
    </row>
    <row r="904" spans="1:15" x14ac:dyDescent="0.3">
      <c r="A904" t="s">
        <v>1793</v>
      </c>
      <c r="B904" t="s">
        <v>2194</v>
      </c>
      <c r="C904" t="s">
        <v>2195</v>
      </c>
      <c r="D904">
        <v>7</v>
      </c>
      <c r="E904" t="s">
        <v>1447</v>
      </c>
      <c r="F904" t="s">
        <v>2165</v>
      </c>
      <c r="G904" t="s">
        <v>1889</v>
      </c>
      <c r="H904" t="s">
        <v>1799</v>
      </c>
      <c r="I904" t="s">
        <v>1799</v>
      </c>
      <c r="J904">
        <v>0</v>
      </c>
      <c r="K904" t="s">
        <v>1799</v>
      </c>
      <c r="L904" t="s">
        <v>1799</v>
      </c>
      <c r="M904" t="s">
        <v>1799</v>
      </c>
      <c r="N904" t="s">
        <v>1799</v>
      </c>
      <c r="O904" s="184" t="str">
        <f>"["&amp;$C904&amp;"]["&amp;$D904&amp;"]["&amp;$F904&amp;"]"</f>
        <v>[S10_InstallationsInfringementPenalties][7][PrisonMin]</v>
      </c>
    </row>
    <row r="905" spans="1:15" x14ac:dyDescent="0.3">
      <c r="A905" t="s">
        <v>1793</v>
      </c>
      <c r="B905" t="s">
        <v>2194</v>
      </c>
      <c r="C905" t="s">
        <v>2195</v>
      </c>
      <c r="D905">
        <v>8</v>
      </c>
      <c r="E905" t="s">
        <v>1447</v>
      </c>
      <c r="F905" t="s">
        <v>2165</v>
      </c>
      <c r="G905" t="s">
        <v>1889</v>
      </c>
      <c r="H905" t="s">
        <v>1799</v>
      </c>
      <c r="I905" t="s">
        <v>1799</v>
      </c>
      <c r="J905">
        <v>0</v>
      </c>
      <c r="K905" t="s">
        <v>1799</v>
      </c>
      <c r="L905" t="s">
        <v>1799</v>
      </c>
      <c r="M905" t="s">
        <v>1799</v>
      </c>
      <c r="N905" t="s">
        <v>1799</v>
      </c>
      <c r="O905" s="184" t="str">
        <f>"["&amp;$C905&amp;"]["&amp;$D905&amp;"]["&amp;$F905&amp;"]"</f>
        <v>[S10_InstallationsInfringementPenalties][8][PrisonMin]</v>
      </c>
    </row>
    <row r="906" spans="1:15" x14ac:dyDescent="0.3">
      <c r="A906" t="s">
        <v>1793</v>
      </c>
      <c r="B906" t="s">
        <v>2194</v>
      </c>
      <c r="C906" t="s">
        <v>2195</v>
      </c>
      <c r="D906">
        <v>9</v>
      </c>
      <c r="E906" t="s">
        <v>1447</v>
      </c>
      <c r="F906" t="s">
        <v>2165</v>
      </c>
      <c r="G906" t="s">
        <v>1889</v>
      </c>
      <c r="H906" t="s">
        <v>1799</v>
      </c>
      <c r="I906" t="s">
        <v>1799</v>
      </c>
      <c r="J906">
        <v>0</v>
      </c>
      <c r="K906" t="s">
        <v>1799</v>
      </c>
      <c r="L906" t="s">
        <v>1799</v>
      </c>
      <c r="M906" t="s">
        <v>1799</v>
      </c>
      <c r="N906" t="s">
        <v>1799</v>
      </c>
      <c r="O906" s="184" t="str">
        <f>"["&amp;$C906&amp;"]["&amp;$D906&amp;"]["&amp;$F906&amp;"]"</f>
        <v>[S10_InstallationsInfringementPenalties][9][PrisonMin]</v>
      </c>
    </row>
    <row r="907" spans="1:15" x14ac:dyDescent="0.3">
      <c r="A907" t="s">
        <v>1793</v>
      </c>
      <c r="B907" t="s">
        <v>2194</v>
      </c>
      <c r="C907" t="s">
        <v>2195</v>
      </c>
      <c r="D907">
        <v>10</v>
      </c>
      <c r="E907" t="s">
        <v>1447</v>
      </c>
      <c r="F907" t="s">
        <v>2165</v>
      </c>
      <c r="G907" t="s">
        <v>1889</v>
      </c>
      <c r="H907" t="s">
        <v>1799</v>
      </c>
      <c r="I907" t="s">
        <v>1799</v>
      </c>
      <c r="J907">
        <v>0</v>
      </c>
      <c r="K907" t="s">
        <v>1799</v>
      </c>
      <c r="L907" t="s">
        <v>1799</v>
      </c>
      <c r="M907" t="s">
        <v>1799</v>
      </c>
      <c r="N907" t="s">
        <v>1799</v>
      </c>
      <c r="O907" s="184" t="str">
        <f>"["&amp;$C907&amp;"]["&amp;$D907&amp;"]["&amp;$F907&amp;"]"</f>
        <v>[S10_InstallationsInfringementPenalties][10][PrisonMin]</v>
      </c>
    </row>
    <row r="908" spans="1:15" x14ac:dyDescent="0.3">
      <c r="A908" t="s">
        <v>1793</v>
      </c>
      <c r="B908" t="s">
        <v>2194</v>
      </c>
      <c r="C908" t="s">
        <v>2195</v>
      </c>
      <c r="D908">
        <v>11</v>
      </c>
      <c r="E908" t="s">
        <v>1447</v>
      </c>
      <c r="F908" t="s">
        <v>2165</v>
      </c>
      <c r="G908" t="s">
        <v>1889</v>
      </c>
      <c r="H908" t="s">
        <v>1799</v>
      </c>
      <c r="I908" t="s">
        <v>1799</v>
      </c>
      <c r="J908">
        <v>0</v>
      </c>
      <c r="K908" t="s">
        <v>1799</v>
      </c>
      <c r="L908" t="s">
        <v>1799</v>
      </c>
      <c r="M908" t="s">
        <v>1799</v>
      </c>
      <c r="N908" t="s">
        <v>1799</v>
      </c>
      <c r="O908" s="184" t="str">
        <f>"["&amp;$C908&amp;"]["&amp;$D908&amp;"]["&amp;$F908&amp;"]"</f>
        <v>[S10_InstallationsInfringementPenalties][11][PrisonMin]</v>
      </c>
    </row>
    <row r="909" spans="1:15" x14ac:dyDescent="0.3">
      <c r="A909" t="s">
        <v>1793</v>
      </c>
      <c r="B909" t="s">
        <v>2194</v>
      </c>
      <c r="C909" t="s">
        <v>2195</v>
      </c>
      <c r="D909">
        <v>12</v>
      </c>
      <c r="E909" t="s">
        <v>1447</v>
      </c>
      <c r="F909" t="s">
        <v>2165</v>
      </c>
      <c r="G909" t="s">
        <v>1889</v>
      </c>
      <c r="H909" t="s">
        <v>1799</v>
      </c>
      <c r="I909" t="s">
        <v>1799</v>
      </c>
      <c r="J909">
        <v>0</v>
      </c>
      <c r="K909" t="s">
        <v>1799</v>
      </c>
      <c r="L909" t="s">
        <v>1799</v>
      </c>
      <c r="M909" t="s">
        <v>1799</v>
      </c>
      <c r="N909" t="s">
        <v>1799</v>
      </c>
      <c r="O909" s="184" t="str">
        <f>"["&amp;$C909&amp;"]["&amp;$D909&amp;"]["&amp;$F909&amp;"]"</f>
        <v>[S10_InstallationsInfringementPenalties][12][PrisonMin]</v>
      </c>
    </row>
    <row r="910" spans="1:15" x14ac:dyDescent="0.3">
      <c r="A910" t="s">
        <v>1793</v>
      </c>
      <c r="B910" t="s">
        <v>2194</v>
      </c>
      <c r="C910" t="s">
        <v>2195</v>
      </c>
      <c r="D910">
        <v>1</v>
      </c>
      <c r="E910" t="s">
        <v>1447</v>
      </c>
      <c r="F910" t="s">
        <v>2166</v>
      </c>
      <c r="G910" t="s">
        <v>1889</v>
      </c>
      <c r="H910" t="s">
        <v>1799</v>
      </c>
      <c r="I910" t="s">
        <v>1799</v>
      </c>
      <c r="J910">
        <v>0</v>
      </c>
      <c r="K910" t="s">
        <v>1799</v>
      </c>
      <c r="L910" t="s">
        <v>1799</v>
      </c>
      <c r="M910" t="s">
        <v>1799</v>
      </c>
      <c r="N910" t="s">
        <v>1799</v>
      </c>
      <c r="O910" s="184" t="str">
        <f>"["&amp;$C910&amp;"]["&amp;$D910&amp;"]["&amp;$F910&amp;"]"</f>
        <v>[S10_InstallationsInfringementPenalties][1][PrisonMax]</v>
      </c>
    </row>
    <row r="911" spans="1:15" x14ac:dyDescent="0.3">
      <c r="A911" t="s">
        <v>1793</v>
      </c>
      <c r="B911" t="s">
        <v>2194</v>
      </c>
      <c r="C911" t="s">
        <v>2195</v>
      </c>
      <c r="D911">
        <v>2</v>
      </c>
      <c r="E911" t="s">
        <v>1447</v>
      </c>
      <c r="F911" t="s">
        <v>2166</v>
      </c>
      <c r="G911" t="s">
        <v>1889</v>
      </c>
      <c r="H911" t="s">
        <v>1799</v>
      </c>
      <c r="I911" t="s">
        <v>1799</v>
      </c>
      <c r="J911">
        <v>0</v>
      </c>
      <c r="K911" t="s">
        <v>1799</v>
      </c>
      <c r="L911" t="s">
        <v>1799</v>
      </c>
      <c r="M911" t="s">
        <v>1799</v>
      </c>
      <c r="N911" t="s">
        <v>1799</v>
      </c>
      <c r="O911" s="184" t="str">
        <f>"["&amp;$C911&amp;"]["&amp;$D911&amp;"]["&amp;$F911&amp;"]"</f>
        <v>[S10_InstallationsInfringementPenalties][2][PrisonMax]</v>
      </c>
    </row>
    <row r="912" spans="1:15" x14ac:dyDescent="0.3">
      <c r="A912" t="s">
        <v>1793</v>
      </c>
      <c r="B912" t="s">
        <v>2194</v>
      </c>
      <c r="C912" t="s">
        <v>2195</v>
      </c>
      <c r="D912">
        <v>3</v>
      </c>
      <c r="E912" t="s">
        <v>1447</v>
      </c>
      <c r="F912" t="s">
        <v>2166</v>
      </c>
      <c r="G912" t="s">
        <v>1889</v>
      </c>
      <c r="H912" t="s">
        <v>1799</v>
      </c>
      <c r="I912" t="s">
        <v>1799</v>
      </c>
      <c r="J912">
        <v>0</v>
      </c>
      <c r="K912" t="s">
        <v>1799</v>
      </c>
      <c r="L912" t="s">
        <v>1799</v>
      </c>
      <c r="M912" t="s">
        <v>1799</v>
      </c>
      <c r="N912" t="s">
        <v>1799</v>
      </c>
      <c r="O912" s="184" t="str">
        <f>"["&amp;$C912&amp;"]["&amp;$D912&amp;"]["&amp;$F912&amp;"]"</f>
        <v>[S10_InstallationsInfringementPenalties][3][PrisonMax]</v>
      </c>
    </row>
    <row r="913" spans="1:15" x14ac:dyDescent="0.3">
      <c r="A913" t="s">
        <v>1793</v>
      </c>
      <c r="B913" t="s">
        <v>2194</v>
      </c>
      <c r="C913" t="s">
        <v>2195</v>
      </c>
      <c r="D913">
        <v>4</v>
      </c>
      <c r="E913" t="s">
        <v>1447</v>
      </c>
      <c r="F913" t="s">
        <v>2166</v>
      </c>
      <c r="G913" t="s">
        <v>1889</v>
      </c>
      <c r="H913" t="s">
        <v>1799</v>
      </c>
      <c r="I913" t="s">
        <v>1799</v>
      </c>
      <c r="J913">
        <v>0</v>
      </c>
      <c r="K913" t="s">
        <v>1799</v>
      </c>
      <c r="L913" t="s">
        <v>1799</v>
      </c>
      <c r="M913" t="s">
        <v>1799</v>
      </c>
      <c r="N913" t="s">
        <v>1799</v>
      </c>
      <c r="O913" s="184" t="str">
        <f>"["&amp;$C913&amp;"]["&amp;$D913&amp;"]["&amp;$F913&amp;"]"</f>
        <v>[S10_InstallationsInfringementPenalties][4][PrisonMax]</v>
      </c>
    </row>
    <row r="914" spans="1:15" x14ac:dyDescent="0.3">
      <c r="A914" t="s">
        <v>1793</v>
      </c>
      <c r="B914" t="s">
        <v>2194</v>
      </c>
      <c r="C914" t="s">
        <v>2195</v>
      </c>
      <c r="D914">
        <v>5</v>
      </c>
      <c r="E914" t="s">
        <v>1447</v>
      </c>
      <c r="F914" t="s">
        <v>2166</v>
      </c>
      <c r="G914" t="s">
        <v>1889</v>
      </c>
      <c r="H914" t="s">
        <v>1799</v>
      </c>
      <c r="I914" t="s">
        <v>1799</v>
      </c>
      <c r="J914">
        <v>0</v>
      </c>
      <c r="K914" t="s">
        <v>1799</v>
      </c>
      <c r="L914" t="s">
        <v>1799</v>
      </c>
      <c r="M914" t="s">
        <v>1799</v>
      </c>
      <c r="N914" t="s">
        <v>1799</v>
      </c>
      <c r="O914" s="184" t="str">
        <f>"["&amp;$C914&amp;"]["&amp;$D914&amp;"]["&amp;$F914&amp;"]"</f>
        <v>[S10_InstallationsInfringementPenalties][5][PrisonMax]</v>
      </c>
    </row>
    <row r="915" spans="1:15" x14ac:dyDescent="0.3">
      <c r="A915" t="s">
        <v>1793</v>
      </c>
      <c r="B915" t="s">
        <v>2194</v>
      </c>
      <c r="C915" t="s">
        <v>2195</v>
      </c>
      <c r="D915">
        <v>6</v>
      </c>
      <c r="E915" t="s">
        <v>1447</v>
      </c>
      <c r="F915" t="s">
        <v>2166</v>
      </c>
      <c r="G915" t="s">
        <v>1889</v>
      </c>
      <c r="H915" t="s">
        <v>1799</v>
      </c>
      <c r="I915" t="s">
        <v>1799</v>
      </c>
      <c r="J915">
        <v>0</v>
      </c>
      <c r="K915" t="s">
        <v>1799</v>
      </c>
      <c r="L915" t="s">
        <v>1799</v>
      </c>
      <c r="M915" t="s">
        <v>1799</v>
      </c>
      <c r="N915" t="s">
        <v>1799</v>
      </c>
      <c r="O915" s="184" t="str">
        <f>"["&amp;$C915&amp;"]["&amp;$D915&amp;"]["&amp;$F915&amp;"]"</f>
        <v>[S10_InstallationsInfringementPenalties][6][PrisonMax]</v>
      </c>
    </row>
    <row r="916" spans="1:15" x14ac:dyDescent="0.3">
      <c r="A916" t="s">
        <v>1793</v>
      </c>
      <c r="B916" t="s">
        <v>2194</v>
      </c>
      <c r="C916" t="s">
        <v>2195</v>
      </c>
      <c r="D916">
        <v>7</v>
      </c>
      <c r="E916" t="s">
        <v>1447</v>
      </c>
      <c r="F916" t="s">
        <v>2166</v>
      </c>
      <c r="G916" t="s">
        <v>1889</v>
      </c>
      <c r="H916" t="s">
        <v>1799</v>
      </c>
      <c r="I916" t="s">
        <v>1799</v>
      </c>
      <c r="J916">
        <v>0</v>
      </c>
      <c r="K916" t="s">
        <v>1799</v>
      </c>
      <c r="L916" t="s">
        <v>1799</v>
      </c>
      <c r="M916" t="s">
        <v>1799</v>
      </c>
      <c r="N916" t="s">
        <v>1799</v>
      </c>
      <c r="O916" s="184" t="str">
        <f>"["&amp;$C916&amp;"]["&amp;$D916&amp;"]["&amp;$F916&amp;"]"</f>
        <v>[S10_InstallationsInfringementPenalties][7][PrisonMax]</v>
      </c>
    </row>
    <row r="917" spans="1:15" x14ac:dyDescent="0.3">
      <c r="A917" t="s">
        <v>1793</v>
      </c>
      <c r="B917" t="s">
        <v>2194</v>
      </c>
      <c r="C917" t="s">
        <v>2195</v>
      </c>
      <c r="D917">
        <v>8</v>
      </c>
      <c r="E917" t="s">
        <v>1447</v>
      </c>
      <c r="F917" t="s">
        <v>2166</v>
      </c>
      <c r="G917" t="s">
        <v>1889</v>
      </c>
      <c r="H917" t="s">
        <v>1799</v>
      </c>
      <c r="I917" t="s">
        <v>1799</v>
      </c>
      <c r="J917">
        <v>0</v>
      </c>
      <c r="K917" t="s">
        <v>1799</v>
      </c>
      <c r="L917" t="s">
        <v>1799</v>
      </c>
      <c r="M917" t="s">
        <v>1799</v>
      </c>
      <c r="N917" t="s">
        <v>1799</v>
      </c>
      <c r="O917" s="184" t="str">
        <f>"["&amp;$C917&amp;"]["&amp;$D917&amp;"]["&amp;$F917&amp;"]"</f>
        <v>[S10_InstallationsInfringementPenalties][8][PrisonMax]</v>
      </c>
    </row>
    <row r="918" spans="1:15" x14ac:dyDescent="0.3">
      <c r="A918" t="s">
        <v>1793</v>
      </c>
      <c r="B918" t="s">
        <v>2194</v>
      </c>
      <c r="C918" t="s">
        <v>2195</v>
      </c>
      <c r="D918">
        <v>9</v>
      </c>
      <c r="E918" t="s">
        <v>1447</v>
      </c>
      <c r="F918" t="s">
        <v>2166</v>
      </c>
      <c r="G918" t="s">
        <v>1889</v>
      </c>
      <c r="H918" t="s">
        <v>1799</v>
      </c>
      <c r="I918" t="s">
        <v>1799</v>
      </c>
      <c r="J918">
        <v>0</v>
      </c>
      <c r="K918" t="s">
        <v>1799</v>
      </c>
      <c r="L918" t="s">
        <v>1799</v>
      </c>
      <c r="M918" t="s">
        <v>1799</v>
      </c>
      <c r="N918" t="s">
        <v>1799</v>
      </c>
      <c r="O918" s="184" t="str">
        <f>"["&amp;$C918&amp;"]["&amp;$D918&amp;"]["&amp;$F918&amp;"]"</f>
        <v>[S10_InstallationsInfringementPenalties][9][PrisonMax]</v>
      </c>
    </row>
    <row r="919" spans="1:15" x14ac:dyDescent="0.3">
      <c r="A919" t="s">
        <v>1793</v>
      </c>
      <c r="B919" t="s">
        <v>2194</v>
      </c>
      <c r="C919" t="s">
        <v>2195</v>
      </c>
      <c r="D919">
        <v>10</v>
      </c>
      <c r="E919" t="s">
        <v>1447</v>
      </c>
      <c r="F919" t="s">
        <v>2166</v>
      </c>
      <c r="G919" t="s">
        <v>1889</v>
      </c>
      <c r="H919" t="s">
        <v>1799</v>
      </c>
      <c r="I919" t="s">
        <v>1799</v>
      </c>
      <c r="J919">
        <v>0</v>
      </c>
      <c r="K919" t="s">
        <v>1799</v>
      </c>
      <c r="L919" t="s">
        <v>1799</v>
      </c>
      <c r="M919" t="s">
        <v>1799</v>
      </c>
      <c r="N919" t="s">
        <v>1799</v>
      </c>
      <c r="O919" s="184" t="str">
        <f>"["&amp;$C919&amp;"]["&amp;$D919&amp;"]["&amp;$F919&amp;"]"</f>
        <v>[S10_InstallationsInfringementPenalties][10][PrisonMax]</v>
      </c>
    </row>
    <row r="920" spans="1:15" x14ac:dyDescent="0.3">
      <c r="A920" t="s">
        <v>1793</v>
      </c>
      <c r="B920" t="s">
        <v>2194</v>
      </c>
      <c r="C920" t="s">
        <v>2195</v>
      </c>
      <c r="D920">
        <v>11</v>
      </c>
      <c r="E920" t="s">
        <v>1447</v>
      </c>
      <c r="F920" t="s">
        <v>2166</v>
      </c>
      <c r="G920" t="s">
        <v>1889</v>
      </c>
      <c r="H920" t="s">
        <v>1799</v>
      </c>
      <c r="I920" t="s">
        <v>1799</v>
      </c>
      <c r="J920">
        <v>0</v>
      </c>
      <c r="K920" t="s">
        <v>1799</v>
      </c>
      <c r="L920" t="s">
        <v>1799</v>
      </c>
      <c r="M920" t="s">
        <v>1799</v>
      </c>
      <c r="N920" t="s">
        <v>1799</v>
      </c>
      <c r="O920" s="184" t="str">
        <f>"["&amp;$C920&amp;"]["&amp;$D920&amp;"]["&amp;$F920&amp;"]"</f>
        <v>[S10_InstallationsInfringementPenalties][11][PrisonMax]</v>
      </c>
    </row>
    <row r="921" spans="1:15" x14ac:dyDescent="0.3">
      <c r="A921" t="s">
        <v>1793</v>
      </c>
      <c r="B921" t="s">
        <v>2194</v>
      </c>
      <c r="C921" t="s">
        <v>2195</v>
      </c>
      <c r="D921">
        <v>12</v>
      </c>
      <c r="E921" t="s">
        <v>1447</v>
      </c>
      <c r="F921" t="s">
        <v>2166</v>
      </c>
      <c r="G921" t="s">
        <v>1889</v>
      </c>
      <c r="H921" t="s">
        <v>1799</v>
      </c>
      <c r="I921" t="s">
        <v>1799</v>
      </c>
      <c r="J921">
        <v>0</v>
      </c>
      <c r="K921" t="s">
        <v>1799</v>
      </c>
      <c r="L921" t="s">
        <v>1799</v>
      </c>
      <c r="M921" t="s">
        <v>1799</v>
      </c>
      <c r="N921" t="s">
        <v>1799</v>
      </c>
      <c r="O921" s="184" t="str">
        <f>"["&amp;$C921&amp;"]["&amp;$D921&amp;"]["&amp;$F921&amp;"]"</f>
        <v>[S10_InstallationsInfringementPenalties][12][PrisonMax]</v>
      </c>
    </row>
    <row r="922" spans="1:15" x14ac:dyDescent="0.3">
      <c r="A922" t="s">
        <v>1793</v>
      </c>
      <c r="B922" t="s">
        <v>2194</v>
      </c>
      <c r="C922" t="s">
        <v>2196</v>
      </c>
      <c r="D922">
        <v>0</v>
      </c>
      <c r="E922" t="s">
        <v>1447</v>
      </c>
      <c r="F922" t="s">
        <v>2196</v>
      </c>
      <c r="G922" t="s">
        <v>1797</v>
      </c>
      <c r="H922" t="s">
        <v>2197</v>
      </c>
      <c r="I922" t="s">
        <v>1799</v>
      </c>
      <c r="J922" t="s">
        <v>1799</v>
      </c>
      <c r="K922" t="s">
        <v>1799</v>
      </c>
      <c r="L922" t="s">
        <v>1799</v>
      </c>
      <c r="M922" t="s">
        <v>1799</v>
      </c>
      <c r="N922" t="s">
        <v>1799</v>
      </c>
      <c r="O922" s="184" t="str">
        <f>"["&amp;$C922&amp;"]["&amp;$D922&amp;"]["&amp;$F922&amp;"]"</f>
        <v>[InstallationsNationalLaw][0][InstallationsNationalLaw]</v>
      </c>
    </row>
    <row r="923" spans="1:15" x14ac:dyDescent="0.3">
      <c r="A923" t="s">
        <v>1793</v>
      </c>
      <c r="B923" t="s">
        <v>2198</v>
      </c>
      <c r="C923" t="s">
        <v>2199</v>
      </c>
      <c r="D923">
        <v>1</v>
      </c>
      <c r="E923" t="s">
        <v>1447</v>
      </c>
      <c r="F923" t="s">
        <v>1964</v>
      </c>
      <c r="G923" t="s">
        <v>1797</v>
      </c>
      <c r="H923" t="s">
        <v>2200</v>
      </c>
      <c r="I923" t="s">
        <v>1799</v>
      </c>
      <c r="J923" t="s">
        <v>1799</v>
      </c>
      <c r="K923" t="s">
        <v>1799</v>
      </c>
      <c r="L923" t="s">
        <v>1799</v>
      </c>
      <c r="M923" t="s">
        <v>1799</v>
      </c>
      <c r="N923" t="s">
        <v>1799</v>
      </c>
      <c r="O923" s="184" t="str">
        <f>"["&amp;$C923&amp;"]["&amp;$D923&amp;"]["&amp;$F923&amp;"]"</f>
        <v>[S10_InstallationPenalties][1][InstallationID]</v>
      </c>
    </row>
    <row r="924" spans="1:15" x14ac:dyDescent="0.3">
      <c r="A924" t="s">
        <v>1793</v>
      </c>
      <c r="B924" t="s">
        <v>2198</v>
      </c>
      <c r="C924" t="s">
        <v>2199</v>
      </c>
      <c r="D924">
        <v>1</v>
      </c>
      <c r="E924" t="s">
        <v>1447</v>
      </c>
      <c r="F924" t="s">
        <v>2112</v>
      </c>
      <c r="G924" t="s">
        <v>1797</v>
      </c>
      <c r="H924" t="s">
        <v>2201</v>
      </c>
      <c r="I924" t="s">
        <v>1799</v>
      </c>
      <c r="J924" t="s">
        <v>1799</v>
      </c>
      <c r="K924" t="s">
        <v>1799</v>
      </c>
      <c r="L924" t="s">
        <v>1799</v>
      </c>
      <c r="M924" t="s">
        <v>1799</v>
      </c>
      <c r="N924" t="s">
        <v>1799</v>
      </c>
      <c r="O924" s="184" t="str">
        <f>"["&amp;$C924&amp;"]["&amp;$D924&amp;"]["&amp;$F924&amp;"]"</f>
        <v>[S10_InstallationPenalties][1][OperatorName]</v>
      </c>
    </row>
    <row r="925" spans="1:15" x14ac:dyDescent="0.3">
      <c r="A925" t="s">
        <v>1793</v>
      </c>
      <c r="B925" t="s">
        <v>2202</v>
      </c>
      <c r="C925" t="s">
        <v>2203</v>
      </c>
      <c r="D925">
        <v>1</v>
      </c>
      <c r="E925" t="s">
        <v>1447</v>
      </c>
      <c r="F925" t="s">
        <v>2189</v>
      </c>
      <c r="G925" t="s">
        <v>1836</v>
      </c>
      <c r="H925" t="s">
        <v>1799</v>
      </c>
      <c r="I925" t="s">
        <v>1799</v>
      </c>
      <c r="J925" t="s">
        <v>1799</v>
      </c>
      <c r="K925" t="s">
        <v>1799</v>
      </c>
      <c r="L925" t="s">
        <v>1447</v>
      </c>
      <c r="M925" t="s">
        <v>1799</v>
      </c>
      <c r="N925" t="s">
        <v>1799</v>
      </c>
      <c r="O925" s="184" t="str">
        <f>"["&amp;$C925&amp;"]["&amp;$D925&amp;"]["&amp;$F925&amp;"]"</f>
        <v>[S10_AircraftComplianceMeasures][1][ComplianceMeasuresYesNo]</v>
      </c>
    </row>
    <row r="926" spans="1:15" x14ac:dyDescent="0.3">
      <c r="A926" t="s">
        <v>1793</v>
      </c>
      <c r="B926" t="s">
        <v>2202</v>
      </c>
      <c r="C926" t="s">
        <v>2203</v>
      </c>
      <c r="D926">
        <v>3</v>
      </c>
      <c r="E926" t="s">
        <v>1447</v>
      </c>
      <c r="F926" t="s">
        <v>2189</v>
      </c>
      <c r="G926" t="s">
        <v>1836</v>
      </c>
      <c r="H926" t="s">
        <v>1799</v>
      </c>
      <c r="I926" t="s">
        <v>1799</v>
      </c>
      <c r="J926" t="s">
        <v>1799</v>
      </c>
      <c r="K926" t="s">
        <v>1799</v>
      </c>
      <c r="L926" t="s">
        <v>1419</v>
      </c>
      <c r="M926" t="s">
        <v>1799</v>
      </c>
      <c r="N926" t="s">
        <v>1799</v>
      </c>
      <c r="O926" s="184" t="str">
        <f>"["&amp;$C926&amp;"]["&amp;$D926&amp;"]["&amp;$F926&amp;"]"</f>
        <v>[S10_AircraftComplianceMeasures][3][ComplianceMeasuresYesNo]</v>
      </c>
    </row>
    <row r="927" spans="1:15" x14ac:dyDescent="0.3">
      <c r="A927" t="s">
        <v>1793</v>
      </c>
      <c r="B927" t="s">
        <v>2202</v>
      </c>
      <c r="C927" t="s">
        <v>2203</v>
      </c>
      <c r="D927">
        <v>4</v>
      </c>
      <c r="E927" t="s">
        <v>1447</v>
      </c>
      <c r="F927" t="s">
        <v>2189</v>
      </c>
      <c r="G927" t="s">
        <v>1836</v>
      </c>
      <c r="H927" t="s">
        <v>1799</v>
      </c>
      <c r="I927" t="s">
        <v>1799</v>
      </c>
      <c r="J927" t="s">
        <v>1799</v>
      </c>
      <c r="K927" t="s">
        <v>1799</v>
      </c>
      <c r="L927" t="s">
        <v>1447</v>
      </c>
      <c r="M927" t="s">
        <v>1799</v>
      </c>
      <c r="N927" t="s">
        <v>1799</v>
      </c>
      <c r="O927" s="184" t="str">
        <f>"["&amp;$C927&amp;"]["&amp;$D927&amp;"]["&amp;$F927&amp;"]"</f>
        <v>[S10_AircraftComplianceMeasures][4][ComplianceMeasuresYesNo]</v>
      </c>
    </row>
    <row r="928" spans="1:15" x14ac:dyDescent="0.3">
      <c r="A928" t="s">
        <v>1793</v>
      </c>
      <c r="B928" t="s">
        <v>2202</v>
      </c>
      <c r="C928" t="s">
        <v>2203</v>
      </c>
      <c r="D928">
        <v>2</v>
      </c>
      <c r="E928" t="s">
        <v>1447</v>
      </c>
      <c r="F928" t="s">
        <v>2190</v>
      </c>
      <c r="G928" t="s">
        <v>1870</v>
      </c>
      <c r="H928" t="s">
        <v>1799</v>
      </c>
      <c r="I928" t="s">
        <v>1799</v>
      </c>
      <c r="J928" t="s">
        <v>1799</v>
      </c>
      <c r="K928" t="s">
        <v>2192</v>
      </c>
      <c r="L928" t="s">
        <v>1799</v>
      </c>
      <c r="M928" t="s">
        <v>1799</v>
      </c>
      <c r="N928" t="s">
        <v>1799</v>
      </c>
      <c r="O928" s="184" t="str">
        <f>"["&amp;$C928&amp;"]["&amp;$D928&amp;"]["&amp;$F928&amp;"]"</f>
        <v>[S10_AircraftComplianceMeasures][2][ComplianceMeasuresComment]</v>
      </c>
    </row>
    <row r="929" spans="1:15" x14ac:dyDescent="0.3">
      <c r="A929" t="s">
        <v>1793</v>
      </c>
      <c r="B929" t="s">
        <v>2202</v>
      </c>
      <c r="C929" t="s">
        <v>2203</v>
      </c>
      <c r="D929">
        <v>3</v>
      </c>
      <c r="E929" t="s">
        <v>1447</v>
      </c>
      <c r="F929" t="s">
        <v>2190</v>
      </c>
      <c r="G929" t="s">
        <v>1870</v>
      </c>
      <c r="H929" t="s">
        <v>1799</v>
      </c>
      <c r="I929" t="s">
        <v>1799</v>
      </c>
      <c r="J929" t="s">
        <v>1799</v>
      </c>
      <c r="K929" t="s">
        <v>2204</v>
      </c>
      <c r="L929" t="s">
        <v>1799</v>
      </c>
      <c r="M929" t="s">
        <v>1799</v>
      </c>
      <c r="N929" t="s">
        <v>1799</v>
      </c>
      <c r="O929" s="184" t="str">
        <f>"["&amp;$C929&amp;"]["&amp;$D929&amp;"]["&amp;$F929&amp;"]"</f>
        <v>[S10_AircraftComplianceMeasures][3][ComplianceMeasuresComment]</v>
      </c>
    </row>
    <row r="930" spans="1:15" x14ac:dyDescent="0.3">
      <c r="A930" t="s">
        <v>1793</v>
      </c>
      <c r="B930" t="s">
        <v>2205</v>
      </c>
      <c r="C930" t="s">
        <v>2206</v>
      </c>
      <c r="D930">
        <v>1</v>
      </c>
      <c r="E930" t="s">
        <v>1447</v>
      </c>
      <c r="F930" t="s">
        <v>2163</v>
      </c>
      <c r="G930" t="s">
        <v>1889</v>
      </c>
      <c r="H930" t="s">
        <v>1799</v>
      </c>
      <c r="I930" t="s">
        <v>1799</v>
      </c>
      <c r="J930">
        <v>13270</v>
      </c>
      <c r="K930" t="s">
        <v>1799</v>
      </c>
      <c r="L930" t="s">
        <v>1799</v>
      </c>
      <c r="M930" t="s">
        <v>1799</v>
      </c>
      <c r="N930" t="s">
        <v>1799</v>
      </c>
      <c r="O930" s="184" t="str">
        <f>"["&amp;$C930&amp;"]["&amp;$D930&amp;"]["&amp;$F930&amp;"]"</f>
        <v>[S10_AircraftInfringementPenalties][1][MinFine]</v>
      </c>
    </row>
    <row r="931" spans="1:15" x14ac:dyDescent="0.3">
      <c r="A931" t="s">
        <v>1793</v>
      </c>
      <c r="B931" t="s">
        <v>2205</v>
      </c>
      <c r="C931" t="s">
        <v>2206</v>
      </c>
      <c r="D931">
        <v>2</v>
      </c>
      <c r="E931" t="s">
        <v>1447</v>
      </c>
      <c r="F931" t="s">
        <v>2163</v>
      </c>
      <c r="G931" t="s">
        <v>1889</v>
      </c>
      <c r="H931" t="s">
        <v>1799</v>
      </c>
      <c r="I931" t="s">
        <v>1799</v>
      </c>
      <c r="J931">
        <v>0</v>
      </c>
      <c r="K931" t="s">
        <v>1799</v>
      </c>
      <c r="L931" t="s">
        <v>1799</v>
      </c>
      <c r="M931" t="s">
        <v>1799</v>
      </c>
      <c r="N931" t="s">
        <v>1799</v>
      </c>
      <c r="O931" s="184" t="str">
        <f>"["&amp;$C931&amp;"]["&amp;$D931&amp;"]["&amp;$F931&amp;"]"</f>
        <v>[S10_AircraftInfringementPenalties][2][MinFine]</v>
      </c>
    </row>
    <row r="932" spans="1:15" x14ac:dyDescent="0.3">
      <c r="A932" t="s">
        <v>1793</v>
      </c>
      <c r="B932" t="s">
        <v>2205</v>
      </c>
      <c r="C932" t="s">
        <v>2206</v>
      </c>
      <c r="D932">
        <v>3</v>
      </c>
      <c r="E932" t="s">
        <v>1447</v>
      </c>
      <c r="F932" t="s">
        <v>2163</v>
      </c>
      <c r="G932" t="s">
        <v>1889</v>
      </c>
      <c r="H932" t="s">
        <v>1799</v>
      </c>
      <c r="I932" t="s">
        <v>1799</v>
      </c>
      <c r="J932">
        <v>0</v>
      </c>
      <c r="K932" t="s">
        <v>1799</v>
      </c>
      <c r="L932" t="s">
        <v>1799</v>
      </c>
      <c r="M932" t="s">
        <v>1799</v>
      </c>
      <c r="N932" t="s">
        <v>1799</v>
      </c>
      <c r="O932" s="184" t="str">
        <f>"["&amp;$C932&amp;"]["&amp;$D932&amp;"]["&amp;$F932&amp;"]"</f>
        <v>[S10_AircraftInfringementPenalties][3][MinFine]</v>
      </c>
    </row>
    <row r="933" spans="1:15" x14ac:dyDescent="0.3">
      <c r="A933" t="s">
        <v>1793</v>
      </c>
      <c r="B933" t="s">
        <v>2205</v>
      </c>
      <c r="C933" t="s">
        <v>2206</v>
      </c>
      <c r="D933">
        <v>4</v>
      </c>
      <c r="E933" t="s">
        <v>1447</v>
      </c>
      <c r="F933" t="s">
        <v>2163</v>
      </c>
      <c r="G933" t="s">
        <v>1889</v>
      </c>
      <c r="H933" t="s">
        <v>1799</v>
      </c>
      <c r="I933" t="s">
        <v>1799</v>
      </c>
      <c r="J933">
        <v>3980</v>
      </c>
      <c r="K933" t="s">
        <v>1799</v>
      </c>
      <c r="L933" t="s">
        <v>1799</v>
      </c>
      <c r="M933" t="s">
        <v>1799</v>
      </c>
      <c r="N933" t="s">
        <v>1799</v>
      </c>
      <c r="O933" s="184" t="str">
        <f>"["&amp;$C933&amp;"]["&amp;$D933&amp;"]["&amp;$F933&amp;"]"</f>
        <v>[S10_AircraftInfringementPenalties][4][MinFine]</v>
      </c>
    </row>
    <row r="934" spans="1:15" x14ac:dyDescent="0.3">
      <c r="A934" t="s">
        <v>1793</v>
      </c>
      <c r="B934" t="s">
        <v>2205</v>
      </c>
      <c r="C934" t="s">
        <v>2206</v>
      </c>
      <c r="D934">
        <v>5</v>
      </c>
      <c r="E934" t="s">
        <v>1447</v>
      </c>
      <c r="F934" t="s">
        <v>2163</v>
      </c>
      <c r="G934" t="s">
        <v>1889</v>
      </c>
      <c r="H934" t="s">
        <v>1799</v>
      </c>
      <c r="I934" t="s">
        <v>1799</v>
      </c>
      <c r="J934">
        <v>0</v>
      </c>
      <c r="K934" t="s">
        <v>1799</v>
      </c>
      <c r="L934" t="s">
        <v>1799</v>
      </c>
      <c r="M934" t="s">
        <v>1799</v>
      </c>
      <c r="N934" t="s">
        <v>1799</v>
      </c>
      <c r="O934" s="184" t="str">
        <f>"["&amp;$C934&amp;"]["&amp;$D934&amp;"]["&amp;$F934&amp;"]"</f>
        <v>[S10_AircraftInfringementPenalties][5][MinFine]</v>
      </c>
    </row>
    <row r="935" spans="1:15" x14ac:dyDescent="0.3">
      <c r="A935" t="s">
        <v>1793</v>
      </c>
      <c r="B935" t="s">
        <v>2205</v>
      </c>
      <c r="C935" t="s">
        <v>2206</v>
      </c>
      <c r="D935">
        <v>6</v>
      </c>
      <c r="E935" t="s">
        <v>1447</v>
      </c>
      <c r="F935" t="s">
        <v>2163</v>
      </c>
      <c r="G935" t="s">
        <v>1889</v>
      </c>
      <c r="H935" t="s">
        <v>1799</v>
      </c>
      <c r="I935" t="s">
        <v>1799</v>
      </c>
      <c r="J935">
        <v>13270</v>
      </c>
      <c r="K935" t="s">
        <v>1799</v>
      </c>
      <c r="L935" t="s">
        <v>1799</v>
      </c>
      <c r="M935" t="s">
        <v>1799</v>
      </c>
      <c r="N935" t="s">
        <v>1799</v>
      </c>
      <c r="O935" s="184" t="str">
        <f>"["&amp;$C935&amp;"]["&amp;$D935&amp;"]["&amp;$F935&amp;"]"</f>
        <v>[S10_AircraftInfringementPenalties][6][MinFine]</v>
      </c>
    </row>
    <row r="936" spans="1:15" x14ac:dyDescent="0.3">
      <c r="A936" t="s">
        <v>1793</v>
      </c>
      <c r="B936" t="s">
        <v>2205</v>
      </c>
      <c r="C936" t="s">
        <v>2206</v>
      </c>
      <c r="D936">
        <v>7</v>
      </c>
      <c r="E936" t="s">
        <v>1447</v>
      </c>
      <c r="F936" t="s">
        <v>2163</v>
      </c>
      <c r="G936" t="s">
        <v>1889</v>
      </c>
      <c r="H936" t="s">
        <v>1799</v>
      </c>
      <c r="I936" t="s">
        <v>1799</v>
      </c>
      <c r="J936">
        <v>0</v>
      </c>
      <c r="K936" t="s">
        <v>1799</v>
      </c>
      <c r="L936" t="s">
        <v>1799</v>
      </c>
      <c r="M936" t="s">
        <v>1799</v>
      </c>
      <c r="N936" t="s">
        <v>1799</v>
      </c>
      <c r="O936" s="184" t="str">
        <f>"["&amp;$C936&amp;"]["&amp;$D936&amp;"]["&amp;$F936&amp;"]"</f>
        <v>[S10_AircraftInfringementPenalties][7][MinFine]</v>
      </c>
    </row>
    <row r="937" spans="1:15" x14ac:dyDescent="0.3">
      <c r="A937" t="s">
        <v>1793</v>
      </c>
      <c r="B937" t="s">
        <v>2205</v>
      </c>
      <c r="C937" t="s">
        <v>2206</v>
      </c>
      <c r="D937">
        <v>8</v>
      </c>
      <c r="E937" t="s">
        <v>1447</v>
      </c>
      <c r="F937" t="s">
        <v>2163</v>
      </c>
      <c r="G937" t="s">
        <v>1889</v>
      </c>
      <c r="H937" t="s">
        <v>1799</v>
      </c>
      <c r="I937" t="s">
        <v>1799</v>
      </c>
      <c r="J937">
        <v>0</v>
      </c>
      <c r="K937" t="s">
        <v>1799</v>
      </c>
      <c r="L937" t="s">
        <v>1799</v>
      </c>
      <c r="M937" t="s">
        <v>1799</v>
      </c>
      <c r="N937" t="s">
        <v>1799</v>
      </c>
      <c r="O937" s="184" t="str">
        <f>"["&amp;$C937&amp;"]["&amp;$D937&amp;"]["&amp;$F937&amp;"]"</f>
        <v>[S10_AircraftInfringementPenalties][8][MinFine]</v>
      </c>
    </row>
    <row r="938" spans="1:15" x14ac:dyDescent="0.3">
      <c r="A938" t="s">
        <v>1793</v>
      </c>
      <c r="B938" t="s">
        <v>2205</v>
      </c>
      <c r="C938" t="s">
        <v>2206</v>
      </c>
      <c r="D938">
        <v>9</v>
      </c>
      <c r="E938" t="s">
        <v>1447</v>
      </c>
      <c r="F938" t="s">
        <v>2163</v>
      </c>
      <c r="G938" t="s">
        <v>1889</v>
      </c>
      <c r="H938" t="s">
        <v>1799</v>
      </c>
      <c r="I938" t="s">
        <v>1799</v>
      </c>
      <c r="J938">
        <v>0</v>
      </c>
      <c r="K938" t="s">
        <v>1799</v>
      </c>
      <c r="L938" t="s">
        <v>1799</v>
      </c>
      <c r="M938" t="s">
        <v>1799</v>
      </c>
      <c r="N938" t="s">
        <v>1799</v>
      </c>
      <c r="O938" s="184" t="str">
        <f>"["&amp;$C938&amp;"]["&amp;$D938&amp;"]["&amp;$F938&amp;"]"</f>
        <v>[S10_AircraftInfringementPenalties][9][MinFine]</v>
      </c>
    </row>
    <row r="939" spans="1:15" x14ac:dyDescent="0.3">
      <c r="A939" t="s">
        <v>1793</v>
      </c>
      <c r="B939" t="s">
        <v>2205</v>
      </c>
      <c r="C939" t="s">
        <v>2206</v>
      </c>
      <c r="D939">
        <v>10</v>
      </c>
      <c r="E939" t="s">
        <v>1447</v>
      </c>
      <c r="F939" t="s">
        <v>2163</v>
      </c>
      <c r="G939" t="s">
        <v>1889</v>
      </c>
      <c r="H939" t="s">
        <v>1799</v>
      </c>
      <c r="I939" t="s">
        <v>1799</v>
      </c>
      <c r="J939">
        <v>0</v>
      </c>
      <c r="K939" t="s">
        <v>1799</v>
      </c>
      <c r="L939" t="s">
        <v>1799</v>
      </c>
      <c r="M939" t="s">
        <v>1799</v>
      </c>
      <c r="N939" t="s">
        <v>1799</v>
      </c>
      <c r="O939" s="184" t="str">
        <f>"["&amp;$C939&amp;"]["&amp;$D939&amp;"]["&amp;$F939&amp;"]"</f>
        <v>[S10_AircraftInfringementPenalties][10][MinFine]</v>
      </c>
    </row>
    <row r="940" spans="1:15" x14ac:dyDescent="0.3">
      <c r="A940" t="s">
        <v>1793</v>
      </c>
      <c r="B940" t="s">
        <v>2205</v>
      </c>
      <c r="C940" t="s">
        <v>2206</v>
      </c>
      <c r="D940">
        <v>11</v>
      </c>
      <c r="E940" t="s">
        <v>1447</v>
      </c>
      <c r="F940" t="s">
        <v>2163</v>
      </c>
      <c r="G940" t="s">
        <v>1889</v>
      </c>
      <c r="H940" t="s">
        <v>1799</v>
      </c>
      <c r="I940" t="s">
        <v>1799</v>
      </c>
      <c r="J940">
        <v>0</v>
      </c>
      <c r="K940" t="s">
        <v>1799</v>
      </c>
      <c r="L940" t="s">
        <v>1799</v>
      </c>
      <c r="M940" t="s">
        <v>1799</v>
      </c>
      <c r="N940" t="s">
        <v>1799</v>
      </c>
      <c r="O940" s="184" t="str">
        <f>"["&amp;$C940&amp;"]["&amp;$D940&amp;"]["&amp;$F940&amp;"]"</f>
        <v>[S10_AircraftInfringementPenalties][11][MinFine]</v>
      </c>
    </row>
    <row r="941" spans="1:15" x14ac:dyDescent="0.3">
      <c r="A941" t="s">
        <v>1793</v>
      </c>
      <c r="B941" t="s">
        <v>2205</v>
      </c>
      <c r="C941" t="s">
        <v>2206</v>
      </c>
      <c r="D941">
        <v>1</v>
      </c>
      <c r="E941" t="s">
        <v>1447</v>
      </c>
      <c r="F941" t="s">
        <v>2164</v>
      </c>
      <c r="G941" t="s">
        <v>1889</v>
      </c>
      <c r="H941" t="s">
        <v>1799</v>
      </c>
      <c r="I941" t="s">
        <v>1799</v>
      </c>
      <c r="J941">
        <v>66360</v>
      </c>
      <c r="K941" t="s">
        <v>1799</v>
      </c>
      <c r="L941" t="s">
        <v>1799</v>
      </c>
      <c r="M941" t="s">
        <v>1799</v>
      </c>
      <c r="N941" t="s">
        <v>1799</v>
      </c>
      <c r="O941" s="184" t="str">
        <f>"["&amp;$C941&amp;"]["&amp;$D941&amp;"]["&amp;$F941&amp;"]"</f>
        <v>[S10_AircraftInfringementPenalties][1][MaxFine]</v>
      </c>
    </row>
    <row r="942" spans="1:15" x14ac:dyDescent="0.3">
      <c r="A942" t="s">
        <v>1793</v>
      </c>
      <c r="B942" t="s">
        <v>2205</v>
      </c>
      <c r="C942" t="s">
        <v>2206</v>
      </c>
      <c r="D942">
        <v>2</v>
      </c>
      <c r="E942" t="s">
        <v>1447</v>
      </c>
      <c r="F942" t="s">
        <v>2164</v>
      </c>
      <c r="G942" t="s">
        <v>1889</v>
      </c>
      <c r="H942" t="s">
        <v>1799</v>
      </c>
      <c r="I942" t="s">
        <v>1799</v>
      </c>
      <c r="J942">
        <v>0</v>
      </c>
      <c r="K942" t="s">
        <v>1799</v>
      </c>
      <c r="L942" t="s">
        <v>1799</v>
      </c>
      <c r="M942" t="s">
        <v>1799</v>
      </c>
      <c r="N942" t="s">
        <v>1799</v>
      </c>
      <c r="O942" s="184" t="str">
        <f>"["&amp;$C942&amp;"]["&amp;$D942&amp;"]["&amp;$F942&amp;"]"</f>
        <v>[S10_AircraftInfringementPenalties][2][MaxFine]</v>
      </c>
    </row>
    <row r="943" spans="1:15" x14ac:dyDescent="0.3">
      <c r="A943" t="s">
        <v>1793</v>
      </c>
      <c r="B943" t="s">
        <v>2205</v>
      </c>
      <c r="C943" t="s">
        <v>2206</v>
      </c>
      <c r="D943">
        <v>3</v>
      </c>
      <c r="E943" t="s">
        <v>1447</v>
      </c>
      <c r="F943" t="s">
        <v>2164</v>
      </c>
      <c r="G943" t="s">
        <v>1889</v>
      </c>
      <c r="H943" t="s">
        <v>1799</v>
      </c>
      <c r="I943" t="s">
        <v>1799</v>
      </c>
      <c r="J943">
        <v>0</v>
      </c>
      <c r="K943" t="s">
        <v>1799</v>
      </c>
      <c r="L943" t="s">
        <v>1799</v>
      </c>
      <c r="M943" t="s">
        <v>1799</v>
      </c>
      <c r="N943" t="s">
        <v>1799</v>
      </c>
      <c r="O943" s="184" t="str">
        <f>"["&amp;$C943&amp;"]["&amp;$D943&amp;"]["&amp;$F943&amp;"]"</f>
        <v>[S10_AircraftInfringementPenalties][3][MaxFine]</v>
      </c>
    </row>
    <row r="944" spans="1:15" x14ac:dyDescent="0.3">
      <c r="A944" t="s">
        <v>1793</v>
      </c>
      <c r="B944" t="s">
        <v>2205</v>
      </c>
      <c r="C944" t="s">
        <v>2206</v>
      </c>
      <c r="D944">
        <v>4</v>
      </c>
      <c r="E944" t="s">
        <v>1447</v>
      </c>
      <c r="F944" t="s">
        <v>2164</v>
      </c>
      <c r="G944" t="s">
        <v>1889</v>
      </c>
      <c r="H944" t="s">
        <v>1799</v>
      </c>
      <c r="I944" t="s">
        <v>1799</v>
      </c>
      <c r="J944">
        <v>13270</v>
      </c>
      <c r="K944" t="s">
        <v>1799</v>
      </c>
      <c r="L944" t="s">
        <v>1799</v>
      </c>
      <c r="M944" t="s">
        <v>1799</v>
      </c>
      <c r="N944" t="s">
        <v>1799</v>
      </c>
      <c r="O944" s="184" t="str">
        <f>"["&amp;$C944&amp;"]["&amp;$D944&amp;"]["&amp;$F944&amp;"]"</f>
        <v>[S10_AircraftInfringementPenalties][4][MaxFine]</v>
      </c>
    </row>
    <row r="945" spans="1:15" x14ac:dyDescent="0.3">
      <c r="A945" t="s">
        <v>1793</v>
      </c>
      <c r="B945" t="s">
        <v>2205</v>
      </c>
      <c r="C945" t="s">
        <v>2206</v>
      </c>
      <c r="D945">
        <v>5</v>
      </c>
      <c r="E945" t="s">
        <v>1447</v>
      </c>
      <c r="F945" t="s">
        <v>2164</v>
      </c>
      <c r="G945" t="s">
        <v>1889</v>
      </c>
      <c r="H945" t="s">
        <v>1799</v>
      </c>
      <c r="I945" t="s">
        <v>1799</v>
      </c>
      <c r="J945">
        <v>0</v>
      </c>
      <c r="K945" t="s">
        <v>1799</v>
      </c>
      <c r="L945" t="s">
        <v>1799</v>
      </c>
      <c r="M945" t="s">
        <v>1799</v>
      </c>
      <c r="N945" t="s">
        <v>1799</v>
      </c>
      <c r="O945" s="184" t="str">
        <f>"["&amp;$C945&amp;"]["&amp;$D945&amp;"]["&amp;$F945&amp;"]"</f>
        <v>[S10_AircraftInfringementPenalties][5][MaxFine]</v>
      </c>
    </row>
    <row r="946" spans="1:15" x14ac:dyDescent="0.3">
      <c r="A946" t="s">
        <v>1793</v>
      </c>
      <c r="B946" t="s">
        <v>2205</v>
      </c>
      <c r="C946" t="s">
        <v>2206</v>
      </c>
      <c r="D946">
        <v>6</v>
      </c>
      <c r="E946" t="s">
        <v>1447</v>
      </c>
      <c r="F946" t="s">
        <v>2164</v>
      </c>
      <c r="G946" t="s">
        <v>1889</v>
      </c>
      <c r="H946" t="s">
        <v>1799</v>
      </c>
      <c r="I946" t="s">
        <v>1799</v>
      </c>
      <c r="J946">
        <v>66360</v>
      </c>
      <c r="K946" t="s">
        <v>1799</v>
      </c>
      <c r="L946" t="s">
        <v>1799</v>
      </c>
      <c r="M946" t="s">
        <v>1799</v>
      </c>
      <c r="N946" t="s">
        <v>1799</v>
      </c>
      <c r="O946" s="184" t="str">
        <f>"["&amp;$C946&amp;"]["&amp;$D946&amp;"]["&amp;$F946&amp;"]"</f>
        <v>[S10_AircraftInfringementPenalties][6][MaxFine]</v>
      </c>
    </row>
    <row r="947" spans="1:15" x14ac:dyDescent="0.3">
      <c r="A947" t="s">
        <v>1793</v>
      </c>
      <c r="B947" t="s">
        <v>2205</v>
      </c>
      <c r="C947" t="s">
        <v>2206</v>
      </c>
      <c r="D947">
        <v>7</v>
      </c>
      <c r="E947" t="s">
        <v>1447</v>
      </c>
      <c r="F947" t="s">
        <v>2164</v>
      </c>
      <c r="G947" t="s">
        <v>1889</v>
      </c>
      <c r="H947" t="s">
        <v>1799</v>
      </c>
      <c r="I947" t="s">
        <v>1799</v>
      </c>
      <c r="J947">
        <v>0</v>
      </c>
      <c r="K947" t="s">
        <v>1799</v>
      </c>
      <c r="L947" t="s">
        <v>1799</v>
      </c>
      <c r="M947" t="s">
        <v>1799</v>
      </c>
      <c r="N947" t="s">
        <v>1799</v>
      </c>
      <c r="O947" s="184" t="str">
        <f>"["&amp;$C947&amp;"]["&amp;$D947&amp;"]["&amp;$F947&amp;"]"</f>
        <v>[S10_AircraftInfringementPenalties][7][MaxFine]</v>
      </c>
    </row>
    <row r="948" spans="1:15" x14ac:dyDescent="0.3">
      <c r="A948" t="s">
        <v>1793</v>
      </c>
      <c r="B948" t="s">
        <v>2205</v>
      </c>
      <c r="C948" t="s">
        <v>2206</v>
      </c>
      <c r="D948">
        <v>8</v>
      </c>
      <c r="E948" t="s">
        <v>1447</v>
      </c>
      <c r="F948" t="s">
        <v>2164</v>
      </c>
      <c r="G948" t="s">
        <v>1889</v>
      </c>
      <c r="H948" t="s">
        <v>1799</v>
      </c>
      <c r="I948" t="s">
        <v>1799</v>
      </c>
      <c r="J948">
        <v>0</v>
      </c>
      <c r="K948" t="s">
        <v>1799</v>
      </c>
      <c r="L948" t="s">
        <v>1799</v>
      </c>
      <c r="M948" t="s">
        <v>1799</v>
      </c>
      <c r="N948" t="s">
        <v>1799</v>
      </c>
      <c r="O948" s="184" t="str">
        <f>"["&amp;$C948&amp;"]["&amp;$D948&amp;"]["&amp;$F948&amp;"]"</f>
        <v>[S10_AircraftInfringementPenalties][8][MaxFine]</v>
      </c>
    </row>
    <row r="949" spans="1:15" x14ac:dyDescent="0.3">
      <c r="A949" t="s">
        <v>1793</v>
      </c>
      <c r="B949" t="s">
        <v>2205</v>
      </c>
      <c r="C949" t="s">
        <v>2206</v>
      </c>
      <c r="D949">
        <v>9</v>
      </c>
      <c r="E949" t="s">
        <v>1447</v>
      </c>
      <c r="F949" t="s">
        <v>2164</v>
      </c>
      <c r="G949" t="s">
        <v>1889</v>
      </c>
      <c r="H949" t="s">
        <v>1799</v>
      </c>
      <c r="I949" t="s">
        <v>1799</v>
      </c>
      <c r="J949">
        <v>0</v>
      </c>
      <c r="K949" t="s">
        <v>1799</v>
      </c>
      <c r="L949" t="s">
        <v>1799</v>
      </c>
      <c r="M949" t="s">
        <v>1799</v>
      </c>
      <c r="N949" t="s">
        <v>1799</v>
      </c>
      <c r="O949" s="184" t="str">
        <f>"["&amp;$C949&amp;"]["&amp;$D949&amp;"]["&amp;$F949&amp;"]"</f>
        <v>[S10_AircraftInfringementPenalties][9][MaxFine]</v>
      </c>
    </row>
    <row r="950" spans="1:15" x14ac:dyDescent="0.3">
      <c r="A950" t="s">
        <v>1793</v>
      </c>
      <c r="B950" t="s">
        <v>2205</v>
      </c>
      <c r="C950" t="s">
        <v>2206</v>
      </c>
      <c r="D950">
        <v>10</v>
      </c>
      <c r="E950" t="s">
        <v>1447</v>
      </c>
      <c r="F950" t="s">
        <v>2164</v>
      </c>
      <c r="G950" t="s">
        <v>1889</v>
      </c>
      <c r="H950" t="s">
        <v>1799</v>
      </c>
      <c r="I950" t="s">
        <v>1799</v>
      </c>
      <c r="J950">
        <v>0</v>
      </c>
      <c r="K950" t="s">
        <v>1799</v>
      </c>
      <c r="L950" t="s">
        <v>1799</v>
      </c>
      <c r="M950" t="s">
        <v>1799</v>
      </c>
      <c r="N950" t="s">
        <v>1799</v>
      </c>
      <c r="O950" s="184" t="str">
        <f>"["&amp;$C950&amp;"]["&amp;$D950&amp;"]["&amp;$F950&amp;"]"</f>
        <v>[S10_AircraftInfringementPenalties][10][MaxFine]</v>
      </c>
    </row>
    <row r="951" spans="1:15" x14ac:dyDescent="0.3">
      <c r="A951" t="s">
        <v>1793</v>
      </c>
      <c r="B951" t="s">
        <v>2205</v>
      </c>
      <c r="C951" t="s">
        <v>2206</v>
      </c>
      <c r="D951">
        <v>11</v>
      </c>
      <c r="E951" t="s">
        <v>1447</v>
      </c>
      <c r="F951" t="s">
        <v>2164</v>
      </c>
      <c r="G951" t="s">
        <v>1889</v>
      </c>
      <c r="H951" t="s">
        <v>1799</v>
      </c>
      <c r="I951" t="s">
        <v>1799</v>
      </c>
      <c r="J951">
        <v>0</v>
      </c>
      <c r="K951" t="s">
        <v>1799</v>
      </c>
      <c r="L951" t="s">
        <v>1799</v>
      </c>
      <c r="M951" t="s">
        <v>1799</v>
      </c>
      <c r="N951" t="s">
        <v>1799</v>
      </c>
      <c r="O951" s="184" t="str">
        <f>"["&amp;$C951&amp;"]["&amp;$D951&amp;"]["&amp;$F951&amp;"]"</f>
        <v>[S10_AircraftInfringementPenalties][11][MaxFine]</v>
      </c>
    </row>
    <row r="952" spans="1:15" x14ac:dyDescent="0.3">
      <c r="A952" t="s">
        <v>1793</v>
      </c>
      <c r="B952" t="s">
        <v>2205</v>
      </c>
      <c r="C952" t="s">
        <v>2207</v>
      </c>
      <c r="D952">
        <v>0</v>
      </c>
      <c r="E952" t="s">
        <v>1447</v>
      </c>
      <c r="F952" t="s">
        <v>2207</v>
      </c>
      <c r="G952" t="s">
        <v>1797</v>
      </c>
      <c r="H952" t="s">
        <v>2197</v>
      </c>
      <c r="I952" t="s">
        <v>1799</v>
      </c>
      <c r="J952" t="s">
        <v>1799</v>
      </c>
      <c r="K952" t="s">
        <v>1799</v>
      </c>
      <c r="L952" t="s">
        <v>1799</v>
      </c>
      <c r="M952" t="s">
        <v>1799</v>
      </c>
      <c r="N952" t="s">
        <v>1799</v>
      </c>
      <c r="O952" s="184" t="str">
        <f>"["&amp;$C952&amp;"]["&amp;$D952&amp;"]["&amp;$F952&amp;"]"</f>
        <v>[AircraftNationalLaw][0][AircraftNationalLaw]</v>
      </c>
    </row>
    <row r="953" spans="1:15" x14ac:dyDescent="0.3">
      <c r="A953" t="s">
        <v>1793</v>
      </c>
      <c r="B953" t="s">
        <v>2208</v>
      </c>
      <c r="C953" t="s">
        <v>2209</v>
      </c>
      <c r="D953">
        <v>0</v>
      </c>
      <c r="E953" t="s">
        <v>1447</v>
      </c>
      <c r="F953" t="s">
        <v>2209</v>
      </c>
      <c r="G953" t="s">
        <v>1797</v>
      </c>
      <c r="H953" t="s">
        <v>2210</v>
      </c>
      <c r="I953" t="s">
        <v>1799</v>
      </c>
      <c r="J953" t="s">
        <v>1799</v>
      </c>
      <c r="K953" t="s">
        <v>1799</v>
      </c>
      <c r="L953" t="s">
        <v>1799</v>
      </c>
      <c r="M953" t="s">
        <v>1799</v>
      </c>
      <c r="N953" t="s">
        <v>1799</v>
      </c>
      <c r="O953" s="184" t="str">
        <f>"["&amp;$C953&amp;"]["&amp;$D953&amp;"]["&amp;$F953&amp;"]"</f>
        <v>[LegalNatureOfEmissionAllowance][0][LegalNatureOfEmissionAllowance]</v>
      </c>
    </row>
    <row r="954" spans="1:15" x14ac:dyDescent="0.3">
      <c r="A954" t="s">
        <v>1793</v>
      </c>
      <c r="B954" t="s">
        <v>2211</v>
      </c>
      <c r="C954" t="s">
        <v>2212</v>
      </c>
      <c r="D954">
        <v>0</v>
      </c>
      <c r="E954" t="s">
        <v>1447</v>
      </c>
      <c r="F954" t="s">
        <v>2212</v>
      </c>
      <c r="G954" t="s">
        <v>1797</v>
      </c>
      <c r="H954" t="s">
        <v>2213</v>
      </c>
      <c r="I954" t="s">
        <v>1799</v>
      </c>
      <c r="J954" t="s">
        <v>1799</v>
      </c>
      <c r="K954" t="s">
        <v>1799</v>
      </c>
      <c r="L954" t="s">
        <v>1799</v>
      </c>
      <c r="M954" t="s">
        <v>1799</v>
      </c>
      <c r="N954" t="s">
        <v>1799</v>
      </c>
      <c r="O954" s="184" t="str">
        <f>"["&amp;$C954&amp;"]["&amp;$D954&amp;"]["&amp;$F954&amp;"]"</f>
        <v>[AccountingTreatmentOfEmissionAllowances][0][AccountingTreatmentOfEmissionAllowances]</v>
      </c>
    </row>
    <row r="955" spans="1:15" x14ac:dyDescent="0.3">
      <c r="A955" t="s">
        <v>1793</v>
      </c>
      <c r="B955" t="s">
        <v>2214</v>
      </c>
      <c r="C955" t="s">
        <v>2215</v>
      </c>
      <c r="D955">
        <v>0</v>
      </c>
      <c r="E955" t="s">
        <v>1447</v>
      </c>
      <c r="F955" t="s">
        <v>2215</v>
      </c>
      <c r="G955" t="s">
        <v>1836</v>
      </c>
      <c r="H955" t="s">
        <v>1799</v>
      </c>
      <c r="I955" t="s">
        <v>1799</v>
      </c>
      <c r="J955" t="s">
        <v>1799</v>
      </c>
      <c r="K955" t="s">
        <v>1799</v>
      </c>
      <c r="L955" t="s">
        <v>1419</v>
      </c>
      <c r="M955" t="s">
        <v>1799</v>
      </c>
      <c r="N955" t="s">
        <v>1799</v>
      </c>
      <c r="O955" s="184" t="str">
        <f>"["&amp;$C955&amp;"]["&amp;$D955&amp;"]["&amp;$F955&amp;"]"</f>
        <v>[VATdueEmissionAllowancesIssuance][0][VATdueEmissionAllowancesIssuance]</v>
      </c>
    </row>
    <row r="956" spans="1:15" x14ac:dyDescent="0.3">
      <c r="A956" t="s">
        <v>1793</v>
      </c>
      <c r="B956" t="s">
        <v>2214</v>
      </c>
      <c r="C956" t="s">
        <v>2216</v>
      </c>
      <c r="D956">
        <v>0</v>
      </c>
      <c r="E956" t="s">
        <v>1447</v>
      </c>
      <c r="F956" t="s">
        <v>2216</v>
      </c>
      <c r="G956" t="s">
        <v>1836</v>
      </c>
      <c r="H956" t="s">
        <v>1799</v>
      </c>
      <c r="I956" t="s">
        <v>1799</v>
      </c>
      <c r="J956" t="s">
        <v>1799</v>
      </c>
      <c r="K956" t="s">
        <v>1799</v>
      </c>
      <c r="L956" t="s">
        <v>1419</v>
      </c>
      <c r="M956" t="s">
        <v>1799</v>
      </c>
      <c r="N956" t="s">
        <v>1799</v>
      </c>
      <c r="O956" s="184" t="str">
        <f>"["&amp;$C956&amp;"]["&amp;$D956&amp;"]["&amp;$F956&amp;"]"</f>
        <v>[ReverseChargeMechanismEmissionAllowances][0][ReverseChargeMechanismEmissionAllowances]</v>
      </c>
    </row>
    <row r="957" spans="1:15" x14ac:dyDescent="0.3">
      <c r="A957" t="s">
        <v>1793</v>
      </c>
      <c r="B957" t="s">
        <v>2217</v>
      </c>
      <c r="C957" t="s">
        <v>2218</v>
      </c>
      <c r="D957">
        <v>0</v>
      </c>
      <c r="E957" t="s">
        <v>1447</v>
      </c>
      <c r="F957" t="s">
        <v>2218</v>
      </c>
      <c r="G957" t="s">
        <v>1836</v>
      </c>
      <c r="H957" t="s">
        <v>1799</v>
      </c>
      <c r="I957" t="s">
        <v>1799</v>
      </c>
      <c r="J957" t="s">
        <v>1799</v>
      </c>
      <c r="K957" t="s">
        <v>1799</v>
      </c>
      <c r="L957" t="s">
        <v>1419</v>
      </c>
      <c r="M957" t="s">
        <v>1799</v>
      </c>
      <c r="N957" t="s">
        <v>1799</v>
      </c>
      <c r="O957" s="184" t="str">
        <f>"["&amp;$C957&amp;"]["&amp;$D957&amp;"]["&amp;$F957&amp;"]"</f>
        <v>[EmissionAllowancesTaxed][0][EmissionAllowancesTaxed]</v>
      </c>
    </row>
    <row r="958" spans="1:15" x14ac:dyDescent="0.3">
      <c r="A958" t="s">
        <v>1793</v>
      </c>
      <c r="B958" t="s">
        <v>2217</v>
      </c>
      <c r="C958" t="s">
        <v>2219</v>
      </c>
      <c r="D958">
        <v>1</v>
      </c>
      <c r="E958" t="s">
        <v>1447</v>
      </c>
      <c r="F958" t="s">
        <v>2220</v>
      </c>
      <c r="G958" t="s">
        <v>1797</v>
      </c>
      <c r="H958" t="s">
        <v>2221</v>
      </c>
      <c r="I958" t="s">
        <v>1799</v>
      </c>
      <c r="J958" t="s">
        <v>1799</v>
      </c>
      <c r="K958" t="s">
        <v>1799</v>
      </c>
      <c r="L958" t="s">
        <v>1799</v>
      </c>
      <c r="M958" t="s">
        <v>1799</v>
      </c>
      <c r="N958" t="s">
        <v>1799</v>
      </c>
      <c r="O958" s="184" t="str">
        <f>"["&amp;$C958&amp;"]["&amp;$D958&amp;"]["&amp;$F958&amp;"]"</f>
        <v>[S11_TypeOfTaxRatesApplied][1][TypeOfTax]</v>
      </c>
    </row>
    <row r="959" spans="1:15" x14ac:dyDescent="0.3">
      <c r="A959" t="s">
        <v>1793</v>
      </c>
      <c r="B959" t="s">
        <v>2217</v>
      </c>
      <c r="C959" t="s">
        <v>2219</v>
      </c>
      <c r="D959">
        <v>1</v>
      </c>
      <c r="E959" t="s">
        <v>1447</v>
      </c>
      <c r="F959" t="s">
        <v>2222</v>
      </c>
      <c r="G959" t="s">
        <v>1797</v>
      </c>
      <c r="H959" t="s">
        <v>2191</v>
      </c>
      <c r="I959" t="s">
        <v>1799</v>
      </c>
      <c r="J959" t="s">
        <v>1799</v>
      </c>
      <c r="K959" t="s">
        <v>1799</v>
      </c>
      <c r="L959" t="s">
        <v>1799</v>
      </c>
      <c r="M959" t="s">
        <v>1799</v>
      </c>
      <c r="N959" t="s">
        <v>1799</v>
      </c>
      <c r="O959" s="184" t="str">
        <f>"["&amp;$C959&amp;"]["&amp;$D959&amp;"]["&amp;$F959&amp;"]"</f>
        <v>[S11_TypeOfTaxRatesApplied][1][TaxRateApplied]</v>
      </c>
    </row>
    <row r="960" spans="1:15" x14ac:dyDescent="0.3">
      <c r="A960" t="s">
        <v>1793</v>
      </c>
      <c r="B960" t="s">
        <v>2223</v>
      </c>
      <c r="C960" t="s">
        <v>2224</v>
      </c>
      <c r="D960">
        <v>1</v>
      </c>
      <c r="E960" t="s">
        <v>1447</v>
      </c>
      <c r="F960" t="s">
        <v>2225</v>
      </c>
      <c r="G960" t="s">
        <v>1797</v>
      </c>
      <c r="H960" t="s">
        <v>2226</v>
      </c>
      <c r="I960" t="s">
        <v>1799</v>
      </c>
      <c r="J960" t="s">
        <v>1799</v>
      </c>
      <c r="K960" t="s">
        <v>1799</v>
      </c>
      <c r="L960" t="s">
        <v>1799</v>
      </c>
      <c r="M960" t="s">
        <v>1799</v>
      </c>
      <c r="N960" t="s">
        <v>1799</v>
      </c>
      <c r="O960" s="184" t="str">
        <f>"["&amp;$C960&amp;"]["&amp;$D960&amp;"]["&amp;$F960&amp;"]"</f>
        <v>[S12_FraudFreeAllocationOfAllowances][1][DetailsOfProceduresInNationalLaw]</v>
      </c>
    </row>
    <row r="961" spans="1:15" x14ac:dyDescent="0.3">
      <c r="A961" t="s">
        <v>1793</v>
      </c>
      <c r="B961" t="s">
        <v>2223</v>
      </c>
      <c r="C961" t="s">
        <v>2224</v>
      </c>
      <c r="D961">
        <v>2</v>
      </c>
      <c r="E961" t="s">
        <v>1447</v>
      </c>
      <c r="F961" t="s">
        <v>2225</v>
      </c>
      <c r="G961" t="s">
        <v>1797</v>
      </c>
      <c r="H961" t="s">
        <v>1419</v>
      </c>
      <c r="I961" t="s">
        <v>1799</v>
      </c>
      <c r="J961" t="s">
        <v>1799</v>
      </c>
      <c r="K961" t="s">
        <v>1799</v>
      </c>
      <c r="L961" t="s">
        <v>1799</v>
      </c>
      <c r="M961" t="s">
        <v>1799</v>
      </c>
      <c r="N961" t="s">
        <v>1799</v>
      </c>
      <c r="O961" s="184" t="str">
        <f>"["&amp;$C961&amp;"]["&amp;$D961&amp;"]["&amp;$F961&amp;"]"</f>
        <v>[S12_FraudFreeAllocationOfAllowances][2][DetailsOfProceduresInNationalLaw]</v>
      </c>
    </row>
    <row r="962" spans="1:15" x14ac:dyDescent="0.3">
      <c r="A962" t="s">
        <v>1793</v>
      </c>
      <c r="B962" t="s">
        <v>2223</v>
      </c>
      <c r="C962" t="s">
        <v>2224</v>
      </c>
      <c r="D962">
        <v>3</v>
      </c>
      <c r="E962" t="s">
        <v>1447</v>
      </c>
      <c r="F962" t="s">
        <v>2225</v>
      </c>
      <c r="G962" t="s">
        <v>1797</v>
      </c>
      <c r="H962" t="s">
        <v>2227</v>
      </c>
      <c r="I962" t="s">
        <v>1799</v>
      </c>
      <c r="J962" t="s">
        <v>1799</v>
      </c>
      <c r="K962" t="s">
        <v>1799</v>
      </c>
      <c r="L962" t="s">
        <v>1799</v>
      </c>
      <c r="M962" t="s">
        <v>1799</v>
      </c>
      <c r="N962" t="s">
        <v>1799</v>
      </c>
      <c r="O962" s="184" t="str">
        <f>"["&amp;$C962&amp;"]["&amp;$D962&amp;"]["&amp;$F962&amp;"]"</f>
        <v>[S12_FraudFreeAllocationOfAllowances][3][DetailsOfProceduresInNationalLaw]</v>
      </c>
    </row>
    <row r="963" spans="1:15" x14ac:dyDescent="0.3">
      <c r="A963" t="s">
        <v>1793</v>
      </c>
      <c r="B963" t="s">
        <v>2223</v>
      </c>
      <c r="C963" t="s">
        <v>2224</v>
      </c>
      <c r="D963">
        <v>4</v>
      </c>
      <c r="E963" t="s">
        <v>1447</v>
      </c>
      <c r="F963" t="s">
        <v>2225</v>
      </c>
      <c r="G963" t="s">
        <v>1797</v>
      </c>
      <c r="H963" t="s">
        <v>1419</v>
      </c>
      <c r="I963" t="s">
        <v>1799</v>
      </c>
      <c r="J963" t="s">
        <v>1799</v>
      </c>
      <c r="K963" t="s">
        <v>1799</v>
      </c>
      <c r="L963" t="s">
        <v>1799</v>
      </c>
      <c r="M963" t="s">
        <v>1799</v>
      </c>
      <c r="N963" t="s">
        <v>1799</v>
      </c>
      <c r="O963" s="184" t="str">
        <f>"["&amp;$C963&amp;"]["&amp;$D963&amp;"]["&amp;$F963&amp;"]"</f>
        <v>[S12_FraudFreeAllocationOfAllowances][4][DetailsOfProceduresInNationalLaw]</v>
      </c>
    </row>
    <row r="964" spans="1:15" x14ac:dyDescent="0.3">
      <c r="A964" t="s">
        <v>1793</v>
      </c>
      <c r="B964" t="s">
        <v>2223</v>
      </c>
      <c r="C964" t="s">
        <v>2224</v>
      </c>
      <c r="D964">
        <v>5</v>
      </c>
      <c r="E964" t="s">
        <v>1447</v>
      </c>
      <c r="F964" t="s">
        <v>2225</v>
      </c>
      <c r="G964" t="s">
        <v>1797</v>
      </c>
      <c r="H964" t="s">
        <v>1419</v>
      </c>
      <c r="I964" t="s">
        <v>1799</v>
      </c>
      <c r="J964" t="s">
        <v>1799</v>
      </c>
      <c r="K964" t="s">
        <v>1799</v>
      </c>
      <c r="L964" t="s">
        <v>1799</v>
      </c>
      <c r="M964" t="s">
        <v>1799</v>
      </c>
      <c r="N964" t="s">
        <v>1799</v>
      </c>
      <c r="O964" s="184" t="str">
        <f>"["&amp;$C964&amp;"]["&amp;$D964&amp;"]["&amp;$F964&amp;"]"</f>
        <v>[S12_FraudFreeAllocationOfAllowances][5][DetailsOfProceduresInNationalLaw]</v>
      </c>
    </row>
    <row r="965" spans="1:15" x14ac:dyDescent="0.3">
      <c r="A965" t="s">
        <v>1793</v>
      </c>
      <c r="B965" t="s">
        <v>2223</v>
      </c>
      <c r="C965" t="s">
        <v>2224</v>
      </c>
      <c r="D965">
        <v>6</v>
      </c>
      <c r="E965" t="s">
        <v>1447</v>
      </c>
      <c r="F965" t="s">
        <v>2225</v>
      </c>
      <c r="G965" t="s">
        <v>1797</v>
      </c>
      <c r="H965" t="s">
        <v>2228</v>
      </c>
      <c r="I965" t="s">
        <v>1799</v>
      </c>
      <c r="J965" t="s">
        <v>1799</v>
      </c>
      <c r="K965" t="s">
        <v>1799</v>
      </c>
      <c r="L965" t="s">
        <v>1799</v>
      </c>
      <c r="M965" t="s">
        <v>1799</v>
      </c>
      <c r="N965" t="s">
        <v>1799</v>
      </c>
      <c r="O965" s="184" t="str">
        <f>"["&amp;$C965&amp;"]["&amp;$D965&amp;"]["&amp;$F965&amp;"]"</f>
        <v>[S12_FraudFreeAllocationOfAllowances][6][DetailsOfProceduresInNationalLaw]</v>
      </c>
    </row>
    <row r="966" spans="1:15" x14ac:dyDescent="0.3">
      <c r="A966" t="s">
        <v>1793</v>
      </c>
      <c r="B966" t="s">
        <v>2229</v>
      </c>
      <c r="C966" t="s">
        <v>2230</v>
      </c>
      <c r="D966">
        <v>1</v>
      </c>
      <c r="E966" t="s">
        <v>1447</v>
      </c>
      <c r="F966" t="s">
        <v>2231</v>
      </c>
      <c r="G966" t="s">
        <v>1797</v>
      </c>
      <c r="H966" t="s">
        <v>2232</v>
      </c>
      <c r="I966" t="s">
        <v>1799</v>
      </c>
      <c r="J966" t="s">
        <v>1799</v>
      </c>
      <c r="K966" t="s">
        <v>1799</v>
      </c>
      <c r="L966" t="s">
        <v>1799</v>
      </c>
      <c r="M966" t="s">
        <v>1799</v>
      </c>
      <c r="N966" t="s">
        <v>1799</v>
      </c>
      <c r="O966" s="184" t="str">
        <f>"["&amp;$C966&amp;"]["&amp;$D966&amp;"]["&amp;$F966&amp;"]"</f>
        <v>[S12_CompetentAuthoritiesAwareOfFraud][1][DetailsOfArrangementsAndProcedures]</v>
      </c>
    </row>
    <row r="967" spans="1:15" x14ac:dyDescent="0.3">
      <c r="A967" t="s">
        <v>1793</v>
      </c>
      <c r="B967" t="s">
        <v>2229</v>
      </c>
      <c r="C967" t="s">
        <v>2230</v>
      </c>
      <c r="D967">
        <v>2</v>
      </c>
      <c r="E967" t="s">
        <v>1447</v>
      </c>
      <c r="F967" t="s">
        <v>2231</v>
      </c>
      <c r="G967" t="s">
        <v>1797</v>
      </c>
      <c r="H967" t="s">
        <v>2232</v>
      </c>
      <c r="I967" t="s">
        <v>1799</v>
      </c>
      <c r="J967" t="s">
        <v>1799</v>
      </c>
      <c r="K967" t="s">
        <v>1799</v>
      </c>
      <c r="L967" t="s">
        <v>1799</v>
      </c>
      <c r="M967" t="s">
        <v>1799</v>
      </c>
      <c r="N967" t="s">
        <v>1799</v>
      </c>
      <c r="O967" s="184" t="str">
        <f>"["&amp;$C967&amp;"]["&amp;$D967&amp;"]["&amp;$F967&amp;"]"</f>
        <v>[S12_CompetentAuthoritiesAwareOfFraud][2][DetailsOfArrangementsAndProcedures]</v>
      </c>
    </row>
    <row r="968" spans="1:15" x14ac:dyDescent="0.3">
      <c r="A968" t="s">
        <v>1793</v>
      </c>
      <c r="B968" t="s">
        <v>2229</v>
      </c>
      <c r="C968" t="s">
        <v>2230</v>
      </c>
      <c r="D968">
        <v>3</v>
      </c>
      <c r="E968" t="s">
        <v>1447</v>
      </c>
      <c r="F968" t="s">
        <v>2231</v>
      </c>
      <c r="G968" t="s">
        <v>1797</v>
      </c>
      <c r="H968" t="s">
        <v>2232</v>
      </c>
      <c r="I968" t="s">
        <v>1799</v>
      </c>
      <c r="J968" t="s">
        <v>1799</v>
      </c>
      <c r="K968" t="s">
        <v>1799</v>
      </c>
      <c r="L968" t="s">
        <v>1799</v>
      </c>
      <c r="M968" t="s">
        <v>1799</v>
      </c>
      <c r="N968" t="s">
        <v>1799</v>
      </c>
      <c r="O968" s="184" t="str">
        <f>"["&amp;$C968&amp;"]["&amp;$D968&amp;"]["&amp;$F968&amp;"]"</f>
        <v>[S12_CompetentAuthoritiesAwareOfFraud][3][DetailsOfArrangementsAndProcedures]</v>
      </c>
    </row>
    <row r="969" spans="1:15" x14ac:dyDescent="0.3">
      <c r="A969" t="s">
        <v>1793</v>
      </c>
      <c r="B969" t="s">
        <v>2229</v>
      </c>
      <c r="C969" t="s">
        <v>2230</v>
      </c>
      <c r="D969">
        <v>4</v>
      </c>
      <c r="E969" t="s">
        <v>1447</v>
      </c>
      <c r="F969" t="s">
        <v>2231</v>
      </c>
      <c r="G969" t="s">
        <v>1797</v>
      </c>
      <c r="H969" t="s">
        <v>2232</v>
      </c>
      <c r="I969" t="s">
        <v>1799</v>
      </c>
      <c r="J969" t="s">
        <v>1799</v>
      </c>
      <c r="K969" t="s">
        <v>1799</v>
      </c>
      <c r="L969" t="s">
        <v>1799</v>
      </c>
      <c r="M969" t="s">
        <v>1799</v>
      </c>
      <c r="N969" t="s">
        <v>1799</v>
      </c>
      <c r="O969" s="184" t="str">
        <f>"["&amp;$C969&amp;"]["&amp;$D969&amp;"]["&amp;$F969&amp;"]"</f>
        <v>[S12_CompetentAuthoritiesAwareOfFraud][4][DetailsOfArrangementsAndProcedures]</v>
      </c>
    </row>
    <row r="970" spans="1:15" x14ac:dyDescent="0.3">
      <c r="A970" t="s">
        <v>1793</v>
      </c>
      <c r="B970" t="s">
        <v>2233</v>
      </c>
      <c r="C970" t="s">
        <v>2234</v>
      </c>
      <c r="D970">
        <v>1</v>
      </c>
      <c r="E970" t="s">
        <v>1447</v>
      </c>
      <c r="F970" t="s">
        <v>2235</v>
      </c>
      <c r="G970" t="s">
        <v>1811</v>
      </c>
      <c r="H970" t="s">
        <v>1799</v>
      </c>
      <c r="I970">
        <v>0</v>
      </c>
      <c r="J970" t="s">
        <v>1799</v>
      </c>
      <c r="K970" t="s">
        <v>1799</v>
      </c>
      <c r="L970" t="s">
        <v>1799</v>
      </c>
      <c r="M970" t="s">
        <v>1799</v>
      </c>
      <c r="N970" t="s">
        <v>1799</v>
      </c>
      <c r="O970" s="184" t="str">
        <f>"["&amp;$C970&amp;"]["&amp;$D970&amp;"]["&amp;$F970&amp;"]"</f>
        <v>[S12_InformationOnFraudActivities][1][NumberOfActivities]</v>
      </c>
    </row>
    <row r="971" spans="1:15" x14ac:dyDescent="0.3">
      <c r="A971" t="s">
        <v>1793</v>
      </c>
      <c r="B971" t="s">
        <v>2233</v>
      </c>
      <c r="C971" t="s">
        <v>2234</v>
      </c>
      <c r="D971">
        <v>2</v>
      </c>
      <c r="E971" t="s">
        <v>1447</v>
      </c>
      <c r="F971" t="s">
        <v>2235</v>
      </c>
      <c r="G971" t="s">
        <v>1811</v>
      </c>
      <c r="H971" t="s">
        <v>1799</v>
      </c>
      <c r="I971">
        <v>0</v>
      </c>
      <c r="J971" t="s">
        <v>1799</v>
      </c>
      <c r="K971" t="s">
        <v>1799</v>
      </c>
      <c r="L971" t="s">
        <v>1799</v>
      </c>
      <c r="M971" t="s">
        <v>1799</v>
      </c>
      <c r="N971" t="s">
        <v>1799</v>
      </c>
      <c r="O971" s="184" t="str">
        <f>"["&amp;$C971&amp;"]["&amp;$D971&amp;"]["&amp;$F971&amp;"]"</f>
        <v>[S12_InformationOnFraudActivities][2][NumberOfActivities]</v>
      </c>
    </row>
    <row r="972" spans="1:15" x14ac:dyDescent="0.3">
      <c r="A972" t="s">
        <v>1793</v>
      </c>
      <c r="B972" t="s">
        <v>2233</v>
      </c>
      <c r="C972" t="s">
        <v>2234</v>
      </c>
      <c r="D972">
        <v>3</v>
      </c>
      <c r="E972" t="s">
        <v>1447</v>
      </c>
      <c r="F972" t="s">
        <v>2235</v>
      </c>
      <c r="G972" t="s">
        <v>1811</v>
      </c>
      <c r="H972" t="s">
        <v>1799</v>
      </c>
      <c r="I972">
        <v>0</v>
      </c>
      <c r="J972" t="s">
        <v>1799</v>
      </c>
      <c r="K972" t="s">
        <v>1799</v>
      </c>
      <c r="L972" t="s">
        <v>1799</v>
      </c>
      <c r="M972" t="s">
        <v>1799</v>
      </c>
      <c r="N972" t="s">
        <v>1799</v>
      </c>
      <c r="O972" s="184" t="str">
        <f>"["&amp;$C972&amp;"]["&amp;$D972&amp;"]["&amp;$F972&amp;"]"</f>
        <v>[S12_InformationOnFraudActivities][3][NumberOfActivities]</v>
      </c>
    </row>
    <row r="973" spans="1:15" x14ac:dyDescent="0.3">
      <c r="A973" t="s">
        <v>1793</v>
      </c>
      <c r="B973" t="s">
        <v>2233</v>
      </c>
      <c r="C973" t="s">
        <v>2234</v>
      </c>
      <c r="D973">
        <v>4</v>
      </c>
      <c r="E973" t="s">
        <v>1447</v>
      </c>
      <c r="F973" t="s">
        <v>2235</v>
      </c>
      <c r="G973" t="s">
        <v>1811</v>
      </c>
      <c r="H973" t="s">
        <v>1799</v>
      </c>
      <c r="I973">
        <v>0</v>
      </c>
      <c r="J973" t="s">
        <v>1799</v>
      </c>
      <c r="K973" t="s">
        <v>1799</v>
      </c>
      <c r="L973" t="s">
        <v>1799</v>
      </c>
      <c r="M973" t="s">
        <v>1799</v>
      </c>
      <c r="N973" t="s">
        <v>1799</v>
      </c>
      <c r="O973" s="184" t="str">
        <f>"["&amp;$C973&amp;"]["&amp;$D973&amp;"]["&amp;$F973&amp;"]"</f>
        <v>[S12_InformationOnFraudActivities][4][NumberOfActivities]</v>
      </c>
    </row>
    <row r="974" spans="1:15" x14ac:dyDescent="0.3">
      <c r="A974" t="s">
        <v>1793</v>
      </c>
      <c r="B974" t="s">
        <v>2236</v>
      </c>
      <c r="C974" t="s">
        <v>2237</v>
      </c>
      <c r="D974">
        <v>12</v>
      </c>
      <c r="E974" t="s">
        <v>1447</v>
      </c>
      <c r="F974" t="s">
        <v>2238</v>
      </c>
      <c r="G974" t="s">
        <v>1870</v>
      </c>
      <c r="H974" t="s">
        <v>1799</v>
      </c>
      <c r="I974" t="s">
        <v>1799</v>
      </c>
      <c r="J974" t="s">
        <v>1799</v>
      </c>
      <c r="K974" t="s">
        <v>2239</v>
      </c>
      <c r="L974" t="s">
        <v>1799</v>
      </c>
      <c r="M974" t="s">
        <v>1799</v>
      </c>
      <c r="N974" t="s">
        <v>1799</v>
      </c>
      <c r="O974" s="184" t="str">
        <f>"["&amp;$C974&amp;"]["&amp;$D974&amp;"]["&amp;$F974&amp;"]"</f>
        <v>[S13_AnyOtherIssues][12][OtherInformationOrIssues]</v>
      </c>
    </row>
    <row r="975" spans="1:15" x14ac:dyDescent="0.3">
      <c r="A975" t="s">
        <v>1793</v>
      </c>
      <c r="B975" t="s">
        <v>2236</v>
      </c>
      <c r="C975" t="s">
        <v>2237</v>
      </c>
      <c r="D975">
        <v>13</v>
      </c>
      <c r="E975" t="s">
        <v>1447</v>
      </c>
      <c r="F975" t="s">
        <v>2238</v>
      </c>
      <c r="G975" t="s">
        <v>1870</v>
      </c>
      <c r="H975" t="s">
        <v>1799</v>
      </c>
      <c r="I975" t="s">
        <v>1799</v>
      </c>
      <c r="J975" t="s">
        <v>1799</v>
      </c>
      <c r="K975" t="s">
        <v>2239</v>
      </c>
      <c r="L975" t="s">
        <v>1799</v>
      </c>
      <c r="M975" t="s">
        <v>1799</v>
      </c>
      <c r="N975" t="s">
        <v>1799</v>
      </c>
      <c r="O975" s="184" t="str">
        <f>"["&amp;$C975&amp;"]["&amp;$D975&amp;"]["&amp;$F975&amp;"]"</f>
        <v>[S13_AnyOtherIssues][13][OtherInformationOrIssues]</v>
      </c>
    </row>
    <row r="976" spans="1:15" x14ac:dyDescent="0.3">
      <c r="A976" t="s">
        <v>1793</v>
      </c>
      <c r="B976" t="s">
        <v>2236</v>
      </c>
      <c r="C976" t="s">
        <v>2237</v>
      </c>
      <c r="D976">
        <v>50</v>
      </c>
      <c r="E976" t="s">
        <v>1447</v>
      </c>
      <c r="F976" t="s">
        <v>2238</v>
      </c>
      <c r="G976" t="s">
        <v>1870</v>
      </c>
      <c r="H976" t="s">
        <v>1799</v>
      </c>
      <c r="I976" t="s">
        <v>1799</v>
      </c>
      <c r="J976" t="s">
        <v>1799</v>
      </c>
      <c r="K976" t="s">
        <v>2240</v>
      </c>
      <c r="L976" t="s">
        <v>1799</v>
      </c>
      <c r="M976" t="s">
        <v>1799</v>
      </c>
      <c r="N976" t="s">
        <v>1799</v>
      </c>
      <c r="O976" s="184" t="str">
        <f>"["&amp;$C976&amp;"]["&amp;$D976&amp;"]["&amp;$F976&amp;"]"</f>
        <v>[S13_AnyOtherIssues][50][OtherInformationOrIssues]</v>
      </c>
    </row>
    <row r="977" spans="1:15" x14ac:dyDescent="0.3">
      <c r="A977" t="s">
        <v>1793</v>
      </c>
      <c r="B977" t="s">
        <v>2236</v>
      </c>
      <c r="C977" t="s">
        <v>2237</v>
      </c>
      <c r="D977">
        <v>12</v>
      </c>
      <c r="E977" t="s">
        <v>1447</v>
      </c>
      <c r="F977" t="s">
        <v>2241</v>
      </c>
      <c r="G977" t="s">
        <v>1737</v>
      </c>
      <c r="H977" t="s">
        <v>1799</v>
      </c>
      <c r="I977" t="s">
        <v>1799</v>
      </c>
      <c r="J977" t="s">
        <v>1799</v>
      </c>
      <c r="K977" t="s">
        <v>1799</v>
      </c>
      <c r="L977" t="s">
        <v>1606</v>
      </c>
      <c r="M977" t="s">
        <v>1799</v>
      </c>
      <c r="N977" t="s">
        <v>1799</v>
      </c>
      <c r="O977" s="184" t="str">
        <f>"["&amp;$C977&amp;"]["&amp;$D977&amp;"]["&amp;$F977&amp;"]"</f>
        <v>[S13_AnyOtherIssues][12][QuestionnaireSubQuestion]</v>
      </c>
    </row>
    <row r="978" spans="1:15" x14ac:dyDescent="0.3">
      <c r="A978" t="s">
        <v>1793</v>
      </c>
      <c r="B978" t="s">
        <v>2236</v>
      </c>
      <c r="C978" t="s">
        <v>2237</v>
      </c>
      <c r="D978">
        <v>13</v>
      </c>
      <c r="E978" t="s">
        <v>1447</v>
      </c>
      <c r="F978" t="s">
        <v>2241</v>
      </c>
      <c r="G978" t="s">
        <v>1737</v>
      </c>
      <c r="H978" t="s">
        <v>1799</v>
      </c>
      <c r="I978" t="s">
        <v>1799</v>
      </c>
      <c r="J978" t="s">
        <v>1799</v>
      </c>
      <c r="K978" t="s">
        <v>1799</v>
      </c>
      <c r="L978" t="s">
        <v>1673</v>
      </c>
      <c r="M978" t="s">
        <v>1799</v>
      </c>
      <c r="N978" t="s">
        <v>1799</v>
      </c>
      <c r="O978" s="184" t="str">
        <f>"["&amp;$C978&amp;"]["&amp;$D978&amp;"]["&amp;$F978&amp;"]"</f>
        <v>[S13_AnyOtherIssues][13][QuestionnaireSubQuestion]</v>
      </c>
    </row>
    <row r="979" spans="1:15" x14ac:dyDescent="0.3">
      <c r="A979" t="s">
        <v>1793</v>
      </c>
      <c r="B979" t="s">
        <v>2236</v>
      </c>
      <c r="C979" t="s">
        <v>2237</v>
      </c>
      <c r="D979">
        <v>50</v>
      </c>
      <c r="E979" t="s">
        <v>1447</v>
      </c>
      <c r="F979" t="s">
        <v>2241</v>
      </c>
      <c r="G979" t="s">
        <v>1737</v>
      </c>
      <c r="H979" t="s">
        <v>1799</v>
      </c>
      <c r="I979" t="s">
        <v>1799</v>
      </c>
      <c r="J979" t="s">
        <v>1799</v>
      </c>
      <c r="K979" t="s">
        <v>1799</v>
      </c>
      <c r="L979" t="s">
        <v>1695</v>
      </c>
      <c r="M979" t="s">
        <v>1799</v>
      </c>
      <c r="N979" t="s">
        <v>1799</v>
      </c>
      <c r="O979" s="184" t="str">
        <f>"["&amp;$C979&amp;"]["&amp;$D979&amp;"]["&amp;$F979&amp;"]"</f>
        <v>[S13_AnyOtherIssues][50][QuestionnaireSubQuestion]</v>
      </c>
    </row>
    <row r="980" spans="1:15" x14ac:dyDescent="0.3">
      <c r="A980" t="s">
        <v>1793</v>
      </c>
      <c r="B980" t="s">
        <v>2242</v>
      </c>
      <c r="C980" t="s">
        <v>2243</v>
      </c>
      <c r="D980">
        <v>0</v>
      </c>
      <c r="E980" t="s">
        <v>1447</v>
      </c>
      <c r="F980" t="s">
        <v>2243</v>
      </c>
      <c r="G980" t="s">
        <v>1836</v>
      </c>
      <c r="H980" t="s">
        <v>1799</v>
      </c>
      <c r="I980" t="s">
        <v>1799</v>
      </c>
      <c r="J980" t="s">
        <v>1799</v>
      </c>
      <c r="K980" t="s">
        <v>1799</v>
      </c>
      <c r="L980" t="s">
        <v>1419</v>
      </c>
      <c r="M980" t="s">
        <v>1799</v>
      </c>
      <c r="N980" t="s">
        <v>1799</v>
      </c>
      <c r="O980" s="184" t="str">
        <f>"["&amp;$C980&amp;"]["&amp;$D980&amp;"]["&amp;$F980&amp;"]"</f>
        <v>[QuestionnaireFilledConfirmation][0][QuestionnaireFilledConfirmation]</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8"/>
  <dimension ref="A1:I68"/>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11" customFormat="1" ht="18.899999999999999" customHeight="1" x14ac:dyDescent="0.35">
      <c r="A3" s="62">
        <v>7</v>
      </c>
      <c r="B3" s="327" t="s">
        <v>436</v>
      </c>
      <c r="C3" s="327"/>
      <c r="D3" s="327"/>
      <c r="E3" s="327"/>
      <c r="F3" s="327"/>
      <c r="G3" s="327"/>
      <c r="H3" s="327"/>
      <c r="I3" s="327"/>
    </row>
    <row r="4" spans="1:9" ht="39" customHeight="1" x14ac:dyDescent="0.3">
      <c r="A4" s="12" t="s">
        <v>437</v>
      </c>
      <c r="B4" s="450" t="s">
        <v>1119</v>
      </c>
      <c r="C4" s="450"/>
      <c r="D4" s="450"/>
      <c r="E4" s="450"/>
      <c r="F4" s="450"/>
      <c r="G4" s="450"/>
      <c r="H4" s="450"/>
      <c r="I4" s="450"/>
    </row>
    <row r="5" spans="1:9" ht="27" customHeight="1" x14ac:dyDescent="0.3"/>
    <row r="6" spans="1:9" ht="32.1" customHeight="1" x14ac:dyDescent="0.3">
      <c r="A6" s="12" t="s">
        <v>441</v>
      </c>
      <c r="B6" s="293" t="s">
        <v>1120</v>
      </c>
      <c r="C6" s="294"/>
      <c r="D6" s="294"/>
      <c r="E6" s="294"/>
      <c r="F6" s="294"/>
      <c r="G6" s="294"/>
      <c r="H6" s="294"/>
      <c r="I6" s="294"/>
    </row>
    <row r="7" spans="1:9" ht="26.1" customHeight="1" x14ac:dyDescent="0.3">
      <c r="A7" s="13"/>
      <c r="B7" s="10"/>
      <c r="C7" s="46" t="s">
        <v>1121</v>
      </c>
      <c r="D7" s="303" t="s">
        <v>1122</v>
      </c>
      <c r="E7" s="309"/>
      <c r="F7" s="315" t="s">
        <v>1123</v>
      </c>
      <c r="G7" s="336"/>
      <c r="H7" s="104" t="s">
        <v>1124</v>
      </c>
      <c r="I7" s="46" t="s">
        <v>1125</v>
      </c>
    </row>
    <row r="8" spans="1:9" ht="15.9" customHeight="1" x14ac:dyDescent="0.3">
      <c r="A8" s="13"/>
      <c r="B8" s="10"/>
      <c r="C8" s="72" t="str">
        <f>_xlfn.CONCAT(_xlfn.XLOOKUP("[S07_NoFurtherAllowancesSurrendered][1][InstallationIDCode]",Submission!$O:$O,Submission!$H:$N,""))</f>
        <v>/</v>
      </c>
      <c r="D8" s="284" t="str">
        <f>_xlfn.CONCAT(_xlfn.XLOOKUP("[S07_NoFurtherAllowancesSurrendered][1][OperatorName]",Submission!$O:$O,Submission!$H:$N,""))</f>
        <v>/</v>
      </c>
      <c r="E8" s="285"/>
      <c r="F8" s="284" t="str">
        <f>_xlfn.CONCAT(_xlfn.XLOOKUP("[S07_NoFurtherAllowancesSurrendered][1][InstallationName]",Submission!$O:$O,Submission!$H:$N,""))</f>
        <v>/</v>
      </c>
      <c r="G8" s="285"/>
      <c r="H8" s="108" t="str">
        <f>_xlfn.CONCAT(_xlfn.XLOOKUP("[S07_NoFurtherAllowancesSurrendered][1][OutstandingAllowances]",Submission!$O:$O,Submission!$H:$N,""))</f>
        <v>0</v>
      </c>
      <c r="I8" s="72" t="str">
        <f>_xlfn.CONCAT(_xlfn.XLOOKUP("[S07_NoFurtherAllowancesSurrendered][1][ReasonNoFurtherAllowancesSurrendered]",Submission!$O:$O,Submission!$H:$N,""))</f>
        <v>/</v>
      </c>
    </row>
    <row r="9" spans="1:9" ht="15.9" customHeight="1" x14ac:dyDescent="0.3">
      <c r="A9" s="13"/>
      <c r="B9" s="10"/>
      <c r="C9" s="72" t="str">
        <f>_xlfn.CONCAT(_xlfn.XLOOKUP("[S07_NoFurtherAllowancesSurrendered][2][InstallationIDCode]",Submission!$O:$O,Submission!$H:$N,""))</f>
        <v/>
      </c>
      <c r="D9" s="284" t="str">
        <f>_xlfn.CONCAT(_xlfn.XLOOKUP("[S07_NoFurtherAllowancesSurrendered][2][OperatorName]",Submission!$O:$O,Submission!$H:$N,""))</f>
        <v/>
      </c>
      <c r="E9" s="285"/>
      <c r="F9" s="284" t="str">
        <f>_xlfn.CONCAT(_xlfn.XLOOKUP("[S07_NoFurtherAllowancesSurrendered][2][InstallationName]",Submission!$O:$O,Submission!$H:$N,""))</f>
        <v/>
      </c>
      <c r="G9" s="285"/>
      <c r="H9" s="108" t="str">
        <f>_xlfn.CONCAT(_xlfn.XLOOKUP("[S07_NoFurtherAllowancesSurrendered][2][OutstandingAllowances]",Submission!$O:$O,Submission!$H:$N,""))</f>
        <v/>
      </c>
      <c r="I9" s="72" t="str">
        <f>_xlfn.CONCAT(_xlfn.XLOOKUP("[S07_NoFurtherAllowancesSurrendered][2][ReasonNoFurtherAllowancesSurrendered]",Submission!$O:$O,Submission!$H:$N,""))</f>
        <v/>
      </c>
    </row>
    <row r="10" spans="1:9" ht="15.9" hidden="1" customHeight="1" outlineLevel="1" x14ac:dyDescent="0.3">
      <c r="A10" s="13"/>
      <c r="B10" s="10"/>
      <c r="C10" s="72" t="str">
        <f>_xlfn.CONCAT(_xlfn.XLOOKUP("[S07_NoFurtherAllowancesSurrendered][3][InstallationIDCode]",Submission!$O:$O,Submission!$H:$N,""))</f>
        <v/>
      </c>
      <c r="D10" s="284" t="str">
        <f>_xlfn.CONCAT(_xlfn.XLOOKUP("[S07_NoFurtherAllowancesSurrendered][3][OperatorName]",Submission!$O:$O,Submission!$H:$N,""))</f>
        <v/>
      </c>
      <c r="E10" s="285"/>
      <c r="F10" s="284" t="str">
        <f>_xlfn.CONCAT(_xlfn.XLOOKUP("[S07_NoFurtherAllowancesSurrendered][3][InstallationName]",Submission!$O:$O,Submission!$H:$N,""))</f>
        <v/>
      </c>
      <c r="G10" s="285"/>
      <c r="H10" s="108" t="str">
        <f>_xlfn.CONCAT(_xlfn.XLOOKUP("[S07_NoFurtherAllowancesSurrendered][3][OutstandingAllowances]",Submission!$O:$O,Submission!$H:$N,""))</f>
        <v/>
      </c>
      <c r="I10" s="72" t="str">
        <f>_xlfn.CONCAT(_xlfn.XLOOKUP("[S07_NoFurtherAllowancesSurrendered][3][ReasonNoFurtherAllowancesSurrendered]",Submission!$O:$O,Submission!$H:$N,""))</f>
        <v/>
      </c>
    </row>
    <row r="11" spans="1:9" ht="15.9" hidden="1" customHeight="1" outlineLevel="1" x14ac:dyDescent="0.3">
      <c r="A11" s="13"/>
      <c r="B11" s="10"/>
      <c r="C11" s="72" t="str">
        <f>_xlfn.CONCAT(_xlfn.XLOOKUP("[S07_NoFurtherAllowancesSurrendered][4][InstallationIDCode]",Submission!$O:$O,Submission!$H:$N,""))</f>
        <v/>
      </c>
      <c r="D11" s="284" t="str">
        <f>_xlfn.CONCAT(_xlfn.XLOOKUP("[S07_NoFurtherAllowancesSurrendered][4][OperatorName]",Submission!$O:$O,Submission!$H:$N,""))</f>
        <v/>
      </c>
      <c r="E11" s="285"/>
      <c r="F11" s="284" t="str">
        <f>_xlfn.CONCAT(_xlfn.XLOOKUP("[S07_NoFurtherAllowancesSurrendered][4][InstallationName]",Submission!$O:$O,Submission!$H:$N,""))</f>
        <v/>
      </c>
      <c r="G11" s="285"/>
      <c r="H11" s="108" t="str">
        <f>_xlfn.CONCAT(_xlfn.XLOOKUP("[S07_NoFurtherAllowancesSurrendered][4][OutstandingAllowances]",Submission!$O:$O,Submission!$H:$N,""))</f>
        <v/>
      </c>
      <c r="I11" s="72" t="str">
        <f>_xlfn.CONCAT(_xlfn.XLOOKUP("[S07_NoFurtherAllowancesSurrendered][4][ReasonNoFurtherAllowancesSurrendered]",Submission!$O:$O,Submission!$H:$N,""))</f>
        <v/>
      </c>
    </row>
    <row r="12" spans="1:9" ht="15.9" hidden="1" customHeight="1" outlineLevel="1" x14ac:dyDescent="0.3">
      <c r="A12" s="13"/>
      <c r="B12" s="10"/>
      <c r="C12" s="72" t="str">
        <f>_xlfn.CONCAT(_xlfn.XLOOKUP("[S07_NoFurtherAllowancesSurrendered][5][InstallationIDCode]",Submission!$O:$O,Submission!$H:$N,""))</f>
        <v/>
      </c>
      <c r="D12" s="284" t="str">
        <f>_xlfn.CONCAT(_xlfn.XLOOKUP("[S07_NoFurtherAllowancesSurrendered][5][OperatorName]",Submission!$O:$O,Submission!$H:$N,""))</f>
        <v/>
      </c>
      <c r="E12" s="285"/>
      <c r="F12" s="284" t="str">
        <f>_xlfn.CONCAT(_xlfn.XLOOKUP("[S07_NoFurtherAllowancesSurrendered][5][InstallationName]",Submission!$O:$O,Submission!$H:$N,""))</f>
        <v/>
      </c>
      <c r="G12" s="285"/>
      <c r="H12" s="108" t="str">
        <f>_xlfn.CONCAT(_xlfn.XLOOKUP("[S07_NoFurtherAllowancesSurrendered][5][OutstandingAllowances]",Submission!$O:$O,Submission!$H:$N,""))</f>
        <v/>
      </c>
      <c r="I12" s="72" t="str">
        <f>_xlfn.CONCAT(_xlfn.XLOOKUP("[S07_NoFurtherAllowancesSurrendered][5][ReasonNoFurtherAllowancesSurrendered]",Submission!$O:$O,Submission!$H:$N,""))</f>
        <v/>
      </c>
    </row>
    <row r="13" spans="1:9" ht="15.9" hidden="1" customHeight="1" outlineLevel="1" x14ac:dyDescent="0.3">
      <c r="A13" s="13"/>
      <c r="B13" s="10"/>
      <c r="C13" s="72" t="str">
        <f>_xlfn.CONCAT(_xlfn.XLOOKUP("[S07_NoFurtherAllowancesSurrendered][6][InstallationIDCode]",Submission!$O:$O,Submission!$H:$N,""))</f>
        <v/>
      </c>
      <c r="D13" s="284" t="str">
        <f>_xlfn.CONCAT(_xlfn.XLOOKUP("[S07_NoFurtherAllowancesSurrendered][6][OperatorName]",Submission!$O:$O,Submission!$H:$N,""))</f>
        <v/>
      </c>
      <c r="E13" s="285"/>
      <c r="F13" s="284" t="str">
        <f>_xlfn.CONCAT(_xlfn.XLOOKUP("[S07_NoFurtherAllowancesSurrendered][6][InstallationName]",Submission!$O:$O,Submission!$H:$N,""))</f>
        <v/>
      </c>
      <c r="G13" s="285"/>
      <c r="H13" s="108" t="str">
        <f>_xlfn.CONCAT(_xlfn.XLOOKUP("[S07_NoFurtherAllowancesSurrendered][6][OutstandingAllowances]",Submission!$O:$O,Submission!$H:$N,""))</f>
        <v/>
      </c>
      <c r="I13" s="72" t="str">
        <f>_xlfn.CONCAT(_xlfn.XLOOKUP("[S07_NoFurtherAllowancesSurrendered][6][ReasonNoFurtherAllowancesSurrendered]",Submission!$O:$O,Submission!$H:$N,""))</f>
        <v/>
      </c>
    </row>
    <row r="14" spans="1:9" ht="15.9" hidden="1" customHeight="1" outlineLevel="1" x14ac:dyDescent="0.3">
      <c r="A14" s="13"/>
      <c r="B14" s="10"/>
      <c r="C14" s="72" t="str">
        <f>_xlfn.CONCAT(_xlfn.XLOOKUP("[S07_NoFurtherAllowancesSurrendered][7][InstallationIDCode]",Submission!$O:$O,Submission!$H:$N,""))</f>
        <v/>
      </c>
      <c r="D14" s="284" t="str">
        <f>_xlfn.CONCAT(_xlfn.XLOOKUP("[S07_NoFurtherAllowancesSurrendered][7][OperatorName]",Submission!$O:$O,Submission!$H:$N,""))</f>
        <v/>
      </c>
      <c r="E14" s="285"/>
      <c r="F14" s="284" t="str">
        <f>_xlfn.CONCAT(_xlfn.XLOOKUP("[S07_NoFurtherAllowancesSurrendered][7][InstallationName]",Submission!$O:$O,Submission!$H:$N,""))</f>
        <v/>
      </c>
      <c r="G14" s="285"/>
      <c r="H14" s="108" t="str">
        <f>_xlfn.CONCAT(_xlfn.XLOOKUP("[S07_NoFurtherAllowancesSurrendered][7][OutstandingAllowances]",Submission!$O:$O,Submission!$H:$N,""))</f>
        <v/>
      </c>
      <c r="I14" s="72" t="str">
        <f>_xlfn.CONCAT(_xlfn.XLOOKUP("[S07_NoFurtherAllowancesSurrendered][7][ReasonNoFurtherAllowancesSurrendered]",Submission!$O:$O,Submission!$H:$N,""))</f>
        <v/>
      </c>
    </row>
    <row r="15" spans="1:9" ht="15.9" hidden="1" customHeight="1" outlineLevel="1" x14ac:dyDescent="0.3">
      <c r="A15" s="13"/>
      <c r="B15" s="10"/>
      <c r="C15" s="72" t="str">
        <f>_xlfn.CONCAT(_xlfn.XLOOKUP("[S07_NoFurtherAllowancesSurrendered][8][InstallationIDCode]",Submission!$O:$O,Submission!$H:$N,""))</f>
        <v/>
      </c>
      <c r="D15" s="284" t="str">
        <f>_xlfn.CONCAT(_xlfn.XLOOKUP("[S07_NoFurtherAllowancesSurrendered][8][OperatorName]",Submission!$O:$O,Submission!$H:$N,""))</f>
        <v/>
      </c>
      <c r="E15" s="285"/>
      <c r="F15" s="284" t="str">
        <f>_xlfn.CONCAT(_xlfn.XLOOKUP("[S07_NoFurtherAllowancesSurrendered][8][InstallationName]",Submission!$O:$O,Submission!$H:$N,""))</f>
        <v/>
      </c>
      <c r="G15" s="285"/>
      <c r="H15" s="108" t="str">
        <f>_xlfn.CONCAT(_xlfn.XLOOKUP("[S07_NoFurtherAllowancesSurrendered][8][OutstandingAllowances]",Submission!$O:$O,Submission!$H:$N,""))</f>
        <v/>
      </c>
      <c r="I15" s="72" t="str">
        <f>_xlfn.CONCAT(_xlfn.XLOOKUP("[S07_NoFurtherAllowancesSurrendered][8][ReasonNoFurtherAllowancesSurrendered]",Submission!$O:$O,Submission!$H:$N,""))</f>
        <v/>
      </c>
    </row>
    <row r="16" spans="1:9" ht="15.9" hidden="1" customHeight="1" outlineLevel="1" x14ac:dyDescent="0.3">
      <c r="A16" s="13"/>
      <c r="B16" s="10"/>
      <c r="C16" s="72" t="str">
        <f>_xlfn.CONCAT(_xlfn.XLOOKUP("[S07_NoFurtherAllowancesSurrendered][9][InstallationIDCode]",Submission!$O:$O,Submission!$H:$N,""))</f>
        <v/>
      </c>
      <c r="D16" s="284" t="str">
        <f>_xlfn.CONCAT(_xlfn.XLOOKUP("[S07_NoFurtherAllowancesSurrendered][9][OperatorName]",Submission!$O:$O,Submission!$H:$N,""))</f>
        <v/>
      </c>
      <c r="E16" s="285"/>
      <c r="F16" s="284" t="str">
        <f>_xlfn.CONCAT(_xlfn.XLOOKUP("[S07_NoFurtherAllowancesSurrendered][9][InstallationName]",Submission!$O:$O,Submission!$H:$N,""))</f>
        <v/>
      </c>
      <c r="G16" s="285"/>
      <c r="H16" s="108" t="str">
        <f>_xlfn.CONCAT(_xlfn.XLOOKUP("[S07_NoFurtherAllowancesSurrendered][9][OutstandingAllowances]",Submission!$O:$O,Submission!$H:$N,""))</f>
        <v/>
      </c>
      <c r="I16" s="72" t="str">
        <f>_xlfn.CONCAT(_xlfn.XLOOKUP("[S07_NoFurtherAllowancesSurrendered][9][ReasonNoFurtherAllowancesSurrendered]",Submission!$O:$O,Submission!$H:$N,""))</f>
        <v/>
      </c>
    </row>
    <row r="17" spans="1:9" ht="15.9" hidden="1" customHeight="1" outlineLevel="1" x14ac:dyDescent="0.3">
      <c r="A17" s="13"/>
      <c r="B17" s="10"/>
      <c r="C17" s="72" t="str">
        <f>_xlfn.CONCAT(_xlfn.XLOOKUP("[S07_NoFurtherAllowancesSurrendered][10][InstallationIDCode]",Submission!$O:$O,Submission!$H:$N,""))</f>
        <v/>
      </c>
      <c r="D17" s="284" t="str">
        <f>_xlfn.CONCAT(_xlfn.XLOOKUP("[S07_NoFurtherAllowancesSurrendered][10][OperatorName]",Submission!$O:$O,Submission!$H:$N,""))</f>
        <v/>
      </c>
      <c r="E17" s="285"/>
      <c r="F17" s="284" t="str">
        <f>_xlfn.CONCAT(_xlfn.XLOOKUP("[S07_NoFurtherAllowancesSurrendered][10][InstallationName]",Submission!$O:$O,Submission!$H:$N,""))</f>
        <v/>
      </c>
      <c r="G17" s="285"/>
      <c r="H17" s="108" t="str">
        <f>_xlfn.CONCAT(_xlfn.XLOOKUP("[S07_NoFurtherAllowancesSurrendered][10][OutstandingAllowances]",Submission!$O:$O,Submission!$H:$N,""))</f>
        <v/>
      </c>
      <c r="I17" s="72" t="str">
        <f>_xlfn.CONCAT(_xlfn.XLOOKUP("[S07_NoFurtherAllowancesSurrendered][10][ReasonNoFurtherAllowancesSurrendered]",Submission!$O:$O,Submission!$H:$N,""))</f>
        <v/>
      </c>
    </row>
    <row r="18" spans="1:9" ht="14.4" customHeight="1" collapsed="1" x14ac:dyDescent="0.3">
      <c r="A18" s="13"/>
      <c r="B18" s="26" t="s">
        <v>2</v>
      </c>
      <c r="C18" s="19"/>
      <c r="D18" s="20"/>
      <c r="E18" s="20"/>
      <c r="F18" s="20"/>
      <c r="G18" s="20"/>
      <c r="H18" s="20"/>
      <c r="I18" s="20"/>
    </row>
    <row r="19" spans="1:9" ht="15.9" customHeight="1" x14ac:dyDescent="0.3">
      <c r="C19" s="248" t="s">
        <v>1033</v>
      </c>
      <c r="D19" s="249"/>
      <c r="E19" s="249"/>
      <c r="F19" s="249"/>
      <c r="G19" s="249"/>
      <c r="H19" s="249"/>
      <c r="I19" s="249"/>
    </row>
    <row r="20" spans="1:9" s="11" customFormat="1" ht="14.4" x14ac:dyDescent="0.3"/>
    <row r="21" spans="1:9" ht="32.1" customHeight="1" x14ac:dyDescent="0.3">
      <c r="A21" s="12" t="s">
        <v>445</v>
      </c>
      <c r="B21" s="293" t="s">
        <v>1126</v>
      </c>
      <c r="C21" s="294"/>
      <c r="D21" s="294"/>
      <c r="E21" s="294"/>
      <c r="F21" s="294"/>
      <c r="G21" s="294"/>
      <c r="H21" s="294"/>
      <c r="I21" s="294"/>
    </row>
    <row r="22" spans="1:9" ht="15.9" customHeight="1" x14ac:dyDescent="0.3">
      <c r="B22" s="11"/>
      <c r="C22" s="315" t="s">
        <v>1127</v>
      </c>
      <c r="D22" s="379"/>
      <c r="E22" s="379"/>
      <c r="F22" s="379"/>
      <c r="G22" s="336"/>
      <c r="H22" s="322" t="str">
        <f>_xlfn.CONCAT(_xlfn.XLOOKUP("[AircraftOperatorsMandateArt15UseNumber][0][AircraftOperatorsMandateArt15UseNumber]",Submission!$O:$O,Submission!$H:$N,""))</f>
        <v>0</v>
      </c>
      <c r="I22" s="451"/>
    </row>
    <row r="23" spans="1:9" ht="26.4" customHeight="1" x14ac:dyDescent="0.3">
      <c r="B23" s="11"/>
      <c r="C23" s="395" t="s">
        <v>1128</v>
      </c>
      <c r="D23" s="395"/>
      <c r="E23" s="395"/>
      <c r="F23" s="395"/>
      <c r="G23" s="395"/>
      <c r="H23" s="395"/>
      <c r="I23" s="395"/>
    </row>
    <row r="24" spans="1:9" s="27" customFormat="1" ht="15.9" customHeight="1" x14ac:dyDescent="0.3">
      <c r="B24" s="21"/>
      <c r="D24" s="21"/>
      <c r="E24" s="21"/>
      <c r="F24" s="21"/>
      <c r="G24" s="21"/>
      <c r="H24" s="21"/>
    </row>
    <row r="25" spans="1:9" ht="32.1" customHeight="1" x14ac:dyDescent="0.3">
      <c r="A25" s="12"/>
      <c r="B25" s="271" t="s">
        <v>1129</v>
      </c>
      <c r="C25" s="272"/>
      <c r="D25" s="272"/>
      <c r="E25" s="272"/>
      <c r="F25" s="272"/>
      <c r="G25" s="272"/>
      <c r="H25" s="272"/>
      <c r="I25" s="272"/>
    </row>
    <row r="26" spans="1:9" x14ac:dyDescent="0.3">
      <c r="A26" s="12"/>
      <c r="B26" s="10"/>
      <c r="C26" s="315" t="s">
        <v>1082</v>
      </c>
      <c r="D26" s="379"/>
      <c r="E26" s="379"/>
      <c r="F26" s="336"/>
      <c r="G26" s="365" t="s">
        <v>1130</v>
      </c>
      <c r="H26" s="365"/>
      <c r="I26" s="365"/>
    </row>
    <row r="27" spans="1:9" s="27" customFormat="1" ht="15.9" customHeight="1" x14ac:dyDescent="0.3">
      <c r="B27" s="10"/>
      <c r="C27" s="286" t="str">
        <f>_xlfn.CONCAT(_xlfn.XLOOKUP("[S07_AircraftOperatorsUseArt15MandateDetail][1][AircraftOperatorID]",Submission!$O:$O,Submission!$H:$N,""))</f>
        <v>/</v>
      </c>
      <c r="D27" s="286"/>
      <c r="E27" s="286"/>
      <c r="F27" s="286"/>
      <c r="G27" s="286" t="str">
        <f>_xlfn.CONCAT(_xlfn.XLOOKUP("[S07_AircraftOperatorsUseArt15MandateDetail][1][AircraftOperatorName]",Submission!$O:$O,Submission!$H:$N,""))</f>
        <v>/</v>
      </c>
      <c r="H27" s="286"/>
      <c r="I27" s="286"/>
    </row>
    <row r="28" spans="1:9" s="27" customFormat="1" ht="15.9" customHeight="1" x14ac:dyDescent="0.3">
      <c r="B28" s="10"/>
      <c r="C28" s="286" t="str">
        <f>_xlfn.CONCAT(_xlfn.XLOOKUP("[S07_AircraftOperatorsUseArt15MandateDetail][2][AircraftOperatorID]",Submission!$O:$O,Submission!$H:$N,""))</f>
        <v/>
      </c>
      <c r="D28" s="286"/>
      <c r="E28" s="286"/>
      <c r="F28" s="286"/>
      <c r="G28" s="286" t="str">
        <f>_xlfn.CONCAT(_xlfn.XLOOKUP("[S07_AircraftOperatorsUseArt15MandateDetail][2][AircraftOperatorName]",Submission!$O:$O,Submission!$H:$N,""))</f>
        <v/>
      </c>
      <c r="H28" s="286"/>
      <c r="I28" s="286"/>
    </row>
    <row r="29" spans="1:9" s="27" customFormat="1" ht="15.9" hidden="1" customHeight="1" outlineLevel="1" x14ac:dyDescent="0.3">
      <c r="B29" s="10"/>
      <c r="C29" s="286" t="str">
        <f>_xlfn.CONCAT(_xlfn.XLOOKUP("[S07_AircraftOperatorsUseArt15MandateDetail][3][AircraftOperatorID]",Submission!$O:$O,Submission!$H:$N,""))</f>
        <v/>
      </c>
      <c r="D29" s="286"/>
      <c r="E29" s="286"/>
      <c r="F29" s="286"/>
      <c r="G29" s="286" t="str">
        <f>_xlfn.CONCAT(_xlfn.XLOOKUP("[S07_AircraftOperatorsUseArt15MandateDetail][3][AircraftOperatorName]",Submission!$O:$O,Submission!$H:$N,""))</f>
        <v/>
      </c>
      <c r="H29" s="286"/>
      <c r="I29" s="286"/>
    </row>
    <row r="30" spans="1:9" s="27" customFormat="1" ht="15.9" hidden="1" customHeight="1" outlineLevel="1" x14ac:dyDescent="0.3">
      <c r="B30" s="10"/>
      <c r="C30" s="286" t="str">
        <f>_xlfn.CONCAT(_xlfn.XLOOKUP("[S07_AircraftOperatorsUseArt15MandateDetail][4][AircraftOperatorID]",Submission!$O:$O,Submission!$H:$N,""))</f>
        <v/>
      </c>
      <c r="D30" s="286"/>
      <c r="E30" s="286"/>
      <c r="F30" s="286"/>
      <c r="G30" s="286" t="str">
        <f>_xlfn.CONCAT(_xlfn.XLOOKUP("[S07_AircraftOperatorsUseArt15MandateDetail][4][AircraftOperatorName]",Submission!$O:$O,Submission!$H:$N,""))</f>
        <v/>
      </c>
      <c r="H30" s="286"/>
      <c r="I30" s="286"/>
    </row>
    <row r="31" spans="1:9" s="27" customFormat="1" ht="15.9" hidden="1" customHeight="1" outlineLevel="1" x14ac:dyDescent="0.3">
      <c r="B31" s="10"/>
      <c r="C31" s="286" t="str">
        <f>_xlfn.CONCAT(_xlfn.XLOOKUP("[S07_AircraftOperatorsUseArt15MandateDetail][5][AircraftOperatorID]",Submission!$O:$O,Submission!$H:$N,""))</f>
        <v/>
      </c>
      <c r="D31" s="286"/>
      <c r="E31" s="286"/>
      <c r="F31" s="286"/>
      <c r="G31" s="286" t="str">
        <f>_xlfn.CONCAT(_xlfn.XLOOKUP("[S07_AircraftOperatorsUseArt15MandateDetail][5][AircraftOperatorName]",Submission!$O:$O,Submission!$H:$N,""))</f>
        <v/>
      </c>
      <c r="H31" s="286"/>
      <c r="I31" s="286"/>
    </row>
    <row r="32" spans="1:9" s="27" customFormat="1" ht="15.9" hidden="1" customHeight="1" outlineLevel="1" x14ac:dyDescent="0.3">
      <c r="B32" s="10"/>
      <c r="C32" s="286" t="str">
        <f>_xlfn.CONCAT(_xlfn.XLOOKUP("[S07_AircraftOperatorsUseArt15MandateDetail][6][AircraftOperatorID]",Submission!$O:$O,Submission!$H:$N,""))</f>
        <v/>
      </c>
      <c r="D32" s="286"/>
      <c r="E32" s="286"/>
      <c r="F32" s="286"/>
      <c r="G32" s="286" t="str">
        <f>_xlfn.CONCAT(_xlfn.XLOOKUP("[S07_AircraftOperatorsUseArt15MandateDetail][6][AircraftOperatorName]",Submission!$O:$O,Submission!$H:$N,""))</f>
        <v/>
      </c>
      <c r="H32" s="286"/>
      <c r="I32" s="286"/>
    </row>
    <row r="33" spans="2:9" s="27" customFormat="1" ht="15.9" hidden="1" customHeight="1" outlineLevel="1" x14ac:dyDescent="0.3">
      <c r="B33" s="10"/>
      <c r="C33" s="286" t="str">
        <f>_xlfn.CONCAT(_xlfn.XLOOKUP("[S07_AircraftOperatorsUseArt15MandateDetail][7][AircraftOperatorID]",Submission!$O:$O,Submission!$H:$N,""))</f>
        <v/>
      </c>
      <c r="D33" s="286"/>
      <c r="E33" s="286"/>
      <c r="F33" s="286"/>
      <c r="G33" s="286" t="str">
        <f>_xlfn.CONCAT(_xlfn.XLOOKUP("[S07_AircraftOperatorsUseArt15MandateDetail][7][AircraftOperatorName]",Submission!$O:$O,Submission!$H:$N,""))</f>
        <v/>
      </c>
      <c r="H33" s="286"/>
      <c r="I33" s="286"/>
    </row>
    <row r="34" spans="2:9" s="27" customFormat="1" ht="15.9" hidden="1" customHeight="1" outlineLevel="1" x14ac:dyDescent="0.3">
      <c r="B34" s="10"/>
      <c r="C34" s="286" t="str">
        <f>_xlfn.CONCAT(_xlfn.XLOOKUP("[S07_AircraftOperatorsUseArt15MandateDetail][8][AircraftOperatorID]",Submission!$O:$O,Submission!$H:$N,""))</f>
        <v/>
      </c>
      <c r="D34" s="286"/>
      <c r="E34" s="286"/>
      <c r="F34" s="286"/>
      <c r="G34" s="286" t="str">
        <f>_xlfn.CONCAT(_xlfn.XLOOKUP("[S07_AircraftOperatorsUseArt15MandateDetail][8][AircraftOperatorName]",Submission!$O:$O,Submission!$H:$N,""))</f>
        <v/>
      </c>
      <c r="H34" s="286"/>
      <c r="I34" s="286"/>
    </row>
    <row r="35" spans="2:9" s="27" customFormat="1" ht="15.9" hidden="1" customHeight="1" outlineLevel="1" x14ac:dyDescent="0.3">
      <c r="B35" s="10"/>
      <c r="C35" s="286" t="str">
        <f>_xlfn.CONCAT(_xlfn.XLOOKUP("[S07_AircraftOperatorsUseArt15MandateDetail][9][AircraftOperatorID]",Submission!$O:$O,Submission!$H:$N,""))</f>
        <v/>
      </c>
      <c r="D35" s="286"/>
      <c r="E35" s="286"/>
      <c r="F35" s="286"/>
      <c r="G35" s="286" t="str">
        <f>_xlfn.CONCAT(_xlfn.XLOOKUP("[S07_AircraftOperatorsUseArt15MandateDetail][9][AircraftOperatorName]",Submission!$O:$O,Submission!$H:$N,""))</f>
        <v/>
      </c>
      <c r="H35" s="286"/>
      <c r="I35" s="286"/>
    </row>
    <row r="36" spans="2:9" s="27" customFormat="1" ht="15.9" hidden="1" customHeight="1" outlineLevel="1" x14ac:dyDescent="0.3">
      <c r="B36" s="10"/>
      <c r="C36" s="286" t="str">
        <f>_xlfn.CONCAT(_xlfn.XLOOKUP("[S07_AircraftOperatorsUseArt15MandateDetail][10][AircraftOperatorID]",Submission!$O:$O,Submission!$H:$N,""))</f>
        <v/>
      </c>
      <c r="D36" s="286"/>
      <c r="E36" s="286"/>
      <c r="F36" s="286"/>
      <c r="G36" s="286" t="str">
        <f>_xlfn.CONCAT(_xlfn.XLOOKUP("[S07_AircraftOperatorsUseArt15MandateDetail][10][AircraftOperatorName]",Submission!$O:$O,Submission!$H:$N,""))</f>
        <v/>
      </c>
      <c r="H36" s="286"/>
      <c r="I36" s="286"/>
    </row>
    <row r="37" spans="2:9" s="27" customFormat="1" ht="15.9" hidden="1" customHeight="1" outlineLevel="1" x14ac:dyDescent="0.3">
      <c r="B37" s="10"/>
      <c r="C37" s="286" t="str">
        <f>_xlfn.CONCAT(_xlfn.XLOOKUP("[S07_AircraftOperatorsUseArt15MandateDetail][11][AircraftOperatorID]",Submission!$O:$O,Submission!$H:$N,""))</f>
        <v/>
      </c>
      <c r="D37" s="286"/>
      <c r="E37" s="286"/>
      <c r="F37" s="286"/>
      <c r="G37" s="286" t="str">
        <f>_xlfn.CONCAT(_xlfn.XLOOKUP("[S07_AircraftOperatorsUseArt15MandateDetail][11][AircraftOperatorName]",Submission!$O:$O,Submission!$H:$N,""))</f>
        <v/>
      </c>
      <c r="H37" s="286"/>
      <c r="I37" s="286"/>
    </row>
    <row r="38" spans="2:9" s="27" customFormat="1" ht="15.9" hidden="1" customHeight="1" outlineLevel="1" x14ac:dyDescent="0.3">
      <c r="B38" s="10"/>
      <c r="C38" s="286" t="str">
        <f>_xlfn.CONCAT(_xlfn.XLOOKUP("[S07_AircraftOperatorsUseArt15MandateDetail][12][AircraftOperatorID]",Submission!$O:$O,Submission!$H:$N,""))</f>
        <v/>
      </c>
      <c r="D38" s="286"/>
      <c r="E38" s="286"/>
      <c r="F38" s="286"/>
      <c r="G38" s="286" t="str">
        <f>_xlfn.CONCAT(_xlfn.XLOOKUP("[S07_AircraftOperatorsUseArt15MandateDetail][12][AircraftOperatorName]",Submission!$O:$O,Submission!$H:$N,""))</f>
        <v/>
      </c>
      <c r="H38" s="286"/>
      <c r="I38" s="286"/>
    </row>
    <row r="39" spans="2:9" s="27" customFormat="1" ht="15.9" hidden="1" customHeight="1" outlineLevel="1" x14ac:dyDescent="0.3">
      <c r="B39" s="10"/>
      <c r="C39" s="286" t="str">
        <f>_xlfn.CONCAT(_xlfn.XLOOKUP("[S07_AircraftOperatorsUseArt15MandateDetail][13][AircraftOperatorID]",Submission!$O:$O,Submission!$H:$N,""))</f>
        <v/>
      </c>
      <c r="D39" s="286"/>
      <c r="E39" s="286"/>
      <c r="F39" s="286"/>
      <c r="G39" s="286" t="str">
        <f>_xlfn.CONCAT(_xlfn.XLOOKUP("[S07_AircraftOperatorsUseArt15MandateDetail][13][AircraftOperatorName]",Submission!$O:$O,Submission!$H:$N,""))</f>
        <v/>
      </c>
      <c r="H39" s="286"/>
      <c r="I39" s="286"/>
    </row>
    <row r="40" spans="2:9" s="27" customFormat="1" ht="15.9" hidden="1" customHeight="1" outlineLevel="1" x14ac:dyDescent="0.3">
      <c r="B40" s="10"/>
      <c r="C40" s="286" t="str">
        <f>_xlfn.CONCAT(_xlfn.XLOOKUP("[S07_AircraftOperatorsUseArt15MandateDetail][14][AircraftOperatorID]",Submission!$O:$O,Submission!$H:$N,""))</f>
        <v/>
      </c>
      <c r="D40" s="286"/>
      <c r="E40" s="286"/>
      <c r="F40" s="286"/>
      <c r="G40" s="286" t="str">
        <f>_xlfn.CONCAT(_xlfn.XLOOKUP("[S07_AircraftOperatorsUseArt15MandateDetail][14][AircraftOperatorName]",Submission!$O:$O,Submission!$H:$N,""))</f>
        <v/>
      </c>
      <c r="H40" s="286"/>
      <c r="I40" s="286"/>
    </row>
    <row r="41" spans="2:9" s="27" customFormat="1" ht="15.9" hidden="1" customHeight="1" outlineLevel="1" x14ac:dyDescent="0.3">
      <c r="B41" s="10"/>
      <c r="C41" s="286" t="str">
        <f>_xlfn.CONCAT(_xlfn.XLOOKUP("[S07_AircraftOperatorsUseArt15MandateDetail][15][AircraftOperatorID]",Submission!$O:$O,Submission!$H:$N,""))</f>
        <v/>
      </c>
      <c r="D41" s="286"/>
      <c r="E41" s="286"/>
      <c r="F41" s="286"/>
      <c r="G41" s="286" t="str">
        <f>_xlfn.CONCAT(_xlfn.XLOOKUP("[S07_AircraftOperatorsUseArt15MandateDetail][15][AircraftOperatorName]",Submission!$O:$O,Submission!$H:$N,""))</f>
        <v/>
      </c>
      <c r="H41" s="286"/>
      <c r="I41" s="286"/>
    </row>
    <row r="42" spans="2:9" s="27" customFormat="1" ht="15.9" hidden="1" customHeight="1" outlineLevel="1" x14ac:dyDescent="0.3">
      <c r="B42" s="10"/>
      <c r="C42" s="286" t="str">
        <f>_xlfn.CONCAT(_xlfn.XLOOKUP("[S07_AircraftOperatorsUseArt15MandateDetail][16][AircraftOperatorID]",Submission!$O:$O,Submission!$H:$N,""))</f>
        <v/>
      </c>
      <c r="D42" s="286"/>
      <c r="E42" s="286"/>
      <c r="F42" s="286"/>
      <c r="G42" s="286" t="str">
        <f>_xlfn.CONCAT(_xlfn.XLOOKUP("[S07_AircraftOperatorsUseArt15MandateDetail][16][AircraftOperatorName]",Submission!$O:$O,Submission!$H:$N,""))</f>
        <v/>
      </c>
      <c r="H42" s="286"/>
      <c r="I42" s="286"/>
    </row>
    <row r="43" spans="2:9" s="27" customFormat="1" ht="15.9" hidden="1" customHeight="1" outlineLevel="1" x14ac:dyDescent="0.3">
      <c r="B43" s="10"/>
      <c r="C43" s="286" t="str">
        <f>_xlfn.CONCAT(_xlfn.XLOOKUP("[S07_AircraftOperatorsUseArt15MandateDetail][17][AircraftOperatorID]",Submission!$O:$O,Submission!$H:$N,""))</f>
        <v/>
      </c>
      <c r="D43" s="286"/>
      <c r="E43" s="286"/>
      <c r="F43" s="286"/>
      <c r="G43" s="286" t="str">
        <f>_xlfn.CONCAT(_xlfn.XLOOKUP("[S07_AircraftOperatorsUseArt15MandateDetail][17][AircraftOperatorName]",Submission!$O:$O,Submission!$H:$N,""))</f>
        <v/>
      </c>
      <c r="H43" s="286"/>
      <c r="I43" s="286"/>
    </row>
    <row r="44" spans="2:9" s="27" customFormat="1" ht="15.9" hidden="1" customHeight="1" outlineLevel="1" x14ac:dyDescent="0.3">
      <c r="B44" s="10"/>
      <c r="C44" s="286" t="str">
        <f>_xlfn.CONCAT(_xlfn.XLOOKUP("[S07_AircraftOperatorsUseArt15MandateDetail][18][AircraftOperatorID]",Submission!$O:$O,Submission!$H:$N,""))</f>
        <v/>
      </c>
      <c r="D44" s="286"/>
      <c r="E44" s="286"/>
      <c r="F44" s="286"/>
      <c r="G44" s="286" t="str">
        <f>_xlfn.CONCAT(_xlfn.XLOOKUP("[S07_AircraftOperatorsUseArt15MandateDetail][18][AircraftOperatorName]",Submission!$O:$O,Submission!$H:$N,""))</f>
        <v/>
      </c>
      <c r="H44" s="286"/>
      <c r="I44" s="286"/>
    </row>
    <row r="45" spans="2:9" s="27" customFormat="1" ht="15.9" hidden="1" customHeight="1" outlineLevel="1" x14ac:dyDescent="0.3">
      <c r="B45" s="10"/>
      <c r="C45" s="286" t="str">
        <f>_xlfn.CONCAT(_xlfn.XLOOKUP("[S07_AircraftOperatorsUseArt15MandateDetail][19][AircraftOperatorID]",Submission!$O:$O,Submission!$H:$N,""))</f>
        <v/>
      </c>
      <c r="D45" s="286"/>
      <c r="E45" s="286"/>
      <c r="F45" s="286"/>
      <c r="G45" s="286" t="str">
        <f>_xlfn.CONCAT(_xlfn.XLOOKUP("[S07_AircraftOperatorsUseArt15MandateDetail][19][AircraftOperatorName]",Submission!$O:$O,Submission!$H:$N,""))</f>
        <v/>
      </c>
      <c r="H45" s="286"/>
      <c r="I45" s="286"/>
    </row>
    <row r="46" spans="2:9" s="27" customFormat="1" ht="15.9" hidden="1" customHeight="1" outlineLevel="1" x14ac:dyDescent="0.3">
      <c r="B46" s="10"/>
      <c r="C46" s="286" t="str">
        <f>_xlfn.CONCAT(_xlfn.XLOOKUP("[S07_AircraftOperatorsUseArt15MandateDetail][20][AircraftOperatorID]",Submission!$O:$O,Submission!$H:$N,""))</f>
        <v/>
      </c>
      <c r="D46" s="286"/>
      <c r="E46" s="286"/>
      <c r="F46" s="286"/>
      <c r="G46" s="286" t="str">
        <f>_xlfn.CONCAT(_xlfn.XLOOKUP("[S07_AircraftOperatorsUseArt15MandateDetail][20][AircraftOperatorName]",Submission!$O:$O,Submission!$H:$N,""))</f>
        <v/>
      </c>
      <c r="H46" s="286"/>
      <c r="I46" s="286"/>
    </row>
    <row r="47" spans="2:9" s="27" customFormat="1" ht="15.9" hidden="1" customHeight="1" outlineLevel="1" x14ac:dyDescent="0.3">
      <c r="B47" s="10"/>
      <c r="C47" s="286" t="str">
        <f>_xlfn.CONCAT(_xlfn.XLOOKUP("[S07_AircraftOperatorsUseArt15MandateDetail][21][AircraftOperatorID]",Submission!$O:$O,Submission!$H:$N,""))</f>
        <v/>
      </c>
      <c r="D47" s="286"/>
      <c r="E47" s="286"/>
      <c r="F47" s="286"/>
      <c r="G47" s="286" t="str">
        <f>_xlfn.CONCAT(_xlfn.XLOOKUP("[S07_AircraftOperatorsUseArt15MandateDetail][21][AircraftOperatorName]",Submission!$O:$O,Submission!$H:$N,""))</f>
        <v/>
      </c>
      <c r="H47" s="286"/>
      <c r="I47" s="286"/>
    </row>
    <row r="48" spans="2:9" s="27" customFormat="1" ht="15.9" hidden="1" customHeight="1" outlineLevel="1" x14ac:dyDescent="0.3">
      <c r="B48" s="10"/>
      <c r="C48" s="286" t="str">
        <f>_xlfn.CONCAT(_xlfn.XLOOKUP("[S07_AircraftOperatorsUseArt15MandateDetail][22][AircraftOperatorID]",Submission!$O:$O,Submission!$H:$N,""))</f>
        <v/>
      </c>
      <c r="D48" s="286"/>
      <c r="E48" s="286"/>
      <c r="F48" s="286"/>
      <c r="G48" s="286" t="str">
        <f>_xlfn.CONCAT(_xlfn.XLOOKUP("[S07_AircraftOperatorsUseArt15MandateDetail][22][AircraftOperatorName]",Submission!$O:$O,Submission!$H:$N,""))</f>
        <v/>
      </c>
      <c r="H48" s="286"/>
      <c r="I48" s="286"/>
    </row>
    <row r="49" spans="2:9" s="27" customFormat="1" ht="15.9" hidden="1" customHeight="1" outlineLevel="1" x14ac:dyDescent="0.3">
      <c r="B49" s="10"/>
      <c r="C49" s="286" t="str">
        <f>_xlfn.CONCAT(_xlfn.XLOOKUP("[S07_AircraftOperatorsUseArt15MandateDetail][23][AircraftOperatorID]",Submission!$O:$O,Submission!$H:$N,""))</f>
        <v/>
      </c>
      <c r="D49" s="286"/>
      <c r="E49" s="286"/>
      <c r="F49" s="286"/>
      <c r="G49" s="286" t="str">
        <f>_xlfn.CONCAT(_xlfn.XLOOKUP("[S07_AircraftOperatorsUseArt15MandateDetail][23][AircraftOperatorName]",Submission!$O:$O,Submission!$H:$N,""))</f>
        <v/>
      </c>
      <c r="H49" s="286"/>
      <c r="I49" s="286"/>
    </row>
    <row r="50" spans="2:9" s="27" customFormat="1" ht="15.9" hidden="1" customHeight="1" outlineLevel="1" x14ac:dyDescent="0.3">
      <c r="B50" s="10"/>
      <c r="C50" s="286" t="str">
        <f>_xlfn.CONCAT(_xlfn.XLOOKUP("[S07_AircraftOperatorsUseArt15MandateDetail][24][AircraftOperatorID]",Submission!$O:$O,Submission!$H:$N,""))</f>
        <v/>
      </c>
      <c r="D50" s="286"/>
      <c r="E50" s="286"/>
      <c r="F50" s="286"/>
      <c r="G50" s="286" t="str">
        <f>_xlfn.CONCAT(_xlfn.XLOOKUP("[S07_AircraftOperatorsUseArt15MandateDetail][24][AircraftOperatorName]",Submission!$O:$O,Submission!$H:$N,""))</f>
        <v/>
      </c>
      <c r="H50" s="286"/>
      <c r="I50" s="286"/>
    </row>
    <row r="51" spans="2:9" s="27" customFormat="1" ht="15.9" hidden="1" customHeight="1" outlineLevel="1" x14ac:dyDescent="0.3">
      <c r="B51" s="10"/>
      <c r="C51" s="286" t="str">
        <f>_xlfn.CONCAT(_xlfn.XLOOKUP("[S07_AircraftOperatorsUseArt15MandateDetail][25][AircraftOperatorID]",Submission!$O:$O,Submission!$H:$N,""))</f>
        <v/>
      </c>
      <c r="D51" s="286"/>
      <c r="E51" s="286"/>
      <c r="F51" s="286"/>
      <c r="G51" s="286" t="str">
        <f>_xlfn.CONCAT(_xlfn.XLOOKUP("[S07_AircraftOperatorsUseArt15MandateDetail][25][AircraftOperatorName]",Submission!$O:$O,Submission!$H:$N,""))</f>
        <v/>
      </c>
      <c r="H51" s="286"/>
      <c r="I51" s="286"/>
    </row>
    <row r="52" spans="2:9" s="27" customFormat="1" ht="15.9" hidden="1" customHeight="1" outlineLevel="1" x14ac:dyDescent="0.3">
      <c r="B52" s="10"/>
      <c r="C52" s="286" t="str">
        <f>_xlfn.CONCAT(_xlfn.XLOOKUP("[S07_AircraftOperatorsUseArt15MandateDetail][26][AircraftOperatorID]",Submission!$O:$O,Submission!$H:$N,""))</f>
        <v/>
      </c>
      <c r="D52" s="286"/>
      <c r="E52" s="286"/>
      <c r="F52" s="286"/>
      <c r="G52" s="286" t="str">
        <f>_xlfn.CONCAT(_xlfn.XLOOKUP("[S07_AircraftOperatorsUseArt15MandateDetail][26][AircraftOperatorName]",Submission!$O:$O,Submission!$H:$N,""))</f>
        <v/>
      </c>
      <c r="H52" s="286"/>
      <c r="I52" s="286"/>
    </row>
    <row r="53" spans="2:9" s="27" customFormat="1" ht="15.9" hidden="1" customHeight="1" outlineLevel="1" x14ac:dyDescent="0.3">
      <c r="B53" s="10"/>
      <c r="C53" s="286" t="str">
        <f>_xlfn.CONCAT(_xlfn.XLOOKUP("[S07_AircraftOperatorsUseArt15MandateDetail][27][AircraftOperatorID]",Submission!$O:$O,Submission!$H:$N,""))</f>
        <v/>
      </c>
      <c r="D53" s="286"/>
      <c r="E53" s="286"/>
      <c r="F53" s="286"/>
      <c r="G53" s="286" t="str">
        <f>_xlfn.CONCAT(_xlfn.XLOOKUP("[S07_AircraftOperatorsUseArt15MandateDetail][27][AircraftOperatorName]",Submission!$O:$O,Submission!$H:$N,""))</f>
        <v/>
      </c>
      <c r="H53" s="286"/>
      <c r="I53" s="286"/>
    </row>
    <row r="54" spans="2:9" s="27" customFormat="1" ht="15.9" hidden="1" customHeight="1" outlineLevel="1" x14ac:dyDescent="0.3">
      <c r="B54" s="10"/>
      <c r="C54" s="286" t="str">
        <f>_xlfn.CONCAT(_xlfn.XLOOKUP("[S07_AircraftOperatorsUseArt15MandateDetail][28][AircraftOperatorID]",Submission!$O:$O,Submission!$H:$N,""))</f>
        <v/>
      </c>
      <c r="D54" s="286"/>
      <c r="E54" s="286"/>
      <c r="F54" s="286"/>
      <c r="G54" s="286" t="str">
        <f>_xlfn.CONCAT(_xlfn.XLOOKUP("[S07_AircraftOperatorsUseArt15MandateDetail][28][AircraftOperatorName]",Submission!$O:$O,Submission!$H:$N,""))</f>
        <v/>
      </c>
      <c r="H54" s="286"/>
      <c r="I54" s="286"/>
    </row>
    <row r="55" spans="2:9" s="27" customFormat="1" ht="15.9" hidden="1" customHeight="1" outlineLevel="1" x14ac:dyDescent="0.3">
      <c r="B55" s="10"/>
      <c r="C55" s="286" t="str">
        <f>_xlfn.CONCAT(_xlfn.XLOOKUP("[S07_AircraftOperatorsUseArt15MandateDetail][29][AircraftOperatorID]",Submission!$O:$O,Submission!$H:$N,""))</f>
        <v/>
      </c>
      <c r="D55" s="286"/>
      <c r="E55" s="286"/>
      <c r="F55" s="286"/>
      <c r="G55" s="286" t="str">
        <f>_xlfn.CONCAT(_xlfn.XLOOKUP("[S07_AircraftOperatorsUseArt15MandateDetail][29][AircraftOperatorName]",Submission!$O:$O,Submission!$H:$N,""))</f>
        <v/>
      </c>
      <c r="H55" s="286"/>
      <c r="I55" s="286"/>
    </row>
    <row r="56" spans="2:9" s="27" customFormat="1" ht="15.9" hidden="1" customHeight="1" outlineLevel="1" x14ac:dyDescent="0.3">
      <c r="B56" s="10"/>
      <c r="C56" s="286" t="str">
        <f>_xlfn.CONCAT(_xlfn.XLOOKUP("[S07_AircraftOperatorsUseArt15MandateDetail][30][AircraftOperatorID]",Submission!$O:$O,Submission!$H:$N,""))</f>
        <v/>
      </c>
      <c r="D56" s="286"/>
      <c r="E56" s="286"/>
      <c r="F56" s="286"/>
      <c r="G56" s="286" t="str">
        <f>_xlfn.CONCAT(_xlfn.XLOOKUP("[S07_AircraftOperatorsUseArt15MandateDetail][30][AircraftOperatorName]",Submission!$O:$O,Submission!$H:$N,""))</f>
        <v/>
      </c>
      <c r="H56" s="286"/>
      <c r="I56" s="286"/>
    </row>
    <row r="57" spans="2:9" s="27" customFormat="1" ht="15.9" hidden="1" customHeight="1" outlineLevel="1" x14ac:dyDescent="0.3">
      <c r="B57" s="10"/>
      <c r="C57" s="286" t="str">
        <f>_xlfn.CONCAT(_xlfn.XLOOKUP("[S07_AircraftOperatorsUseArt15MandateDetail][31][AircraftOperatorID]",Submission!$O:$O,Submission!$H:$N,""))</f>
        <v/>
      </c>
      <c r="D57" s="286"/>
      <c r="E57" s="286"/>
      <c r="F57" s="286"/>
      <c r="G57" s="286" t="str">
        <f>_xlfn.CONCAT(_xlfn.XLOOKUP("[S07_AircraftOperatorsUseArt15MandateDetail][31][AircraftOperatorName]",Submission!$O:$O,Submission!$H:$N,""))</f>
        <v/>
      </c>
      <c r="H57" s="286"/>
      <c r="I57" s="286"/>
    </row>
    <row r="58" spans="2:9" s="27" customFormat="1" ht="15.9" hidden="1" customHeight="1" outlineLevel="1" x14ac:dyDescent="0.3">
      <c r="B58" s="10"/>
      <c r="C58" s="286" t="str">
        <f>_xlfn.CONCAT(_xlfn.XLOOKUP("[S07_AircraftOperatorsUseArt15MandateDetail][32][AircraftOperatorID]",Submission!$O:$O,Submission!$H:$N,""))</f>
        <v/>
      </c>
      <c r="D58" s="286"/>
      <c r="E58" s="286"/>
      <c r="F58" s="286"/>
      <c r="G58" s="286" t="str">
        <f>_xlfn.CONCAT(_xlfn.XLOOKUP("[S07_AircraftOperatorsUseArt15MandateDetail][32][AircraftOperatorName]",Submission!$O:$O,Submission!$H:$N,""))</f>
        <v/>
      </c>
      <c r="H58" s="286"/>
      <c r="I58" s="286"/>
    </row>
    <row r="59" spans="2:9" s="27" customFormat="1" ht="15.9" hidden="1" customHeight="1" outlineLevel="1" x14ac:dyDescent="0.3">
      <c r="B59" s="10"/>
      <c r="C59" s="286" t="str">
        <f>_xlfn.CONCAT(_xlfn.XLOOKUP("[S07_AircraftOperatorsUseArt15MandateDetail][33][AircraftOperatorID]",Submission!$O:$O,Submission!$H:$N,""))</f>
        <v/>
      </c>
      <c r="D59" s="286"/>
      <c r="E59" s="286"/>
      <c r="F59" s="286"/>
      <c r="G59" s="286" t="str">
        <f>_xlfn.CONCAT(_xlfn.XLOOKUP("[S07_AircraftOperatorsUseArt15MandateDetail][33][AircraftOperatorName]",Submission!$O:$O,Submission!$H:$N,""))</f>
        <v/>
      </c>
      <c r="H59" s="286"/>
      <c r="I59" s="286"/>
    </row>
    <row r="60" spans="2:9" s="27" customFormat="1" ht="15.9" hidden="1" customHeight="1" outlineLevel="1" x14ac:dyDescent="0.3">
      <c r="B60" s="10"/>
      <c r="C60" s="286" t="str">
        <f>_xlfn.CONCAT(_xlfn.XLOOKUP("[S07_AircraftOperatorsUseArt15MandateDetail][34][AircraftOperatorID]",Submission!$O:$O,Submission!$H:$N,""))</f>
        <v/>
      </c>
      <c r="D60" s="286"/>
      <c r="E60" s="286"/>
      <c r="F60" s="286"/>
      <c r="G60" s="286" t="str">
        <f>_xlfn.CONCAT(_xlfn.XLOOKUP("[S07_AircraftOperatorsUseArt15MandateDetail][34][AircraftOperatorName]",Submission!$O:$O,Submission!$H:$N,""))</f>
        <v/>
      </c>
      <c r="H60" s="286"/>
      <c r="I60" s="286"/>
    </row>
    <row r="61" spans="2:9" s="27" customFormat="1" ht="15.9" hidden="1" customHeight="1" outlineLevel="1" x14ac:dyDescent="0.3">
      <c r="B61" s="10"/>
      <c r="C61" s="286" t="str">
        <f>_xlfn.CONCAT(_xlfn.XLOOKUP("[S07_AircraftOperatorsUseArt15MandateDetail][35][AircraftOperatorID]",Submission!$O:$O,Submission!$H:$N,""))</f>
        <v/>
      </c>
      <c r="D61" s="286"/>
      <c r="E61" s="286"/>
      <c r="F61" s="286"/>
      <c r="G61" s="286" t="str">
        <f>_xlfn.CONCAT(_xlfn.XLOOKUP("[S07_AircraftOperatorsUseArt15MandateDetail][35][AircraftOperatorName]",Submission!$O:$O,Submission!$H:$N,""))</f>
        <v/>
      </c>
      <c r="H61" s="286"/>
      <c r="I61" s="286"/>
    </row>
    <row r="62" spans="2:9" s="27" customFormat="1" ht="15.9" hidden="1" customHeight="1" outlineLevel="1" x14ac:dyDescent="0.3">
      <c r="B62" s="10"/>
      <c r="C62" s="286" t="str">
        <f>_xlfn.CONCAT(_xlfn.XLOOKUP("[S07_AircraftOperatorsUseArt15MandateDetail][36][AircraftOperatorID]",Submission!$O:$O,Submission!$H:$N,""))</f>
        <v/>
      </c>
      <c r="D62" s="286"/>
      <c r="E62" s="286"/>
      <c r="F62" s="286"/>
      <c r="G62" s="286" t="str">
        <f>_xlfn.CONCAT(_xlfn.XLOOKUP("[S07_AircraftOperatorsUseArt15MandateDetail][36][AircraftOperatorName]",Submission!$O:$O,Submission!$H:$N,""))</f>
        <v/>
      </c>
      <c r="H62" s="286"/>
      <c r="I62" s="286"/>
    </row>
    <row r="63" spans="2:9" s="27" customFormat="1" ht="15.9" hidden="1" customHeight="1" outlineLevel="1" x14ac:dyDescent="0.3">
      <c r="B63" s="10"/>
      <c r="C63" s="286" t="str">
        <f>_xlfn.CONCAT(_xlfn.XLOOKUP("[S07_AircraftOperatorsUseArt15MandateDetail][37][AircraftOperatorID]",Submission!$O:$O,Submission!$H:$N,""))</f>
        <v/>
      </c>
      <c r="D63" s="286"/>
      <c r="E63" s="286"/>
      <c r="F63" s="286"/>
      <c r="G63" s="286" t="str">
        <f>_xlfn.CONCAT(_xlfn.XLOOKUP("[S07_AircraftOperatorsUseArt15MandateDetail][37][AircraftOperatorName]",Submission!$O:$O,Submission!$H:$N,""))</f>
        <v/>
      </c>
      <c r="H63" s="286"/>
      <c r="I63" s="286"/>
    </row>
    <row r="64" spans="2:9" s="27" customFormat="1" ht="15.9" hidden="1" customHeight="1" outlineLevel="1" x14ac:dyDescent="0.3">
      <c r="B64" s="10"/>
      <c r="C64" s="286" t="str">
        <f>_xlfn.CONCAT(_xlfn.XLOOKUP("[S07_AircraftOperatorsUseArt15MandateDetail][38][AircraftOperatorID]",Submission!$O:$O,Submission!$H:$N,""))</f>
        <v/>
      </c>
      <c r="D64" s="286"/>
      <c r="E64" s="286"/>
      <c r="F64" s="286"/>
      <c r="G64" s="286" t="str">
        <f>_xlfn.CONCAT(_xlfn.XLOOKUP("[S07_AircraftOperatorsUseArt15MandateDetail][38][AircraftOperatorName]",Submission!$O:$O,Submission!$H:$N,""))</f>
        <v/>
      </c>
      <c r="H64" s="286"/>
      <c r="I64" s="286"/>
    </row>
    <row r="65" spans="1:9" s="27" customFormat="1" ht="15.9" hidden="1" customHeight="1" outlineLevel="1" x14ac:dyDescent="0.3">
      <c r="B65" s="10"/>
      <c r="C65" s="286" t="str">
        <f>_xlfn.CONCAT(_xlfn.XLOOKUP("[S07_AircraftOperatorsUseArt15MandateDetail][39][AircraftOperatorID]",Submission!$O:$O,Submission!$H:$N,""))</f>
        <v/>
      </c>
      <c r="D65" s="286"/>
      <c r="E65" s="286"/>
      <c r="F65" s="286"/>
      <c r="G65" s="286" t="str">
        <f>_xlfn.CONCAT(_xlfn.XLOOKUP("[S07_AircraftOperatorsUseArt15MandateDetail][39][AircraftOperatorName]",Submission!$O:$O,Submission!$H:$N,""))</f>
        <v/>
      </c>
      <c r="H65" s="286"/>
      <c r="I65" s="286"/>
    </row>
    <row r="66" spans="1:9" s="27" customFormat="1" ht="15.9" hidden="1" customHeight="1" outlineLevel="1" x14ac:dyDescent="0.3">
      <c r="B66" s="10"/>
      <c r="C66" s="286" t="str">
        <f>_xlfn.CONCAT(_xlfn.XLOOKUP("[S07_AircraftOperatorsUseArt15MandateDetail][40][AircraftOperatorID]",Submission!$O:$O,Submission!$H:$N,""))</f>
        <v/>
      </c>
      <c r="D66" s="286"/>
      <c r="E66" s="286"/>
      <c r="F66" s="286"/>
      <c r="G66" s="286" t="str">
        <f>_xlfn.CONCAT(_xlfn.XLOOKUP("[S07_AircraftOperatorsUseArt15MandateDetail][40][AircraftOperatorName]",Submission!$O:$O,Submission!$H:$N,""))</f>
        <v/>
      </c>
      <c r="H66" s="286"/>
      <c r="I66" s="286"/>
    </row>
    <row r="67" spans="1:9" ht="15.9" customHeight="1" collapsed="1" x14ac:dyDescent="0.3">
      <c r="A67" s="13"/>
      <c r="B67" s="26" t="s">
        <v>2</v>
      </c>
      <c r="C67" s="19"/>
      <c r="D67" s="20"/>
      <c r="E67" s="20"/>
      <c r="F67" s="20"/>
      <c r="G67" s="20"/>
      <c r="H67" s="20"/>
      <c r="I67" s="20"/>
    </row>
    <row r="68" spans="1:9" ht="15.9" customHeight="1" x14ac:dyDescent="0.3">
      <c r="C68" s="248" t="s">
        <v>1131</v>
      </c>
      <c r="D68" s="249"/>
      <c r="E68" s="249"/>
      <c r="F68" s="249"/>
      <c r="G68" s="249"/>
      <c r="H68" s="249"/>
      <c r="I68" s="249"/>
    </row>
  </sheetData>
  <mergeCells count="115">
    <mergeCell ref="C34:F34"/>
    <mergeCell ref="G34:I34"/>
    <mergeCell ref="C35:F35"/>
    <mergeCell ref="G35:I35"/>
    <mergeCell ref="C36:F36"/>
    <mergeCell ref="G36:I36"/>
    <mergeCell ref="C46:F46"/>
    <mergeCell ref="G46:I46"/>
    <mergeCell ref="C27:F27"/>
    <mergeCell ref="G27:I27"/>
    <mergeCell ref="C28:F28"/>
    <mergeCell ref="G28:I28"/>
    <mergeCell ref="C29:F29"/>
    <mergeCell ref="G29:I29"/>
    <mergeCell ref="C30:F30"/>
    <mergeCell ref="G30:I30"/>
    <mergeCell ref="C31:F31"/>
    <mergeCell ref="G31:I31"/>
    <mergeCell ref="C32:F32"/>
    <mergeCell ref="G32:I32"/>
    <mergeCell ref="C33:F33"/>
    <mergeCell ref="G33:I33"/>
    <mergeCell ref="C43:F43"/>
    <mergeCell ref="G43:I43"/>
    <mergeCell ref="C45:F45"/>
    <mergeCell ref="G45:I45"/>
    <mergeCell ref="C55:F55"/>
    <mergeCell ref="G55:I55"/>
    <mergeCell ref="C37:F37"/>
    <mergeCell ref="G37:I37"/>
    <mergeCell ref="C38:F38"/>
    <mergeCell ref="G38:I38"/>
    <mergeCell ref="C39:F39"/>
    <mergeCell ref="G39:I39"/>
    <mergeCell ref="C40:F40"/>
    <mergeCell ref="G40:I40"/>
    <mergeCell ref="C41:F41"/>
    <mergeCell ref="G41:I41"/>
    <mergeCell ref="C42:F42"/>
    <mergeCell ref="G42:I42"/>
    <mergeCell ref="C52:F52"/>
    <mergeCell ref="G52:I52"/>
    <mergeCell ref="C53:F53"/>
    <mergeCell ref="D16:E16"/>
    <mergeCell ref="F16:G16"/>
    <mergeCell ref="C58:F58"/>
    <mergeCell ref="G58:I58"/>
    <mergeCell ref="C59:F59"/>
    <mergeCell ref="G59:I59"/>
    <mergeCell ref="C60:F60"/>
    <mergeCell ref="G60:I60"/>
    <mergeCell ref="C54:F54"/>
    <mergeCell ref="G54:I54"/>
    <mergeCell ref="G49:I49"/>
    <mergeCell ref="C50:F50"/>
    <mergeCell ref="G50:I50"/>
    <mergeCell ref="C51:F51"/>
    <mergeCell ref="G51:I51"/>
    <mergeCell ref="C56:F56"/>
    <mergeCell ref="G56:I56"/>
    <mergeCell ref="G53:I53"/>
    <mergeCell ref="G57:I57"/>
    <mergeCell ref="C57:F57"/>
    <mergeCell ref="C22:G22"/>
    <mergeCell ref="H22:I22"/>
    <mergeCell ref="C44:F44"/>
    <mergeCell ref="G44:I44"/>
    <mergeCell ref="C64:F64"/>
    <mergeCell ref="G64:I64"/>
    <mergeCell ref="B3:I3"/>
    <mergeCell ref="B4:I4"/>
    <mergeCell ref="B6:I6"/>
    <mergeCell ref="D7:E7"/>
    <mergeCell ref="F7:G7"/>
    <mergeCell ref="D15:E15"/>
    <mergeCell ref="F15:G15"/>
    <mergeCell ref="C19:I19"/>
    <mergeCell ref="D8:E8"/>
    <mergeCell ref="F8:G8"/>
    <mergeCell ref="D9:E9"/>
    <mergeCell ref="F9:G9"/>
    <mergeCell ref="D10:E10"/>
    <mergeCell ref="F10:G10"/>
    <mergeCell ref="D14:E14"/>
    <mergeCell ref="F14:G14"/>
    <mergeCell ref="D12:E12"/>
    <mergeCell ref="F12:G12"/>
    <mergeCell ref="D13:E13"/>
    <mergeCell ref="F13:G13"/>
    <mergeCell ref="D11:E11"/>
    <mergeCell ref="F11:G11"/>
    <mergeCell ref="D17:E17"/>
    <mergeCell ref="F17:G17"/>
    <mergeCell ref="B21:I21"/>
    <mergeCell ref="A1:I1"/>
    <mergeCell ref="C68:I68"/>
    <mergeCell ref="C23:I23"/>
    <mergeCell ref="B25:I25"/>
    <mergeCell ref="C26:F26"/>
    <mergeCell ref="G26:I26"/>
    <mergeCell ref="C66:F66"/>
    <mergeCell ref="G66:I66"/>
    <mergeCell ref="C62:F62"/>
    <mergeCell ref="G62:I62"/>
    <mergeCell ref="C63:F63"/>
    <mergeCell ref="G63:I63"/>
    <mergeCell ref="C47:F47"/>
    <mergeCell ref="G47:I47"/>
    <mergeCell ref="C48:F48"/>
    <mergeCell ref="G48:I48"/>
    <mergeCell ref="C49:F49"/>
    <mergeCell ref="C65:F65"/>
    <mergeCell ref="G65:I65"/>
    <mergeCell ref="C61:F61"/>
    <mergeCell ref="G61:I61"/>
  </mergeCells>
  <dataValidations count="1">
    <dataValidation type="whole" operator="greaterThanOrEqual" allowBlank="1" showInputMessage="1" showErrorMessage="1" error="Please type a whole number greater or equal to zero" sqref="H22:I22 H8:H15" xr:uid="{35E168FE-C946-4418-AC32-D20CAB2A1BCE}">
      <formula1>0</formula1>
    </dataValidation>
  </dataValidations>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dimension ref="A1:J342"/>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0" width="43.109375" style="13" customWidth="1"/>
    <col min="11"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11" customFormat="1" ht="18.899999999999999" customHeight="1" x14ac:dyDescent="0.35">
      <c r="A3" s="62">
        <v>8</v>
      </c>
      <c r="B3" s="327" t="s">
        <v>450</v>
      </c>
      <c r="C3" s="327"/>
      <c r="D3" s="327"/>
      <c r="E3" s="327"/>
      <c r="F3" s="327"/>
      <c r="G3" s="327"/>
      <c r="H3" s="327"/>
      <c r="I3" s="327"/>
    </row>
    <row r="4" spans="1:9" s="7" customFormat="1" ht="18.899999999999999" customHeight="1" x14ac:dyDescent="0.35">
      <c r="A4" s="85" t="s">
        <v>451</v>
      </c>
      <c r="B4" s="325" t="s">
        <v>145</v>
      </c>
      <c r="C4" s="325"/>
      <c r="D4" s="325"/>
      <c r="E4" s="325"/>
      <c r="F4" s="325"/>
      <c r="G4" s="325"/>
      <c r="H4" s="325"/>
      <c r="I4" s="326"/>
    </row>
    <row r="5" spans="1:9" s="7" customFormat="1" ht="15.6" customHeight="1" x14ac:dyDescent="0.3">
      <c r="A5" s="12" t="s">
        <v>452</v>
      </c>
      <c r="B5" s="479" t="s">
        <v>1132</v>
      </c>
      <c r="C5" s="479"/>
      <c r="D5" s="479"/>
      <c r="E5" s="479"/>
      <c r="F5" s="479"/>
      <c r="G5" s="479"/>
      <c r="H5" s="479"/>
      <c r="I5" s="479"/>
    </row>
    <row r="6" spans="1:9" s="11" customFormat="1" ht="33" customHeight="1" x14ac:dyDescent="0.3">
      <c r="A6" s="12"/>
      <c r="B6" s="293" t="s">
        <v>1133</v>
      </c>
      <c r="C6" s="294"/>
      <c r="D6" s="294"/>
      <c r="E6" s="294"/>
      <c r="F6" s="294"/>
      <c r="G6" s="294"/>
      <c r="H6" s="295"/>
      <c r="I6" s="41" t="str">
        <f>_xlfn.CONCAT(_xlfn.XLOOKUP("[CommissionTemplatesAllocation][0][CommissionTemplatesAllocation]",Submission!$O:$O,Submission!$H:$N,""))</f>
        <v>Yes</v>
      </c>
    </row>
    <row r="7" spans="1:9" ht="49.95" customHeight="1" x14ac:dyDescent="0.3">
      <c r="A7" s="13"/>
      <c r="B7" s="293" t="s">
        <v>1134</v>
      </c>
      <c r="C7" s="294"/>
      <c r="D7" s="294"/>
      <c r="E7" s="294"/>
      <c r="F7" s="294"/>
      <c r="G7" s="294"/>
      <c r="H7" s="294"/>
      <c r="I7" s="294"/>
    </row>
    <row r="8" spans="1:9" x14ac:dyDescent="0.3">
      <c r="C8" s="482"/>
      <c r="D8" s="483"/>
      <c r="E8" s="337" t="s">
        <v>1135</v>
      </c>
      <c r="F8" s="339"/>
      <c r="G8" s="337" t="s">
        <v>1136</v>
      </c>
      <c r="H8" s="338"/>
      <c r="I8" s="339"/>
    </row>
    <row r="9" spans="1:9" ht="27.6" customHeight="1" x14ac:dyDescent="0.3">
      <c r="C9" s="337" t="s">
        <v>1137</v>
      </c>
      <c r="D9" s="339"/>
      <c r="E9" s="281" t="str">
        <f>_xlfn.CONCAT(_xlfn.XLOOKUP("[S08_MSCustomisedTemplatesAllocation][1][SpecificTemplateOrFileFormat]",Submission!$O:$O,Submission!$H:$N,""))</f>
        <v/>
      </c>
      <c r="F9" s="347"/>
      <c r="G9" s="480" t="str">
        <f>_xlfn.CONCAT(_xlfn.XLOOKUP("[S08_MSCustomisedTemplatesAllocation][1][HowTemplateSpecific]",Submission!$O:$O,Submission!$H:$N,""))</f>
        <v/>
      </c>
      <c r="H9" s="456"/>
      <c r="I9" s="457"/>
    </row>
    <row r="10" spans="1:9" ht="27.6" customHeight="1" x14ac:dyDescent="0.3">
      <c r="C10" s="365" t="s">
        <v>1138</v>
      </c>
      <c r="D10" s="365"/>
      <c r="E10" s="281" t="str">
        <f>_xlfn.CONCAT(_xlfn.XLOOKUP("[S08_MSCustomisedTemplatesAllocation][2][SpecificTemplateOrFileFormat]",Submission!$O:$O,Submission!$H:$N,""))</f>
        <v/>
      </c>
      <c r="F10" s="347"/>
      <c r="G10" s="481" t="str">
        <f>_xlfn.CONCAT(_xlfn.XLOOKUP("[S08_MSCustomisedTemplatesAllocation][2][HowTemplateSpecific]",Submission!$O:$O,Submission!$H:$N,""))</f>
        <v/>
      </c>
      <c r="H10" s="481"/>
      <c r="I10" s="481"/>
    </row>
    <row r="11" spans="1:9" ht="27.6" customHeight="1" x14ac:dyDescent="0.3">
      <c r="C11" s="337" t="s">
        <v>1139</v>
      </c>
      <c r="D11" s="339"/>
      <c r="E11" s="281" t="str">
        <f>_xlfn.CONCAT(_xlfn.XLOOKUP("[S08_MSCustomisedTemplatesAllocation][3][SpecificTemplateOrFileFormat]",Submission!$O:$O,Submission!$H:$N,""))</f>
        <v/>
      </c>
      <c r="F11" s="347"/>
      <c r="G11" s="455" t="str">
        <f>_xlfn.CONCAT(_xlfn.XLOOKUP("[S08_MSCustomisedTemplatesAllocation][3][HowTemplateSpecific]",Submission!$O:$O,Submission!$H:$N,""))</f>
        <v/>
      </c>
      <c r="H11" s="456"/>
      <c r="I11" s="457"/>
    </row>
    <row r="12" spans="1:9" ht="27.6" customHeight="1" x14ac:dyDescent="0.3">
      <c r="C12" s="337" t="s">
        <v>1140</v>
      </c>
      <c r="D12" s="339"/>
      <c r="E12" s="281" t="str">
        <f>_xlfn.CONCAT(_xlfn.XLOOKUP("[S08_MSCustomisedTemplatesAllocation][4][SpecificTemplateOrFileFormat]",Submission!$O:$O,Submission!$H:$N,""))</f>
        <v/>
      </c>
      <c r="F12" s="347"/>
      <c r="G12" s="455" t="str">
        <f>_xlfn.CONCAT(_xlfn.XLOOKUP("[S08_MSCustomisedTemplatesAllocation][4][HowTemplateSpecific]",Submission!$O:$O,Submission!$H:$N,""))</f>
        <v/>
      </c>
      <c r="H12" s="456"/>
      <c r="I12" s="457"/>
    </row>
    <row r="13" spans="1:9" x14ac:dyDescent="0.3">
      <c r="C13" s="248" t="s">
        <v>831</v>
      </c>
      <c r="D13" s="248"/>
      <c r="E13" s="248"/>
      <c r="F13" s="248"/>
      <c r="G13" s="248"/>
      <c r="H13" s="248"/>
      <c r="I13" s="248"/>
    </row>
    <row r="14" spans="1:9" x14ac:dyDescent="0.3">
      <c r="C14" s="464" t="s">
        <v>1141</v>
      </c>
      <c r="D14" s="464"/>
      <c r="E14" s="464"/>
      <c r="F14" s="464"/>
      <c r="G14" s="464"/>
      <c r="H14" s="464"/>
      <c r="I14" s="464"/>
    </row>
    <row r="15" spans="1:9" x14ac:dyDescent="0.3">
      <c r="C15" s="10"/>
      <c r="D15" s="10"/>
      <c r="E15" s="10"/>
      <c r="F15" s="10"/>
      <c r="G15" s="10"/>
      <c r="H15" s="10"/>
      <c r="I15" s="10"/>
    </row>
    <row r="16" spans="1:9" x14ac:dyDescent="0.3">
      <c r="A16" s="12" t="s">
        <v>459</v>
      </c>
      <c r="B16" s="454" t="s">
        <v>1142</v>
      </c>
      <c r="C16" s="454"/>
      <c r="D16" s="454"/>
      <c r="E16" s="454"/>
      <c r="F16" s="454"/>
      <c r="G16" s="454"/>
      <c r="H16" s="454"/>
      <c r="I16" s="454"/>
    </row>
    <row r="17" spans="1:9" ht="30.6" customHeight="1" x14ac:dyDescent="0.3">
      <c r="A17" s="12"/>
      <c r="B17" s="293" t="s">
        <v>1143</v>
      </c>
      <c r="C17" s="294"/>
      <c r="D17" s="294"/>
      <c r="E17" s="294"/>
      <c r="F17" s="294"/>
      <c r="G17" s="294"/>
      <c r="H17" s="295"/>
      <c r="I17" s="41" t="str">
        <f>_xlfn.CONCAT(_xlfn.XLOOKUP("[FeesAllocation][0][FeesAllocation]",Submission!$O:$O,Submission!$H:$N,""))</f>
        <v>Yes</v>
      </c>
    </row>
    <row r="18" spans="1:9" x14ac:dyDescent="0.3">
      <c r="B18" s="465" t="s">
        <v>1144</v>
      </c>
      <c r="C18" s="465"/>
      <c r="D18" s="465"/>
      <c r="E18" s="465"/>
      <c r="F18" s="465"/>
      <c r="G18" s="465"/>
      <c r="H18" s="465"/>
      <c r="I18" s="465"/>
    </row>
    <row r="19" spans="1:9" x14ac:dyDescent="0.3">
      <c r="C19" s="444" t="s">
        <v>1145</v>
      </c>
      <c r="D19" s="445"/>
      <c r="E19" s="445"/>
      <c r="F19" s="446"/>
      <c r="G19" s="444" t="s">
        <v>1146</v>
      </c>
      <c r="H19" s="445"/>
      <c r="I19" s="446"/>
    </row>
    <row r="20" spans="1:9" x14ac:dyDescent="0.3">
      <c r="C20" s="461" t="s">
        <v>1147</v>
      </c>
      <c r="D20" s="462"/>
      <c r="E20" s="462"/>
      <c r="F20" s="463"/>
      <c r="G20" s="458" t="str">
        <f>_xlfn.CONCAT(_xlfn.XLOOKUP("[S08_FeesAllocationDetail][1][FeeAmount]",Submission!$O:$O,Submission!$H:$N,""))</f>
        <v>5</v>
      </c>
      <c r="H20" s="459"/>
      <c r="I20" s="460"/>
    </row>
    <row r="21" spans="1:9" x14ac:dyDescent="0.3">
      <c r="C21" s="461" t="s">
        <v>1148</v>
      </c>
      <c r="D21" s="462"/>
      <c r="E21" s="462"/>
      <c r="F21" s="463"/>
      <c r="G21" s="458" t="str">
        <f>_xlfn.CONCAT(_xlfn.XLOOKUP("[S08_FeesAllocationDetail][2][FeeAmount]",Submission!$O:$O,Submission!$H:$N,""))</f>
        <v>5</v>
      </c>
      <c r="H21" s="459"/>
      <c r="I21" s="460"/>
    </row>
    <row r="22" spans="1:9" x14ac:dyDescent="0.3">
      <c r="C22" s="461" t="s">
        <v>697</v>
      </c>
      <c r="D22" s="462"/>
      <c r="E22" s="251" t="str">
        <f>_xlfn.CONCAT(_xlfn.XLOOKUP("[S08_FeesAllocationDetail][3][FeeOther]",Submission!$O:$O,Submission!$H:$N,""))</f>
        <v>submission of an application for free allocation</v>
      </c>
      <c r="F22" s="252"/>
      <c r="G22" s="458" t="str">
        <f>_xlfn.CONCAT(_xlfn.XLOOKUP("[S08_FeesAllocationDetail][3][FeeAmount]",Submission!$O:$O,Submission!$H:$N,""))</f>
        <v>5</v>
      </c>
      <c r="H22" s="459"/>
      <c r="I22" s="460"/>
    </row>
    <row r="23" spans="1:9" hidden="1" outlineLevel="1" x14ac:dyDescent="0.3">
      <c r="C23" s="461" t="s">
        <v>1149</v>
      </c>
      <c r="D23" s="462"/>
      <c r="E23" s="251" t="str">
        <f>_xlfn.CONCAT(_xlfn.XLOOKUP("[S08_FeesAllocationDetail][4][FeeOther]",Submission!$O:$O,Submission!$H:$N,""))</f>
        <v/>
      </c>
      <c r="F23" s="252"/>
      <c r="G23" s="458" t="str">
        <f>_xlfn.CONCAT(_xlfn.XLOOKUP("[S08_FeesAllocationDetail][4][FeeAmount]",Submission!$O:$O,Submission!$H:$N,""))</f>
        <v/>
      </c>
      <c r="H23" s="459"/>
      <c r="I23" s="460"/>
    </row>
    <row r="24" spans="1:9" hidden="1" outlineLevel="1" x14ac:dyDescent="0.3">
      <c r="C24" s="461" t="s">
        <v>1150</v>
      </c>
      <c r="D24" s="462"/>
      <c r="E24" s="251" t="str">
        <f>_xlfn.CONCAT(_xlfn.XLOOKUP("[S08_FeesAllocationDetail][5][FeeOther]",Submission!$O:$O,Submission!$H:$N,""))</f>
        <v/>
      </c>
      <c r="F24" s="252"/>
      <c r="G24" s="458" t="str">
        <f>_xlfn.CONCAT(_xlfn.XLOOKUP("[S08_FeesAllocationDetail][5][FeeAmount]",Submission!$O:$O,Submission!$H:$N,""))</f>
        <v/>
      </c>
      <c r="H24" s="459"/>
      <c r="I24" s="460"/>
    </row>
    <row r="25" spans="1:9" hidden="1" outlineLevel="1" x14ac:dyDescent="0.3">
      <c r="C25" s="461" t="s">
        <v>1151</v>
      </c>
      <c r="D25" s="462"/>
      <c r="E25" s="251" t="str">
        <f>_xlfn.CONCAT(_xlfn.XLOOKUP("[S08_FeesAllocationDetail][6][FeeOther]",Submission!$O:$O,Submission!$H:$N,""))</f>
        <v/>
      </c>
      <c r="F25" s="252"/>
      <c r="G25" s="458" t="str">
        <f>_xlfn.CONCAT(_xlfn.XLOOKUP("[S08_FeesAllocationDetail][6][FeeAmount]",Submission!$O:$O,Submission!$H:$N,""))</f>
        <v/>
      </c>
      <c r="H25" s="459"/>
      <c r="I25" s="460"/>
    </row>
    <row r="26" spans="1:9" ht="15.9" customHeight="1" collapsed="1" x14ac:dyDescent="0.3">
      <c r="B26" s="26" t="s">
        <v>2</v>
      </c>
      <c r="C26" s="19"/>
      <c r="D26" s="31"/>
      <c r="E26" s="33"/>
      <c r="F26" s="33"/>
      <c r="G26" s="35"/>
      <c r="H26" s="35"/>
      <c r="I26" s="35"/>
    </row>
    <row r="27" spans="1:9" ht="15.9" customHeight="1" x14ac:dyDescent="0.3">
      <c r="B27" s="26"/>
      <c r="C27" s="19"/>
      <c r="D27" s="31"/>
      <c r="E27" s="33"/>
      <c r="F27" s="33"/>
      <c r="G27" s="35"/>
      <c r="H27" s="35"/>
      <c r="I27" s="35"/>
    </row>
    <row r="28" spans="1:9" ht="13.5" customHeight="1" x14ac:dyDescent="0.3">
      <c r="A28" s="12" t="s">
        <v>465</v>
      </c>
      <c r="B28" s="454" t="s">
        <v>1152</v>
      </c>
      <c r="C28" s="454"/>
      <c r="D28" s="454"/>
      <c r="E28" s="454"/>
      <c r="F28" s="454"/>
      <c r="G28" s="454"/>
      <c r="H28" s="454"/>
      <c r="I28" s="454"/>
    </row>
    <row r="29" spans="1:9" ht="28.5" customHeight="1" x14ac:dyDescent="0.3">
      <c r="A29" s="12"/>
      <c r="B29" s="293" t="s">
        <v>1153</v>
      </c>
      <c r="C29" s="294"/>
      <c r="D29" s="294"/>
      <c r="E29" s="294"/>
      <c r="F29" s="294"/>
      <c r="G29" s="294"/>
      <c r="H29" s="295"/>
      <c r="I29" s="41" t="str">
        <f>_xlfn.CONCAT(_xlfn.XLOOKUP("[ITforAllocationData][0][ITforAllocationData]",Submission!$O:$O,Submission!$H:$N,""))</f>
        <v/>
      </c>
    </row>
    <row r="31" spans="1:9" x14ac:dyDescent="0.3">
      <c r="A31" s="12" t="s">
        <v>468</v>
      </c>
      <c r="B31" s="293" t="s">
        <v>1154</v>
      </c>
      <c r="C31" s="294"/>
      <c r="D31" s="294"/>
      <c r="E31" s="294"/>
      <c r="F31" s="294"/>
      <c r="G31" s="294"/>
      <c r="H31" s="294"/>
      <c r="I31" s="294"/>
    </row>
    <row r="32" spans="1:9" x14ac:dyDescent="0.3">
      <c r="C32" s="318"/>
      <c r="D32" s="319"/>
      <c r="E32" s="319"/>
      <c r="F32" s="478"/>
      <c r="G32" s="303" t="s">
        <v>1045</v>
      </c>
      <c r="H32" s="304"/>
      <c r="I32" s="305"/>
    </row>
    <row r="33" spans="1:9" ht="27.6" customHeight="1" x14ac:dyDescent="0.3">
      <c r="C33" s="303" t="s">
        <v>1155</v>
      </c>
      <c r="D33" s="304"/>
      <c r="E33" s="304"/>
      <c r="F33" s="305"/>
      <c r="G33" s="475" t="str">
        <f>_xlfn.CONCAT(_xlfn.XLOOKUP("[S08_RenunciationSuspensionAllowances][1][NumberOfInstallations]",Submission!$O:$O,Submission!$H:$N,""))</f>
        <v>0</v>
      </c>
      <c r="H33" s="476"/>
      <c r="I33" s="477"/>
    </row>
    <row r="34" spans="1:9" ht="28.95" customHeight="1" x14ac:dyDescent="0.3">
      <c r="C34" s="303" t="s">
        <v>1156</v>
      </c>
      <c r="D34" s="304"/>
      <c r="E34" s="304"/>
      <c r="F34" s="305"/>
      <c r="G34" s="475" t="str">
        <f>_xlfn.CONCAT(_xlfn.XLOOKUP("[S08_RenunciationSuspensionAllowances][2][NumberOfInstallations]",Submission!$O:$O,Submission!$H:$N,""))</f>
        <v>38</v>
      </c>
      <c r="H34" s="476"/>
      <c r="I34" s="477"/>
    </row>
    <row r="35" spans="1:9" ht="27" customHeight="1" x14ac:dyDescent="0.3">
      <c r="C35" s="303" t="s">
        <v>1157</v>
      </c>
      <c r="D35" s="304"/>
      <c r="E35" s="304"/>
      <c r="F35" s="305"/>
      <c r="G35" s="475" t="str">
        <f>_xlfn.CONCAT(_xlfn.XLOOKUP("[S08_RenunciationSuspensionAllowances][3][NumberOfInstallations]",Submission!$O:$O,Submission!$H:$N,""))</f>
        <v>0</v>
      </c>
      <c r="H35" s="476"/>
      <c r="I35" s="477"/>
    </row>
    <row r="37" spans="1:9" ht="33.6" customHeight="1" x14ac:dyDescent="0.3">
      <c r="A37" s="12" t="s">
        <v>472</v>
      </c>
      <c r="B37" s="293" t="s">
        <v>1158</v>
      </c>
      <c r="C37" s="294"/>
      <c r="D37" s="294"/>
      <c r="E37" s="294"/>
      <c r="F37" s="294"/>
      <c r="G37" s="294"/>
      <c r="H37" s="295"/>
      <c r="I37" s="41" t="str">
        <f>_xlfn.CONCAT(_xlfn.XLOOKUP("[SubInstallationBenchmark61][0][SubInstallationBenchmark61]",Submission!$O:$O,Submission!$H:$N,""))</f>
        <v>Yes</v>
      </c>
    </row>
    <row r="38" spans="1:9" x14ac:dyDescent="0.3">
      <c r="B38" s="465" t="s">
        <v>1159</v>
      </c>
      <c r="C38" s="465"/>
      <c r="D38" s="465"/>
      <c r="E38" s="465"/>
      <c r="F38" s="465"/>
      <c r="G38" s="465"/>
      <c r="H38" s="465"/>
      <c r="I38" s="465"/>
    </row>
    <row r="39" spans="1:9" x14ac:dyDescent="0.3">
      <c r="C39" s="472" t="s">
        <v>1160</v>
      </c>
      <c r="D39" s="473"/>
      <c r="E39" s="473"/>
      <c r="F39" s="474"/>
      <c r="G39" s="472" t="s">
        <v>1161</v>
      </c>
      <c r="H39" s="473"/>
      <c r="I39" s="474"/>
    </row>
    <row r="40" spans="1:9" x14ac:dyDescent="0.3">
      <c r="C40" s="469" t="str">
        <f>_xlfn.CONCAT(_xlfn.XLOOKUP("[S08_SubInstallationBenchmark61Detail][1][FuelBenchmark]",Submission!$O:$O,Submission!$H:$N,""))</f>
        <v>2</v>
      </c>
      <c r="D40" s="470"/>
      <c r="E40" s="470"/>
      <c r="F40" s="471"/>
      <c r="G40" s="469" t="str">
        <f>_xlfn.CONCAT(_xlfn.XLOOKUP("[S08_SubInstallationBenchmark61Detail][1][HeatBenchmark]",Submission!$O:$O,Submission!$H:$N,""))</f>
        <v>0</v>
      </c>
      <c r="H40" s="470"/>
      <c r="I40" s="471"/>
    </row>
    <row r="42" spans="1:9" ht="30.6" customHeight="1" x14ac:dyDescent="0.3">
      <c r="B42" s="293" t="s">
        <v>1162</v>
      </c>
      <c r="C42" s="294"/>
      <c r="D42" s="294"/>
      <c r="E42" s="294"/>
      <c r="F42" s="294"/>
      <c r="G42" s="294"/>
      <c r="H42" s="295"/>
      <c r="I42" s="41" t="str">
        <f>_xlfn.CONCAT(_xlfn.XLOOKUP("[SubInstallationBenchmark61Reject][0][SubInstallationBenchmark61Reject]",Submission!$O:$O,Submission!$H:$N,""))</f>
        <v>Yes</v>
      </c>
    </row>
    <row r="43" spans="1:9" x14ac:dyDescent="0.3">
      <c r="B43" s="465" t="s">
        <v>1163</v>
      </c>
      <c r="C43" s="465"/>
      <c r="D43" s="465"/>
      <c r="E43" s="465"/>
      <c r="F43" s="465"/>
      <c r="G43" s="465"/>
      <c r="H43" s="465"/>
      <c r="I43" s="465"/>
    </row>
    <row r="44" spans="1:9" x14ac:dyDescent="0.3">
      <c r="C44" s="444" t="s">
        <v>1160</v>
      </c>
      <c r="D44" s="445"/>
      <c r="E44" s="445"/>
      <c r="F44" s="446"/>
      <c r="G44" s="444" t="s">
        <v>1161</v>
      </c>
      <c r="H44" s="445"/>
      <c r="I44" s="446"/>
    </row>
    <row r="45" spans="1:9" x14ac:dyDescent="0.3">
      <c r="C45" s="469" t="str">
        <f>_xlfn.CONCAT(_xlfn.XLOOKUP("[S08_SubInstallationBenchmark61RejectDetail][1][FuelBenchmark]",Submission!$O:$O,Submission!$H:$N,""))</f>
        <v>2</v>
      </c>
      <c r="D45" s="470"/>
      <c r="E45" s="470"/>
      <c r="F45" s="471"/>
      <c r="G45" s="469" t="str">
        <f>_xlfn.CONCAT(_xlfn.XLOOKUP("[S08_SubInstallationBenchmark61RejectDetail][1][HeatBenchmark]",Submission!$O:$O,Submission!$H:$N,""))</f>
        <v>0</v>
      </c>
      <c r="H45" s="470"/>
      <c r="I45" s="471"/>
    </row>
    <row r="47" spans="1:9" ht="31.2" customHeight="1" x14ac:dyDescent="0.3">
      <c r="B47" s="293" t="s">
        <v>1164</v>
      </c>
      <c r="C47" s="294"/>
      <c r="D47" s="294"/>
      <c r="E47" s="294"/>
      <c r="F47" s="294"/>
      <c r="G47" s="294"/>
      <c r="H47" s="295"/>
      <c r="I47" s="41" t="str">
        <f>_xlfn.CONCAT(_xlfn.XLOOKUP("[SubInstallationBenchmark62][0][SubInstallationBenchmark62]",Submission!$O:$O,Submission!$H:$N,""))</f>
        <v>Yes</v>
      </c>
    </row>
    <row r="48" spans="1:9" x14ac:dyDescent="0.3">
      <c r="B48" s="465" t="s">
        <v>1159</v>
      </c>
      <c r="C48" s="465"/>
      <c r="D48" s="465"/>
      <c r="E48" s="465"/>
      <c r="F48" s="465"/>
      <c r="G48" s="465"/>
      <c r="H48" s="465"/>
      <c r="I48" s="465"/>
    </row>
    <row r="49" spans="1:9" x14ac:dyDescent="0.3">
      <c r="C49" s="444" t="s">
        <v>1160</v>
      </c>
      <c r="D49" s="445"/>
      <c r="E49" s="445"/>
      <c r="F49" s="446"/>
      <c r="G49" s="444" t="s">
        <v>1161</v>
      </c>
      <c r="H49" s="445"/>
      <c r="I49" s="446"/>
    </row>
    <row r="50" spans="1:9" x14ac:dyDescent="0.3">
      <c r="C50" s="469" t="str">
        <f>_xlfn.CONCAT(_xlfn.XLOOKUP("[S08_SubInstallationBenchmark62Detail][1][FuelBenchmark]",Submission!$O:$O,Submission!$H:$N,""))</f>
        <v>0</v>
      </c>
      <c r="D50" s="470"/>
      <c r="E50" s="470"/>
      <c r="F50" s="471"/>
      <c r="G50" s="469" t="str">
        <f>_xlfn.CONCAT(_xlfn.XLOOKUP("[S08_SubInstallationBenchmark62Detail][1][HeatBenchmark]",Submission!$O:$O,Submission!$H:$N,""))</f>
        <v>1</v>
      </c>
      <c r="H50" s="470"/>
      <c r="I50" s="471"/>
    </row>
    <row r="52" spans="1:9" x14ac:dyDescent="0.3">
      <c r="A52" s="12" t="s">
        <v>478</v>
      </c>
      <c r="B52" s="293" t="s">
        <v>1165</v>
      </c>
      <c r="C52" s="294"/>
      <c r="D52" s="294"/>
      <c r="E52" s="294"/>
      <c r="F52" s="294"/>
      <c r="G52" s="294"/>
      <c r="H52" s="294"/>
      <c r="I52" s="294"/>
    </row>
    <row r="53" spans="1:9" x14ac:dyDescent="0.3">
      <c r="C53" s="260" t="s">
        <v>1166</v>
      </c>
      <c r="D53" s="487"/>
      <c r="E53" s="487"/>
      <c r="F53" s="488"/>
      <c r="G53" s="260" t="s">
        <v>1045</v>
      </c>
      <c r="H53" s="487"/>
      <c r="I53" s="488"/>
    </row>
    <row r="54" spans="1:9" ht="29.4" customHeight="1" x14ac:dyDescent="0.3">
      <c r="C54" s="246" t="s">
        <v>1167</v>
      </c>
      <c r="D54" s="263"/>
      <c r="E54" s="263"/>
      <c r="F54" s="264"/>
      <c r="G54" s="475" t="str">
        <f>_xlfn.CONCAT(_xlfn.XLOOKUP("[S08_ScopeExclusion][1][NumberOfInstallations]",Submission!$O:$O,Submission!$H:$N,""))</f>
        <v>0</v>
      </c>
      <c r="H54" s="476"/>
      <c r="I54" s="477"/>
    </row>
    <row r="55" spans="1:9" ht="29.4" customHeight="1" x14ac:dyDescent="0.3">
      <c r="C55" s="246" t="s">
        <v>1168</v>
      </c>
      <c r="D55" s="263"/>
      <c r="E55" s="263"/>
      <c r="F55" s="264"/>
      <c r="G55" s="475" t="str">
        <f>_xlfn.CONCAT(_xlfn.XLOOKUP("[S08_ScopeExclusion][2][NumberOfInstallations]",Submission!$O:$O,Submission!$H:$N,""))</f>
        <v>0</v>
      </c>
      <c r="H55" s="476"/>
      <c r="I55" s="477"/>
    </row>
    <row r="56" spans="1:9" ht="29.4" customHeight="1" x14ac:dyDescent="0.3">
      <c r="C56" s="246" t="s">
        <v>1169</v>
      </c>
      <c r="D56" s="263"/>
      <c r="E56" s="263"/>
      <c r="F56" s="264"/>
      <c r="G56" s="475" t="str">
        <f>_xlfn.CONCAT(_xlfn.XLOOKUP("[S08_ScopeExclusion][3][NumberOfInstallations]",Submission!$O:$O,Submission!$H:$N,""))</f>
        <v>0</v>
      </c>
      <c r="H56" s="476"/>
      <c r="I56" s="477"/>
    </row>
    <row r="57" spans="1:9" ht="29.4" customHeight="1" x14ac:dyDescent="0.3">
      <c r="C57" s="246" t="s">
        <v>1170</v>
      </c>
      <c r="D57" s="263"/>
      <c r="E57" s="263"/>
      <c r="F57" s="264"/>
      <c r="G57" s="475" t="str">
        <f>_xlfn.CONCAT(_xlfn.XLOOKUP("[S08_ScopeExclusion][4][NumberOfInstallations]",Submission!$O:$O,Submission!$H:$N,""))</f>
        <v>0</v>
      </c>
      <c r="H57" s="476"/>
      <c r="I57" s="477"/>
    </row>
    <row r="58" spans="1:9" ht="29.4" customHeight="1" x14ac:dyDescent="0.3">
      <c r="C58" s="246" t="s">
        <v>1171</v>
      </c>
      <c r="D58" s="263"/>
      <c r="E58" s="263"/>
      <c r="F58" s="264"/>
      <c r="G58" s="475" t="str">
        <f>_xlfn.CONCAT(_xlfn.XLOOKUP("[S08_ScopeExclusion][5][NumberOfInstallations]",Submission!$O:$O,Submission!$H:$N,""))</f>
        <v>0</v>
      </c>
      <c r="H58" s="476"/>
      <c r="I58" s="477"/>
    </row>
    <row r="59" spans="1:9" ht="29.4" customHeight="1" x14ac:dyDescent="0.3">
      <c r="C59" s="246" t="s">
        <v>1172</v>
      </c>
      <c r="D59" s="264"/>
      <c r="E59" s="284" t="str">
        <f>_xlfn.CONCAT(_xlfn.XLOOKUP("[S08_ScopeExclusion][6][OtherReasons]",Submission!$O:$O,Submission!$H:$N,""))</f>
        <v/>
      </c>
      <c r="F59" s="285"/>
      <c r="G59" s="475" t="str">
        <f>_xlfn.CONCAT(_xlfn.XLOOKUP("[S08_ScopeExclusion][6][NumberOfInstallations]",Submission!$O:$O,Submission!$H:$N,""))</f>
        <v/>
      </c>
      <c r="H59" s="476"/>
      <c r="I59" s="477"/>
    </row>
    <row r="60" spans="1:9" ht="29.4" hidden="1" customHeight="1" outlineLevel="1" x14ac:dyDescent="0.3">
      <c r="C60" s="246" t="s">
        <v>1173</v>
      </c>
      <c r="D60" s="264"/>
      <c r="E60" s="251" t="str">
        <f>_xlfn.CONCAT(_xlfn.XLOOKUP("[S08_ScopeExclusion][7][OtherReasons]",Submission!$O:$O,Submission!$H:$N,""))</f>
        <v/>
      </c>
      <c r="F60" s="252"/>
      <c r="G60" s="458" t="str">
        <f>_xlfn.CONCAT(_xlfn.XLOOKUP("[S08_ScopeExclusion][7][NumberOfInstallations]",Submission!$O:$O,Submission!$H:$N,""))</f>
        <v/>
      </c>
      <c r="H60" s="459"/>
      <c r="I60" s="460"/>
    </row>
    <row r="61" spans="1:9" ht="29.4" hidden="1" customHeight="1" outlineLevel="1" x14ac:dyDescent="0.3">
      <c r="C61" s="246" t="s">
        <v>1174</v>
      </c>
      <c r="D61" s="264"/>
      <c r="E61" s="251" t="str">
        <f>_xlfn.CONCAT(_xlfn.XLOOKUP("[S08_ScopeExclusion][8][OtherReasons]",Submission!$O:$O,Submission!$H:$N,""))</f>
        <v/>
      </c>
      <c r="F61" s="252"/>
      <c r="G61" s="458" t="str">
        <f>_xlfn.CONCAT(_xlfn.XLOOKUP("[S08_ScopeExclusion][8][NumberOfInstallations]",Submission!$O:$O,Submission!$H:$N,""))</f>
        <v/>
      </c>
      <c r="H61" s="459"/>
      <c r="I61" s="460"/>
    </row>
    <row r="62" spans="1:9" ht="29.4" hidden="1" customHeight="1" outlineLevel="1" x14ac:dyDescent="0.3">
      <c r="C62" s="246" t="s">
        <v>1175</v>
      </c>
      <c r="D62" s="264"/>
      <c r="E62" s="251" t="str">
        <f>_xlfn.CONCAT(_xlfn.XLOOKUP("[S08_ScopeExclusion][9][OtherReasons]",Submission!$O:$O,Submission!$H:$N,""))</f>
        <v/>
      </c>
      <c r="F62" s="252"/>
      <c r="G62" s="458" t="str">
        <f>_xlfn.CONCAT(_xlfn.XLOOKUP("[S08_ScopeExclusion][9][NumberOfInstallations]",Submission!$O:$O,Submission!$H:$N,""))</f>
        <v/>
      </c>
      <c r="H62" s="459"/>
      <c r="I62" s="460"/>
    </row>
    <row r="63" spans="1:9" collapsed="1" x14ac:dyDescent="0.3">
      <c r="B63" s="26" t="s">
        <v>1000</v>
      </c>
    </row>
    <row r="65" spans="1:9" ht="15.6" customHeight="1" x14ac:dyDescent="0.3">
      <c r="A65" s="12" t="s">
        <v>481</v>
      </c>
      <c r="B65" s="293" t="s">
        <v>1176</v>
      </c>
      <c r="C65" s="294"/>
      <c r="D65" s="294"/>
      <c r="E65" s="294"/>
      <c r="F65" s="294"/>
      <c r="G65" s="294"/>
      <c r="H65" s="295"/>
      <c r="I65" s="41" t="str">
        <f>_xlfn.CONCAT(_xlfn.XLOOKUP("[Article10cApplied][0][Article10cApplied]",Submission!$O:$O,Submission!$H:$N,""))</f>
        <v>No</v>
      </c>
    </row>
    <row r="66" spans="1:9" x14ac:dyDescent="0.3">
      <c r="B66" s="465" t="s">
        <v>1177</v>
      </c>
      <c r="C66" s="465"/>
      <c r="D66" s="465"/>
      <c r="E66" s="465"/>
      <c r="F66" s="465"/>
      <c r="G66" s="465"/>
      <c r="H66" s="465"/>
      <c r="I66" s="465"/>
    </row>
    <row r="67" spans="1:9" x14ac:dyDescent="0.3">
      <c r="C67" s="484"/>
      <c r="D67" s="485"/>
      <c r="E67" s="485"/>
      <c r="F67" s="486"/>
      <c r="G67" s="444" t="s">
        <v>1178</v>
      </c>
      <c r="H67" s="445"/>
      <c r="I67" s="446"/>
    </row>
    <row r="68" spans="1:9" x14ac:dyDescent="0.3">
      <c r="C68" s="287" t="s">
        <v>1179</v>
      </c>
      <c r="D68" s="288"/>
      <c r="E68" s="288"/>
      <c r="F68" s="289"/>
      <c r="G68" s="469" t="str">
        <f>_xlfn.CONCAT(_xlfn.XLOOKUP("[S08_Article10cAppliedDetail][1][NumberOfAllowances]",Submission!$O:$O,Submission!$H:$N,""))</f>
        <v/>
      </c>
      <c r="H68" s="470"/>
      <c r="I68" s="471"/>
    </row>
    <row r="69" spans="1:9" x14ac:dyDescent="0.3">
      <c r="C69" s="287" t="s">
        <v>1743</v>
      </c>
      <c r="D69" s="288"/>
      <c r="E69" s="288"/>
      <c r="F69" s="289"/>
      <c r="G69" s="469" t="str">
        <f>_xlfn.CONCAT(_xlfn.XLOOKUP("[S08_Article10cAppliedDetail][2][NumberOfAllowances]",Submission!$O:$O,Submission!$H:$N,""))</f>
        <v/>
      </c>
      <c r="H69" s="470"/>
      <c r="I69" s="471"/>
    </row>
    <row r="71" spans="1:9" s="7" customFormat="1" ht="18.899999999999999" customHeight="1" x14ac:dyDescent="0.35">
      <c r="A71" s="85" t="s">
        <v>486</v>
      </c>
      <c r="B71" s="325" t="s">
        <v>1180</v>
      </c>
      <c r="C71" s="325"/>
      <c r="D71" s="325"/>
      <c r="E71" s="325"/>
      <c r="F71" s="325"/>
      <c r="G71" s="325"/>
      <c r="H71" s="325"/>
      <c r="I71" s="326"/>
    </row>
    <row r="72" spans="1:9" ht="13.5" customHeight="1" x14ac:dyDescent="0.3">
      <c r="A72" s="12" t="s">
        <v>488</v>
      </c>
      <c r="B72" s="454" t="s">
        <v>1181</v>
      </c>
      <c r="C72" s="454"/>
      <c r="D72" s="454"/>
      <c r="E72" s="454"/>
      <c r="F72" s="454"/>
      <c r="G72" s="454"/>
      <c r="H72" s="454"/>
      <c r="I72" s="454"/>
    </row>
    <row r="73" spans="1:9" ht="19.95" customHeight="1" x14ac:dyDescent="0.3">
      <c r="A73" s="12"/>
      <c r="B73" s="293" t="s">
        <v>1182</v>
      </c>
      <c r="C73" s="294"/>
      <c r="D73" s="294"/>
      <c r="E73" s="294"/>
      <c r="F73" s="294"/>
      <c r="G73" s="294"/>
      <c r="H73" s="294"/>
      <c r="I73" s="294"/>
    </row>
    <row r="74" spans="1:9" ht="15.9" customHeight="1" x14ac:dyDescent="0.3">
      <c r="C74" s="303" t="s">
        <v>1183</v>
      </c>
      <c r="D74" s="304"/>
      <c r="E74" s="304"/>
      <c r="F74" s="304"/>
      <c r="G74" s="305"/>
      <c r="H74" s="442" t="s">
        <v>76</v>
      </c>
      <c r="I74" s="443"/>
    </row>
    <row r="75" spans="1:9" ht="19.95" customHeight="1" x14ac:dyDescent="0.3">
      <c r="C75" s="246" t="s">
        <v>1184</v>
      </c>
      <c r="D75" s="263"/>
      <c r="E75" s="263"/>
      <c r="F75" s="263"/>
      <c r="G75" s="264"/>
      <c r="H75" s="341" t="str">
        <f>_xlfn.CONCAT(_xlfn.XLOOKUP("[S08_NegativeOpinionBaselineData][1][NumberOfInstallations]",Submission!$O:$O,Submission!$H:$N,""))</f>
        <v/>
      </c>
      <c r="I75" s="356"/>
    </row>
    <row r="76" spans="1:9" ht="19.95" customHeight="1" x14ac:dyDescent="0.3">
      <c r="C76" s="246" t="s">
        <v>1185</v>
      </c>
      <c r="D76" s="263"/>
      <c r="E76" s="263"/>
      <c r="F76" s="263"/>
      <c r="G76" s="264"/>
      <c r="H76" s="341" t="str">
        <f>_xlfn.CONCAT(_xlfn.XLOOKUP("[S08_NegativeOpinionBaselineData][2][NumberOfInstallations]",Submission!$O:$O,Submission!$H:$N,""))</f>
        <v/>
      </c>
      <c r="I76" s="356"/>
    </row>
    <row r="77" spans="1:9" ht="19.95" customHeight="1" x14ac:dyDescent="0.3">
      <c r="C77" s="246" t="s">
        <v>1186</v>
      </c>
      <c r="D77" s="263"/>
      <c r="E77" s="263"/>
      <c r="F77" s="263"/>
      <c r="G77" s="264"/>
      <c r="H77" s="341" t="str">
        <f>_xlfn.CONCAT(_xlfn.XLOOKUP("[S08_NegativeOpinionBaselineData][3][NumberOfInstallations]",Submission!$O:$O,Submission!$H:$N,""))</f>
        <v/>
      </c>
      <c r="I77" s="356"/>
    </row>
    <row r="78" spans="1:9" x14ac:dyDescent="0.3">
      <c r="B78" s="16"/>
      <c r="C78" s="19"/>
      <c r="D78" s="20"/>
      <c r="E78" s="20"/>
      <c r="F78" s="20"/>
      <c r="G78" s="20"/>
      <c r="H78" s="20"/>
      <c r="I78" s="20"/>
    </row>
    <row r="79" spans="1:9" ht="13.5" customHeight="1" x14ac:dyDescent="0.3">
      <c r="A79" s="12" t="s">
        <v>493</v>
      </c>
      <c r="B79" s="454" t="s">
        <v>1187</v>
      </c>
      <c r="C79" s="454"/>
      <c r="D79" s="454"/>
      <c r="E79" s="454"/>
      <c r="F79" s="454"/>
      <c r="G79" s="454"/>
      <c r="H79" s="454"/>
      <c r="I79" s="454"/>
    </row>
    <row r="80" spans="1:9" ht="33.6" customHeight="1" x14ac:dyDescent="0.3">
      <c r="A80" s="12"/>
      <c r="B80" s="293" t="s">
        <v>1188</v>
      </c>
      <c r="C80" s="294"/>
      <c r="D80" s="294"/>
      <c r="E80" s="294"/>
      <c r="F80" s="294"/>
      <c r="G80" s="294"/>
      <c r="H80" s="295"/>
      <c r="I80" s="41" t="str">
        <f>_xlfn.CONCAT(_xlfn.XLOOKUP("[BaselineDataIssues][0][BaselineDataIssues]",Submission!$O:$O,Submission!$H:$N,""))</f>
        <v/>
      </c>
    </row>
    <row r="81" spans="2:9" x14ac:dyDescent="0.3">
      <c r="B81" s="465" t="s">
        <v>1043</v>
      </c>
      <c r="C81" s="465"/>
      <c r="D81" s="465"/>
      <c r="E81" s="465"/>
      <c r="F81" s="465"/>
      <c r="G81" s="465"/>
      <c r="H81" s="465"/>
      <c r="I81" s="465"/>
    </row>
    <row r="82" spans="2:9" ht="96.6" customHeight="1" x14ac:dyDescent="0.3">
      <c r="C82" s="444" t="s">
        <v>879</v>
      </c>
      <c r="D82" s="446"/>
      <c r="E82" s="43" t="s">
        <v>1044</v>
      </c>
      <c r="F82" s="43" t="s">
        <v>1045</v>
      </c>
      <c r="G82" s="43" t="s">
        <v>1046</v>
      </c>
      <c r="H82" s="303" t="s">
        <v>1189</v>
      </c>
      <c r="I82" s="305"/>
    </row>
    <row r="83" spans="2:9" ht="43.95" customHeight="1" x14ac:dyDescent="0.3">
      <c r="C83" s="284" t="str">
        <f>_xlfn.CONCAT(_xlfn.XLOOKUP("[S08_BaselineDataIssuesDetail][1][AnnexIActivity]",Submission!$O:$O,Submission!$H:$N,""))</f>
        <v/>
      </c>
      <c r="D83" s="285"/>
      <c r="E83" s="72" t="str">
        <f>_xlfn.CONCAT(_xlfn.XLOOKUP("[S08_BaselineDataIssuesDetail][1][TypeOfIssue]",Submission!$O:$O,Submission!$H:$N,""))</f>
        <v/>
      </c>
      <c r="F83" s="106" t="str">
        <f>_xlfn.CONCAT(_xlfn.XLOOKUP("[S08_BaselineDataIssuesDetail][1][NumberOfInstallations]",Submission!$O:$O,Submission!$H:$N,""))</f>
        <v/>
      </c>
      <c r="G83" s="106" t="str">
        <f>_xlfn.CONCAT(_xlfn.XLOOKUP("[S08_BaselineDataIssuesDetail][1][NumberOfIssues]",Submission!$O:$O,Submission!$H:$N,""))</f>
        <v/>
      </c>
      <c r="H83" s="452" t="str">
        <f>_xlfn.CONCAT(_xlfn.XLOOKUP("[S08_BaselineDataIssuesDetail][1][NumberOfInstallationsArt152]",Submission!$O:$O,Submission!$H:$N,""))</f>
        <v/>
      </c>
      <c r="I83" s="453"/>
    </row>
    <row r="84" spans="2:9" ht="43.95" customHeight="1" x14ac:dyDescent="0.3">
      <c r="C84" s="284" t="str">
        <f>_xlfn.CONCAT(_xlfn.XLOOKUP("[S08_BaselineDataIssuesDetail][2][AnnexIActivity]",Submission!$O:$O,Submission!$H:$N,""))</f>
        <v/>
      </c>
      <c r="D84" s="285"/>
      <c r="E84" s="72" t="str">
        <f>_xlfn.CONCAT(_xlfn.XLOOKUP("[S08_BaselineDataIssuesDetail][2][TypeOfIssue]",Submission!$O:$O,Submission!$H:$N,""))</f>
        <v/>
      </c>
      <c r="F84" s="106" t="str">
        <f>_xlfn.CONCAT(_xlfn.XLOOKUP("[S08_BaselineDataIssuesDetail][2][NumberOfInstallations]",Submission!$O:$O,Submission!$H:$N,""))</f>
        <v/>
      </c>
      <c r="G84" s="106" t="str">
        <f>_xlfn.CONCAT(_xlfn.XLOOKUP("[S08_BaselineDataIssuesDetail][2][NumberOfIssues]",Submission!$O:$O,Submission!$H:$N,""))</f>
        <v/>
      </c>
      <c r="H84" s="452" t="str">
        <f>_xlfn.CONCAT(_xlfn.XLOOKUP("[S08_BaselineDataIssuesDetail][2][NumberOfInstallationsArt152]",Submission!$O:$O,Submission!$H:$N,""))</f>
        <v/>
      </c>
      <c r="I84" s="453"/>
    </row>
    <row r="85" spans="2:9" ht="43.95" customHeight="1" x14ac:dyDescent="0.3">
      <c r="C85" s="284" t="str">
        <f>_xlfn.CONCAT(_xlfn.XLOOKUP("[S08_BaselineDataIssuesDetail][3][AnnexIActivity]",Submission!$O:$O,Submission!$H:$N,""))</f>
        <v/>
      </c>
      <c r="D85" s="285"/>
      <c r="E85" s="72" t="str">
        <f>_xlfn.CONCAT(_xlfn.XLOOKUP("[S08_BaselineDataIssuesDetail][3][TypeOfIssue]",Submission!$O:$O,Submission!$H:$N,""))</f>
        <v/>
      </c>
      <c r="F85" s="106" t="str">
        <f>_xlfn.CONCAT(_xlfn.XLOOKUP("[S08_BaselineDataIssuesDetail][3][NumberOfInstallations]",Submission!$O:$O,Submission!$H:$N,""))</f>
        <v/>
      </c>
      <c r="G85" s="106" t="str">
        <f>_xlfn.CONCAT(_xlfn.XLOOKUP("[S08_BaselineDataIssuesDetail][3][NumberOfIssues]",Submission!$O:$O,Submission!$H:$N,""))</f>
        <v/>
      </c>
      <c r="H85" s="452" t="str">
        <f>_xlfn.CONCAT(_xlfn.XLOOKUP("[S08_BaselineDataIssuesDetail][3][NumberOfInstallationsArt152]",Submission!$O:$O,Submission!$H:$N,""))</f>
        <v/>
      </c>
      <c r="I85" s="453"/>
    </row>
    <row r="86" spans="2:9" ht="43.95" customHeight="1" x14ac:dyDescent="0.3">
      <c r="C86" s="284" t="str">
        <f>_xlfn.CONCAT(_xlfn.XLOOKUP("[S08_BaselineDataIssuesDetail][4][AnnexIActivity]",Submission!$O:$O,Submission!$H:$N,""))</f>
        <v/>
      </c>
      <c r="D86" s="285"/>
      <c r="E86" s="72" t="str">
        <f>_xlfn.CONCAT(_xlfn.XLOOKUP("[S08_BaselineDataIssuesDetail][4][TypeOfIssue]",Submission!$O:$O,Submission!$H:$N,""))</f>
        <v/>
      </c>
      <c r="F86" s="106" t="str">
        <f>_xlfn.CONCAT(_xlfn.XLOOKUP("[S08_BaselineDataIssuesDetail][4][NumberOfInstallations]",Submission!$O:$O,Submission!$H:$N,""))</f>
        <v/>
      </c>
      <c r="G86" s="106" t="str">
        <f>_xlfn.CONCAT(_xlfn.XLOOKUP("[S08_BaselineDataIssuesDetail][4][NumberOfIssues]",Submission!$O:$O,Submission!$H:$N,""))</f>
        <v/>
      </c>
      <c r="H86" s="452" t="str">
        <f>_xlfn.CONCAT(_xlfn.XLOOKUP("[S08_BaselineDataIssuesDetail][4][NumberOfInstallationsArt152]",Submission!$O:$O,Submission!$H:$N,""))</f>
        <v/>
      </c>
      <c r="I86" s="453"/>
    </row>
    <row r="87" spans="2:9" ht="43.95" customHeight="1" x14ac:dyDescent="0.3">
      <c r="C87" s="284" t="str">
        <f>_xlfn.CONCAT(_xlfn.XLOOKUP("[S08_BaselineDataIssuesDetail][5][AnnexIActivity]",Submission!$O:$O,Submission!$H:$N,""))</f>
        <v/>
      </c>
      <c r="D87" s="285"/>
      <c r="E87" s="72" t="str">
        <f>_xlfn.CONCAT(_xlfn.XLOOKUP("[S08_BaselineDataIssuesDetail][5][TypeOfIssue]",Submission!$O:$O,Submission!$H:$N,""))</f>
        <v/>
      </c>
      <c r="F87" s="106" t="str">
        <f>_xlfn.CONCAT(_xlfn.XLOOKUP("[S08_BaselineDataIssuesDetail][5][NumberOfInstallations]",Submission!$O:$O,Submission!$H:$N,""))</f>
        <v/>
      </c>
      <c r="G87" s="106" t="str">
        <f>_xlfn.CONCAT(_xlfn.XLOOKUP("[S08_BaselineDataIssuesDetail][5][NumberOfIssues]",Submission!$O:$O,Submission!$H:$N,""))</f>
        <v/>
      </c>
      <c r="H87" s="452" t="str">
        <f>_xlfn.CONCAT(_xlfn.XLOOKUP("[S08_BaselineDataIssuesDetail][5][NumberOfInstallationsArt152]",Submission!$O:$O,Submission!$H:$N,""))</f>
        <v/>
      </c>
      <c r="I87" s="453"/>
    </row>
    <row r="88" spans="2:9" ht="43.95" customHeight="1" x14ac:dyDescent="0.3">
      <c r="C88" s="284" t="str">
        <f>_xlfn.CONCAT(_xlfn.XLOOKUP("[S08_BaselineDataIssuesDetail][6][AnnexIActivity]",Submission!$O:$O,Submission!$H:$N,""))</f>
        <v/>
      </c>
      <c r="D88" s="285"/>
      <c r="E88" s="72" t="str">
        <f>_xlfn.CONCAT(_xlfn.XLOOKUP("[S08_BaselineDataIssuesDetail][6][TypeOfIssue]",Submission!$O:$O,Submission!$H:$N,""))</f>
        <v/>
      </c>
      <c r="F88" s="106" t="str">
        <f>_xlfn.CONCAT(_xlfn.XLOOKUP("[S08_BaselineDataIssuesDetail][6][NumberOfInstallations]",Submission!$O:$O,Submission!$H:$N,""))</f>
        <v/>
      </c>
      <c r="G88" s="106" t="str">
        <f>_xlfn.CONCAT(_xlfn.XLOOKUP("[S08_BaselineDataIssuesDetail][6][NumberOfIssues]",Submission!$O:$O,Submission!$H:$N,""))</f>
        <v/>
      </c>
      <c r="H88" s="452" t="str">
        <f>_xlfn.CONCAT(_xlfn.XLOOKUP("[S08_BaselineDataIssuesDetail][6][NumberOfInstallationsArt152]",Submission!$O:$O,Submission!$H:$N,""))</f>
        <v/>
      </c>
      <c r="I88" s="453"/>
    </row>
    <row r="89" spans="2:9" ht="43.95" customHeight="1" x14ac:dyDescent="0.3">
      <c r="C89" s="284" t="str">
        <f>_xlfn.CONCAT(_xlfn.XLOOKUP("[S08_BaselineDataIssuesDetail][7][AnnexIActivity]",Submission!$O:$O,Submission!$H:$N,""))</f>
        <v/>
      </c>
      <c r="D89" s="285"/>
      <c r="E89" s="72" t="str">
        <f>_xlfn.CONCAT(_xlfn.XLOOKUP("[S08_BaselineDataIssuesDetail][7][TypeOfIssue]",Submission!$O:$O,Submission!$H:$N,""))</f>
        <v/>
      </c>
      <c r="F89" s="106" t="str">
        <f>_xlfn.CONCAT(_xlfn.XLOOKUP("[S08_BaselineDataIssuesDetail][7][NumberOfInstallations]",Submission!$O:$O,Submission!$H:$N,""))</f>
        <v/>
      </c>
      <c r="G89" s="106" t="str">
        <f>_xlfn.CONCAT(_xlfn.XLOOKUP("[S08_BaselineDataIssuesDetail][7][NumberOfIssues]",Submission!$O:$O,Submission!$H:$N,""))</f>
        <v/>
      </c>
      <c r="H89" s="452" t="str">
        <f>_xlfn.CONCAT(_xlfn.XLOOKUP("[S08_BaselineDataIssuesDetail][7][NumberOfInstallationsArt152]",Submission!$O:$O,Submission!$H:$N,""))</f>
        <v/>
      </c>
      <c r="I89" s="453"/>
    </row>
    <row r="90" spans="2:9" ht="43.95" customHeight="1" x14ac:dyDescent="0.3">
      <c r="C90" s="284" t="str">
        <f>_xlfn.CONCAT(_xlfn.XLOOKUP("[S08_BaselineDataIssuesDetail][8][AnnexIActivity]",Submission!$O:$O,Submission!$H:$N,""))</f>
        <v/>
      </c>
      <c r="D90" s="285"/>
      <c r="E90" s="72" t="str">
        <f>_xlfn.CONCAT(_xlfn.XLOOKUP("[S08_BaselineDataIssuesDetail][8][TypeOfIssue]",Submission!$O:$O,Submission!$H:$N,""))</f>
        <v/>
      </c>
      <c r="F90" s="106" t="str">
        <f>_xlfn.CONCAT(_xlfn.XLOOKUP("[S08_BaselineDataIssuesDetail][8][NumberOfInstallations]",Submission!$O:$O,Submission!$H:$N,""))</f>
        <v/>
      </c>
      <c r="G90" s="106" t="str">
        <f>_xlfn.CONCAT(_xlfn.XLOOKUP("[S08_BaselineDataIssuesDetail][8][NumberOfIssues]",Submission!$O:$O,Submission!$H:$N,""))</f>
        <v/>
      </c>
      <c r="H90" s="452" t="str">
        <f>_xlfn.CONCAT(_xlfn.XLOOKUP("[S08_BaselineDataIssuesDetail][8][NumberOfInstallationsArt152]",Submission!$O:$O,Submission!$H:$N,""))</f>
        <v/>
      </c>
      <c r="I90" s="453"/>
    </row>
    <row r="91" spans="2:9" ht="43.95" customHeight="1" x14ac:dyDescent="0.3">
      <c r="C91" s="284" t="str">
        <f>_xlfn.CONCAT(_xlfn.XLOOKUP("[S08_BaselineDataIssuesDetail][9][AnnexIActivity]",Submission!$O:$O,Submission!$H:$N,""))</f>
        <v/>
      </c>
      <c r="D91" s="285"/>
      <c r="E91" s="72" t="str">
        <f>_xlfn.CONCAT(_xlfn.XLOOKUP("[S08_BaselineDataIssuesDetail][9][TypeOfIssue]",Submission!$O:$O,Submission!$H:$N,""))</f>
        <v/>
      </c>
      <c r="F91" s="106" t="str">
        <f>_xlfn.CONCAT(_xlfn.XLOOKUP("[S08_BaselineDataIssuesDetail][9][NumberOfInstallations]",Submission!$O:$O,Submission!$H:$N,""))</f>
        <v/>
      </c>
      <c r="G91" s="106" t="str">
        <f>_xlfn.CONCAT(_xlfn.XLOOKUP("[S08_BaselineDataIssuesDetail][9][NumberOfIssues]",Submission!$O:$O,Submission!$H:$N,""))</f>
        <v/>
      </c>
      <c r="H91" s="452" t="str">
        <f>_xlfn.CONCAT(_xlfn.XLOOKUP("[S08_BaselineDataIssuesDetail][9][NumberOfInstallationsArt152]",Submission!$O:$O,Submission!$H:$N,""))</f>
        <v/>
      </c>
      <c r="I91" s="453"/>
    </row>
    <row r="92" spans="2:9" ht="43.95" customHeight="1" x14ac:dyDescent="0.3">
      <c r="C92" s="284" t="str">
        <f>_xlfn.CONCAT(_xlfn.XLOOKUP("[S08_BaselineDataIssuesDetail][10][AnnexIActivity]",Submission!$O:$O,Submission!$H:$N,""))</f>
        <v/>
      </c>
      <c r="D92" s="285"/>
      <c r="E92" s="72" t="str">
        <f>_xlfn.CONCAT(_xlfn.XLOOKUP("[S08_BaselineDataIssuesDetail][10][TypeOfIssue]",Submission!$O:$O,Submission!$H:$N,""))</f>
        <v/>
      </c>
      <c r="F92" s="106" t="str">
        <f>_xlfn.CONCAT(_xlfn.XLOOKUP("[S08_BaselineDataIssuesDetail][10][NumberOfInstallations]",Submission!$O:$O,Submission!$H:$N,""))</f>
        <v/>
      </c>
      <c r="G92" s="106" t="str">
        <f>_xlfn.CONCAT(_xlfn.XLOOKUP("[S08_BaselineDataIssuesDetail][10][NumberOfIssues]",Submission!$O:$O,Submission!$H:$N,""))</f>
        <v/>
      </c>
      <c r="H92" s="452" t="str">
        <f>_xlfn.CONCAT(_xlfn.XLOOKUP("[S08_BaselineDataIssuesDetail][10][NumberOfInstallationsArt152]",Submission!$O:$O,Submission!$H:$N,""))</f>
        <v/>
      </c>
      <c r="I92" s="453"/>
    </row>
    <row r="93" spans="2:9" ht="43.95" customHeight="1" x14ac:dyDescent="0.3">
      <c r="C93" s="284" t="str">
        <f>_xlfn.CONCAT(_xlfn.XLOOKUP("[S08_BaselineDataIssuesDetail][11][AnnexIActivity]",Submission!$O:$O,Submission!$H:$N,""))</f>
        <v/>
      </c>
      <c r="D93" s="285"/>
      <c r="E93" s="72" t="str">
        <f>_xlfn.CONCAT(_xlfn.XLOOKUP("[S08_BaselineDataIssuesDetail][11][TypeOfIssue]",Submission!$O:$O,Submission!$H:$N,""))</f>
        <v/>
      </c>
      <c r="F93" s="106" t="str">
        <f>_xlfn.CONCAT(_xlfn.XLOOKUP("[S08_BaselineDataIssuesDetail][11][NumberOfInstallations]",Submission!$O:$O,Submission!$H:$N,""))</f>
        <v/>
      </c>
      <c r="G93" s="106" t="str">
        <f>_xlfn.CONCAT(_xlfn.XLOOKUP("[S08_BaselineDataIssuesDetail][11][NumberOfIssues]",Submission!$O:$O,Submission!$H:$N,""))</f>
        <v/>
      </c>
      <c r="H93" s="452" t="str">
        <f>_xlfn.CONCAT(_xlfn.XLOOKUP("[S08_BaselineDataIssuesDetail][11][NumberOfInstallationsArt152]",Submission!$O:$O,Submission!$H:$N,""))</f>
        <v/>
      </c>
      <c r="I93" s="453"/>
    </row>
    <row r="94" spans="2:9" ht="43.95" customHeight="1" x14ac:dyDescent="0.3">
      <c r="C94" s="284" t="str">
        <f>_xlfn.CONCAT(_xlfn.XLOOKUP("[S08_BaselineDataIssuesDetail][12][AnnexIActivity]",Submission!$O:$O,Submission!$H:$N,""))</f>
        <v/>
      </c>
      <c r="D94" s="285"/>
      <c r="E94" s="72" t="str">
        <f>_xlfn.CONCAT(_xlfn.XLOOKUP("[S08_BaselineDataIssuesDetail][12][TypeOfIssue]",Submission!$O:$O,Submission!$H:$N,""))</f>
        <v/>
      </c>
      <c r="F94" s="106" t="str">
        <f>_xlfn.CONCAT(_xlfn.XLOOKUP("[S08_BaselineDataIssuesDetail][12][NumberOfInstallations]",Submission!$O:$O,Submission!$H:$N,""))</f>
        <v/>
      </c>
      <c r="G94" s="106" t="str">
        <f>_xlfn.CONCAT(_xlfn.XLOOKUP("[S08_BaselineDataIssuesDetail][12][NumberOfIssues]",Submission!$O:$O,Submission!$H:$N,""))</f>
        <v/>
      </c>
      <c r="H94" s="452" t="str">
        <f>_xlfn.CONCAT(_xlfn.XLOOKUP("[S08_BaselineDataIssuesDetail][12][NumberOfInstallationsArt152]",Submission!$O:$O,Submission!$H:$N,""))</f>
        <v/>
      </c>
      <c r="I94" s="453"/>
    </row>
    <row r="95" spans="2:9" ht="43.95" customHeight="1" x14ac:dyDescent="0.3">
      <c r="C95" s="284" t="str">
        <f>_xlfn.CONCAT(_xlfn.XLOOKUP("[S08_BaselineDataIssuesDetail][13][AnnexIActivity]",Submission!$O:$O,Submission!$H:$N,""))</f>
        <v/>
      </c>
      <c r="D95" s="285"/>
      <c r="E95" s="72" t="str">
        <f>_xlfn.CONCAT(_xlfn.XLOOKUP("[S08_BaselineDataIssuesDetail][13][TypeOfIssue]",Submission!$O:$O,Submission!$H:$N,""))</f>
        <v/>
      </c>
      <c r="F95" s="106" t="str">
        <f>_xlfn.CONCAT(_xlfn.XLOOKUP("[S08_BaselineDataIssuesDetail][13][NumberOfInstallations]",Submission!$O:$O,Submission!$H:$N,""))</f>
        <v/>
      </c>
      <c r="G95" s="106" t="str">
        <f>_xlfn.CONCAT(_xlfn.XLOOKUP("[S08_BaselineDataIssuesDetail][13][NumberOfIssues]",Submission!$O:$O,Submission!$H:$N,""))</f>
        <v/>
      </c>
      <c r="H95" s="452" t="str">
        <f>_xlfn.CONCAT(_xlfn.XLOOKUP("[S08_BaselineDataIssuesDetail][13][NumberOfInstallationsArt152]",Submission!$O:$O,Submission!$H:$N,""))</f>
        <v/>
      </c>
      <c r="I95" s="453"/>
    </row>
    <row r="96" spans="2:9" ht="43.95" customHeight="1" x14ac:dyDescent="0.3">
      <c r="C96" s="284" t="str">
        <f>_xlfn.CONCAT(_xlfn.XLOOKUP("[S08_BaselineDataIssuesDetail][14][AnnexIActivity]",Submission!$O:$O,Submission!$H:$N,""))</f>
        <v/>
      </c>
      <c r="D96" s="285"/>
      <c r="E96" s="72" t="str">
        <f>_xlfn.CONCAT(_xlfn.XLOOKUP("[S08_BaselineDataIssuesDetail][14][TypeOfIssue]",Submission!$O:$O,Submission!$H:$N,""))</f>
        <v/>
      </c>
      <c r="F96" s="106" t="str">
        <f>_xlfn.CONCAT(_xlfn.XLOOKUP("[S08_BaselineDataIssuesDetail][14][NumberOfInstallations]",Submission!$O:$O,Submission!$H:$N,""))</f>
        <v/>
      </c>
      <c r="G96" s="106" t="str">
        <f>_xlfn.CONCAT(_xlfn.XLOOKUP("[S08_BaselineDataIssuesDetail][14][NumberOfIssues]",Submission!$O:$O,Submission!$H:$N,""))</f>
        <v/>
      </c>
      <c r="H96" s="452" t="str">
        <f>_xlfn.CONCAT(_xlfn.XLOOKUP("[S08_BaselineDataIssuesDetail][14][NumberOfInstallationsArt152]",Submission!$O:$O,Submission!$H:$N,""))</f>
        <v/>
      </c>
      <c r="I96" s="453"/>
    </row>
    <row r="97" spans="3:9" ht="43.95" customHeight="1" x14ac:dyDescent="0.3">
      <c r="C97" s="284" t="str">
        <f>_xlfn.CONCAT(_xlfn.XLOOKUP("[S08_BaselineDataIssuesDetail][15][AnnexIActivity]",Submission!$O:$O,Submission!$H:$N,""))</f>
        <v/>
      </c>
      <c r="D97" s="285"/>
      <c r="E97" s="72" t="str">
        <f>_xlfn.CONCAT(_xlfn.XLOOKUP("[S08_BaselineDataIssuesDetail][15][TypeOfIssue]",Submission!$O:$O,Submission!$H:$N,""))</f>
        <v/>
      </c>
      <c r="F97" s="106" t="str">
        <f>_xlfn.CONCAT(_xlfn.XLOOKUP("[S08_BaselineDataIssuesDetail][15][NumberOfInstallations]",Submission!$O:$O,Submission!$H:$N,""))</f>
        <v/>
      </c>
      <c r="G97" s="106" t="str">
        <f>_xlfn.CONCAT(_xlfn.XLOOKUP("[S08_BaselineDataIssuesDetail][15][NumberOfIssues]",Submission!$O:$O,Submission!$H:$N,""))</f>
        <v/>
      </c>
      <c r="H97" s="452" t="str">
        <f>_xlfn.CONCAT(_xlfn.XLOOKUP("[S08_BaselineDataIssuesDetail][15][NumberOfInstallationsArt152]",Submission!$O:$O,Submission!$H:$N,""))</f>
        <v/>
      </c>
      <c r="I97" s="453"/>
    </row>
    <row r="98" spans="3:9" ht="43.95" hidden="1" customHeight="1" outlineLevel="1" x14ac:dyDescent="0.3">
      <c r="C98" s="284" t="str">
        <f>_xlfn.CONCAT(_xlfn.XLOOKUP("[S08_BaselineDataIssuesDetail][16][AnnexIActivity]",Submission!$O:$O,Submission!$H:$N,""))</f>
        <v/>
      </c>
      <c r="D98" s="285"/>
      <c r="E98" s="72" t="str">
        <f>_xlfn.CONCAT(_xlfn.XLOOKUP("[S08_BaselineDataIssuesDetail][16][TypeOfIssue]",Submission!$O:$O,Submission!$H:$N,""))</f>
        <v/>
      </c>
      <c r="F98" s="106" t="str">
        <f>_xlfn.CONCAT(_xlfn.XLOOKUP("[S08_BaselineDataIssuesDetail][16][NumberOfInstallations]",Submission!$O:$O,Submission!$H:$N,""))</f>
        <v/>
      </c>
      <c r="G98" s="106" t="str">
        <f>_xlfn.CONCAT(_xlfn.XLOOKUP("[S08_BaselineDataIssuesDetail][16][NumberOfIssues]",Submission!$O:$O,Submission!$H:$N,""))</f>
        <v/>
      </c>
      <c r="H98" s="452" t="str">
        <f>_xlfn.CONCAT(_xlfn.XLOOKUP("[S08_BaselineDataIssuesDetail][16][NumberOfInstallationsArt152]",Submission!$O:$O,Submission!$H:$N,""))</f>
        <v/>
      </c>
      <c r="I98" s="453"/>
    </row>
    <row r="99" spans="3:9" ht="43.95" hidden="1" customHeight="1" outlineLevel="1" x14ac:dyDescent="0.3">
      <c r="C99" s="284" t="str">
        <f>_xlfn.CONCAT(_xlfn.XLOOKUP("[S08_BaselineDataIssuesDetail][17][AnnexIActivity]",Submission!$O:$O,Submission!$H:$N,""))</f>
        <v/>
      </c>
      <c r="D99" s="285"/>
      <c r="E99" s="72" t="str">
        <f>_xlfn.CONCAT(_xlfn.XLOOKUP("[S08_BaselineDataIssuesDetail][17][TypeOfIssue]",Submission!$O:$O,Submission!$H:$N,""))</f>
        <v/>
      </c>
      <c r="F99" s="106" t="str">
        <f>_xlfn.CONCAT(_xlfn.XLOOKUP("[S08_BaselineDataIssuesDetail][17][NumberOfInstallations]",Submission!$O:$O,Submission!$H:$N,""))</f>
        <v/>
      </c>
      <c r="G99" s="106" t="str">
        <f>_xlfn.CONCAT(_xlfn.XLOOKUP("[S08_BaselineDataIssuesDetail][17][NumberOfIssues]",Submission!$O:$O,Submission!$H:$N,""))</f>
        <v/>
      </c>
      <c r="H99" s="452" t="str">
        <f>_xlfn.CONCAT(_xlfn.XLOOKUP("[S08_BaselineDataIssuesDetail][17][NumberOfInstallationsArt152]",Submission!$O:$O,Submission!$H:$N,""))</f>
        <v/>
      </c>
      <c r="I99" s="453"/>
    </row>
    <row r="100" spans="3:9" ht="43.95" hidden="1" customHeight="1" outlineLevel="1" x14ac:dyDescent="0.3">
      <c r="C100" s="284" t="str">
        <f>_xlfn.CONCAT(_xlfn.XLOOKUP("[S08_BaselineDataIssuesDetail][18][AnnexIActivity]",Submission!$O:$O,Submission!$H:$N,""))</f>
        <v/>
      </c>
      <c r="D100" s="285"/>
      <c r="E100" s="72" t="str">
        <f>_xlfn.CONCAT(_xlfn.XLOOKUP("[S08_BaselineDataIssuesDetail][18][TypeOfIssue]",Submission!$O:$O,Submission!$H:$N,""))</f>
        <v/>
      </c>
      <c r="F100" s="106" t="str">
        <f>_xlfn.CONCAT(_xlfn.XLOOKUP("[S08_BaselineDataIssuesDetail][18][NumberOfInstallations]",Submission!$O:$O,Submission!$H:$N,""))</f>
        <v/>
      </c>
      <c r="G100" s="106" t="str">
        <f>_xlfn.CONCAT(_xlfn.XLOOKUP("[S08_BaselineDataIssuesDetail][18][NumberOfIssues]",Submission!$O:$O,Submission!$H:$N,""))</f>
        <v/>
      </c>
      <c r="H100" s="452" t="str">
        <f>_xlfn.CONCAT(_xlfn.XLOOKUP("[S08_BaselineDataIssuesDetail][18][NumberOfInstallationsArt152]",Submission!$O:$O,Submission!$H:$N,""))</f>
        <v/>
      </c>
      <c r="I100" s="453"/>
    </row>
    <row r="101" spans="3:9" ht="43.95" hidden="1" customHeight="1" outlineLevel="1" x14ac:dyDescent="0.3">
      <c r="C101" s="284" t="str">
        <f>_xlfn.CONCAT(_xlfn.XLOOKUP("[S08_BaselineDataIssuesDetail][19][AnnexIActivity]",Submission!$O:$O,Submission!$H:$N,""))</f>
        <v/>
      </c>
      <c r="D101" s="285"/>
      <c r="E101" s="72" t="str">
        <f>_xlfn.CONCAT(_xlfn.XLOOKUP("[S08_BaselineDataIssuesDetail][19][TypeOfIssue]",Submission!$O:$O,Submission!$H:$N,""))</f>
        <v/>
      </c>
      <c r="F101" s="106" t="str">
        <f>_xlfn.CONCAT(_xlfn.XLOOKUP("[S08_BaselineDataIssuesDetail][19][NumberOfInstallations]",Submission!$O:$O,Submission!$H:$N,""))</f>
        <v/>
      </c>
      <c r="G101" s="106" t="str">
        <f>_xlfn.CONCAT(_xlfn.XLOOKUP("[S08_BaselineDataIssuesDetail][19][NumberOfIssues]",Submission!$O:$O,Submission!$H:$N,""))</f>
        <v/>
      </c>
      <c r="H101" s="452" t="str">
        <f>_xlfn.CONCAT(_xlfn.XLOOKUP("[S08_BaselineDataIssuesDetail][19][NumberOfInstallationsArt152]",Submission!$O:$O,Submission!$H:$N,""))</f>
        <v/>
      </c>
      <c r="I101" s="453"/>
    </row>
    <row r="102" spans="3:9" ht="43.95" hidden="1" customHeight="1" outlineLevel="1" x14ac:dyDescent="0.3">
      <c r="C102" s="284" t="str">
        <f>_xlfn.CONCAT(_xlfn.XLOOKUP("[S08_BaselineDataIssuesDetail][20][AnnexIActivity]",Submission!$O:$O,Submission!$H:$N,""))</f>
        <v/>
      </c>
      <c r="D102" s="285"/>
      <c r="E102" s="72" t="str">
        <f>_xlfn.CONCAT(_xlfn.XLOOKUP("[S08_BaselineDataIssuesDetail][20][TypeOfIssue]",Submission!$O:$O,Submission!$H:$N,""))</f>
        <v/>
      </c>
      <c r="F102" s="106" t="str">
        <f>_xlfn.CONCAT(_xlfn.XLOOKUP("[S08_BaselineDataIssuesDetail][20][NumberOfInstallations]",Submission!$O:$O,Submission!$H:$N,""))</f>
        <v/>
      </c>
      <c r="G102" s="106" t="str">
        <f>_xlfn.CONCAT(_xlfn.XLOOKUP("[S08_BaselineDataIssuesDetail][20][NumberOfIssues]",Submission!$O:$O,Submission!$H:$N,""))</f>
        <v/>
      </c>
      <c r="H102" s="452" t="str">
        <f>_xlfn.CONCAT(_xlfn.XLOOKUP("[S08_BaselineDataIssuesDetail][20][NumberOfInstallationsArt152]",Submission!$O:$O,Submission!$H:$N,""))</f>
        <v/>
      </c>
      <c r="I102" s="453"/>
    </row>
    <row r="103" spans="3:9" ht="43.95" hidden="1" customHeight="1" outlineLevel="1" x14ac:dyDescent="0.3">
      <c r="C103" s="284" t="str">
        <f>_xlfn.CONCAT(_xlfn.XLOOKUP("[S08_BaselineDataIssuesDetail][21][AnnexIActivity]",Submission!$O:$O,Submission!$H:$N,""))</f>
        <v/>
      </c>
      <c r="D103" s="285"/>
      <c r="E103" s="72" t="str">
        <f>_xlfn.CONCAT(_xlfn.XLOOKUP("[S08_BaselineDataIssuesDetail][21][TypeOfIssue]",Submission!$O:$O,Submission!$H:$N,""))</f>
        <v/>
      </c>
      <c r="F103" s="106" t="str">
        <f>_xlfn.CONCAT(_xlfn.XLOOKUP("[S08_BaselineDataIssuesDetail][21][NumberOfInstallations]",Submission!$O:$O,Submission!$H:$N,""))</f>
        <v/>
      </c>
      <c r="G103" s="106" t="str">
        <f>_xlfn.CONCAT(_xlfn.XLOOKUP("[S08_BaselineDataIssuesDetail][21][NumberOfIssues]",Submission!$O:$O,Submission!$H:$N,""))</f>
        <v/>
      </c>
      <c r="H103" s="452" t="str">
        <f>_xlfn.CONCAT(_xlfn.XLOOKUP("[S08_BaselineDataIssuesDetail][21][NumberOfInstallationsArt152]",Submission!$O:$O,Submission!$H:$N,""))</f>
        <v/>
      </c>
      <c r="I103" s="453"/>
    </row>
    <row r="104" spans="3:9" ht="43.95" hidden="1" customHeight="1" outlineLevel="1" x14ac:dyDescent="0.3">
      <c r="C104" s="284" t="str">
        <f>_xlfn.CONCAT(_xlfn.XLOOKUP("[S08_BaselineDataIssuesDetail][22][AnnexIActivity]",Submission!$O:$O,Submission!$H:$N,""))</f>
        <v/>
      </c>
      <c r="D104" s="285"/>
      <c r="E104" s="72" t="str">
        <f>_xlfn.CONCAT(_xlfn.XLOOKUP("[S08_BaselineDataIssuesDetail][22][TypeOfIssue]",Submission!$O:$O,Submission!$H:$N,""))</f>
        <v/>
      </c>
      <c r="F104" s="106" t="str">
        <f>_xlfn.CONCAT(_xlfn.XLOOKUP("[S08_BaselineDataIssuesDetail][22][NumberOfInstallations]",Submission!$O:$O,Submission!$H:$N,""))</f>
        <v/>
      </c>
      <c r="G104" s="106" t="str">
        <f>_xlfn.CONCAT(_xlfn.XLOOKUP("[S08_BaselineDataIssuesDetail][22][NumberOfIssues]",Submission!$O:$O,Submission!$H:$N,""))</f>
        <v/>
      </c>
      <c r="H104" s="452" t="str">
        <f>_xlfn.CONCAT(_xlfn.XLOOKUP("[S08_BaselineDataIssuesDetail][22][NumberOfInstallationsArt152]",Submission!$O:$O,Submission!$H:$N,""))</f>
        <v/>
      </c>
      <c r="I104" s="453"/>
    </row>
    <row r="105" spans="3:9" ht="43.95" hidden="1" customHeight="1" outlineLevel="1" x14ac:dyDescent="0.3">
      <c r="C105" s="284" t="str">
        <f>_xlfn.CONCAT(_xlfn.XLOOKUP("[S08_BaselineDataIssuesDetail][23][AnnexIActivity]",Submission!$O:$O,Submission!$H:$N,""))</f>
        <v/>
      </c>
      <c r="D105" s="285"/>
      <c r="E105" s="72" t="str">
        <f>_xlfn.CONCAT(_xlfn.XLOOKUP("[S08_BaselineDataIssuesDetail][23][TypeOfIssue]",Submission!$O:$O,Submission!$H:$N,""))</f>
        <v/>
      </c>
      <c r="F105" s="106" t="str">
        <f>_xlfn.CONCAT(_xlfn.XLOOKUP("[S08_BaselineDataIssuesDetail][23][NumberOfInstallations]",Submission!$O:$O,Submission!$H:$N,""))</f>
        <v/>
      </c>
      <c r="G105" s="106" t="str">
        <f>_xlfn.CONCAT(_xlfn.XLOOKUP("[S08_BaselineDataIssuesDetail][23][NumberOfIssues]",Submission!$O:$O,Submission!$H:$N,""))</f>
        <v/>
      </c>
      <c r="H105" s="452" t="str">
        <f>_xlfn.CONCAT(_xlfn.XLOOKUP("[S08_BaselineDataIssuesDetail][23][NumberOfInstallationsArt152]",Submission!$O:$O,Submission!$H:$N,""))</f>
        <v/>
      </c>
      <c r="I105" s="453"/>
    </row>
    <row r="106" spans="3:9" ht="43.95" hidden="1" customHeight="1" outlineLevel="1" x14ac:dyDescent="0.3">
      <c r="C106" s="284" t="str">
        <f>_xlfn.CONCAT(_xlfn.XLOOKUP("[S08_BaselineDataIssuesDetail][24][AnnexIActivity]",Submission!$O:$O,Submission!$H:$N,""))</f>
        <v/>
      </c>
      <c r="D106" s="285"/>
      <c r="E106" s="72" t="str">
        <f>_xlfn.CONCAT(_xlfn.XLOOKUP("[S08_BaselineDataIssuesDetail][24][TypeOfIssue]",Submission!$O:$O,Submission!$H:$N,""))</f>
        <v/>
      </c>
      <c r="F106" s="106" t="str">
        <f>_xlfn.CONCAT(_xlfn.XLOOKUP("[S08_BaselineDataIssuesDetail][24][NumberOfInstallations]",Submission!$O:$O,Submission!$H:$N,""))</f>
        <v/>
      </c>
      <c r="G106" s="106" t="str">
        <f>_xlfn.CONCAT(_xlfn.XLOOKUP("[S08_BaselineDataIssuesDetail][24][NumberOfIssues]",Submission!$O:$O,Submission!$H:$N,""))</f>
        <v/>
      </c>
      <c r="H106" s="452" t="str">
        <f>_xlfn.CONCAT(_xlfn.XLOOKUP("[S08_BaselineDataIssuesDetail][24][NumberOfInstallationsArt152]",Submission!$O:$O,Submission!$H:$N,""))</f>
        <v/>
      </c>
      <c r="I106" s="453"/>
    </row>
    <row r="107" spans="3:9" ht="43.95" hidden="1" customHeight="1" outlineLevel="1" x14ac:dyDescent="0.3">
      <c r="C107" s="284" t="str">
        <f>_xlfn.CONCAT(_xlfn.XLOOKUP("[S08_BaselineDataIssuesDetail][25][AnnexIActivity]",Submission!$O:$O,Submission!$H:$N,""))</f>
        <v/>
      </c>
      <c r="D107" s="285"/>
      <c r="E107" s="72" t="str">
        <f>_xlfn.CONCAT(_xlfn.XLOOKUP("[S08_BaselineDataIssuesDetail][25][TypeOfIssue]",Submission!$O:$O,Submission!$H:$N,""))</f>
        <v/>
      </c>
      <c r="F107" s="106" t="str">
        <f>_xlfn.CONCAT(_xlfn.XLOOKUP("[S08_BaselineDataIssuesDetail][25][NumberOfInstallations]",Submission!$O:$O,Submission!$H:$N,""))</f>
        <v/>
      </c>
      <c r="G107" s="106" t="str">
        <f>_xlfn.CONCAT(_xlfn.XLOOKUP("[S08_BaselineDataIssuesDetail][25][NumberOfIssues]",Submission!$O:$O,Submission!$H:$N,""))</f>
        <v/>
      </c>
      <c r="H107" s="452" t="str">
        <f>_xlfn.CONCAT(_xlfn.XLOOKUP("[S08_BaselineDataIssuesDetail][25][NumberOfInstallationsArt152]",Submission!$O:$O,Submission!$H:$N,""))</f>
        <v/>
      </c>
      <c r="I107" s="453"/>
    </row>
    <row r="108" spans="3:9" ht="43.95" hidden="1" customHeight="1" outlineLevel="1" x14ac:dyDescent="0.3">
      <c r="C108" s="284" t="str">
        <f>_xlfn.CONCAT(_xlfn.XLOOKUP("[S08_BaselineDataIssuesDetail][26][AnnexIActivity]",Submission!$O:$O,Submission!$H:$N,""))</f>
        <v/>
      </c>
      <c r="D108" s="285"/>
      <c r="E108" s="72" t="str">
        <f>_xlfn.CONCAT(_xlfn.XLOOKUP("[S08_BaselineDataIssuesDetail][26][TypeOfIssue]",Submission!$O:$O,Submission!$H:$N,""))</f>
        <v/>
      </c>
      <c r="F108" s="106" t="str">
        <f>_xlfn.CONCAT(_xlfn.XLOOKUP("[S08_BaselineDataIssuesDetail][26][NumberOfInstallations]",Submission!$O:$O,Submission!$H:$N,""))</f>
        <v/>
      </c>
      <c r="G108" s="106" t="str">
        <f>_xlfn.CONCAT(_xlfn.XLOOKUP("[S08_BaselineDataIssuesDetail][26][NumberOfIssues]",Submission!$O:$O,Submission!$H:$N,""))</f>
        <v/>
      </c>
      <c r="H108" s="452" t="str">
        <f>_xlfn.CONCAT(_xlfn.XLOOKUP("[S08_BaselineDataIssuesDetail][26][NumberOfInstallationsArt152]",Submission!$O:$O,Submission!$H:$N,""))</f>
        <v/>
      </c>
      <c r="I108" s="453"/>
    </row>
    <row r="109" spans="3:9" ht="43.95" hidden="1" customHeight="1" outlineLevel="1" x14ac:dyDescent="0.3">
      <c r="C109" s="284" t="str">
        <f>_xlfn.CONCAT(_xlfn.XLOOKUP("[S08_BaselineDataIssuesDetail][27][AnnexIActivity]",Submission!$O:$O,Submission!$H:$N,""))</f>
        <v/>
      </c>
      <c r="D109" s="285"/>
      <c r="E109" s="72" t="str">
        <f>_xlfn.CONCAT(_xlfn.XLOOKUP("[S08_BaselineDataIssuesDetail][27][TypeOfIssue]",Submission!$O:$O,Submission!$H:$N,""))</f>
        <v/>
      </c>
      <c r="F109" s="106" t="str">
        <f>_xlfn.CONCAT(_xlfn.XLOOKUP("[S08_BaselineDataIssuesDetail][27][NumberOfInstallations]",Submission!$O:$O,Submission!$H:$N,""))</f>
        <v/>
      </c>
      <c r="G109" s="106" t="str">
        <f>_xlfn.CONCAT(_xlfn.XLOOKUP("[S08_BaselineDataIssuesDetail][27][NumberOfIssues]",Submission!$O:$O,Submission!$H:$N,""))</f>
        <v/>
      </c>
      <c r="H109" s="452" t="str">
        <f>_xlfn.CONCAT(_xlfn.XLOOKUP("[S08_BaselineDataIssuesDetail][27][NumberOfInstallationsArt152]",Submission!$O:$O,Submission!$H:$N,""))</f>
        <v/>
      </c>
      <c r="I109" s="453"/>
    </row>
    <row r="110" spans="3:9" ht="43.95" hidden="1" customHeight="1" outlineLevel="1" x14ac:dyDescent="0.3">
      <c r="C110" s="284" t="str">
        <f>_xlfn.CONCAT(_xlfn.XLOOKUP("[S08_BaselineDataIssuesDetail][28][AnnexIActivity]",Submission!$O:$O,Submission!$H:$N,""))</f>
        <v/>
      </c>
      <c r="D110" s="285"/>
      <c r="E110" s="72" t="str">
        <f>_xlfn.CONCAT(_xlfn.XLOOKUP("[S08_BaselineDataIssuesDetail][28][TypeOfIssue]",Submission!$O:$O,Submission!$H:$N,""))</f>
        <v/>
      </c>
      <c r="F110" s="106" t="str">
        <f>_xlfn.CONCAT(_xlfn.XLOOKUP("[S08_BaselineDataIssuesDetail][28][NumberOfInstallations]",Submission!$O:$O,Submission!$H:$N,""))</f>
        <v/>
      </c>
      <c r="G110" s="106" t="str">
        <f>_xlfn.CONCAT(_xlfn.XLOOKUP("[S08_BaselineDataIssuesDetail][28][NumberOfIssues]",Submission!$O:$O,Submission!$H:$N,""))</f>
        <v/>
      </c>
      <c r="H110" s="452" t="str">
        <f>_xlfn.CONCAT(_xlfn.XLOOKUP("[S08_BaselineDataIssuesDetail][28][NumberOfInstallationsArt152]",Submission!$O:$O,Submission!$H:$N,""))</f>
        <v/>
      </c>
      <c r="I110" s="453"/>
    </row>
    <row r="111" spans="3:9" ht="43.95" hidden="1" customHeight="1" outlineLevel="1" x14ac:dyDescent="0.3">
      <c r="C111" s="284" t="str">
        <f>_xlfn.CONCAT(_xlfn.XLOOKUP("[S08_BaselineDataIssuesDetail][29][AnnexIActivity]",Submission!$O:$O,Submission!$H:$N,""))</f>
        <v/>
      </c>
      <c r="D111" s="285"/>
      <c r="E111" s="72" t="str">
        <f>_xlfn.CONCAT(_xlfn.XLOOKUP("[S08_BaselineDataIssuesDetail][29][TypeOfIssue]",Submission!$O:$O,Submission!$H:$N,""))</f>
        <v/>
      </c>
      <c r="F111" s="106" t="str">
        <f>_xlfn.CONCAT(_xlfn.XLOOKUP("[S08_BaselineDataIssuesDetail][29][NumberOfInstallations]",Submission!$O:$O,Submission!$H:$N,""))</f>
        <v/>
      </c>
      <c r="G111" s="106" t="str">
        <f>_xlfn.CONCAT(_xlfn.XLOOKUP("[S08_BaselineDataIssuesDetail][29][NumberOfIssues]",Submission!$O:$O,Submission!$H:$N,""))</f>
        <v/>
      </c>
      <c r="H111" s="452" t="str">
        <f>_xlfn.CONCAT(_xlfn.XLOOKUP("[S08_BaselineDataIssuesDetail][29][NumberOfInstallationsArt152]",Submission!$O:$O,Submission!$H:$N,""))</f>
        <v/>
      </c>
      <c r="I111" s="453"/>
    </row>
    <row r="112" spans="3:9" ht="43.95" hidden="1" customHeight="1" outlineLevel="1" x14ac:dyDescent="0.3">
      <c r="C112" s="284" t="str">
        <f>_xlfn.CONCAT(_xlfn.XLOOKUP("[S08_BaselineDataIssuesDetail][30][AnnexIActivity]",Submission!$O:$O,Submission!$H:$N,""))</f>
        <v/>
      </c>
      <c r="D112" s="285"/>
      <c r="E112" s="72" t="str">
        <f>_xlfn.CONCAT(_xlfn.XLOOKUP("[S08_BaselineDataIssuesDetail][30][TypeOfIssue]",Submission!$O:$O,Submission!$H:$N,""))</f>
        <v/>
      </c>
      <c r="F112" s="106" t="str">
        <f>_xlfn.CONCAT(_xlfn.XLOOKUP("[S08_BaselineDataIssuesDetail][30][NumberOfInstallations]",Submission!$O:$O,Submission!$H:$N,""))</f>
        <v/>
      </c>
      <c r="G112" s="106" t="str">
        <f>_xlfn.CONCAT(_xlfn.XLOOKUP("[S08_BaselineDataIssuesDetail][30][NumberOfIssues]",Submission!$O:$O,Submission!$H:$N,""))</f>
        <v/>
      </c>
      <c r="H112" s="452" t="str">
        <f>_xlfn.CONCAT(_xlfn.XLOOKUP("[S08_BaselineDataIssuesDetail][30][NumberOfInstallationsArt152]",Submission!$O:$O,Submission!$H:$N,""))</f>
        <v/>
      </c>
      <c r="I112" s="453"/>
    </row>
    <row r="113" spans="3:9" ht="43.95" hidden="1" customHeight="1" outlineLevel="1" x14ac:dyDescent="0.3">
      <c r="C113" s="284" t="str">
        <f>_xlfn.CONCAT(_xlfn.XLOOKUP("[S08_BaselineDataIssuesDetail][31][AnnexIActivity]",Submission!$O:$O,Submission!$H:$N,""))</f>
        <v/>
      </c>
      <c r="D113" s="285"/>
      <c r="E113" s="72" t="str">
        <f>_xlfn.CONCAT(_xlfn.XLOOKUP("[S08_BaselineDataIssuesDetail][31][TypeOfIssue]",Submission!$O:$O,Submission!$H:$N,""))</f>
        <v/>
      </c>
      <c r="F113" s="106" t="str">
        <f>_xlfn.CONCAT(_xlfn.XLOOKUP("[S08_BaselineDataIssuesDetail][31][NumberOfInstallations]",Submission!$O:$O,Submission!$H:$N,""))</f>
        <v/>
      </c>
      <c r="G113" s="106" t="str">
        <f>_xlfn.CONCAT(_xlfn.XLOOKUP("[S08_BaselineDataIssuesDetail][31][NumberOfIssues]",Submission!$O:$O,Submission!$H:$N,""))</f>
        <v/>
      </c>
      <c r="H113" s="452" t="str">
        <f>_xlfn.CONCAT(_xlfn.XLOOKUP("[S08_BaselineDataIssuesDetail][31][NumberOfInstallationsArt152]",Submission!$O:$O,Submission!$H:$N,""))</f>
        <v/>
      </c>
      <c r="I113" s="453"/>
    </row>
    <row r="114" spans="3:9" ht="43.95" hidden="1" customHeight="1" outlineLevel="1" x14ac:dyDescent="0.3">
      <c r="C114" s="284" t="str">
        <f>_xlfn.CONCAT(_xlfn.XLOOKUP("[S08_BaselineDataIssuesDetail][32][AnnexIActivity]",Submission!$O:$O,Submission!$H:$N,""))</f>
        <v/>
      </c>
      <c r="D114" s="285"/>
      <c r="E114" s="72" t="str">
        <f>_xlfn.CONCAT(_xlfn.XLOOKUP("[S08_BaselineDataIssuesDetail][32][TypeOfIssue]",Submission!$O:$O,Submission!$H:$N,""))</f>
        <v/>
      </c>
      <c r="F114" s="106" t="str">
        <f>_xlfn.CONCAT(_xlfn.XLOOKUP("[S08_BaselineDataIssuesDetail][32][NumberOfInstallations]",Submission!$O:$O,Submission!$H:$N,""))</f>
        <v/>
      </c>
      <c r="G114" s="106" t="str">
        <f>_xlfn.CONCAT(_xlfn.XLOOKUP("[S08_BaselineDataIssuesDetail][32][NumberOfIssues]",Submission!$O:$O,Submission!$H:$N,""))</f>
        <v/>
      </c>
      <c r="H114" s="452" t="str">
        <f>_xlfn.CONCAT(_xlfn.XLOOKUP("[S08_BaselineDataIssuesDetail][32][NumberOfInstallationsArt152]",Submission!$O:$O,Submission!$H:$N,""))</f>
        <v/>
      </c>
      <c r="I114" s="453"/>
    </row>
    <row r="115" spans="3:9" ht="43.95" hidden="1" customHeight="1" outlineLevel="1" x14ac:dyDescent="0.3">
      <c r="C115" s="284" t="str">
        <f>_xlfn.CONCAT(_xlfn.XLOOKUP("[S08_BaselineDataIssuesDetail][33][AnnexIActivity]",Submission!$O:$O,Submission!$H:$N,""))</f>
        <v/>
      </c>
      <c r="D115" s="285"/>
      <c r="E115" s="72" t="str">
        <f>_xlfn.CONCAT(_xlfn.XLOOKUP("[S08_BaselineDataIssuesDetail][33][TypeOfIssue]",Submission!$O:$O,Submission!$H:$N,""))</f>
        <v/>
      </c>
      <c r="F115" s="106" t="str">
        <f>_xlfn.CONCAT(_xlfn.XLOOKUP("[S08_BaselineDataIssuesDetail][33][NumberOfInstallations]",Submission!$O:$O,Submission!$H:$N,""))</f>
        <v/>
      </c>
      <c r="G115" s="106" t="str">
        <f>_xlfn.CONCAT(_xlfn.XLOOKUP("[S08_BaselineDataIssuesDetail][33][NumberOfIssues]",Submission!$O:$O,Submission!$H:$N,""))</f>
        <v/>
      </c>
      <c r="H115" s="452" t="str">
        <f>_xlfn.CONCAT(_xlfn.XLOOKUP("[S08_BaselineDataIssuesDetail][33][NumberOfInstallationsArt152]",Submission!$O:$O,Submission!$H:$N,""))</f>
        <v/>
      </c>
      <c r="I115" s="453"/>
    </row>
    <row r="116" spans="3:9" ht="43.95" hidden="1" customHeight="1" outlineLevel="1" x14ac:dyDescent="0.3">
      <c r="C116" s="284" t="str">
        <f>_xlfn.CONCAT(_xlfn.XLOOKUP("[S08_BaselineDataIssuesDetail][34][AnnexIActivity]",Submission!$O:$O,Submission!$H:$N,""))</f>
        <v/>
      </c>
      <c r="D116" s="285"/>
      <c r="E116" s="72" t="str">
        <f>_xlfn.CONCAT(_xlfn.XLOOKUP("[S08_BaselineDataIssuesDetail][34][TypeOfIssue]",Submission!$O:$O,Submission!$H:$N,""))</f>
        <v/>
      </c>
      <c r="F116" s="106" t="str">
        <f>_xlfn.CONCAT(_xlfn.XLOOKUP("[S08_BaselineDataIssuesDetail][34][NumberOfInstallations]",Submission!$O:$O,Submission!$H:$N,""))</f>
        <v/>
      </c>
      <c r="G116" s="106" t="str">
        <f>_xlfn.CONCAT(_xlfn.XLOOKUP("[S08_BaselineDataIssuesDetail][34][NumberOfIssues]",Submission!$O:$O,Submission!$H:$N,""))</f>
        <v/>
      </c>
      <c r="H116" s="452" t="str">
        <f>_xlfn.CONCAT(_xlfn.XLOOKUP("[S08_BaselineDataIssuesDetail][34][NumberOfInstallationsArt152]",Submission!$O:$O,Submission!$H:$N,""))</f>
        <v/>
      </c>
      <c r="I116" s="453"/>
    </row>
    <row r="117" spans="3:9" ht="43.95" hidden="1" customHeight="1" outlineLevel="1" x14ac:dyDescent="0.3">
      <c r="C117" s="284" t="str">
        <f>_xlfn.CONCAT(_xlfn.XLOOKUP("[S08_BaselineDataIssuesDetail][35][AnnexIActivity]",Submission!$O:$O,Submission!$H:$N,""))</f>
        <v/>
      </c>
      <c r="D117" s="285"/>
      <c r="E117" s="72" t="str">
        <f>_xlfn.CONCAT(_xlfn.XLOOKUP("[S08_BaselineDataIssuesDetail][35][TypeOfIssue]",Submission!$O:$O,Submission!$H:$N,""))</f>
        <v/>
      </c>
      <c r="F117" s="106" t="str">
        <f>_xlfn.CONCAT(_xlfn.XLOOKUP("[S08_BaselineDataIssuesDetail][35][NumberOfInstallations]",Submission!$O:$O,Submission!$H:$N,""))</f>
        <v/>
      </c>
      <c r="G117" s="106" t="str">
        <f>_xlfn.CONCAT(_xlfn.XLOOKUP("[S08_BaselineDataIssuesDetail][35][NumberOfIssues]",Submission!$O:$O,Submission!$H:$N,""))</f>
        <v/>
      </c>
      <c r="H117" s="452" t="str">
        <f>_xlfn.CONCAT(_xlfn.XLOOKUP("[S08_BaselineDataIssuesDetail][35][NumberOfInstallationsArt152]",Submission!$O:$O,Submission!$H:$N,""))</f>
        <v/>
      </c>
      <c r="I117" s="453"/>
    </row>
    <row r="118" spans="3:9" ht="43.95" hidden="1" customHeight="1" outlineLevel="1" x14ac:dyDescent="0.3">
      <c r="C118" s="284" t="str">
        <f>_xlfn.CONCAT(_xlfn.XLOOKUP("[S08_BaselineDataIssuesDetail][36][AnnexIActivity]",Submission!$O:$O,Submission!$H:$N,""))</f>
        <v/>
      </c>
      <c r="D118" s="285"/>
      <c r="E118" s="72" t="str">
        <f>_xlfn.CONCAT(_xlfn.XLOOKUP("[S08_BaselineDataIssuesDetail][36][TypeOfIssue]",Submission!$O:$O,Submission!$H:$N,""))</f>
        <v/>
      </c>
      <c r="F118" s="106" t="str">
        <f>_xlfn.CONCAT(_xlfn.XLOOKUP("[S08_BaselineDataIssuesDetail][36][NumberOfInstallations]",Submission!$O:$O,Submission!$H:$N,""))</f>
        <v/>
      </c>
      <c r="G118" s="106" t="str">
        <f>_xlfn.CONCAT(_xlfn.XLOOKUP("[S08_BaselineDataIssuesDetail][36][NumberOfIssues]",Submission!$O:$O,Submission!$H:$N,""))</f>
        <v/>
      </c>
      <c r="H118" s="452" t="str">
        <f>_xlfn.CONCAT(_xlfn.XLOOKUP("[S08_BaselineDataIssuesDetail][36][NumberOfInstallationsArt152]",Submission!$O:$O,Submission!$H:$N,""))</f>
        <v/>
      </c>
      <c r="I118" s="453"/>
    </row>
    <row r="119" spans="3:9" ht="43.95" hidden="1" customHeight="1" outlineLevel="1" x14ac:dyDescent="0.3">
      <c r="C119" s="284" t="str">
        <f>_xlfn.CONCAT(_xlfn.XLOOKUP("[S08_BaselineDataIssuesDetail][37][AnnexIActivity]",Submission!$O:$O,Submission!$H:$N,""))</f>
        <v/>
      </c>
      <c r="D119" s="285"/>
      <c r="E119" s="72" t="str">
        <f>_xlfn.CONCAT(_xlfn.XLOOKUP("[S08_BaselineDataIssuesDetail][37][TypeOfIssue]",Submission!$O:$O,Submission!$H:$N,""))</f>
        <v/>
      </c>
      <c r="F119" s="106" t="str">
        <f>_xlfn.CONCAT(_xlfn.XLOOKUP("[S08_BaselineDataIssuesDetail][37][NumberOfInstallations]",Submission!$O:$O,Submission!$H:$N,""))</f>
        <v/>
      </c>
      <c r="G119" s="106" t="str">
        <f>_xlfn.CONCAT(_xlfn.XLOOKUP("[S08_BaselineDataIssuesDetail][37][NumberOfIssues]",Submission!$O:$O,Submission!$H:$N,""))</f>
        <v/>
      </c>
      <c r="H119" s="452" t="str">
        <f>_xlfn.CONCAT(_xlfn.XLOOKUP("[S08_BaselineDataIssuesDetail][37][NumberOfInstallationsArt152]",Submission!$O:$O,Submission!$H:$N,""))</f>
        <v/>
      </c>
      <c r="I119" s="453"/>
    </row>
    <row r="120" spans="3:9" ht="43.95" hidden="1" customHeight="1" outlineLevel="1" x14ac:dyDescent="0.3">
      <c r="C120" s="284" t="str">
        <f>_xlfn.CONCAT(_xlfn.XLOOKUP("[S08_BaselineDataIssuesDetail][38][AnnexIActivity]",Submission!$O:$O,Submission!$H:$N,""))</f>
        <v/>
      </c>
      <c r="D120" s="285"/>
      <c r="E120" s="72" t="str">
        <f>_xlfn.CONCAT(_xlfn.XLOOKUP("[S08_BaselineDataIssuesDetail][38][TypeOfIssue]",Submission!$O:$O,Submission!$H:$N,""))</f>
        <v/>
      </c>
      <c r="F120" s="106" t="str">
        <f>_xlfn.CONCAT(_xlfn.XLOOKUP("[S08_BaselineDataIssuesDetail][38][NumberOfInstallations]",Submission!$O:$O,Submission!$H:$N,""))</f>
        <v/>
      </c>
      <c r="G120" s="106" t="str">
        <f>_xlfn.CONCAT(_xlfn.XLOOKUP("[S08_BaselineDataIssuesDetail][38][NumberOfIssues]",Submission!$O:$O,Submission!$H:$N,""))</f>
        <v/>
      </c>
      <c r="H120" s="452" t="str">
        <f>_xlfn.CONCAT(_xlfn.XLOOKUP("[S08_BaselineDataIssuesDetail][38][NumberOfInstallationsArt152]",Submission!$O:$O,Submission!$H:$N,""))</f>
        <v/>
      </c>
      <c r="I120" s="453"/>
    </row>
    <row r="121" spans="3:9" ht="43.95" hidden="1" customHeight="1" outlineLevel="1" x14ac:dyDescent="0.3">
      <c r="C121" s="284" t="str">
        <f>_xlfn.CONCAT(_xlfn.XLOOKUP("[S08_BaselineDataIssuesDetail][39][AnnexIActivity]",Submission!$O:$O,Submission!$H:$N,""))</f>
        <v/>
      </c>
      <c r="D121" s="285"/>
      <c r="E121" s="72" t="str">
        <f>_xlfn.CONCAT(_xlfn.XLOOKUP("[S08_BaselineDataIssuesDetail][39][TypeOfIssue]",Submission!$O:$O,Submission!$H:$N,""))</f>
        <v/>
      </c>
      <c r="F121" s="106" t="str">
        <f>_xlfn.CONCAT(_xlfn.XLOOKUP("[S08_BaselineDataIssuesDetail][39][NumberOfInstallations]",Submission!$O:$O,Submission!$H:$N,""))</f>
        <v/>
      </c>
      <c r="G121" s="106" t="str">
        <f>_xlfn.CONCAT(_xlfn.XLOOKUP("[S08_BaselineDataIssuesDetail][39][NumberOfIssues]",Submission!$O:$O,Submission!$H:$N,""))</f>
        <v/>
      </c>
      <c r="H121" s="452" t="str">
        <f>_xlfn.CONCAT(_xlfn.XLOOKUP("[S08_BaselineDataIssuesDetail][39][NumberOfInstallationsArt152]",Submission!$O:$O,Submission!$H:$N,""))</f>
        <v/>
      </c>
      <c r="I121" s="453"/>
    </row>
    <row r="122" spans="3:9" ht="43.95" hidden="1" customHeight="1" outlineLevel="1" x14ac:dyDescent="0.3">
      <c r="C122" s="284" t="str">
        <f>_xlfn.CONCAT(_xlfn.XLOOKUP("[S08_BaselineDataIssuesDetail][40][AnnexIActivity]",Submission!$O:$O,Submission!$H:$N,""))</f>
        <v/>
      </c>
      <c r="D122" s="285"/>
      <c r="E122" s="72" t="str">
        <f>_xlfn.CONCAT(_xlfn.XLOOKUP("[S08_BaselineDataIssuesDetail][40][TypeOfIssue]",Submission!$O:$O,Submission!$H:$N,""))</f>
        <v/>
      </c>
      <c r="F122" s="106" t="str">
        <f>_xlfn.CONCAT(_xlfn.XLOOKUP("[S08_BaselineDataIssuesDetail][40][NumberOfInstallations]",Submission!$O:$O,Submission!$H:$N,""))</f>
        <v/>
      </c>
      <c r="G122" s="106" t="str">
        <f>_xlfn.CONCAT(_xlfn.XLOOKUP("[S08_BaselineDataIssuesDetail][40][NumberOfIssues]",Submission!$O:$O,Submission!$H:$N,""))</f>
        <v/>
      </c>
      <c r="H122" s="452" t="str">
        <f>_xlfn.CONCAT(_xlfn.XLOOKUP("[S08_BaselineDataIssuesDetail][40][NumberOfInstallationsArt152]",Submission!$O:$O,Submission!$H:$N,""))</f>
        <v/>
      </c>
      <c r="I122" s="453"/>
    </row>
    <row r="123" spans="3:9" ht="43.95" hidden="1" customHeight="1" outlineLevel="1" x14ac:dyDescent="0.3">
      <c r="C123" s="284" t="str">
        <f>_xlfn.CONCAT(_xlfn.XLOOKUP("[S08_BaselineDataIssuesDetail][41][AnnexIActivity]",Submission!$O:$O,Submission!$H:$N,""))</f>
        <v/>
      </c>
      <c r="D123" s="285"/>
      <c r="E123" s="72" t="str">
        <f>_xlfn.CONCAT(_xlfn.XLOOKUP("[S08_BaselineDataIssuesDetail][41][TypeOfIssue]",Submission!$O:$O,Submission!$H:$N,""))</f>
        <v/>
      </c>
      <c r="F123" s="106" t="str">
        <f>_xlfn.CONCAT(_xlfn.XLOOKUP("[S08_BaselineDataIssuesDetail][41][NumberOfInstallations]",Submission!$O:$O,Submission!$H:$N,""))</f>
        <v/>
      </c>
      <c r="G123" s="106" t="str">
        <f>_xlfn.CONCAT(_xlfn.XLOOKUP("[S08_BaselineDataIssuesDetail][41][NumberOfIssues]",Submission!$O:$O,Submission!$H:$N,""))</f>
        <v/>
      </c>
      <c r="H123" s="452" t="str">
        <f>_xlfn.CONCAT(_xlfn.XLOOKUP("[S08_BaselineDataIssuesDetail][41][NumberOfInstallationsArt152]",Submission!$O:$O,Submission!$H:$N,""))</f>
        <v/>
      </c>
      <c r="I123" s="453"/>
    </row>
    <row r="124" spans="3:9" ht="43.95" hidden="1" customHeight="1" outlineLevel="1" x14ac:dyDescent="0.3">
      <c r="C124" s="284" t="str">
        <f>_xlfn.CONCAT(_xlfn.XLOOKUP("[S08_BaselineDataIssuesDetail][42][AnnexIActivity]",Submission!$O:$O,Submission!$H:$N,""))</f>
        <v/>
      </c>
      <c r="D124" s="285"/>
      <c r="E124" s="72" t="str">
        <f>_xlfn.CONCAT(_xlfn.XLOOKUP("[S08_BaselineDataIssuesDetail][42][TypeOfIssue]",Submission!$O:$O,Submission!$H:$N,""))</f>
        <v/>
      </c>
      <c r="F124" s="106" t="str">
        <f>_xlfn.CONCAT(_xlfn.XLOOKUP("[S08_BaselineDataIssuesDetail][42][NumberOfInstallations]",Submission!$O:$O,Submission!$H:$N,""))</f>
        <v/>
      </c>
      <c r="G124" s="106" t="str">
        <f>_xlfn.CONCAT(_xlfn.XLOOKUP("[S08_BaselineDataIssuesDetail][42][NumberOfIssues]",Submission!$O:$O,Submission!$H:$N,""))</f>
        <v/>
      </c>
      <c r="H124" s="452" t="str">
        <f>_xlfn.CONCAT(_xlfn.XLOOKUP("[S08_BaselineDataIssuesDetail][42][NumberOfInstallationsArt152]",Submission!$O:$O,Submission!$H:$N,""))</f>
        <v/>
      </c>
      <c r="I124" s="453"/>
    </row>
    <row r="125" spans="3:9" ht="43.95" hidden="1" customHeight="1" outlineLevel="1" x14ac:dyDescent="0.3">
      <c r="C125" s="284" t="str">
        <f>_xlfn.CONCAT(_xlfn.XLOOKUP("[S08_BaselineDataIssuesDetail][43][AnnexIActivity]",Submission!$O:$O,Submission!$H:$N,""))</f>
        <v/>
      </c>
      <c r="D125" s="285"/>
      <c r="E125" s="72" t="str">
        <f>_xlfn.CONCAT(_xlfn.XLOOKUP("[S08_BaselineDataIssuesDetail][43][TypeOfIssue]",Submission!$O:$O,Submission!$H:$N,""))</f>
        <v/>
      </c>
      <c r="F125" s="106" t="str">
        <f>_xlfn.CONCAT(_xlfn.XLOOKUP("[S08_BaselineDataIssuesDetail][43][NumberOfInstallations]",Submission!$O:$O,Submission!$H:$N,""))</f>
        <v/>
      </c>
      <c r="G125" s="106" t="str">
        <f>_xlfn.CONCAT(_xlfn.XLOOKUP("[S08_BaselineDataIssuesDetail][43][NumberOfIssues]",Submission!$O:$O,Submission!$H:$N,""))</f>
        <v/>
      </c>
      <c r="H125" s="452" t="str">
        <f>_xlfn.CONCAT(_xlfn.XLOOKUP("[S08_BaselineDataIssuesDetail][43][NumberOfInstallationsArt152]",Submission!$O:$O,Submission!$H:$N,""))</f>
        <v/>
      </c>
      <c r="I125" s="453"/>
    </row>
    <row r="126" spans="3:9" ht="43.95" hidden="1" customHeight="1" outlineLevel="1" x14ac:dyDescent="0.3">
      <c r="C126" s="284" t="str">
        <f>_xlfn.CONCAT(_xlfn.XLOOKUP("[S08_BaselineDataIssuesDetail][44][AnnexIActivity]",Submission!$O:$O,Submission!$H:$N,""))</f>
        <v/>
      </c>
      <c r="D126" s="285"/>
      <c r="E126" s="72" t="str">
        <f>_xlfn.CONCAT(_xlfn.XLOOKUP("[S08_BaselineDataIssuesDetail][44][TypeOfIssue]",Submission!$O:$O,Submission!$H:$N,""))</f>
        <v/>
      </c>
      <c r="F126" s="106" t="str">
        <f>_xlfn.CONCAT(_xlfn.XLOOKUP("[S08_BaselineDataIssuesDetail][44][NumberOfInstallations]",Submission!$O:$O,Submission!$H:$N,""))</f>
        <v/>
      </c>
      <c r="G126" s="106" t="str">
        <f>_xlfn.CONCAT(_xlfn.XLOOKUP("[S08_BaselineDataIssuesDetail][44][NumberOfIssues]",Submission!$O:$O,Submission!$H:$N,""))</f>
        <v/>
      </c>
      <c r="H126" s="452" t="str">
        <f>_xlfn.CONCAT(_xlfn.XLOOKUP("[S08_BaselineDataIssuesDetail][44][NumberOfInstallationsArt152]",Submission!$O:$O,Submission!$H:$N,""))</f>
        <v/>
      </c>
      <c r="I126" s="453"/>
    </row>
    <row r="127" spans="3:9" ht="43.95" hidden="1" customHeight="1" outlineLevel="1" x14ac:dyDescent="0.3">
      <c r="C127" s="284" t="str">
        <f>_xlfn.CONCAT(_xlfn.XLOOKUP("[S08_BaselineDataIssuesDetail][45][AnnexIActivity]",Submission!$O:$O,Submission!$H:$N,""))</f>
        <v/>
      </c>
      <c r="D127" s="285"/>
      <c r="E127" s="72" t="str">
        <f>_xlfn.CONCAT(_xlfn.XLOOKUP("[S08_BaselineDataIssuesDetail][45][TypeOfIssue]",Submission!$O:$O,Submission!$H:$N,""))</f>
        <v/>
      </c>
      <c r="F127" s="106" t="str">
        <f>_xlfn.CONCAT(_xlfn.XLOOKUP("[S08_BaselineDataIssuesDetail][45][NumberOfInstallations]",Submission!$O:$O,Submission!$H:$N,""))</f>
        <v/>
      </c>
      <c r="G127" s="106" t="str">
        <f>_xlfn.CONCAT(_xlfn.XLOOKUP("[S08_BaselineDataIssuesDetail][45][NumberOfIssues]",Submission!$O:$O,Submission!$H:$N,""))</f>
        <v/>
      </c>
      <c r="H127" s="452" t="str">
        <f>_xlfn.CONCAT(_xlfn.XLOOKUP("[S08_BaselineDataIssuesDetail][45][NumberOfInstallationsArt152]",Submission!$O:$O,Submission!$H:$N,""))</f>
        <v/>
      </c>
      <c r="I127" s="453"/>
    </row>
    <row r="128" spans="3:9" ht="43.95" hidden="1" customHeight="1" outlineLevel="1" x14ac:dyDescent="0.3">
      <c r="C128" s="284" t="str">
        <f>_xlfn.CONCAT(_xlfn.XLOOKUP("[S08_BaselineDataIssuesDetail][46][AnnexIActivity]",Submission!$O:$O,Submission!$H:$N,""))</f>
        <v/>
      </c>
      <c r="D128" s="285"/>
      <c r="E128" s="72" t="str">
        <f>_xlfn.CONCAT(_xlfn.XLOOKUP("[S08_BaselineDataIssuesDetail][46][TypeOfIssue]",Submission!$O:$O,Submission!$H:$N,""))</f>
        <v/>
      </c>
      <c r="F128" s="106" t="str">
        <f>_xlfn.CONCAT(_xlfn.XLOOKUP("[S08_BaselineDataIssuesDetail][46][NumberOfInstallations]",Submission!$O:$O,Submission!$H:$N,""))</f>
        <v/>
      </c>
      <c r="G128" s="106" t="str">
        <f>_xlfn.CONCAT(_xlfn.XLOOKUP("[S08_BaselineDataIssuesDetail][46][NumberOfIssues]",Submission!$O:$O,Submission!$H:$N,""))</f>
        <v/>
      </c>
      <c r="H128" s="452" t="str">
        <f>_xlfn.CONCAT(_xlfn.XLOOKUP("[S08_BaselineDataIssuesDetail][46][NumberOfInstallationsArt152]",Submission!$O:$O,Submission!$H:$N,""))</f>
        <v/>
      </c>
      <c r="I128" s="453"/>
    </row>
    <row r="129" spans="1:9" ht="43.95" hidden="1" customHeight="1" outlineLevel="1" x14ac:dyDescent="0.3">
      <c r="C129" s="284" t="str">
        <f>_xlfn.CONCAT(_xlfn.XLOOKUP("[S08_BaselineDataIssuesDetail][47][AnnexIActivity]",Submission!$O:$O,Submission!$H:$N,""))</f>
        <v/>
      </c>
      <c r="D129" s="285"/>
      <c r="E129" s="72" t="str">
        <f>_xlfn.CONCAT(_xlfn.XLOOKUP("[S08_BaselineDataIssuesDetail][47][TypeOfIssue]",Submission!$O:$O,Submission!$H:$N,""))</f>
        <v/>
      </c>
      <c r="F129" s="106" t="str">
        <f>_xlfn.CONCAT(_xlfn.XLOOKUP("[S08_BaselineDataIssuesDetail][47][NumberOfInstallations]",Submission!$O:$O,Submission!$H:$N,""))</f>
        <v/>
      </c>
      <c r="G129" s="106" t="str">
        <f>_xlfn.CONCAT(_xlfn.XLOOKUP("[S08_BaselineDataIssuesDetail][47][NumberOfIssues]",Submission!$O:$O,Submission!$H:$N,""))</f>
        <v/>
      </c>
      <c r="H129" s="452" t="str">
        <f>_xlfn.CONCAT(_xlfn.XLOOKUP("[S08_BaselineDataIssuesDetail][47][NumberOfInstallationsArt152]",Submission!$O:$O,Submission!$H:$N,""))</f>
        <v/>
      </c>
      <c r="I129" s="453"/>
    </row>
    <row r="130" spans="1:9" ht="43.95" hidden="1" customHeight="1" outlineLevel="1" x14ac:dyDescent="0.3">
      <c r="C130" s="284" t="str">
        <f>_xlfn.CONCAT(_xlfn.XLOOKUP("[S08_BaselineDataIssuesDetail][48][AnnexIActivity]",Submission!$O:$O,Submission!$H:$N,""))</f>
        <v/>
      </c>
      <c r="D130" s="285"/>
      <c r="E130" s="72" t="str">
        <f>_xlfn.CONCAT(_xlfn.XLOOKUP("[S08_BaselineDataIssuesDetail][48][TypeOfIssue]",Submission!$O:$O,Submission!$H:$N,""))</f>
        <v/>
      </c>
      <c r="F130" s="106" t="str">
        <f>_xlfn.CONCAT(_xlfn.XLOOKUP("[S08_BaselineDataIssuesDetail][48][NumberOfInstallations]",Submission!$O:$O,Submission!$H:$N,""))</f>
        <v/>
      </c>
      <c r="G130" s="106" t="str">
        <f>_xlfn.CONCAT(_xlfn.XLOOKUP("[S08_BaselineDataIssuesDetail][48][NumberOfIssues]",Submission!$O:$O,Submission!$H:$N,""))</f>
        <v/>
      </c>
      <c r="H130" s="452" t="str">
        <f>_xlfn.CONCAT(_xlfn.XLOOKUP("[S08_BaselineDataIssuesDetail][48][NumberOfInstallationsArt152]",Submission!$O:$O,Submission!$H:$N,""))</f>
        <v/>
      </c>
      <c r="I130" s="453"/>
    </row>
    <row r="131" spans="1:9" ht="43.95" hidden="1" customHeight="1" outlineLevel="1" x14ac:dyDescent="0.3">
      <c r="C131" s="284" t="str">
        <f>_xlfn.CONCAT(_xlfn.XLOOKUP("[S08_BaselineDataIssuesDetail][49][AnnexIActivity]",Submission!$O:$O,Submission!$H:$N,""))</f>
        <v/>
      </c>
      <c r="D131" s="285"/>
      <c r="E131" s="72" t="str">
        <f>_xlfn.CONCAT(_xlfn.XLOOKUP("[S08_BaselineDataIssuesDetail][49][TypeOfIssue]",Submission!$O:$O,Submission!$H:$N,""))</f>
        <v/>
      </c>
      <c r="F131" s="106" t="str">
        <f>_xlfn.CONCAT(_xlfn.XLOOKUP("[S08_BaselineDataIssuesDetail][49][NumberOfInstallations]",Submission!$O:$O,Submission!$H:$N,""))</f>
        <v/>
      </c>
      <c r="G131" s="106" t="str">
        <f>_xlfn.CONCAT(_xlfn.XLOOKUP("[S08_BaselineDataIssuesDetail][49][NumberOfIssues]",Submission!$O:$O,Submission!$H:$N,""))</f>
        <v/>
      </c>
      <c r="H131" s="452" t="str">
        <f>_xlfn.CONCAT(_xlfn.XLOOKUP("[S08_BaselineDataIssuesDetail][49][NumberOfInstallationsArt152]",Submission!$O:$O,Submission!$H:$N,""))</f>
        <v/>
      </c>
      <c r="I131" s="453"/>
    </row>
    <row r="132" spans="1:9" ht="43.95" hidden="1" customHeight="1" outlineLevel="1" x14ac:dyDescent="0.3">
      <c r="C132" s="284" t="str">
        <f>_xlfn.CONCAT(_xlfn.XLOOKUP("[S08_BaselineDataIssuesDetail][50][AnnexIActivity]",Submission!$O:$O,Submission!$H:$N,""))</f>
        <v/>
      </c>
      <c r="D132" s="285"/>
      <c r="E132" s="72" t="str">
        <f>_xlfn.CONCAT(_xlfn.XLOOKUP("[S08_BaselineDataIssuesDetail][50][TypeOfIssue]",Submission!$O:$O,Submission!$H:$N,""))</f>
        <v/>
      </c>
      <c r="F132" s="106" t="str">
        <f>_xlfn.CONCAT(_xlfn.XLOOKUP("[S08_BaselineDataIssuesDetail][50][NumberOfInstallations]",Submission!$O:$O,Submission!$H:$N,""))</f>
        <v/>
      </c>
      <c r="G132" s="106" t="str">
        <f>_xlfn.CONCAT(_xlfn.XLOOKUP("[S08_BaselineDataIssuesDetail][50][NumberOfIssues]",Submission!$O:$O,Submission!$H:$N,""))</f>
        <v/>
      </c>
      <c r="H132" s="452" t="str">
        <f>_xlfn.CONCAT(_xlfn.XLOOKUP("[S08_BaselineDataIssuesDetail][50][NumberOfInstallationsArt152]",Submission!$O:$O,Submission!$H:$N,""))</f>
        <v/>
      </c>
      <c r="I132" s="453"/>
    </row>
    <row r="133" spans="1:9" collapsed="1" x14ac:dyDescent="0.3">
      <c r="B133" s="26" t="s">
        <v>1000</v>
      </c>
    </row>
    <row r="134" spans="1:9" ht="27.6" customHeight="1" x14ac:dyDescent="0.3">
      <c r="C134" s="277" t="s">
        <v>1190</v>
      </c>
      <c r="D134" s="277"/>
      <c r="E134" s="277"/>
      <c r="F134" s="277"/>
      <c r="G134" s="277"/>
      <c r="H134" s="277"/>
      <c r="I134" s="277"/>
    </row>
    <row r="136" spans="1:9" s="7" customFormat="1" ht="18.899999999999999" customHeight="1" x14ac:dyDescent="0.35">
      <c r="A136" s="85" t="s">
        <v>497</v>
      </c>
      <c r="B136" s="325" t="s">
        <v>498</v>
      </c>
      <c r="C136" s="325"/>
      <c r="D136" s="325"/>
      <c r="E136" s="325"/>
      <c r="F136" s="325"/>
      <c r="G136" s="325"/>
      <c r="H136" s="325"/>
      <c r="I136" s="326"/>
    </row>
    <row r="137" spans="1:9" s="7" customFormat="1" ht="18.899999999999999" customHeight="1" x14ac:dyDescent="0.3">
      <c r="A137" s="12" t="s">
        <v>500</v>
      </c>
      <c r="B137" s="479" t="s">
        <v>1191</v>
      </c>
      <c r="C137" s="479"/>
      <c r="D137" s="479"/>
      <c r="E137" s="479"/>
      <c r="F137" s="479"/>
      <c r="G137" s="479"/>
      <c r="H137" s="479"/>
      <c r="I137" s="479"/>
    </row>
    <row r="138" spans="1:9" ht="36" customHeight="1" x14ac:dyDescent="0.3">
      <c r="A138" s="12"/>
      <c r="B138" s="293" t="s">
        <v>1192</v>
      </c>
      <c r="C138" s="294"/>
      <c r="D138" s="294"/>
      <c r="E138" s="294"/>
      <c r="F138" s="294"/>
      <c r="G138" s="294"/>
      <c r="H138" s="295"/>
      <c r="I138" s="41" t="str">
        <f>_xlfn.CONCAT(_xlfn.XLOOKUP("[AdditionalParametersRequired][0][AdditionalParametersRequired]",Submission!$O:$O,Submission!$H:$N,""))</f>
        <v>No</v>
      </c>
    </row>
    <row r="139" spans="1:9" ht="16.95" customHeight="1" x14ac:dyDescent="0.3">
      <c r="B139" s="465" t="s">
        <v>1193</v>
      </c>
      <c r="C139" s="465"/>
      <c r="D139" s="465"/>
      <c r="E139" s="465"/>
      <c r="F139" s="465"/>
      <c r="G139" s="465"/>
      <c r="H139" s="465"/>
      <c r="I139" s="465"/>
    </row>
    <row r="140" spans="1:9" x14ac:dyDescent="0.3">
      <c r="C140" s="287" t="s">
        <v>1194</v>
      </c>
      <c r="D140" s="288"/>
      <c r="E140" s="288"/>
      <c r="F140" s="289"/>
      <c r="G140" s="251" t="str">
        <f>_xlfn.CONCAT(_xlfn.XLOOKUP("[AdditionalParametersType][0][AdditionalParametersType]",Submission!$O:$O,Submission!$H:$N,""))</f>
        <v/>
      </c>
      <c r="H140" s="468"/>
      <c r="I140" s="252"/>
    </row>
    <row r="141" spans="1:9" x14ac:dyDescent="0.3">
      <c r="C141" s="21"/>
      <c r="D141" s="21"/>
      <c r="E141" s="21"/>
      <c r="F141" s="21"/>
      <c r="G141" s="21"/>
      <c r="H141" s="21"/>
      <c r="I141" s="21"/>
    </row>
    <row r="142" spans="1:9" x14ac:dyDescent="0.3">
      <c r="A142" s="12" t="s">
        <v>503</v>
      </c>
      <c r="B142" s="454" t="s">
        <v>1132</v>
      </c>
      <c r="C142" s="454"/>
      <c r="D142" s="454"/>
      <c r="E142" s="454"/>
      <c r="F142" s="454"/>
      <c r="G142" s="454"/>
      <c r="H142" s="454"/>
      <c r="I142" s="454"/>
    </row>
    <row r="143" spans="1:9" ht="36" customHeight="1" x14ac:dyDescent="0.3">
      <c r="A143" s="12"/>
      <c r="B143" s="293" t="s">
        <v>1195</v>
      </c>
      <c r="C143" s="294"/>
      <c r="D143" s="294"/>
      <c r="E143" s="294"/>
      <c r="F143" s="294"/>
      <c r="G143" s="294"/>
      <c r="H143" s="295"/>
      <c r="I143" s="41" t="str">
        <f>_xlfn.CONCAT(_xlfn.XLOOKUP("[PreliminaryActivityRequired][0][PreliminaryActivityRequired]",Submission!$O:$O,Submission!$H:$N,""))</f>
        <v>No</v>
      </c>
    </row>
    <row r="144" spans="1:9" ht="16.95" customHeight="1" x14ac:dyDescent="0.3">
      <c r="B144" s="465" t="s">
        <v>1196</v>
      </c>
      <c r="C144" s="465"/>
      <c r="D144" s="465"/>
      <c r="E144" s="465"/>
      <c r="F144" s="465"/>
      <c r="G144" s="465"/>
      <c r="H144" s="465"/>
      <c r="I144" s="465"/>
    </row>
    <row r="145" spans="1:9" x14ac:dyDescent="0.3">
      <c r="C145" s="287" t="s">
        <v>1197</v>
      </c>
      <c r="D145" s="288"/>
      <c r="E145" s="288"/>
      <c r="F145" s="289"/>
      <c r="G145" s="492" t="str">
        <f>_xlfn.CONCAT(_xlfn.XLOOKUP("[PreliminaryActivityTimeline][0][PreliminaryActivityTimeline]",Submission!$O:$O,Submission!$H:$N,""))</f>
        <v/>
      </c>
      <c r="H145" s="493"/>
      <c r="I145" s="494"/>
    </row>
    <row r="146" spans="1:9" x14ac:dyDescent="0.3">
      <c r="B146" s="16"/>
    </row>
    <row r="147" spans="1:9" ht="31.2" customHeight="1" x14ac:dyDescent="0.3">
      <c r="A147" s="12" t="s">
        <v>507</v>
      </c>
      <c r="B147" s="293" t="s">
        <v>1198</v>
      </c>
      <c r="C147" s="294"/>
      <c r="D147" s="294"/>
      <c r="E147" s="294"/>
      <c r="F147" s="294"/>
      <c r="G147" s="294"/>
      <c r="H147" s="294"/>
      <c r="I147" s="294"/>
    </row>
    <row r="148" spans="1:9" ht="42.6" customHeight="1" x14ac:dyDescent="0.3">
      <c r="C148" s="444" t="s">
        <v>1183</v>
      </c>
      <c r="D148" s="445"/>
      <c r="E148" s="446"/>
      <c r="F148" s="444" t="s">
        <v>76</v>
      </c>
      <c r="G148" s="446"/>
      <c r="H148" s="303" t="s">
        <v>1199</v>
      </c>
      <c r="I148" s="305"/>
    </row>
    <row r="149" spans="1:9" s="95" customFormat="1" ht="27.75" customHeight="1" x14ac:dyDescent="0.3">
      <c r="A149" s="94"/>
      <c r="C149" s="354" t="s">
        <v>1200</v>
      </c>
      <c r="D149" s="354"/>
      <c r="E149" s="354"/>
      <c r="F149" s="372" t="str">
        <f>_xlfn.CONCAT(_xlfn.XLOOKUP("[S08_NegativeOpinionActivityData][1][NumberOfInstallations]",Submission!$O:$O,Submission!$H:$N,""))</f>
        <v>0</v>
      </c>
      <c r="G149" s="372"/>
      <c r="H149" s="372" t="str">
        <f>_xlfn.CONCAT(_xlfn.XLOOKUP("[S08_NegativeOpinionActivityData][1][NumberOfInstallationsConEst]",Submission!$O:$O,Submission!$H:$N,""))</f>
        <v>0</v>
      </c>
      <c r="I149" s="372"/>
    </row>
    <row r="150" spans="1:9" s="95" customFormat="1" ht="27.75" customHeight="1" x14ac:dyDescent="0.3">
      <c r="A150" s="94"/>
      <c r="C150" s="354" t="s">
        <v>1201</v>
      </c>
      <c r="D150" s="354"/>
      <c r="E150" s="354"/>
      <c r="F150" s="372" t="str">
        <f>_xlfn.CONCAT(_xlfn.XLOOKUP("[S08_NegativeOpinionActivityData][2][NumberOfInstallations]",Submission!$O:$O,Submission!$H:$N,""))</f>
        <v>0</v>
      </c>
      <c r="G150" s="372"/>
      <c r="H150" s="372" t="str">
        <f>_xlfn.CONCAT(_xlfn.XLOOKUP("[S08_NegativeOpinionActivityData][2][NumberOfInstallationsConEst]",Submission!$O:$O,Submission!$H:$N,""))</f>
        <v>0</v>
      </c>
      <c r="I150" s="372"/>
    </row>
    <row r="151" spans="1:9" s="95" customFormat="1" ht="27.75" customHeight="1" x14ac:dyDescent="0.3">
      <c r="A151" s="94"/>
      <c r="C151" s="354" t="s">
        <v>1202</v>
      </c>
      <c r="D151" s="354"/>
      <c r="E151" s="354"/>
      <c r="F151" s="372" t="str">
        <f>_xlfn.CONCAT(_xlfn.XLOOKUP("[S08_NegativeOpinionActivityData][3][NumberOfInstallations]",Submission!$O:$O,Submission!$H:$N,""))</f>
        <v>0</v>
      </c>
      <c r="G151" s="372"/>
      <c r="H151" s="372" t="str">
        <f>_xlfn.CONCAT(_xlfn.XLOOKUP("[S08_NegativeOpinionActivityData][3][NumberOfInstallationsConEst]",Submission!$O:$O,Submission!$H:$N,""))</f>
        <v>0</v>
      </c>
      <c r="I151" s="372"/>
    </row>
    <row r="152" spans="1:9" s="95" customFormat="1" ht="27.75" customHeight="1" x14ac:dyDescent="0.3">
      <c r="A152" s="94"/>
      <c r="C152" s="354" t="s">
        <v>1203</v>
      </c>
      <c r="D152" s="354"/>
      <c r="E152" s="354"/>
      <c r="F152" s="372" t="str">
        <f>_xlfn.CONCAT(_xlfn.XLOOKUP("[S08_NegativeOpinionActivityData][4][NumberOfInstallations]",Submission!$O:$O,Submission!$H:$N,""))</f>
        <v>0</v>
      </c>
      <c r="G152" s="372"/>
      <c r="H152" s="372" t="str">
        <f>_xlfn.CONCAT(_xlfn.XLOOKUP("[S08_NegativeOpinionActivityData][4][NumberOfInstallationsConEst]",Submission!$O:$O,Submission!$H:$N,""))</f>
        <v>0</v>
      </c>
      <c r="I152" s="372"/>
    </row>
    <row r="154" spans="1:9" ht="33.6" customHeight="1" x14ac:dyDescent="0.3">
      <c r="A154" s="12" t="s">
        <v>511</v>
      </c>
      <c r="B154" s="293" t="s">
        <v>1204</v>
      </c>
      <c r="C154" s="293"/>
      <c r="D154" s="293"/>
      <c r="E154" s="293"/>
      <c r="F154" s="293"/>
      <c r="G154" s="293"/>
      <c r="H154" s="495"/>
      <c r="I154" s="41" t="str">
        <f>_xlfn.CONCAT(_xlfn.XLOOKUP("[ActivityDataIssues][0][ActivityDataIssues]",Submission!$O:$O,Submission!$H:$N,""))</f>
        <v/>
      </c>
    </row>
    <row r="155" spans="1:9" ht="15.6" customHeight="1" x14ac:dyDescent="0.3">
      <c r="B155" s="465" t="s">
        <v>1043</v>
      </c>
      <c r="C155" s="465"/>
      <c r="D155" s="465"/>
      <c r="E155" s="465"/>
      <c r="F155" s="465"/>
      <c r="G155" s="465"/>
      <c r="H155" s="465"/>
      <c r="I155" s="465"/>
    </row>
    <row r="156" spans="1:9" ht="43.2" customHeight="1" x14ac:dyDescent="0.3">
      <c r="C156" s="444" t="s">
        <v>879</v>
      </c>
      <c r="D156" s="446"/>
      <c r="E156" s="43" t="s">
        <v>1044</v>
      </c>
      <c r="F156" s="51" t="s">
        <v>1045</v>
      </c>
      <c r="G156" s="51" t="s">
        <v>1046</v>
      </c>
      <c r="H156" s="303" t="s">
        <v>1199</v>
      </c>
      <c r="I156" s="305"/>
    </row>
    <row r="157" spans="1:9" ht="54" customHeight="1" x14ac:dyDescent="0.3">
      <c r="C157" s="284" t="str">
        <f>_xlfn.CONCAT(_xlfn.XLOOKUP("[S08_ActivityDataIssuesDetail]["&amp;ROW(B157)-ROW($B$156)&amp;"][AnnexIActivity]",Submission!$O:$O,Submission!$H:$N,""))</f>
        <v xml:space="preserve">36 - Production of paper or cardboard as specified in Annex I of Directive 2003/87/EC </v>
      </c>
      <c r="D157" s="285"/>
      <c r="E157" s="72" t="str">
        <f>_xlfn.CONCAT(_xlfn.XLOOKUP("[S08_ActivityDataIssuesDetail]["&amp;ROW(B157)-ROW($B$156)&amp;"][TypeOfIssue]",Submission!$O:$O,Submission!$H:$N,""))</f>
        <v>Recommendations for improvement</v>
      </c>
      <c r="F157" s="106" t="str">
        <f>_xlfn.CONCAT(_xlfn.XLOOKUP("[S08_ActivityDataIssuesDetail]["&amp;ROW(B157)-ROW($B$156)&amp;"][NumberOfInstallations]",Submission!$O:$O,Submission!$H:$N,""))</f>
        <v>1</v>
      </c>
      <c r="G157" s="106" t="str">
        <f>_xlfn.CONCAT(_xlfn.XLOOKUP("[S08_ActivityDataIssuesDetail]["&amp;ROW(B157)-ROW($B$156)&amp;"][NumberOfIssues]",Submission!$O:$O,Submission!$H:$N,""))</f>
        <v>1</v>
      </c>
      <c r="H157" s="452" t="str">
        <f>_xlfn.CONCAT(_xlfn.XLOOKUP("[S08_ActivityDataIssuesDetail]["&amp;ROW(B157)-ROW($B$156)&amp;"][NumberOfInstallationsConEst]",Submission!$O:$O,Submission!$H:$N,""))</f>
        <v>0</v>
      </c>
      <c r="I157" s="453"/>
    </row>
    <row r="158" spans="1:9" ht="54" customHeight="1" x14ac:dyDescent="0.3">
      <c r="C158" s="284" t="str">
        <f>_xlfn.CONCAT(_xlfn.XLOOKUP("[S08_ActivityDataIssuesDetail]["&amp;ROW(B158)-ROW($B$156)&amp;"][AnnexIActivity]",Submission!$O:$O,Submission!$H:$N,""))</f>
        <v>20 - Combustion of fuels as specified in Annex I of Directive 2003/87/EC</v>
      </c>
      <c r="D158" s="285"/>
      <c r="E158" s="72" t="str">
        <f>_xlfn.CONCAT(_xlfn.XLOOKUP("[S08_ActivityDataIssuesDetail]["&amp;ROW(B158)-ROW($B$156)&amp;"][TypeOfIssue]",Submission!$O:$O,Submission!$H:$N,""))</f>
        <v>Recommendations for improvement</v>
      </c>
      <c r="F158" s="106" t="str">
        <f>_xlfn.CONCAT(_xlfn.XLOOKUP("[S08_ActivityDataIssuesDetail]["&amp;ROW(B158)-ROW($B$156)&amp;"][NumberOfInstallations]",Submission!$O:$O,Submission!$H:$N,""))</f>
        <v>6</v>
      </c>
      <c r="G158" s="106" t="str">
        <f>_xlfn.CONCAT(_xlfn.XLOOKUP("[S08_ActivityDataIssuesDetail]["&amp;ROW(B158)-ROW($B$156)&amp;"][NumberOfIssues]",Submission!$O:$O,Submission!$H:$N,""))</f>
        <v>9</v>
      </c>
      <c r="H158" s="452" t="str">
        <f>_xlfn.CONCAT(_xlfn.XLOOKUP("[S08_ActivityDataIssuesDetail]["&amp;ROW(B158)-ROW($B$156)&amp;"][NumberOfInstallationsConEst]",Submission!$O:$O,Submission!$H:$N,""))</f>
        <v>0</v>
      </c>
      <c r="I158" s="453"/>
    </row>
    <row r="159" spans="1:9" ht="54" customHeight="1" x14ac:dyDescent="0.3">
      <c r="C159" s="284" t="str">
        <f>_xlfn.CONCAT(_xlfn.XLOOKUP("[S08_ActivityDataIssuesDetail]["&amp;ROW(B159)-ROW($B$156)&amp;"][AnnexIActivity]",Submission!$O:$O,Submission!$H:$N,""))</f>
        <v>20 - Combustion of fuels as specified in Annex I of Directive 2003/87/EC</v>
      </c>
      <c r="D159" s="285"/>
      <c r="E159" s="72" t="str">
        <f>_xlfn.CONCAT(_xlfn.XLOOKUP("[S08_ActivityDataIssuesDetail]["&amp;ROW(B159)-ROW($B$156)&amp;"][TypeOfIssue]",Submission!$O:$O,Submission!$H:$N,""))</f>
        <v>Non-compliance with Delegated Regulation 2019/331 and Implementing Regulation 2019/1842</v>
      </c>
      <c r="F159" s="106" t="str">
        <f>_xlfn.CONCAT(_xlfn.XLOOKUP("[S08_ActivityDataIssuesDetail]["&amp;ROW(B159)-ROW($B$156)&amp;"][NumberOfInstallations]",Submission!$O:$O,Submission!$H:$N,""))</f>
        <v>1</v>
      </c>
      <c r="G159" s="106" t="str">
        <f>_xlfn.CONCAT(_xlfn.XLOOKUP("[S08_ActivityDataIssuesDetail]["&amp;ROW(B159)-ROW($B$156)&amp;"][NumberOfIssues]",Submission!$O:$O,Submission!$H:$N,""))</f>
        <v>1</v>
      </c>
      <c r="H159" s="452" t="str">
        <f>_xlfn.CONCAT(_xlfn.XLOOKUP("[S08_ActivityDataIssuesDetail]["&amp;ROW(B159)-ROW($B$156)&amp;"][NumberOfInstallationsConEst]",Submission!$O:$O,Submission!$H:$N,""))</f>
        <v>0</v>
      </c>
      <c r="I159" s="453"/>
    </row>
    <row r="160" spans="1:9" ht="54" customHeight="1" x14ac:dyDescent="0.3">
      <c r="C160" s="284" t="str">
        <f>_xlfn.CONCAT(_xlfn.XLOOKUP("[S08_ActivityDataIssuesDetail]["&amp;ROW(B160)-ROW($B$156)&amp;"][AnnexIActivity]",Submission!$O:$O,Submission!$H:$N,""))</f>
        <v>32 - Manufacture of ceramic products as specified in Annex I of Directive 2003/87/EC</v>
      </c>
      <c r="D160" s="285"/>
      <c r="E160" s="72" t="str">
        <f>_xlfn.CONCAT(_xlfn.XLOOKUP("[S08_ActivityDataIssuesDetail]["&amp;ROW(B160)-ROW($B$156)&amp;"][TypeOfIssue]",Submission!$O:$O,Submission!$H:$N,""))</f>
        <v>Non-material misstatements</v>
      </c>
      <c r="F160" s="106" t="str">
        <f>_xlfn.CONCAT(_xlfn.XLOOKUP("[S08_ActivityDataIssuesDetail]["&amp;ROW(B160)-ROW($B$156)&amp;"][NumberOfInstallations]",Submission!$O:$O,Submission!$H:$N,""))</f>
        <v>1</v>
      </c>
      <c r="G160" s="106" t="str">
        <f>_xlfn.CONCAT(_xlfn.XLOOKUP("[S08_ActivityDataIssuesDetail]["&amp;ROW(B160)-ROW($B$156)&amp;"][NumberOfIssues]",Submission!$O:$O,Submission!$H:$N,""))</f>
        <v>1</v>
      </c>
      <c r="H160" s="452" t="str">
        <f>_xlfn.CONCAT(_xlfn.XLOOKUP("[S08_ActivityDataIssuesDetail]["&amp;ROW(B160)-ROW($B$156)&amp;"][NumberOfInstallationsConEst]",Submission!$O:$O,Submission!$H:$N,""))</f>
        <v>0</v>
      </c>
      <c r="I160" s="453"/>
    </row>
    <row r="161" spans="3:9" ht="54" customHeight="1" x14ac:dyDescent="0.3">
      <c r="C161" s="284" t="str">
        <f>_xlfn.CONCAT(_xlfn.XLOOKUP("[S08_ActivityDataIssuesDetail]["&amp;ROW(B161)-ROW($B$156)&amp;"][AnnexIActivity]",Submission!$O:$O,Submission!$H:$N,""))</f>
        <v>32 - Manufacture of ceramic products as specified in Annex I of Directive 2003/87/EC</v>
      </c>
      <c r="D161" s="285"/>
      <c r="E161" s="72" t="str">
        <f>_xlfn.CONCAT(_xlfn.XLOOKUP("[S08_ActivityDataIssuesDetail]["&amp;ROW(B161)-ROW($B$156)&amp;"][TypeOfIssue]",Submission!$O:$O,Submission!$H:$N,""))</f>
        <v>Non-compliance with Delegated Regulation 2019/331 and Implementing Regulation 2019/1842</v>
      </c>
      <c r="F161" s="106" t="str">
        <f>_xlfn.CONCAT(_xlfn.XLOOKUP("[S08_ActivityDataIssuesDetail]["&amp;ROW(B161)-ROW($B$156)&amp;"][NumberOfInstallations]",Submission!$O:$O,Submission!$H:$N,""))</f>
        <v>2</v>
      </c>
      <c r="G161" s="106" t="str">
        <f>_xlfn.CONCAT(_xlfn.XLOOKUP("[S08_ActivityDataIssuesDetail]["&amp;ROW(B161)-ROW($B$156)&amp;"][NumberOfIssues]",Submission!$O:$O,Submission!$H:$N,""))</f>
        <v>4</v>
      </c>
      <c r="H161" s="452" t="str">
        <f>_xlfn.CONCAT(_xlfn.XLOOKUP("[S08_ActivityDataIssuesDetail]["&amp;ROW(B161)-ROW($B$156)&amp;"][NumberOfInstallationsConEst]",Submission!$O:$O,Submission!$H:$N,""))</f>
        <v>0</v>
      </c>
      <c r="I161" s="453"/>
    </row>
    <row r="162" spans="3:9" ht="54" customHeight="1" x14ac:dyDescent="0.3">
      <c r="C162" s="284" t="str">
        <f>_xlfn.CONCAT(_xlfn.XLOOKUP("[S08_ActivityDataIssuesDetail]["&amp;ROW(B162)-ROW($B$156)&amp;"][AnnexIActivity]",Submission!$O:$O,Submission!$H:$N,""))</f>
        <v>32 - Manufacture of ceramic products as specified in Annex I of Directive 2003/87/EC</v>
      </c>
      <c r="D162" s="285"/>
      <c r="E162" s="72" t="str">
        <f>_xlfn.CONCAT(_xlfn.XLOOKUP("[S08_ActivityDataIssuesDetail]["&amp;ROW(B162)-ROW($B$156)&amp;"][TypeOfIssue]",Submission!$O:$O,Submission!$H:$N,""))</f>
        <v>Non-conformities not leading to a negative verification opinion statement</v>
      </c>
      <c r="F162" s="106" t="str">
        <f>_xlfn.CONCAT(_xlfn.XLOOKUP("[S08_ActivityDataIssuesDetail]["&amp;ROW(B162)-ROW($B$156)&amp;"][NumberOfInstallations]",Submission!$O:$O,Submission!$H:$N,""))</f>
        <v>3</v>
      </c>
      <c r="G162" s="106" t="str">
        <f>_xlfn.CONCAT(_xlfn.XLOOKUP("[S08_ActivityDataIssuesDetail]["&amp;ROW(B162)-ROW($B$156)&amp;"][NumberOfIssues]",Submission!$O:$O,Submission!$H:$N,""))</f>
        <v>3</v>
      </c>
      <c r="H162" s="452" t="str">
        <f>_xlfn.CONCAT(_xlfn.XLOOKUP("[S08_ActivityDataIssuesDetail]["&amp;ROW(B162)-ROW($B$156)&amp;"][NumberOfInstallationsConEst]",Submission!$O:$O,Submission!$H:$N,""))</f>
        <v>0</v>
      </c>
      <c r="I162" s="453"/>
    </row>
    <row r="163" spans="3:9" ht="54" customHeight="1" x14ac:dyDescent="0.3">
      <c r="C163" s="284" t="str">
        <f>_xlfn.CONCAT(_xlfn.XLOOKUP("[S08_ActivityDataIssuesDetail]["&amp;ROW(B163)-ROW($B$156)&amp;"][AnnexIActivity]",Submission!$O:$O,Submission!$H:$N,""))</f>
        <v>32 - Manufacture of ceramic products as specified in Annex I of Directive 2003/87/EC</v>
      </c>
      <c r="D163" s="285"/>
      <c r="E163" s="72" t="str">
        <f>_xlfn.CONCAT(_xlfn.XLOOKUP("[S08_ActivityDataIssuesDetail]["&amp;ROW(B163)-ROW($B$156)&amp;"][TypeOfIssue]",Submission!$O:$O,Submission!$H:$N,""))</f>
        <v>Recommendations for improvement</v>
      </c>
      <c r="F163" s="106" t="str">
        <f>_xlfn.CONCAT(_xlfn.XLOOKUP("[S08_ActivityDataIssuesDetail]["&amp;ROW(B163)-ROW($B$156)&amp;"][NumberOfInstallations]",Submission!$O:$O,Submission!$H:$N,""))</f>
        <v>4</v>
      </c>
      <c r="G163" s="106" t="str">
        <f>_xlfn.CONCAT(_xlfn.XLOOKUP("[S08_ActivityDataIssuesDetail]["&amp;ROW(B163)-ROW($B$156)&amp;"][NumberOfIssues]",Submission!$O:$O,Submission!$H:$N,""))</f>
        <v>12</v>
      </c>
      <c r="H163" s="452" t="str">
        <f>_xlfn.CONCAT(_xlfn.XLOOKUP("[S08_ActivityDataIssuesDetail]["&amp;ROW(B163)-ROW($B$156)&amp;"][NumberOfInstallationsConEst]",Submission!$O:$O,Submission!$H:$N,""))</f>
        <v>0</v>
      </c>
      <c r="I163" s="453"/>
    </row>
    <row r="164" spans="3:9" ht="54" customHeight="1" x14ac:dyDescent="0.3">
      <c r="C164" s="284" t="str">
        <f>_xlfn.CONCAT(_xlfn.XLOOKUP("[S08_ActivityDataIssuesDetail]["&amp;ROW(B164)-ROW($B$156)&amp;"][AnnexIActivity]",Submission!$O:$O,Submission!$H:$N,""))</f>
        <v>31 - Manufacture of glass as specified in Annex I of Directive 2003/87/EC</v>
      </c>
      <c r="D164" s="285"/>
      <c r="E164" s="72" t="str">
        <f>_xlfn.CONCAT(_xlfn.XLOOKUP("[S08_ActivityDataIssuesDetail]["&amp;ROW(B164)-ROW($B$156)&amp;"][TypeOfIssue]",Submission!$O:$O,Submission!$H:$N,""))</f>
        <v>Recommendations for improvement</v>
      </c>
      <c r="F164" s="106" t="str">
        <f>_xlfn.CONCAT(_xlfn.XLOOKUP("[S08_ActivityDataIssuesDetail]["&amp;ROW(B164)-ROW($B$156)&amp;"][NumberOfInstallations]",Submission!$O:$O,Submission!$H:$N,""))</f>
        <v>1</v>
      </c>
      <c r="G164" s="106" t="str">
        <f>_xlfn.CONCAT(_xlfn.XLOOKUP("[S08_ActivityDataIssuesDetail]["&amp;ROW(B164)-ROW($B$156)&amp;"][NumberOfIssues]",Submission!$O:$O,Submission!$H:$N,""))</f>
        <v>1</v>
      </c>
      <c r="H164" s="452" t="str">
        <f>_xlfn.CONCAT(_xlfn.XLOOKUP("[S08_ActivityDataIssuesDetail]["&amp;ROW(B164)-ROW($B$156)&amp;"][NumberOfInstallationsConEst]",Submission!$O:$O,Submission!$H:$N,""))</f>
        <v>0</v>
      </c>
      <c r="I164" s="453"/>
    </row>
    <row r="165" spans="3:9" ht="54" customHeight="1" x14ac:dyDescent="0.3">
      <c r="C165" s="284" t="str">
        <f>_xlfn.CONCAT(_xlfn.XLOOKUP("[S08_ActivityDataIssuesDetail]["&amp;ROW(B165)-ROW($B$156)&amp;"][AnnexIActivity]",Submission!$O:$O,Submission!$H:$N,""))</f>
        <v>33 - Manufacture of mineral wool insulation material using glass, rock or slag as specified in Annex I of Directive 2003/87/EC</v>
      </c>
      <c r="D165" s="285"/>
      <c r="E165" s="72" t="str">
        <f>_xlfn.CONCAT(_xlfn.XLOOKUP("[S08_ActivityDataIssuesDetail]["&amp;ROW(B165)-ROW($B$156)&amp;"][TypeOfIssue]",Submission!$O:$O,Submission!$H:$N,""))</f>
        <v>Recommendations for improvement</v>
      </c>
      <c r="F165" s="106" t="str">
        <f>_xlfn.CONCAT(_xlfn.XLOOKUP("[S08_ActivityDataIssuesDetail]["&amp;ROW(B165)-ROW($B$156)&amp;"][NumberOfInstallations]",Submission!$O:$O,Submission!$H:$N,""))</f>
        <v>1</v>
      </c>
      <c r="G165" s="106" t="str">
        <f>_xlfn.CONCAT(_xlfn.XLOOKUP("[S08_ActivityDataIssuesDetail]["&amp;ROW(B165)-ROW($B$156)&amp;"][NumberOfIssues]",Submission!$O:$O,Submission!$H:$N,""))</f>
        <v>4</v>
      </c>
      <c r="H165" s="452" t="str">
        <f>_xlfn.CONCAT(_xlfn.XLOOKUP("[S08_ActivityDataIssuesDetail]["&amp;ROW(B165)-ROW($B$156)&amp;"][NumberOfInstallationsConEst]",Submission!$O:$O,Submission!$H:$N,""))</f>
        <v>0</v>
      </c>
      <c r="I165" s="453"/>
    </row>
    <row r="166" spans="3:9" ht="54" customHeight="1" x14ac:dyDescent="0.3">
      <c r="C166" s="284" t="str">
        <f>_xlfn.CONCAT(_xlfn.XLOOKUP("[S08_ActivityDataIssuesDetail]["&amp;ROW(B166)-ROW($B$156)&amp;"][AnnexIActivity]",Submission!$O:$O,Submission!$H:$N,""))</f>
        <v xml:space="preserve">41 - Production of ammonia </v>
      </c>
      <c r="D166" s="285"/>
      <c r="E166" s="72" t="str">
        <f>_xlfn.CONCAT(_xlfn.XLOOKUP("[S08_ActivityDataIssuesDetail]["&amp;ROW(B166)-ROW($B$156)&amp;"][TypeOfIssue]",Submission!$O:$O,Submission!$H:$N,""))</f>
        <v>Recommendations for improvement</v>
      </c>
      <c r="F166" s="106" t="str">
        <f>_xlfn.CONCAT(_xlfn.XLOOKUP("[S08_ActivityDataIssuesDetail]["&amp;ROW(B166)-ROW($B$156)&amp;"][NumberOfInstallations]",Submission!$O:$O,Submission!$H:$N,""))</f>
        <v>1</v>
      </c>
      <c r="G166" s="106" t="str">
        <f>_xlfn.CONCAT(_xlfn.XLOOKUP("[S08_ActivityDataIssuesDetail]["&amp;ROW(B166)-ROW($B$156)&amp;"][NumberOfIssues]",Submission!$O:$O,Submission!$H:$N,""))</f>
        <v>1</v>
      </c>
      <c r="H166" s="452" t="str">
        <f>_xlfn.CONCAT(_xlfn.XLOOKUP("[S08_ActivityDataIssuesDetail]["&amp;ROW(B166)-ROW($B$156)&amp;"][NumberOfInstallationsConEst]",Submission!$O:$O,Submission!$H:$N,""))</f>
        <v>0</v>
      </c>
      <c r="I166" s="453"/>
    </row>
    <row r="167" spans="3:9" ht="54" customHeight="1" x14ac:dyDescent="0.3">
      <c r="C167" s="284" t="str">
        <f>_xlfn.CONCAT(_xlfn.XLOOKUP("[S08_ActivityDataIssuesDetail]["&amp;ROW(B167)-ROW($B$156)&amp;"][AnnexIActivity]",Submission!$O:$O,Submission!$H:$N,""))</f>
        <v>30 - Production of lime or calcination of dolomite or magnesite as specified in Annex I of Directive 2003/87/ EC</v>
      </c>
      <c r="D167" s="285"/>
      <c r="E167" s="72" t="str">
        <f>_xlfn.CONCAT(_xlfn.XLOOKUP("[S08_ActivityDataIssuesDetail]["&amp;ROW(B167)-ROW($B$156)&amp;"][TypeOfIssue]",Submission!$O:$O,Submission!$H:$N,""))</f>
        <v>Recommendations for improvement</v>
      </c>
      <c r="F167" s="106" t="str">
        <f>_xlfn.CONCAT(_xlfn.XLOOKUP("[S08_ActivityDataIssuesDetail]["&amp;ROW(B167)-ROW($B$156)&amp;"][NumberOfInstallations]",Submission!$O:$O,Submission!$H:$N,""))</f>
        <v>1</v>
      </c>
      <c r="G167" s="106" t="str">
        <f>_xlfn.CONCAT(_xlfn.XLOOKUP("[S08_ActivityDataIssuesDetail]["&amp;ROW(B167)-ROW($B$156)&amp;"][NumberOfIssues]",Submission!$O:$O,Submission!$H:$N,""))</f>
        <v>2</v>
      </c>
      <c r="H167" s="452" t="str">
        <f>_xlfn.CONCAT(_xlfn.XLOOKUP("[S08_ActivityDataIssuesDetail]["&amp;ROW(B167)-ROW($B$156)&amp;"][NumberOfInstallationsConEst]",Submission!$O:$O,Submission!$H:$N,""))</f>
        <v>0</v>
      </c>
      <c r="I167" s="453"/>
    </row>
    <row r="168" spans="3:9" ht="54" customHeight="1" x14ac:dyDescent="0.3">
      <c r="C168" s="284" t="str">
        <f>_xlfn.CONCAT(_xlfn.XLOOKUP("[S08_ActivityDataIssuesDetail]["&amp;ROW(B168)-ROW($B$156)&amp;"][AnnexIActivity]",Submission!$O:$O,Submission!$H:$N,""))</f>
        <v>21 - Refining of mineral oil</v>
      </c>
      <c r="D168" s="285"/>
      <c r="E168" s="72" t="str">
        <f>_xlfn.CONCAT(_xlfn.XLOOKUP("[S08_ActivityDataIssuesDetail]["&amp;ROW(B168)-ROW($B$156)&amp;"][TypeOfIssue]",Submission!$O:$O,Submission!$H:$N,""))</f>
        <v>Non-compliance with Delegated Regulation 2019/331 and Implementing Regulation 2019/1842</v>
      </c>
      <c r="F168" s="106" t="str">
        <f>_xlfn.CONCAT(_xlfn.XLOOKUP("[S08_ActivityDataIssuesDetail]["&amp;ROW(B168)-ROW($B$156)&amp;"][NumberOfInstallations]",Submission!$O:$O,Submission!$H:$N,""))</f>
        <v>1</v>
      </c>
      <c r="G168" s="106" t="str">
        <f>_xlfn.CONCAT(_xlfn.XLOOKUP("[S08_ActivityDataIssuesDetail]["&amp;ROW(B168)-ROW($B$156)&amp;"][NumberOfIssues]",Submission!$O:$O,Submission!$H:$N,""))</f>
        <v>2</v>
      </c>
      <c r="H168" s="452" t="str">
        <f>_xlfn.CONCAT(_xlfn.XLOOKUP("[S08_ActivityDataIssuesDetail]["&amp;ROW(B168)-ROW($B$156)&amp;"][NumberOfInstallationsConEst]",Submission!$O:$O,Submission!$H:$N,""))</f>
        <v>0</v>
      </c>
      <c r="I168" s="453"/>
    </row>
    <row r="169" spans="3:9" ht="54" customHeight="1" x14ac:dyDescent="0.3">
      <c r="C169" s="284" t="str">
        <f>_xlfn.CONCAT(_xlfn.XLOOKUP("[S08_ActivityDataIssuesDetail]["&amp;ROW(B169)-ROW($B$156)&amp;"][AnnexIActivity]",Submission!$O:$O,Submission!$H:$N,""))</f>
        <v/>
      </c>
      <c r="D169" s="285"/>
      <c r="E169" s="72" t="str">
        <f>_xlfn.CONCAT(_xlfn.XLOOKUP("[S08_ActivityDataIssuesDetail]["&amp;ROW(B169)-ROW($B$156)&amp;"][TypeOfIssue]",Submission!$O:$O,Submission!$H:$N,""))</f>
        <v/>
      </c>
      <c r="F169" s="106" t="str">
        <f>_xlfn.CONCAT(_xlfn.XLOOKUP("[S08_ActivityDataIssuesDetail]["&amp;ROW(B169)-ROW($B$156)&amp;"][NumberOfInstallations]",Submission!$O:$O,Submission!$H:$N,""))</f>
        <v/>
      </c>
      <c r="G169" s="106" t="str">
        <f>_xlfn.CONCAT(_xlfn.XLOOKUP("[S08_ActivityDataIssuesDetail]["&amp;ROW(B169)-ROW($B$156)&amp;"][NumberOfIssues]",Submission!$O:$O,Submission!$H:$N,""))</f>
        <v/>
      </c>
      <c r="H169" s="452" t="str">
        <f>_xlfn.CONCAT(_xlfn.XLOOKUP("[S08_ActivityDataIssuesDetail]["&amp;ROW(B169)-ROW($B$156)&amp;"][NumberOfInstallationsConEst]",Submission!$O:$O,Submission!$H:$N,""))</f>
        <v/>
      </c>
      <c r="I169" s="453"/>
    </row>
    <row r="170" spans="3:9" ht="54" customHeight="1" x14ac:dyDescent="0.3">
      <c r="C170" s="284" t="str">
        <f>_xlfn.CONCAT(_xlfn.XLOOKUP("[S08_ActivityDataIssuesDetail]["&amp;ROW(B170)-ROW($B$156)&amp;"][AnnexIActivity]",Submission!$O:$O,Submission!$H:$N,""))</f>
        <v/>
      </c>
      <c r="D170" s="285"/>
      <c r="E170" s="72" t="str">
        <f>_xlfn.CONCAT(_xlfn.XLOOKUP("[S08_ActivityDataIssuesDetail]["&amp;ROW(B170)-ROW($B$156)&amp;"][TypeOfIssue]",Submission!$O:$O,Submission!$H:$N,""))</f>
        <v/>
      </c>
      <c r="F170" s="106" t="str">
        <f>_xlfn.CONCAT(_xlfn.XLOOKUP("[S08_ActivityDataIssuesDetail]["&amp;ROW(B170)-ROW($B$156)&amp;"][NumberOfInstallations]",Submission!$O:$O,Submission!$H:$N,""))</f>
        <v/>
      </c>
      <c r="G170" s="106" t="str">
        <f>_xlfn.CONCAT(_xlfn.XLOOKUP("[S08_ActivityDataIssuesDetail]["&amp;ROW(B170)-ROW($B$156)&amp;"][NumberOfIssues]",Submission!$O:$O,Submission!$H:$N,""))</f>
        <v/>
      </c>
      <c r="H170" s="452" t="str">
        <f>_xlfn.CONCAT(_xlfn.XLOOKUP("[S08_ActivityDataIssuesDetail]["&amp;ROW(B170)-ROW($B$156)&amp;"][NumberOfInstallationsConEst]",Submission!$O:$O,Submission!$H:$N,""))</f>
        <v/>
      </c>
      <c r="I170" s="453"/>
    </row>
    <row r="171" spans="3:9" ht="54" customHeight="1" x14ac:dyDescent="0.3">
      <c r="C171" s="284" t="str">
        <f>_xlfn.CONCAT(_xlfn.XLOOKUP("[S08_ActivityDataIssuesDetail]["&amp;ROW(B171)-ROW($B$156)&amp;"][AnnexIActivity]",Submission!$O:$O,Submission!$H:$N,""))</f>
        <v/>
      </c>
      <c r="D171" s="285"/>
      <c r="E171" s="72" t="str">
        <f>_xlfn.CONCAT(_xlfn.XLOOKUP("[S08_ActivityDataIssuesDetail]["&amp;ROW(B171)-ROW($B$156)&amp;"][TypeOfIssue]",Submission!$O:$O,Submission!$H:$N,""))</f>
        <v/>
      </c>
      <c r="F171" s="106" t="str">
        <f>_xlfn.CONCAT(_xlfn.XLOOKUP("[S08_ActivityDataIssuesDetail]["&amp;ROW(B171)-ROW($B$156)&amp;"][NumberOfInstallations]",Submission!$O:$O,Submission!$H:$N,""))</f>
        <v/>
      </c>
      <c r="G171" s="106" t="str">
        <f>_xlfn.CONCAT(_xlfn.XLOOKUP("[S08_ActivityDataIssuesDetail]["&amp;ROW(B171)-ROW($B$156)&amp;"][NumberOfIssues]",Submission!$O:$O,Submission!$H:$N,""))</f>
        <v/>
      </c>
      <c r="H171" s="452" t="str">
        <f>_xlfn.CONCAT(_xlfn.XLOOKUP("[S08_ActivityDataIssuesDetail]["&amp;ROW(B171)-ROW($B$156)&amp;"][NumberOfInstallationsConEst]",Submission!$O:$O,Submission!$H:$N,""))</f>
        <v/>
      </c>
      <c r="I171" s="453"/>
    </row>
    <row r="172" spans="3:9" ht="54" hidden="1" customHeight="1" outlineLevel="1" x14ac:dyDescent="0.3">
      <c r="C172" s="284" t="str">
        <f>_xlfn.CONCAT(_xlfn.XLOOKUP("[S08_ActivityDataIssuesDetail]["&amp;ROW(B172)-ROW($B$156)&amp;"][AnnexIActivity]",Submission!$O:$O,Submission!$H:$N,""))</f>
        <v/>
      </c>
      <c r="D172" s="285"/>
      <c r="E172" s="72" t="str">
        <f>_xlfn.CONCAT(_xlfn.XLOOKUP("[S08_ActivityDataIssuesDetail]["&amp;ROW(B172)-ROW($B$156)&amp;"][TypeOfIssue]",Submission!$O:$O,Submission!$H:$N,""))</f>
        <v/>
      </c>
      <c r="F172" s="106" t="str">
        <f>_xlfn.CONCAT(_xlfn.XLOOKUP("[S08_ActivityDataIssuesDetail]["&amp;ROW(B172)-ROW($B$156)&amp;"][NumberOfInstallations]",Submission!$O:$O,Submission!$H:$N,""))</f>
        <v/>
      </c>
      <c r="G172" s="106" t="str">
        <f>_xlfn.CONCAT(_xlfn.XLOOKUP("[S08_ActivityDataIssuesDetail]["&amp;ROW(B172)-ROW($B$156)&amp;"][NumberOfIssues]",Submission!$O:$O,Submission!$H:$N,""))</f>
        <v/>
      </c>
      <c r="H172" s="452" t="str">
        <f>_xlfn.CONCAT(_xlfn.XLOOKUP("[S08_ActivityDataIssuesDetail]["&amp;ROW(B172)-ROW($B$156)&amp;"][NumberOfInstallationsConEst]",Submission!$O:$O,Submission!$H:$N,""))</f>
        <v/>
      </c>
      <c r="I172" s="453"/>
    </row>
    <row r="173" spans="3:9" ht="54" hidden="1" customHeight="1" outlineLevel="1" x14ac:dyDescent="0.3">
      <c r="C173" s="284" t="str">
        <f>_xlfn.CONCAT(_xlfn.XLOOKUP("[S08_ActivityDataIssuesDetail]["&amp;ROW(B173)-ROW($B$156)&amp;"][AnnexIActivity]",Submission!$O:$O,Submission!$H:$N,""))</f>
        <v/>
      </c>
      <c r="D173" s="285"/>
      <c r="E173" s="72" t="str">
        <f>_xlfn.CONCAT(_xlfn.XLOOKUP("[S08_ActivityDataIssuesDetail]["&amp;ROW(B173)-ROW($B$156)&amp;"][TypeOfIssue]",Submission!$O:$O,Submission!$H:$N,""))</f>
        <v/>
      </c>
      <c r="F173" s="106" t="str">
        <f>_xlfn.CONCAT(_xlfn.XLOOKUP("[S08_ActivityDataIssuesDetail]["&amp;ROW(B173)-ROW($B$156)&amp;"][NumberOfInstallations]",Submission!$O:$O,Submission!$H:$N,""))</f>
        <v/>
      </c>
      <c r="G173" s="106" t="str">
        <f>_xlfn.CONCAT(_xlfn.XLOOKUP("[S08_ActivityDataIssuesDetail]["&amp;ROW(B173)-ROW($B$156)&amp;"][NumberOfIssues]",Submission!$O:$O,Submission!$H:$N,""))</f>
        <v/>
      </c>
      <c r="H173" s="452" t="str">
        <f>_xlfn.CONCAT(_xlfn.XLOOKUP("[S08_ActivityDataIssuesDetail]["&amp;ROW(B173)-ROW($B$156)&amp;"][NumberOfInstallationsConEst]",Submission!$O:$O,Submission!$H:$N,""))</f>
        <v/>
      </c>
      <c r="I173" s="453"/>
    </row>
    <row r="174" spans="3:9" ht="54" hidden="1" customHeight="1" outlineLevel="1" x14ac:dyDescent="0.3">
      <c r="C174" s="284" t="str">
        <f>_xlfn.CONCAT(_xlfn.XLOOKUP("[S08_ActivityDataIssuesDetail]["&amp;ROW(B174)-ROW($B$156)&amp;"][AnnexIActivity]",Submission!$O:$O,Submission!$H:$N,""))</f>
        <v/>
      </c>
      <c r="D174" s="285"/>
      <c r="E174" s="72" t="str">
        <f>_xlfn.CONCAT(_xlfn.XLOOKUP("[S08_ActivityDataIssuesDetail]["&amp;ROW(B174)-ROW($B$156)&amp;"][TypeOfIssue]",Submission!$O:$O,Submission!$H:$N,""))</f>
        <v/>
      </c>
      <c r="F174" s="106" t="str">
        <f>_xlfn.CONCAT(_xlfn.XLOOKUP("[S08_ActivityDataIssuesDetail]["&amp;ROW(B174)-ROW($B$156)&amp;"][NumberOfInstallations]",Submission!$O:$O,Submission!$H:$N,""))</f>
        <v/>
      </c>
      <c r="G174" s="106" t="str">
        <f>_xlfn.CONCAT(_xlfn.XLOOKUP("[S08_ActivityDataIssuesDetail]["&amp;ROW(B174)-ROW($B$156)&amp;"][NumberOfIssues]",Submission!$O:$O,Submission!$H:$N,""))</f>
        <v/>
      </c>
      <c r="H174" s="452" t="str">
        <f>_xlfn.CONCAT(_xlfn.XLOOKUP("[S08_ActivityDataIssuesDetail]["&amp;ROW(B174)-ROW($B$156)&amp;"][NumberOfInstallationsConEst]",Submission!$O:$O,Submission!$H:$N,""))</f>
        <v/>
      </c>
      <c r="I174" s="453"/>
    </row>
    <row r="175" spans="3:9" ht="54" hidden="1" customHeight="1" outlineLevel="1" x14ac:dyDescent="0.3">
      <c r="C175" s="284" t="str">
        <f>_xlfn.CONCAT(_xlfn.XLOOKUP("[S08_ActivityDataIssuesDetail]["&amp;ROW(B175)-ROW($B$156)&amp;"][AnnexIActivity]",Submission!$O:$O,Submission!$H:$N,""))</f>
        <v/>
      </c>
      <c r="D175" s="285"/>
      <c r="E175" s="72" t="str">
        <f>_xlfn.CONCAT(_xlfn.XLOOKUP("[S08_ActivityDataIssuesDetail]["&amp;ROW(B175)-ROW($B$156)&amp;"][TypeOfIssue]",Submission!$O:$O,Submission!$H:$N,""))</f>
        <v/>
      </c>
      <c r="F175" s="106" t="str">
        <f>_xlfn.CONCAT(_xlfn.XLOOKUP("[S08_ActivityDataIssuesDetail]["&amp;ROW(B175)-ROW($B$156)&amp;"][NumberOfInstallations]",Submission!$O:$O,Submission!$H:$N,""))</f>
        <v/>
      </c>
      <c r="G175" s="106" t="str">
        <f>_xlfn.CONCAT(_xlfn.XLOOKUP("[S08_ActivityDataIssuesDetail]["&amp;ROW(B175)-ROW($B$156)&amp;"][NumberOfIssues]",Submission!$O:$O,Submission!$H:$N,""))</f>
        <v/>
      </c>
      <c r="H175" s="452" t="str">
        <f>_xlfn.CONCAT(_xlfn.XLOOKUP("[S08_ActivityDataIssuesDetail]["&amp;ROW(B175)-ROW($B$156)&amp;"][NumberOfInstallationsConEst]",Submission!$O:$O,Submission!$H:$N,""))</f>
        <v/>
      </c>
      <c r="I175" s="453"/>
    </row>
    <row r="176" spans="3:9" ht="54" hidden="1" customHeight="1" outlineLevel="1" x14ac:dyDescent="0.3">
      <c r="C176" s="284" t="str">
        <f>_xlfn.CONCAT(_xlfn.XLOOKUP("[S08_ActivityDataIssuesDetail]["&amp;ROW(B176)-ROW($B$156)&amp;"][AnnexIActivity]",Submission!$O:$O,Submission!$H:$N,""))</f>
        <v/>
      </c>
      <c r="D176" s="285"/>
      <c r="E176" s="72" t="str">
        <f>_xlfn.CONCAT(_xlfn.XLOOKUP("[S08_ActivityDataIssuesDetail]["&amp;ROW(B176)-ROW($B$156)&amp;"][TypeOfIssue]",Submission!$O:$O,Submission!$H:$N,""))</f>
        <v/>
      </c>
      <c r="F176" s="106" t="str">
        <f>_xlfn.CONCAT(_xlfn.XLOOKUP("[S08_ActivityDataIssuesDetail]["&amp;ROW(B176)-ROW($B$156)&amp;"][NumberOfInstallations]",Submission!$O:$O,Submission!$H:$N,""))</f>
        <v/>
      </c>
      <c r="G176" s="106" t="str">
        <f>_xlfn.CONCAT(_xlfn.XLOOKUP("[S08_ActivityDataIssuesDetail]["&amp;ROW(B176)-ROW($B$156)&amp;"][NumberOfIssues]",Submission!$O:$O,Submission!$H:$N,""))</f>
        <v/>
      </c>
      <c r="H176" s="452" t="str">
        <f>_xlfn.CONCAT(_xlfn.XLOOKUP("[S08_ActivityDataIssuesDetail]["&amp;ROW(B176)-ROW($B$156)&amp;"][NumberOfInstallationsConEst]",Submission!$O:$O,Submission!$H:$N,""))</f>
        <v/>
      </c>
      <c r="I176" s="453"/>
    </row>
    <row r="177" spans="3:9" ht="54" hidden="1" customHeight="1" outlineLevel="1" x14ac:dyDescent="0.3">
      <c r="C177" s="284" t="str">
        <f>_xlfn.CONCAT(_xlfn.XLOOKUP("[S08_ActivityDataIssuesDetail]["&amp;ROW(B177)-ROW($B$156)&amp;"][AnnexIActivity]",Submission!$O:$O,Submission!$H:$N,""))</f>
        <v/>
      </c>
      <c r="D177" s="285"/>
      <c r="E177" s="72" t="str">
        <f>_xlfn.CONCAT(_xlfn.XLOOKUP("[S08_ActivityDataIssuesDetail]["&amp;ROW(B177)-ROW($B$156)&amp;"][TypeOfIssue]",Submission!$O:$O,Submission!$H:$N,""))</f>
        <v/>
      </c>
      <c r="F177" s="106" t="str">
        <f>_xlfn.CONCAT(_xlfn.XLOOKUP("[S08_ActivityDataIssuesDetail]["&amp;ROW(B177)-ROW($B$156)&amp;"][NumberOfInstallations]",Submission!$O:$O,Submission!$H:$N,""))</f>
        <v/>
      </c>
      <c r="G177" s="106" t="str">
        <f>_xlfn.CONCAT(_xlfn.XLOOKUP("[S08_ActivityDataIssuesDetail]["&amp;ROW(B177)-ROW($B$156)&amp;"][NumberOfIssues]",Submission!$O:$O,Submission!$H:$N,""))</f>
        <v/>
      </c>
      <c r="H177" s="452" t="str">
        <f>_xlfn.CONCAT(_xlfn.XLOOKUP("[S08_ActivityDataIssuesDetail]["&amp;ROW(B177)-ROW($B$156)&amp;"][NumberOfInstallationsConEst]",Submission!$O:$O,Submission!$H:$N,""))</f>
        <v/>
      </c>
      <c r="I177" s="453"/>
    </row>
    <row r="178" spans="3:9" ht="54" hidden="1" customHeight="1" outlineLevel="1" x14ac:dyDescent="0.3">
      <c r="C178" s="284" t="str">
        <f>_xlfn.CONCAT(_xlfn.XLOOKUP("[S08_ActivityDataIssuesDetail]["&amp;ROW(B178)-ROW($B$156)&amp;"][AnnexIActivity]",Submission!$O:$O,Submission!$H:$N,""))</f>
        <v/>
      </c>
      <c r="D178" s="285"/>
      <c r="E178" s="72" t="str">
        <f>_xlfn.CONCAT(_xlfn.XLOOKUP("[S08_ActivityDataIssuesDetail]["&amp;ROW(B178)-ROW($B$156)&amp;"][TypeOfIssue]",Submission!$O:$O,Submission!$H:$N,""))</f>
        <v/>
      </c>
      <c r="F178" s="106" t="str">
        <f>_xlfn.CONCAT(_xlfn.XLOOKUP("[S08_ActivityDataIssuesDetail]["&amp;ROW(B178)-ROW($B$156)&amp;"][NumberOfInstallations]",Submission!$O:$O,Submission!$H:$N,""))</f>
        <v/>
      </c>
      <c r="G178" s="106" t="str">
        <f>_xlfn.CONCAT(_xlfn.XLOOKUP("[S08_ActivityDataIssuesDetail]["&amp;ROW(B178)-ROW($B$156)&amp;"][NumberOfIssues]",Submission!$O:$O,Submission!$H:$N,""))</f>
        <v/>
      </c>
      <c r="H178" s="452" t="str">
        <f>_xlfn.CONCAT(_xlfn.XLOOKUP("[S08_ActivityDataIssuesDetail]["&amp;ROW(B178)-ROW($B$156)&amp;"][NumberOfInstallationsConEst]",Submission!$O:$O,Submission!$H:$N,""))</f>
        <v/>
      </c>
      <c r="I178" s="453"/>
    </row>
    <row r="179" spans="3:9" ht="54" hidden="1" customHeight="1" outlineLevel="1" x14ac:dyDescent="0.3">
      <c r="C179" s="284" t="str">
        <f>_xlfn.CONCAT(_xlfn.XLOOKUP("[S08_ActivityDataIssuesDetail]["&amp;ROW(B179)-ROW($B$156)&amp;"][AnnexIActivity]",Submission!$O:$O,Submission!$H:$N,""))</f>
        <v/>
      </c>
      <c r="D179" s="285"/>
      <c r="E179" s="72" t="str">
        <f>_xlfn.CONCAT(_xlfn.XLOOKUP("[S08_ActivityDataIssuesDetail]["&amp;ROW(B179)-ROW($B$156)&amp;"][TypeOfIssue]",Submission!$O:$O,Submission!$H:$N,""))</f>
        <v/>
      </c>
      <c r="F179" s="106" t="str">
        <f>_xlfn.CONCAT(_xlfn.XLOOKUP("[S08_ActivityDataIssuesDetail]["&amp;ROW(B179)-ROW($B$156)&amp;"][NumberOfInstallations]",Submission!$O:$O,Submission!$H:$N,""))</f>
        <v/>
      </c>
      <c r="G179" s="106" t="str">
        <f>_xlfn.CONCAT(_xlfn.XLOOKUP("[S08_ActivityDataIssuesDetail]["&amp;ROW(B179)-ROW($B$156)&amp;"][NumberOfIssues]",Submission!$O:$O,Submission!$H:$N,""))</f>
        <v/>
      </c>
      <c r="H179" s="452" t="str">
        <f>_xlfn.CONCAT(_xlfn.XLOOKUP("[S08_ActivityDataIssuesDetail]["&amp;ROW(B179)-ROW($B$156)&amp;"][NumberOfInstallationsConEst]",Submission!$O:$O,Submission!$H:$N,""))</f>
        <v/>
      </c>
      <c r="I179" s="453"/>
    </row>
    <row r="180" spans="3:9" ht="54" hidden="1" customHeight="1" outlineLevel="1" x14ac:dyDescent="0.3">
      <c r="C180" s="284" t="str">
        <f>_xlfn.CONCAT(_xlfn.XLOOKUP("[S08_ActivityDataIssuesDetail]["&amp;ROW(B180)-ROW($B$156)&amp;"][AnnexIActivity]",Submission!$O:$O,Submission!$H:$N,""))</f>
        <v/>
      </c>
      <c r="D180" s="285"/>
      <c r="E180" s="72" t="str">
        <f>_xlfn.CONCAT(_xlfn.XLOOKUP("[S08_ActivityDataIssuesDetail]["&amp;ROW(B180)-ROW($B$156)&amp;"][TypeOfIssue]",Submission!$O:$O,Submission!$H:$N,""))</f>
        <v/>
      </c>
      <c r="F180" s="106" t="str">
        <f>_xlfn.CONCAT(_xlfn.XLOOKUP("[S08_ActivityDataIssuesDetail]["&amp;ROW(B180)-ROW($B$156)&amp;"][NumberOfInstallations]",Submission!$O:$O,Submission!$H:$N,""))</f>
        <v/>
      </c>
      <c r="G180" s="106" t="str">
        <f>_xlfn.CONCAT(_xlfn.XLOOKUP("[S08_ActivityDataIssuesDetail]["&amp;ROW(B180)-ROW($B$156)&amp;"][NumberOfIssues]",Submission!$O:$O,Submission!$H:$N,""))</f>
        <v/>
      </c>
      <c r="H180" s="452" t="str">
        <f>_xlfn.CONCAT(_xlfn.XLOOKUP("[S08_ActivityDataIssuesDetail]["&amp;ROW(B180)-ROW($B$156)&amp;"][NumberOfInstallationsConEst]",Submission!$O:$O,Submission!$H:$N,""))</f>
        <v/>
      </c>
      <c r="I180" s="453"/>
    </row>
    <row r="181" spans="3:9" ht="54" hidden="1" customHeight="1" outlineLevel="1" x14ac:dyDescent="0.3">
      <c r="C181" s="284" t="str">
        <f>_xlfn.CONCAT(_xlfn.XLOOKUP("[S08_ActivityDataIssuesDetail]["&amp;ROW(B181)-ROW($B$156)&amp;"][AnnexIActivity]",Submission!$O:$O,Submission!$H:$N,""))</f>
        <v/>
      </c>
      <c r="D181" s="285"/>
      <c r="E181" s="72" t="str">
        <f>_xlfn.CONCAT(_xlfn.XLOOKUP("[S08_ActivityDataIssuesDetail]["&amp;ROW(B181)-ROW($B$156)&amp;"][TypeOfIssue]",Submission!$O:$O,Submission!$H:$N,""))</f>
        <v/>
      </c>
      <c r="F181" s="106" t="str">
        <f>_xlfn.CONCAT(_xlfn.XLOOKUP("[S08_ActivityDataIssuesDetail]["&amp;ROW(B181)-ROW($B$156)&amp;"][NumberOfInstallations]",Submission!$O:$O,Submission!$H:$N,""))</f>
        <v/>
      </c>
      <c r="G181" s="106" t="str">
        <f>_xlfn.CONCAT(_xlfn.XLOOKUP("[S08_ActivityDataIssuesDetail]["&amp;ROW(B181)-ROW($B$156)&amp;"][NumberOfIssues]",Submission!$O:$O,Submission!$H:$N,""))</f>
        <v/>
      </c>
      <c r="H181" s="452" t="str">
        <f>_xlfn.CONCAT(_xlfn.XLOOKUP("[S08_ActivityDataIssuesDetail]["&amp;ROW(B181)-ROW($B$156)&amp;"][NumberOfInstallationsConEst]",Submission!$O:$O,Submission!$H:$N,""))</f>
        <v/>
      </c>
      <c r="I181" s="453"/>
    </row>
    <row r="182" spans="3:9" ht="54" hidden="1" customHeight="1" outlineLevel="1" x14ac:dyDescent="0.3">
      <c r="C182" s="284" t="str">
        <f>_xlfn.CONCAT(_xlfn.XLOOKUP("[S08_ActivityDataIssuesDetail]["&amp;ROW(B182)-ROW($B$156)&amp;"][AnnexIActivity]",Submission!$O:$O,Submission!$H:$N,""))</f>
        <v/>
      </c>
      <c r="D182" s="285"/>
      <c r="E182" s="72" t="str">
        <f>_xlfn.CONCAT(_xlfn.XLOOKUP("[S08_ActivityDataIssuesDetail]["&amp;ROW(B182)-ROW($B$156)&amp;"][TypeOfIssue]",Submission!$O:$O,Submission!$H:$N,""))</f>
        <v/>
      </c>
      <c r="F182" s="106" t="str">
        <f>_xlfn.CONCAT(_xlfn.XLOOKUP("[S08_ActivityDataIssuesDetail]["&amp;ROW(B182)-ROW($B$156)&amp;"][NumberOfInstallations]",Submission!$O:$O,Submission!$H:$N,""))</f>
        <v/>
      </c>
      <c r="G182" s="106" t="str">
        <f>_xlfn.CONCAT(_xlfn.XLOOKUP("[S08_ActivityDataIssuesDetail]["&amp;ROW(B182)-ROW($B$156)&amp;"][NumberOfIssues]",Submission!$O:$O,Submission!$H:$N,""))</f>
        <v/>
      </c>
      <c r="H182" s="452" t="str">
        <f>_xlfn.CONCAT(_xlfn.XLOOKUP("[S08_ActivityDataIssuesDetail]["&amp;ROW(B182)-ROW($B$156)&amp;"][NumberOfInstallationsConEst]",Submission!$O:$O,Submission!$H:$N,""))</f>
        <v/>
      </c>
      <c r="I182" s="453"/>
    </row>
    <row r="183" spans="3:9" ht="54" hidden="1" customHeight="1" outlineLevel="1" x14ac:dyDescent="0.3">
      <c r="C183" s="284" t="str">
        <f>_xlfn.CONCAT(_xlfn.XLOOKUP("[S08_ActivityDataIssuesDetail]["&amp;ROW(B183)-ROW($B$156)&amp;"][AnnexIActivity]",Submission!$O:$O,Submission!$H:$N,""))</f>
        <v/>
      </c>
      <c r="D183" s="285"/>
      <c r="E183" s="72" t="str">
        <f>_xlfn.CONCAT(_xlfn.XLOOKUP("[S08_ActivityDataIssuesDetail]["&amp;ROW(B183)-ROW($B$156)&amp;"][TypeOfIssue]",Submission!$O:$O,Submission!$H:$N,""))</f>
        <v/>
      </c>
      <c r="F183" s="106" t="str">
        <f>_xlfn.CONCAT(_xlfn.XLOOKUP("[S08_ActivityDataIssuesDetail]["&amp;ROW(B183)-ROW($B$156)&amp;"][NumberOfInstallations]",Submission!$O:$O,Submission!$H:$N,""))</f>
        <v/>
      </c>
      <c r="G183" s="106" t="str">
        <f>_xlfn.CONCAT(_xlfn.XLOOKUP("[S08_ActivityDataIssuesDetail]["&amp;ROW(B183)-ROW($B$156)&amp;"][NumberOfIssues]",Submission!$O:$O,Submission!$H:$N,""))</f>
        <v/>
      </c>
      <c r="H183" s="452" t="str">
        <f>_xlfn.CONCAT(_xlfn.XLOOKUP("[S08_ActivityDataIssuesDetail]["&amp;ROW(B183)-ROW($B$156)&amp;"][NumberOfInstallationsConEst]",Submission!$O:$O,Submission!$H:$N,""))</f>
        <v/>
      </c>
      <c r="I183" s="453"/>
    </row>
    <row r="184" spans="3:9" ht="54" hidden="1" customHeight="1" outlineLevel="1" x14ac:dyDescent="0.3">
      <c r="C184" s="284" t="str">
        <f>_xlfn.CONCAT(_xlfn.XLOOKUP("[S08_ActivityDataIssuesDetail]["&amp;ROW(B184)-ROW($B$156)&amp;"][AnnexIActivity]",Submission!$O:$O,Submission!$H:$N,""))</f>
        <v/>
      </c>
      <c r="D184" s="285"/>
      <c r="E184" s="72" t="str">
        <f>_xlfn.CONCAT(_xlfn.XLOOKUP("[S08_ActivityDataIssuesDetail]["&amp;ROW(B184)-ROW($B$156)&amp;"][TypeOfIssue]",Submission!$O:$O,Submission!$H:$N,""))</f>
        <v/>
      </c>
      <c r="F184" s="106" t="str">
        <f>_xlfn.CONCAT(_xlfn.XLOOKUP("[S08_ActivityDataIssuesDetail]["&amp;ROW(B184)-ROW($B$156)&amp;"][NumberOfInstallations]",Submission!$O:$O,Submission!$H:$N,""))</f>
        <v/>
      </c>
      <c r="G184" s="106" t="str">
        <f>_xlfn.CONCAT(_xlfn.XLOOKUP("[S08_ActivityDataIssuesDetail]["&amp;ROW(B184)-ROW($B$156)&amp;"][NumberOfIssues]",Submission!$O:$O,Submission!$H:$N,""))</f>
        <v/>
      </c>
      <c r="H184" s="452" t="str">
        <f>_xlfn.CONCAT(_xlfn.XLOOKUP("[S08_ActivityDataIssuesDetail]["&amp;ROW(B184)-ROW($B$156)&amp;"][NumberOfInstallationsConEst]",Submission!$O:$O,Submission!$H:$N,""))</f>
        <v/>
      </c>
      <c r="I184" s="453"/>
    </row>
    <row r="185" spans="3:9" ht="54" hidden="1" customHeight="1" outlineLevel="1" x14ac:dyDescent="0.3">
      <c r="C185" s="284" t="str">
        <f>_xlfn.CONCAT(_xlfn.XLOOKUP("[S08_ActivityDataIssuesDetail]["&amp;ROW(B185)-ROW($B$156)&amp;"][AnnexIActivity]",Submission!$O:$O,Submission!$H:$N,""))</f>
        <v/>
      </c>
      <c r="D185" s="285"/>
      <c r="E185" s="72" t="str">
        <f>_xlfn.CONCAT(_xlfn.XLOOKUP("[S08_ActivityDataIssuesDetail]["&amp;ROW(B185)-ROW($B$156)&amp;"][TypeOfIssue]",Submission!$O:$O,Submission!$H:$N,""))</f>
        <v/>
      </c>
      <c r="F185" s="106" t="str">
        <f>_xlfn.CONCAT(_xlfn.XLOOKUP("[S08_ActivityDataIssuesDetail]["&amp;ROW(B185)-ROW($B$156)&amp;"][NumberOfInstallations]",Submission!$O:$O,Submission!$H:$N,""))</f>
        <v/>
      </c>
      <c r="G185" s="106" t="str">
        <f>_xlfn.CONCAT(_xlfn.XLOOKUP("[S08_ActivityDataIssuesDetail]["&amp;ROW(B185)-ROW($B$156)&amp;"][NumberOfIssues]",Submission!$O:$O,Submission!$H:$N,""))</f>
        <v/>
      </c>
      <c r="H185" s="452" t="str">
        <f>_xlfn.CONCAT(_xlfn.XLOOKUP("[S08_ActivityDataIssuesDetail]["&amp;ROW(B185)-ROW($B$156)&amp;"][NumberOfInstallationsConEst]",Submission!$O:$O,Submission!$H:$N,""))</f>
        <v/>
      </c>
      <c r="I185" s="453"/>
    </row>
    <row r="186" spans="3:9" ht="54" hidden="1" customHeight="1" outlineLevel="1" x14ac:dyDescent="0.3">
      <c r="C186" s="284" t="str">
        <f>_xlfn.CONCAT(_xlfn.XLOOKUP("[S08_ActivityDataIssuesDetail]["&amp;ROW(B186)-ROW($B$156)&amp;"][AnnexIActivity]",Submission!$O:$O,Submission!$H:$N,""))</f>
        <v/>
      </c>
      <c r="D186" s="285"/>
      <c r="E186" s="72" t="str">
        <f>_xlfn.CONCAT(_xlfn.XLOOKUP("[S08_ActivityDataIssuesDetail]["&amp;ROW(B186)-ROW($B$156)&amp;"][TypeOfIssue]",Submission!$O:$O,Submission!$H:$N,""))</f>
        <v/>
      </c>
      <c r="F186" s="106" t="str">
        <f>_xlfn.CONCAT(_xlfn.XLOOKUP("[S08_ActivityDataIssuesDetail]["&amp;ROW(B186)-ROW($B$156)&amp;"][NumberOfInstallations]",Submission!$O:$O,Submission!$H:$N,""))</f>
        <v/>
      </c>
      <c r="G186" s="106" t="str">
        <f>_xlfn.CONCAT(_xlfn.XLOOKUP("[S08_ActivityDataIssuesDetail]["&amp;ROW(B186)-ROW($B$156)&amp;"][NumberOfIssues]",Submission!$O:$O,Submission!$H:$N,""))</f>
        <v/>
      </c>
      <c r="H186" s="452" t="str">
        <f>_xlfn.CONCAT(_xlfn.XLOOKUP("[S08_ActivityDataIssuesDetail]["&amp;ROW(B186)-ROW($B$156)&amp;"][NumberOfInstallationsConEst]",Submission!$O:$O,Submission!$H:$N,""))</f>
        <v/>
      </c>
      <c r="I186" s="453"/>
    </row>
    <row r="187" spans="3:9" ht="54" hidden="1" customHeight="1" outlineLevel="1" x14ac:dyDescent="0.3">
      <c r="C187" s="284" t="str">
        <f>_xlfn.CONCAT(_xlfn.XLOOKUP("[S08_ActivityDataIssuesDetail]["&amp;ROW(B187)-ROW($B$156)&amp;"][AnnexIActivity]",Submission!$O:$O,Submission!$H:$N,""))</f>
        <v/>
      </c>
      <c r="D187" s="285"/>
      <c r="E187" s="72" t="str">
        <f>_xlfn.CONCAT(_xlfn.XLOOKUP("[S08_ActivityDataIssuesDetail]["&amp;ROW(B187)-ROW($B$156)&amp;"][TypeOfIssue]",Submission!$O:$O,Submission!$H:$N,""))</f>
        <v/>
      </c>
      <c r="F187" s="106" t="str">
        <f>_xlfn.CONCAT(_xlfn.XLOOKUP("[S08_ActivityDataIssuesDetail]["&amp;ROW(B187)-ROW($B$156)&amp;"][NumberOfInstallations]",Submission!$O:$O,Submission!$H:$N,""))</f>
        <v/>
      </c>
      <c r="G187" s="106" t="str">
        <f>_xlfn.CONCAT(_xlfn.XLOOKUP("[S08_ActivityDataIssuesDetail]["&amp;ROW(B187)-ROW($B$156)&amp;"][NumberOfIssues]",Submission!$O:$O,Submission!$H:$N,""))</f>
        <v/>
      </c>
      <c r="H187" s="452" t="str">
        <f>_xlfn.CONCAT(_xlfn.XLOOKUP("[S08_ActivityDataIssuesDetail]["&amp;ROW(B187)-ROW($B$156)&amp;"][NumberOfInstallationsConEst]",Submission!$O:$O,Submission!$H:$N,""))</f>
        <v/>
      </c>
      <c r="I187" s="453"/>
    </row>
    <row r="188" spans="3:9" ht="54" hidden="1" customHeight="1" outlineLevel="1" x14ac:dyDescent="0.3">
      <c r="C188" s="284" t="str">
        <f>_xlfn.CONCAT(_xlfn.XLOOKUP("[S08_ActivityDataIssuesDetail]["&amp;ROW(B188)-ROW($B$156)&amp;"][AnnexIActivity]",Submission!$O:$O,Submission!$H:$N,""))</f>
        <v/>
      </c>
      <c r="D188" s="285"/>
      <c r="E188" s="72" t="str">
        <f>_xlfn.CONCAT(_xlfn.XLOOKUP("[S08_ActivityDataIssuesDetail]["&amp;ROW(B188)-ROW($B$156)&amp;"][TypeOfIssue]",Submission!$O:$O,Submission!$H:$N,""))</f>
        <v/>
      </c>
      <c r="F188" s="106" t="str">
        <f>_xlfn.CONCAT(_xlfn.XLOOKUP("[S08_ActivityDataIssuesDetail]["&amp;ROW(B188)-ROW($B$156)&amp;"][NumberOfInstallations]",Submission!$O:$O,Submission!$H:$N,""))</f>
        <v/>
      </c>
      <c r="G188" s="106" t="str">
        <f>_xlfn.CONCAT(_xlfn.XLOOKUP("[S08_ActivityDataIssuesDetail]["&amp;ROW(B188)-ROW($B$156)&amp;"][NumberOfIssues]",Submission!$O:$O,Submission!$H:$N,""))</f>
        <v/>
      </c>
      <c r="H188" s="452" t="str">
        <f>_xlfn.CONCAT(_xlfn.XLOOKUP("[S08_ActivityDataIssuesDetail]["&amp;ROW(B188)-ROW($B$156)&amp;"][NumberOfInstallationsConEst]",Submission!$O:$O,Submission!$H:$N,""))</f>
        <v/>
      </c>
      <c r="I188" s="453"/>
    </row>
    <row r="189" spans="3:9" ht="54" hidden="1" customHeight="1" outlineLevel="1" x14ac:dyDescent="0.3">
      <c r="C189" s="284" t="str">
        <f>_xlfn.CONCAT(_xlfn.XLOOKUP("[S08_ActivityDataIssuesDetail]["&amp;ROW(B189)-ROW($B$156)&amp;"][AnnexIActivity]",Submission!$O:$O,Submission!$H:$N,""))</f>
        <v/>
      </c>
      <c r="D189" s="285"/>
      <c r="E189" s="72" t="str">
        <f>_xlfn.CONCAT(_xlfn.XLOOKUP("[S08_ActivityDataIssuesDetail]["&amp;ROW(B189)-ROW($B$156)&amp;"][TypeOfIssue]",Submission!$O:$O,Submission!$H:$N,""))</f>
        <v/>
      </c>
      <c r="F189" s="106" t="str">
        <f>_xlfn.CONCAT(_xlfn.XLOOKUP("[S08_ActivityDataIssuesDetail]["&amp;ROW(B189)-ROW($B$156)&amp;"][NumberOfInstallations]",Submission!$O:$O,Submission!$H:$N,""))</f>
        <v/>
      </c>
      <c r="G189" s="106" t="str">
        <f>_xlfn.CONCAT(_xlfn.XLOOKUP("[S08_ActivityDataIssuesDetail]["&amp;ROW(B189)-ROW($B$156)&amp;"][NumberOfIssues]",Submission!$O:$O,Submission!$H:$N,""))</f>
        <v/>
      </c>
      <c r="H189" s="452" t="str">
        <f>_xlfn.CONCAT(_xlfn.XLOOKUP("[S08_ActivityDataIssuesDetail]["&amp;ROW(B189)-ROW($B$156)&amp;"][NumberOfInstallationsConEst]",Submission!$O:$O,Submission!$H:$N,""))</f>
        <v/>
      </c>
      <c r="I189" s="453"/>
    </row>
    <row r="190" spans="3:9" ht="54" hidden="1" customHeight="1" outlineLevel="1" x14ac:dyDescent="0.3">
      <c r="C190" s="284" t="str">
        <f>_xlfn.CONCAT(_xlfn.XLOOKUP("[S08_ActivityDataIssuesDetail]["&amp;ROW(B190)-ROW($B$156)&amp;"][AnnexIActivity]",Submission!$O:$O,Submission!$H:$N,""))</f>
        <v/>
      </c>
      <c r="D190" s="285"/>
      <c r="E190" s="72" t="str">
        <f>_xlfn.CONCAT(_xlfn.XLOOKUP("[S08_ActivityDataIssuesDetail]["&amp;ROW(B190)-ROW($B$156)&amp;"][TypeOfIssue]",Submission!$O:$O,Submission!$H:$N,""))</f>
        <v/>
      </c>
      <c r="F190" s="106" t="str">
        <f>_xlfn.CONCAT(_xlfn.XLOOKUP("[S08_ActivityDataIssuesDetail]["&amp;ROW(B190)-ROW($B$156)&amp;"][NumberOfInstallations]",Submission!$O:$O,Submission!$H:$N,""))</f>
        <v/>
      </c>
      <c r="G190" s="106" t="str">
        <f>_xlfn.CONCAT(_xlfn.XLOOKUP("[S08_ActivityDataIssuesDetail]["&amp;ROW(B190)-ROW($B$156)&amp;"][NumberOfIssues]",Submission!$O:$O,Submission!$H:$N,""))</f>
        <v/>
      </c>
      <c r="H190" s="452" t="str">
        <f>_xlfn.CONCAT(_xlfn.XLOOKUP("[S08_ActivityDataIssuesDetail]["&amp;ROW(B190)-ROW($B$156)&amp;"][NumberOfInstallationsConEst]",Submission!$O:$O,Submission!$H:$N,""))</f>
        <v/>
      </c>
      <c r="I190" s="453"/>
    </row>
    <row r="191" spans="3:9" ht="54" hidden="1" customHeight="1" outlineLevel="1" x14ac:dyDescent="0.3">
      <c r="C191" s="284" t="str">
        <f>_xlfn.CONCAT(_xlfn.XLOOKUP("[S08_ActivityDataIssuesDetail]["&amp;ROW(B191)-ROW($B$156)&amp;"][AnnexIActivity]",Submission!$O:$O,Submission!$H:$N,""))</f>
        <v/>
      </c>
      <c r="D191" s="285"/>
      <c r="E191" s="72" t="str">
        <f>_xlfn.CONCAT(_xlfn.XLOOKUP("[S08_ActivityDataIssuesDetail]["&amp;ROW(B191)-ROW($B$156)&amp;"][TypeOfIssue]",Submission!$O:$O,Submission!$H:$N,""))</f>
        <v/>
      </c>
      <c r="F191" s="106" t="str">
        <f>_xlfn.CONCAT(_xlfn.XLOOKUP("[S08_ActivityDataIssuesDetail]["&amp;ROW(B191)-ROW($B$156)&amp;"][NumberOfInstallations]",Submission!$O:$O,Submission!$H:$N,""))</f>
        <v/>
      </c>
      <c r="G191" s="106" t="str">
        <f>_xlfn.CONCAT(_xlfn.XLOOKUP("[S08_ActivityDataIssuesDetail]["&amp;ROW(B191)-ROW($B$156)&amp;"][NumberOfIssues]",Submission!$O:$O,Submission!$H:$N,""))</f>
        <v/>
      </c>
      <c r="H191" s="452" t="str">
        <f>_xlfn.CONCAT(_xlfn.XLOOKUP("[S08_ActivityDataIssuesDetail]["&amp;ROW(B191)-ROW($B$156)&amp;"][NumberOfInstallationsConEst]",Submission!$O:$O,Submission!$H:$N,""))</f>
        <v/>
      </c>
      <c r="I191" s="453"/>
    </row>
    <row r="192" spans="3:9" ht="54" hidden="1" customHeight="1" outlineLevel="1" x14ac:dyDescent="0.3">
      <c r="C192" s="284" t="str">
        <f>_xlfn.CONCAT(_xlfn.XLOOKUP("[S08_ActivityDataIssuesDetail]["&amp;ROW(B192)-ROW($B$156)&amp;"][AnnexIActivity]",Submission!$O:$O,Submission!$H:$N,""))</f>
        <v/>
      </c>
      <c r="D192" s="285"/>
      <c r="E192" s="72" t="str">
        <f>_xlfn.CONCAT(_xlfn.XLOOKUP("[S08_ActivityDataIssuesDetail]["&amp;ROW(B192)-ROW($B$156)&amp;"][TypeOfIssue]",Submission!$O:$O,Submission!$H:$N,""))</f>
        <v/>
      </c>
      <c r="F192" s="106" t="str">
        <f>_xlfn.CONCAT(_xlfn.XLOOKUP("[S08_ActivityDataIssuesDetail]["&amp;ROW(B192)-ROW($B$156)&amp;"][NumberOfInstallations]",Submission!$O:$O,Submission!$H:$N,""))</f>
        <v/>
      </c>
      <c r="G192" s="106" t="str">
        <f>_xlfn.CONCAT(_xlfn.XLOOKUP("[S08_ActivityDataIssuesDetail]["&amp;ROW(B192)-ROW($B$156)&amp;"][NumberOfIssues]",Submission!$O:$O,Submission!$H:$N,""))</f>
        <v/>
      </c>
      <c r="H192" s="452" t="str">
        <f>_xlfn.CONCAT(_xlfn.XLOOKUP("[S08_ActivityDataIssuesDetail]["&amp;ROW(B192)-ROW($B$156)&amp;"][NumberOfInstallationsConEst]",Submission!$O:$O,Submission!$H:$N,""))</f>
        <v/>
      </c>
      <c r="I192" s="453"/>
    </row>
    <row r="193" spans="3:9" ht="54" hidden="1" customHeight="1" outlineLevel="1" x14ac:dyDescent="0.3">
      <c r="C193" s="284" t="str">
        <f>_xlfn.CONCAT(_xlfn.XLOOKUP("[S08_ActivityDataIssuesDetail]["&amp;ROW(B193)-ROW($B$156)&amp;"][AnnexIActivity]",Submission!$O:$O,Submission!$H:$N,""))</f>
        <v/>
      </c>
      <c r="D193" s="285"/>
      <c r="E193" s="72" t="str">
        <f>_xlfn.CONCAT(_xlfn.XLOOKUP("[S08_ActivityDataIssuesDetail]["&amp;ROW(B193)-ROW($B$156)&amp;"][TypeOfIssue]",Submission!$O:$O,Submission!$H:$N,""))</f>
        <v/>
      </c>
      <c r="F193" s="106" t="str">
        <f>_xlfn.CONCAT(_xlfn.XLOOKUP("[S08_ActivityDataIssuesDetail]["&amp;ROW(B193)-ROW($B$156)&amp;"][NumberOfInstallations]",Submission!$O:$O,Submission!$H:$N,""))</f>
        <v/>
      </c>
      <c r="G193" s="106" t="str">
        <f>_xlfn.CONCAT(_xlfn.XLOOKUP("[S08_ActivityDataIssuesDetail]["&amp;ROW(B193)-ROW($B$156)&amp;"][NumberOfIssues]",Submission!$O:$O,Submission!$H:$N,""))</f>
        <v/>
      </c>
      <c r="H193" s="452" t="str">
        <f>_xlfn.CONCAT(_xlfn.XLOOKUP("[S08_ActivityDataIssuesDetail]["&amp;ROW(B193)-ROW($B$156)&amp;"][NumberOfInstallationsConEst]",Submission!$O:$O,Submission!$H:$N,""))</f>
        <v/>
      </c>
      <c r="I193" s="453"/>
    </row>
    <row r="194" spans="3:9" ht="54" hidden="1" customHeight="1" outlineLevel="1" x14ac:dyDescent="0.3">
      <c r="C194" s="284" t="str">
        <f>_xlfn.CONCAT(_xlfn.XLOOKUP("[S08_ActivityDataIssuesDetail]["&amp;ROW(B194)-ROW($B$156)&amp;"][AnnexIActivity]",Submission!$O:$O,Submission!$H:$N,""))</f>
        <v/>
      </c>
      <c r="D194" s="285"/>
      <c r="E194" s="72" t="str">
        <f>_xlfn.CONCAT(_xlfn.XLOOKUP("[S08_ActivityDataIssuesDetail]["&amp;ROW(B194)-ROW($B$156)&amp;"][TypeOfIssue]",Submission!$O:$O,Submission!$H:$N,""))</f>
        <v/>
      </c>
      <c r="F194" s="106" t="str">
        <f>_xlfn.CONCAT(_xlfn.XLOOKUP("[S08_ActivityDataIssuesDetail]["&amp;ROW(B194)-ROW($B$156)&amp;"][NumberOfInstallations]",Submission!$O:$O,Submission!$H:$N,""))</f>
        <v/>
      </c>
      <c r="G194" s="106" t="str">
        <f>_xlfn.CONCAT(_xlfn.XLOOKUP("[S08_ActivityDataIssuesDetail]["&amp;ROW(B194)-ROW($B$156)&amp;"][NumberOfIssues]",Submission!$O:$O,Submission!$H:$N,""))</f>
        <v/>
      </c>
      <c r="H194" s="452" t="str">
        <f>_xlfn.CONCAT(_xlfn.XLOOKUP("[S08_ActivityDataIssuesDetail]["&amp;ROW(B194)-ROW($B$156)&amp;"][NumberOfInstallationsConEst]",Submission!$O:$O,Submission!$H:$N,""))</f>
        <v/>
      </c>
      <c r="I194" s="453"/>
    </row>
    <row r="195" spans="3:9" ht="54" hidden="1" customHeight="1" outlineLevel="1" x14ac:dyDescent="0.3">
      <c r="C195" s="284" t="str">
        <f>_xlfn.CONCAT(_xlfn.XLOOKUP("[S08_ActivityDataIssuesDetail]["&amp;ROW(B195)-ROW($B$156)&amp;"][AnnexIActivity]",Submission!$O:$O,Submission!$H:$N,""))</f>
        <v/>
      </c>
      <c r="D195" s="285"/>
      <c r="E195" s="72" t="str">
        <f>_xlfn.CONCAT(_xlfn.XLOOKUP("[S08_ActivityDataIssuesDetail]["&amp;ROW(B195)-ROW($B$156)&amp;"][TypeOfIssue]",Submission!$O:$O,Submission!$H:$N,""))</f>
        <v/>
      </c>
      <c r="F195" s="106" t="str">
        <f>_xlfn.CONCAT(_xlfn.XLOOKUP("[S08_ActivityDataIssuesDetail]["&amp;ROW(B195)-ROW($B$156)&amp;"][NumberOfInstallations]",Submission!$O:$O,Submission!$H:$N,""))</f>
        <v/>
      </c>
      <c r="G195" s="106" t="str">
        <f>_xlfn.CONCAT(_xlfn.XLOOKUP("[S08_ActivityDataIssuesDetail]["&amp;ROW(B195)-ROW($B$156)&amp;"][NumberOfIssues]",Submission!$O:$O,Submission!$H:$N,""))</f>
        <v/>
      </c>
      <c r="H195" s="452" t="str">
        <f>_xlfn.CONCAT(_xlfn.XLOOKUP("[S08_ActivityDataIssuesDetail]["&amp;ROW(B195)-ROW($B$156)&amp;"][NumberOfInstallationsConEst]",Submission!$O:$O,Submission!$H:$N,""))</f>
        <v/>
      </c>
      <c r="I195" s="453"/>
    </row>
    <row r="196" spans="3:9" ht="54" hidden="1" customHeight="1" outlineLevel="1" x14ac:dyDescent="0.3">
      <c r="C196" s="284" t="str">
        <f>_xlfn.CONCAT(_xlfn.XLOOKUP("[S08_ActivityDataIssuesDetail]["&amp;ROW(B196)-ROW($B$156)&amp;"][AnnexIActivity]",Submission!$O:$O,Submission!$H:$N,""))</f>
        <v/>
      </c>
      <c r="D196" s="285"/>
      <c r="E196" s="72" t="str">
        <f>_xlfn.CONCAT(_xlfn.XLOOKUP("[S08_ActivityDataIssuesDetail]["&amp;ROW(B196)-ROW($B$156)&amp;"][TypeOfIssue]",Submission!$O:$O,Submission!$H:$N,""))</f>
        <v/>
      </c>
      <c r="F196" s="106" t="str">
        <f>_xlfn.CONCAT(_xlfn.XLOOKUP("[S08_ActivityDataIssuesDetail]["&amp;ROW(B196)-ROW($B$156)&amp;"][NumberOfInstallations]",Submission!$O:$O,Submission!$H:$N,""))</f>
        <v/>
      </c>
      <c r="G196" s="106" t="str">
        <f>_xlfn.CONCAT(_xlfn.XLOOKUP("[S08_ActivityDataIssuesDetail]["&amp;ROW(B196)-ROW($B$156)&amp;"][NumberOfIssues]",Submission!$O:$O,Submission!$H:$N,""))</f>
        <v/>
      </c>
      <c r="H196" s="452" t="str">
        <f>_xlfn.CONCAT(_xlfn.XLOOKUP("[S08_ActivityDataIssuesDetail]["&amp;ROW(B196)-ROW($B$156)&amp;"][NumberOfInstallationsConEst]",Submission!$O:$O,Submission!$H:$N,""))</f>
        <v/>
      </c>
      <c r="I196" s="453"/>
    </row>
    <row r="197" spans="3:9" ht="54" hidden="1" customHeight="1" outlineLevel="1" x14ac:dyDescent="0.3">
      <c r="C197" s="284" t="str">
        <f>_xlfn.CONCAT(_xlfn.XLOOKUP("[S08_ActivityDataIssuesDetail]["&amp;ROW(B197)-ROW($B$156)&amp;"][AnnexIActivity]",Submission!$O:$O,Submission!$H:$N,""))</f>
        <v/>
      </c>
      <c r="D197" s="285"/>
      <c r="E197" s="72" t="str">
        <f>_xlfn.CONCAT(_xlfn.XLOOKUP("[S08_ActivityDataIssuesDetail]["&amp;ROW(B197)-ROW($B$156)&amp;"][TypeOfIssue]",Submission!$O:$O,Submission!$H:$N,""))</f>
        <v/>
      </c>
      <c r="F197" s="106" t="str">
        <f>_xlfn.CONCAT(_xlfn.XLOOKUP("[S08_ActivityDataIssuesDetail]["&amp;ROW(B197)-ROW($B$156)&amp;"][NumberOfInstallations]",Submission!$O:$O,Submission!$H:$N,""))</f>
        <v/>
      </c>
      <c r="G197" s="106" t="str">
        <f>_xlfn.CONCAT(_xlfn.XLOOKUP("[S08_ActivityDataIssuesDetail]["&amp;ROW(B197)-ROW($B$156)&amp;"][NumberOfIssues]",Submission!$O:$O,Submission!$H:$N,""))</f>
        <v/>
      </c>
      <c r="H197" s="452" t="str">
        <f>_xlfn.CONCAT(_xlfn.XLOOKUP("[S08_ActivityDataIssuesDetail]["&amp;ROW(B197)-ROW($B$156)&amp;"][NumberOfInstallationsConEst]",Submission!$O:$O,Submission!$H:$N,""))</f>
        <v/>
      </c>
      <c r="I197" s="453"/>
    </row>
    <row r="198" spans="3:9" ht="54" hidden="1" customHeight="1" outlineLevel="1" x14ac:dyDescent="0.3">
      <c r="C198" s="284" t="str">
        <f>_xlfn.CONCAT(_xlfn.XLOOKUP("[S08_ActivityDataIssuesDetail]["&amp;ROW(B198)-ROW($B$156)&amp;"][AnnexIActivity]",Submission!$O:$O,Submission!$H:$N,""))</f>
        <v/>
      </c>
      <c r="D198" s="285"/>
      <c r="E198" s="72" t="str">
        <f>_xlfn.CONCAT(_xlfn.XLOOKUP("[S08_ActivityDataIssuesDetail]["&amp;ROW(B198)-ROW($B$156)&amp;"][TypeOfIssue]",Submission!$O:$O,Submission!$H:$N,""))</f>
        <v/>
      </c>
      <c r="F198" s="106" t="str">
        <f>_xlfn.CONCAT(_xlfn.XLOOKUP("[S08_ActivityDataIssuesDetail]["&amp;ROW(B198)-ROW($B$156)&amp;"][NumberOfInstallations]",Submission!$O:$O,Submission!$H:$N,""))</f>
        <v/>
      </c>
      <c r="G198" s="106" t="str">
        <f>_xlfn.CONCAT(_xlfn.XLOOKUP("[S08_ActivityDataIssuesDetail]["&amp;ROW(B198)-ROW($B$156)&amp;"][NumberOfIssues]",Submission!$O:$O,Submission!$H:$N,""))</f>
        <v/>
      </c>
      <c r="H198" s="452" t="str">
        <f>_xlfn.CONCAT(_xlfn.XLOOKUP("[S08_ActivityDataIssuesDetail]["&amp;ROW(B198)-ROW($B$156)&amp;"][NumberOfInstallationsConEst]",Submission!$O:$O,Submission!$H:$N,""))</f>
        <v/>
      </c>
      <c r="I198" s="453"/>
    </row>
    <row r="199" spans="3:9" ht="54" hidden="1" customHeight="1" outlineLevel="1" x14ac:dyDescent="0.3">
      <c r="C199" s="284" t="str">
        <f>_xlfn.CONCAT(_xlfn.XLOOKUP("[S08_ActivityDataIssuesDetail]["&amp;ROW(B199)-ROW($B$156)&amp;"][AnnexIActivity]",Submission!$O:$O,Submission!$H:$N,""))</f>
        <v/>
      </c>
      <c r="D199" s="285"/>
      <c r="E199" s="72" t="str">
        <f>_xlfn.CONCAT(_xlfn.XLOOKUP("[S08_ActivityDataIssuesDetail]["&amp;ROW(B199)-ROW($B$156)&amp;"][TypeOfIssue]",Submission!$O:$O,Submission!$H:$N,""))</f>
        <v/>
      </c>
      <c r="F199" s="106" t="str">
        <f>_xlfn.CONCAT(_xlfn.XLOOKUP("[S08_ActivityDataIssuesDetail]["&amp;ROW(B199)-ROW($B$156)&amp;"][NumberOfInstallations]",Submission!$O:$O,Submission!$H:$N,""))</f>
        <v/>
      </c>
      <c r="G199" s="106" t="str">
        <f>_xlfn.CONCAT(_xlfn.XLOOKUP("[S08_ActivityDataIssuesDetail]["&amp;ROW(B199)-ROW($B$156)&amp;"][NumberOfIssues]",Submission!$O:$O,Submission!$H:$N,""))</f>
        <v/>
      </c>
      <c r="H199" s="452" t="str">
        <f>_xlfn.CONCAT(_xlfn.XLOOKUP("[S08_ActivityDataIssuesDetail]["&amp;ROW(B199)-ROW($B$156)&amp;"][NumberOfInstallationsConEst]",Submission!$O:$O,Submission!$H:$N,""))</f>
        <v/>
      </c>
      <c r="I199" s="453"/>
    </row>
    <row r="200" spans="3:9" ht="54" hidden="1" customHeight="1" outlineLevel="1" x14ac:dyDescent="0.3">
      <c r="C200" s="284" t="str">
        <f>_xlfn.CONCAT(_xlfn.XLOOKUP("[S08_ActivityDataIssuesDetail]["&amp;ROW(B200)-ROW($B$156)&amp;"][AnnexIActivity]",Submission!$O:$O,Submission!$H:$N,""))</f>
        <v/>
      </c>
      <c r="D200" s="285"/>
      <c r="E200" s="72" t="str">
        <f>_xlfn.CONCAT(_xlfn.XLOOKUP("[S08_ActivityDataIssuesDetail]["&amp;ROW(B200)-ROW($B$156)&amp;"][TypeOfIssue]",Submission!$O:$O,Submission!$H:$N,""))</f>
        <v/>
      </c>
      <c r="F200" s="106" t="str">
        <f>_xlfn.CONCAT(_xlfn.XLOOKUP("[S08_ActivityDataIssuesDetail]["&amp;ROW(B200)-ROW($B$156)&amp;"][NumberOfInstallations]",Submission!$O:$O,Submission!$H:$N,""))</f>
        <v/>
      </c>
      <c r="G200" s="106" t="str">
        <f>_xlfn.CONCAT(_xlfn.XLOOKUP("[S08_ActivityDataIssuesDetail]["&amp;ROW(B200)-ROW($B$156)&amp;"][NumberOfIssues]",Submission!$O:$O,Submission!$H:$N,""))</f>
        <v/>
      </c>
      <c r="H200" s="452" t="str">
        <f>_xlfn.CONCAT(_xlfn.XLOOKUP("[S08_ActivityDataIssuesDetail]["&amp;ROW(B200)-ROW($B$156)&amp;"][NumberOfInstallationsConEst]",Submission!$O:$O,Submission!$H:$N,""))</f>
        <v/>
      </c>
      <c r="I200" s="453"/>
    </row>
    <row r="201" spans="3:9" ht="54" hidden="1" customHeight="1" outlineLevel="1" x14ac:dyDescent="0.3">
      <c r="C201" s="284" t="str">
        <f>_xlfn.CONCAT(_xlfn.XLOOKUP("[S08_ActivityDataIssuesDetail]["&amp;ROW(B201)-ROW($B$156)&amp;"][AnnexIActivity]",Submission!$O:$O,Submission!$H:$N,""))</f>
        <v/>
      </c>
      <c r="D201" s="285"/>
      <c r="E201" s="72" t="str">
        <f>_xlfn.CONCAT(_xlfn.XLOOKUP("[S08_ActivityDataIssuesDetail]["&amp;ROW(B201)-ROW($B$156)&amp;"][TypeOfIssue]",Submission!$O:$O,Submission!$H:$N,""))</f>
        <v/>
      </c>
      <c r="F201" s="106" t="str">
        <f>_xlfn.CONCAT(_xlfn.XLOOKUP("[S08_ActivityDataIssuesDetail]["&amp;ROW(B201)-ROW($B$156)&amp;"][NumberOfInstallations]",Submission!$O:$O,Submission!$H:$N,""))</f>
        <v/>
      </c>
      <c r="G201" s="106" t="str">
        <f>_xlfn.CONCAT(_xlfn.XLOOKUP("[S08_ActivityDataIssuesDetail]["&amp;ROW(B201)-ROW($B$156)&amp;"][NumberOfIssues]",Submission!$O:$O,Submission!$H:$N,""))</f>
        <v/>
      </c>
      <c r="H201" s="452" t="str">
        <f>_xlfn.CONCAT(_xlfn.XLOOKUP("[S08_ActivityDataIssuesDetail]["&amp;ROW(B201)-ROW($B$156)&amp;"][NumberOfInstallationsConEst]",Submission!$O:$O,Submission!$H:$N,""))</f>
        <v/>
      </c>
      <c r="I201" s="453"/>
    </row>
    <row r="202" spans="3:9" ht="54" hidden="1" customHeight="1" outlineLevel="1" x14ac:dyDescent="0.3">
      <c r="C202" s="284" t="str">
        <f>_xlfn.CONCAT(_xlfn.XLOOKUP("[S08_ActivityDataIssuesDetail]["&amp;ROW(B202)-ROW($B$156)&amp;"][AnnexIActivity]",Submission!$O:$O,Submission!$H:$N,""))</f>
        <v/>
      </c>
      <c r="D202" s="285"/>
      <c r="E202" s="72" t="str">
        <f>_xlfn.CONCAT(_xlfn.XLOOKUP("[S08_ActivityDataIssuesDetail]["&amp;ROW(B202)-ROW($B$156)&amp;"][TypeOfIssue]",Submission!$O:$O,Submission!$H:$N,""))</f>
        <v/>
      </c>
      <c r="F202" s="106" t="str">
        <f>_xlfn.CONCAT(_xlfn.XLOOKUP("[S08_ActivityDataIssuesDetail]["&amp;ROW(B202)-ROW($B$156)&amp;"][NumberOfInstallations]",Submission!$O:$O,Submission!$H:$N,""))</f>
        <v/>
      </c>
      <c r="G202" s="106" t="str">
        <f>_xlfn.CONCAT(_xlfn.XLOOKUP("[S08_ActivityDataIssuesDetail]["&amp;ROW(B202)-ROW($B$156)&amp;"][NumberOfIssues]",Submission!$O:$O,Submission!$H:$N,""))</f>
        <v/>
      </c>
      <c r="H202" s="452" t="str">
        <f>_xlfn.CONCAT(_xlfn.XLOOKUP("[S08_ActivityDataIssuesDetail]["&amp;ROW(B202)-ROW($B$156)&amp;"][NumberOfInstallationsConEst]",Submission!$O:$O,Submission!$H:$N,""))</f>
        <v/>
      </c>
      <c r="I202" s="453"/>
    </row>
    <row r="203" spans="3:9" ht="54" hidden="1" customHeight="1" outlineLevel="1" x14ac:dyDescent="0.3">
      <c r="C203" s="284" t="str">
        <f>_xlfn.CONCAT(_xlfn.XLOOKUP("[S08_ActivityDataIssuesDetail]["&amp;ROW(B203)-ROW($B$156)&amp;"][AnnexIActivity]",Submission!$O:$O,Submission!$H:$N,""))</f>
        <v/>
      </c>
      <c r="D203" s="285"/>
      <c r="E203" s="72" t="str">
        <f>_xlfn.CONCAT(_xlfn.XLOOKUP("[S08_ActivityDataIssuesDetail]["&amp;ROW(B203)-ROW($B$156)&amp;"][TypeOfIssue]",Submission!$O:$O,Submission!$H:$N,""))</f>
        <v/>
      </c>
      <c r="F203" s="106" t="str">
        <f>_xlfn.CONCAT(_xlfn.XLOOKUP("[S08_ActivityDataIssuesDetail]["&amp;ROW(B203)-ROW($B$156)&amp;"][NumberOfInstallations]",Submission!$O:$O,Submission!$H:$N,""))</f>
        <v/>
      </c>
      <c r="G203" s="106" t="str">
        <f>_xlfn.CONCAT(_xlfn.XLOOKUP("[S08_ActivityDataIssuesDetail]["&amp;ROW(B203)-ROW($B$156)&amp;"][NumberOfIssues]",Submission!$O:$O,Submission!$H:$N,""))</f>
        <v/>
      </c>
      <c r="H203" s="452" t="str">
        <f>_xlfn.CONCAT(_xlfn.XLOOKUP("[S08_ActivityDataIssuesDetail]["&amp;ROW(B203)-ROW($B$156)&amp;"][NumberOfInstallationsConEst]",Submission!$O:$O,Submission!$H:$N,""))</f>
        <v/>
      </c>
      <c r="I203" s="453"/>
    </row>
    <row r="204" spans="3:9" ht="54" hidden="1" customHeight="1" outlineLevel="1" x14ac:dyDescent="0.3">
      <c r="C204" s="284" t="str">
        <f>_xlfn.CONCAT(_xlfn.XLOOKUP("[S08_ActivityDataIssuesDetail]["&amp;ROW(B204)-ROW($B$156)&amp;"][AnnexIActivity]",Submission!$O:$O,Submission!$H:$N,""))</f>
        <v/>
      </c>
      <c r="D204" s="285"/>
      <c r="E204" s="72" t="str">
        <f>_xlfn.CONCAT(_xlfn.XLOOKUP("[S08_ActivityDataIssuesDetail]["&amp;ROW(B204)-ROW($B$156)&amp;"][TypeOfIssue]",Submission!$O:$O,Submission!$H:$N,""))</f>
        <v/>
      </c>
      <c r="F204" s="106" t="str">
        <f>_xlfn.CONCAT(_xlfn.XLOOKUP("[S08_ActivityDataIssuesDetail]["&amp;ROW(B204)-ROW($B$156)&amp;"][NumberOfInstallations]",Submission!$O:$O,Submission!$H:$N,""))</f>
        <v/>
      </c>
      <c r="G204" s="106" t="str">
        <f>_xlfn.CONCAT(_xlfn.XLOOKUP("[S08_ActivityDataIssuesDetail]["&amp;ROW(B204)-ROW($B$156)&amp;"][NumberOfIssues]",Submission!$O:$O,Submission!$H:$N,""))</f>
        <v/>
      </c>
      <c r="H204" s="452" t="str">
        <f>_xlfn.CONCAT(_xlfn.XLOOKUP("[S08_ActivityDataIssuesDetail]["&amp;ROW(B204)-ROW($B$156)&amp;"][NumberOfInstallationsConEst]",Submission!$O:$O,Submission!$H:$N,""))</f>
        <v/>
      </c>
      <c r="I204" s="453"/>
    </row>
    <row r="205" spans="3:9" ht="54" hidden="1" customHeight="1" outlineLevel="1" x14ac:dyDescent="0.3">
      <c r="C205" s="284" t="str">
        <f>_xlfn.CONCAT(_xlfn.XLOOKUP("[S08_ActivityDataIssuesDetail]["&amp;ROW(B205)-ROW($B$156)&amp;"][AnnexIActivity]",Submission!$O:$O,Submission!$H:$N,""))</f>
        <v/>
      </c>
      <c r="D205" s="285"/>
      <c r="E205" s="72" t="str">
        <f>_xlfn.CONCAT(_xlfn.XLOOKUP("[S08_ActivityDataIssuesDetail]["&amp;ROW(B205)-ROW($B$156)&amp;"][TypeOfIssue]",Submission!$O:$O,Submission!$H:$N,""))</f>
        <v/>
      </c>
      <c r="F205" s="106" t="str">
        <f>_xlfn.CONCAT(_xlfn.XLOOKUP("[S08_ActivityDataIssuesDetail]["&amp;ROW(B205)-ROW($B$156)&amp;"][NumberOfInstallations]",Submission!$O:$O,Submission!$H:$N,""))</f>
        <v/>
      </c>
      <c r="G205" s="106" t="str">
        <f>_xlfn.CONCAT(_xlfn.XLOOKUP("[S08_ActivityDataIssuesDetail]["&amp;ROW(B205)-ROW($B$156)&amp;"][NumberOfIssues]",Submission!$O:$O,Submission!$H:$N,""))</f>
        <v/>
      </c>
      <c r="H205" s="452" t="str">
        <f>_xlfn.CONCAT(_xlfn.XLOOKUP("[S08_ActivityDataIssuesDetail]["&amp;ROW(B205)-ROW($B$156)&amp;"][NumberOfInstallationsConEst]",Submission!$O:$O,Submission!$H:$N,""))</f>
        <v/>
      </c>
      <c r="I205" s="453"/>
    </row>
    <row r="206" spans="3:9" ht="54" hidden="1" customHeight="1" outlineLevel="1" x14ac:dyDescent="0.3">
      <c r="C206" s="284" t="str">
        <f>_xlfn.CONCAT(_xlfn.XLOOKUP("[S08_ActivityDataIssuesDetail]["&amp;ROW(B206)-ROW($B$156)&amp;"][AnnexIActivity]",Submission!$O:$O,Submission!$H:$N,""))</f>
        <v/>
      </c>
      <c r="D206" s="285"/>
      <c r="E206" s="72" t="str">
        <f>_xlfn.CONCAT(_xlfn.XLOOKUP("[S08_ActivityDataIssuesDetail]["&amp;ROW(B206)-ROW($B$156)&amp;"][TypeOfIssue]",Submission!$O:$O,Submission!$H:$N,""))</f>
        <v/>
      </c>
      <c r="F206" s="106" t="str">
        <f>_xlfn.CONCAT(_xlfn.XLOOKUP("[S08_ActivityDataIssuesDetail]["&amp;ROW(B206)-ROW($B$156)&amp;"][NumberOfInstallations]",Submission!$O:$O,Submission!$H:$N,""))</f>
        <v/>
      </c>
      <c r="G206" s="106" t="str">
        <f>_xlfn.CONCAT(_xlfn.XLOOKUP("[S08_ActivityDataIssuesDetail]["&amp;ROW(B206)-ROW($B$156)&amp;"][NumberOfIssues]",Submission!$O:$O,Submission!$H:$N,""))</f>
        <v/>
      </c>
      <c r="H206" s="452" t="str">
        <f>_xlfn.CONCAT(_xlfn.XLOOKUP("[S08_ActivityDataIssuesDetail]["&amp;ROW(B206)-ROW($B$156)&amp;"][NumberOfInstallationsConEst]",Submission!$O:$O,Submission!$H:$N,""))</f>
        <v/>
      </c>
      <c r="I206" s="453"/>
    </row>
    <row r="207" spans="3:9" ht="54" hidden="1" customHeight="1" outlineLevel="1" x14ac:dyDescent="0.3">
      <c r="C207" s="284" t="str">
        <f>_xlfn.CONCAT(_xlfn.XLOOKUP("[S08_ActivityDataIssuesDetail]["&amp;ROW(B207)-ROW($B$156)&amp;"][AnnexIActivity]",Submission!$O:$O,Submission!$H:$N,""))</f>
        <v/>
      </c>
      <c r="D207" s="285"/>
      <c r="E207" s="72" t="str">
        <f>_xlfn.CONCAT(_xlfn.XLOOKUP("[S08_ActivityDataIssuesDetail]["&amp;ROW(B207)-ROW($B$156)&amp;"][TypeOfIssue]",Submission!$O:$O,Submission!$H:$N,""))</f>
        <v/>
      </c>
      <c r="F207" s="106" t="str">
        <f>_xlfn.CONCAT(_xlfn.XLOOKUP("[S08_ActivityDataIssuesDetail]["&amp;ROW(B207)-ROW($B$156)&amp;"][NumberOfInstallations]",Submission!$O:$O,Submission!$H:$N,""))</f>
        <v/>
      </c>
      <c r="G207" s="106" t="str">
        <f>_xlfn.CONCAT(_xlfn.XLOOKUP("[S08_ActivityDataIssuesDetail]["&amp;ROW(B207)-ROW($B$156)&amp;"][NumberOfIssues]",Submission!$O:$O,Submission!$H:$N,""))</f>
        <v/>
      </c>
      <c r="H207" s="452" t="str">
        <f>_xlfn.CONCAT(_xlfn.XLOOKUP("[S08_ActivityDataIssuesDetail]["&amp;ROW(B207)-ROW($B$156)&amp;"][NumberOfInstallationsConEst]",Submission!$O:$O,Submission!$H:$N,""))</f>
        <v/>
      </c>
      <c r="I207" s="453"/>
    </row>
    <row r="208" spans="3:9" ht="54" hidden="1" customHeight="1" outlineLevel="1" x14ac:dyDescent="0.3">
      <c r="C208" s="284" t="str">
        <f>_xlfn.CONCAT(_xlfn.XLOOKUP("[S08_ActivityDataIssuesDetail]["&amp;ROW(B208)-ROW($B$156)&amp;"][AnnexIActivity]",Submission!$O:$O,Submission!$H:$N,""))</f>
        <v/>
      </c>
      <c r="D208" s="285"/>
      <c r="E208" s="72" t="str">
        <f>_xlfn.CONCAT(_xlfn.XLOOKUP("[S08_ActivityDataIssuesDetail]["&amp;ROW(B208)-ROW($B$156)&amp;"][TypeOfIssue]",Submission!$O:$O,Submission!$H:$N,""))</f>
        <v/>
      </c>
      <c r="F208" s="106" t="str">
        <f>_xlfn.CONCAT(_xlfn.XLOOKUP("[S08_ActivityDataIssuesDetail]["&amp;ROW(B208)-ROW($B$156)&amp;"][NumberOfInstallations]",Submission!$O:$O,Submission!$H:$N,""))</f>
        <v/>
      </c>
      <c r="G208" s="106" t="str">
        <f>_xlfn.CONCAT(_xlfn.XLOOKUP("[S08_ActivityDataIssuesDetail]["&amp;ROW(B208)-ROW($B$156)&amp;"][NumberOfIssues]",Submission!$O:$O,Submission!$H:$N,""))</f>
        <v/>
      </c>
      <c r="H208" s="452" t="str">
        <f>_xlfn.CONCAT(_xlfn.XLOOKUP("[S08_ActivityDataIssuesDetail]["&amp;ROW(B208)-ROW($B$156)&amp;"][NumberOfInstallationsConEst]",Submission!$O:$O,Submission!$H:$N,""))</f>
        <v/>
      </c>
      <c r="I208" s="453"/>
    </row>
    <row r="209" spans="3:9" ht="54" hidden="1" customHeight="1" outlineLevel="1" x14ac:dyDescent="0.3">
      <c r="C209" s="284" t="str">
        <f>_xlfn.CONCAT(_xlfn.XLOOKUP("[S08_ActivityDataIssuesDetail]["&amp;ROW(B209)-ROW($B$156)&amp;"][AnnexIActivity]",Submission!$O:$O,Submission!$H:$N,""))</f>
        <v/>
      </c>
      <c r="D209" s="285"/>
      <c r="E209" s="72" t="str">
        <f>_xlfn.CONCAT(_xlfn.XLOOKUP("[S08_ActivityDataIssuesDetail]["&amp;ROW(B209)-ROW($B$156)&amp;"][TypeOfIssue]",Submission!$O:$O,Submission!$H:$N,""))</f>
        <v/>
      </c>
      <c r="F209" s="106" t="str">
        <f>_xlfn.CONCAT(_xlfn.XLOOKUP("[S08_ActivityDataIssuesDetail]["&amp;ROW(B209)-ROW($B$156)&amp;"][NumberOfInstallations]",Submission!$O:$O,Submission!$H:$N,""))</f>
        <v/>
      </c>
      <c r="G209" s="106" t="str">
        <f>_xlfn.CONCAT(_xlfn.XLOOKUP("[S08_ActivityDataIssuesDetail]["&amp;ROW(B209)-ROW($B$156)&amp;"][NumberOfIssues]",Submission!$O:$O,Submission!$H:$N,""))</f>
        <v/>
      </c>
      <c r="H209" s="452" t="str">
        <f>_xlfn.CONCAT(_xlfn.XLOOKUP("[S08_ActivityDataIssuesDetail]["&amp;ROW(B209)-ROW($B$156)&amp;"][NumberOfInstallationsConEst]",Submission!$O:$O,Submission!$H:$N,""))</f>
        <v/>
      </c>
      <c r="I209" s="453"/>
    </row>
    <row r="210" spans="3:9" ht="54" hidden="1" customHeight="1" outlineLevel="1" x14ac:dyDescent="0.3">
      <c r="C210" s="284" t="str">
        <f>_xlfn.CONCAT(_xlfn.XLOOKUP("[S08_ActivityDataIssuesDetail]["&amp;ROW(B210)-ROW($B$156)&amp;"][AnnexIActivity]",Submission!$O:$O,Submission!$H:$N,""))</f>
        <v/>
      </c>
      <c r="D210" s="285"/>
      <c r="E210" s="72" t="str">
        <f>_xlfn.CONCAT(_xlfn.XLOOKUP("[S08_ActivityDataIssuesDetail]["&amp;ROW(B210)-ROW($B$156)&amp;"][TypeOfIssue]",Submission!$O:$O,Submission!$H:$N,""))</f>
        <v/>
      </c>
      <c r="F210" s="106" t="str">
        <f>_xlfn.CONCAT(_xlfn.XLOOKUP("[S08_ActivityDataIssuesDetail]["&amp;ROW(B210)-ROW($B$156)&amp;"][NumberOfInstallations]",Submission!$O:$O,Submission!$H:$N,""))</f>
        <v/>
      </c>
      <c r="G210" s="106" t="str">
        <f>_xlfn.CONCAT(_xlfn.XLOOKUP("[S08_ActivityDataIssuesDetail]["&amp;ROW(B210)-ROW($B$156)&amp;"][NumberOfIssues]",Submission!$O:$O,Submission!$H:$N,""))</f>
        <v/>
      </c>
      <c r="H210" s="452" t="str">
        <f>_xlfn.CONCAT(_xlfn.XLOOKUP("[S08_ActivityDataIssuesDetail]["&amp;ROW(B210)-ROW($B$156)&amp;"][NumberOfInstallationsConEst]",Submission!$O:$O,Submission!$H:$N,""))</f>
        <v/>
      </c>
      <c r="I210" s="453"/>
    </row>
    <row r="211" spans="3:9" ht="54" hidden="1" customHeight="1" outlineLevel="1" x14ac:dyDescent="0.3">
      <c r="C211" s="284" t="str">
        <f>_xlfn.CONCAT(_xlfn.XLOOKUP("[S08_ActivityDataIssuesDetail]["&amp;ROW(B211)-ROW($B$156)&amp;"][AnnexIActivity]",Submission!$O:$O,Submission!$H:$N,""))</f>
        <v/>
      </c>
      <c r="D211" s="285"/>
      <c r="E211" s="72" t="str">
        <f>_xlfn.CONCAT(_xlfn.XLOOKUP("[S08_ActivityDataIssuesDetail]["&amp;ROW(B211)-ROW($B$156)&amp;"][TypeOfIssue]",Submission!$O:$O,Submission!$H:$N,""))</f>
        <v/>
      </c>
      <c r="F211" s="106" t="str">
        <f>_xlfn.CONCAT(_xlfn.XLOOKUP("[S08_ActivityDataIssuesDetail]["&amp;ROW(B211)-ROW($B$156)&amp;"][NumberOfInstallations]",Submission!$O:$O,Submission!$H:$N,""))</f>
        <v/>
      </c>
      <c r="G211" s="106" t="str">
        <f>_xlfn.CONCAT(_xlfn.XLOOKUP("[S08_ActivityDataIssuesDetail]["&amp;ROW(B211)-ROW($B$156)&amp;"][NumberOfIssues]",Submission!$O:$O,Submission!$H:$N,""))</f>
        <v/>
      </c>
      <c r="H211" s="452" t="str">
        <f>_xlfn.CONCAT(_xlfn.XLOOKUP("[S08_ActivityDataIssuesDetail]["&amp;ROW(B211)-ROW($B$156)&amp;"][NumberOfInstallationsConEst]",Submission!$O:$O,Submission!$H:$N,""))</f>
        <v/>
      </c>
      <c r="I211" s="453"/>
    </row>
    <row r="212" spans="3:9" ht="54" hidden="1" customHeight="1" outlineLevel="1" x14ac:dyDescent="0.3">
      <c r="C212" s="284" t="str">
        <f>_xlfn.CONCAT(_xlfn.XLOOKUP("[S08_ActivityDataIssuesDetail]["&amp;ROW(B212)-ROW($B$156)&amp;"][AnnexIActivity]",Submission!$O:$O,Submission!$H:$N,""))</f>
        <v/>
      </c>
      <c r="D212" s="285"/>
      <c r="E212" s="72" t="str">
        <f>_xlfn.CONCAT(_xlfn.XLOOKUP("[S08_ActivityDataIssuesDetail]["&amp;ROW(B212)-ROW($B$156)&amp;"][TypeOfIssue]",Submission!$O:$O,Submission!$H:$N,""))</f>
        <v/>
      </c>
      <c r="F212" s="106" t="str">
        <f>_xlfn.CONCAT(_xlfn.XLOOKUP("[S08_ActivityDataIssuesDetail]["&amp;ROW(B212)-ROW($B$156)&amp;"][NumberOfInstallations]",Submission!$O:$O,Submission!$H:$N,""))</f>
        <v/>
      </c>
      <c r="G212" s="106" t="str">
        <f>_xlfn.CONCAT(_xlfn.XLOOKUP("[S08_ActivityDataIssuesDetail]["&amp;ROW(B212)-ROW($B$156)&amp;"][NumberOfIssues]",Submission!$O:$O,Submission!$H:$N,""))</f>
        <v/>
      </c>
      <c r="H212" s="452" t="str">
        <f>_xlfn.CONCAT(_xlfn.XLOOKUP("[S08_ActivityDataIssuesDetail]["&amp;ROW(B212)-ROW($B$156)&amp;"][NumberOfInstallationsConEst]",Submission!$O:$O,Submission!$H:$N,""))</f>
        <v/>
      </c>
      <c r="I212" s="453"/>
    </row>
    <row r="213" spans="3:9" ht="54" hidden="1" customHeight="1" outlineLevel="1" x14ac:dyDescent="0.3">
      <c r="C213" s="284" t="str">
        <f>_xlfn.CONCAT(_xlfn.XLOOKUP("[S08_ActivityDataIssuesDetail]["&amp;ROW(B213)-ROW($B$156)&amp;"][AnnexIActivity]",Submission!$O:$O,Submission!$H:$N,""))</f>
        <v/>
      </c>
      <c r="D213" s="285"/>
      <c r="E213" s="72" t="str">
        <f>_xlfn.CONCAT(_xlfn.XLOOKUP("[S08_ActivityDataIssuesDetail]["&amp;ROW(B213)-ROW($B$156)&amp;"][TypeOfIssue]",Submission!$O:$O,Submission!$H:$N,""))</f>
        <v/>
      </c>
      <c r="F213" s="106" t="str">
        <f>_xlfn.CONCAT(_xlfn.XLOOKUP("[S08_ActivityDataIssuesDetail]["&amp;ROW(B213)-ROW($B$156)&amp;"][NumberOfInstallations]",Submission!$O:$O,Submission!$H:$N,""))</f>
        <v/>
      </c>
      <c r="G213" s="106" t="str">
        <f>_xlfn.CONCAT(_xlfn.XLOOKUP("[S08_ActivityDataIssuesDetail]["&amp;ROW(B213)-ROW($B$156)&amp;"][NumberOfIssues]",Submission!$O:$O,Submission!$H:$N,""))</f>
        <v/>
      </c>
      <c r="H213" s="452" t="str">
        <f>_xlfn.CONCAT(_xlfn.XLOOKUP("[S08_ActivityDataIssuesDetail]["&amp;ROW(B213)-ROW($B$156)&amp;"][NumberOfInstallationsConEst]",Submission!$O:$O,Submission!$H:$N,""))</f>
        <v/>
      </c>
      <c r="I213" s="453"/>
    </row>
    <row r="214" spans="3:9" ht="54" hidden="1" customHeight="1" outlineLevel="1" x14ac:dyDescent="0.3">
      <c r="C214" s="284" t="str">
        <f>_xlfn.CONCAT(_xlfn.XLOOKUP("[S08_ActivityDataIssuesDetail]["&amp;ROW(B214)-ROW($B$156)&amp;"][AnnexIActivity]",Submission!$O:$O,Submission!$H:$N,""))</f>
        <v/>
      </c>
      <c r="D214" s="285"/>
      <c r="E214" s="72" t="str">
        <f>_xlfn.CONCAT(_xlfn.XLOOKUP("[S08_ActivityDataIssuesDetail]["&amp;ROW(B214)-ROW($B$156)&amp;"][TypeOfIssue]",Submission!$O:$O,Submission!$H:$N,""))</f>
        <v/>
      </c>
      <c r="F214" s="106" t="str">
        <f>_xlfn.CONCAT(_xlfn.XLOOKUP("[S08_ActivityDataIssuesDetail]["&amp;ROW(B214)-ROW($B$156)&amp;"][NumberOfInstallations]",Submission!$O:$O,Submission!$H:$N,""))</f>
        <v/>
      </c>
      <c r="G214" s="106" t="str">
        <f>_xlfn.CONCAT(_xlfn.XLOOKUP("[S08_ActivityDataIssuesDetail]["&amp;ROW(B214)-ROW($B$156)&amp;"][NumberOfIssues]",Submission!$O:$O,Submission!$H:$N,""))</f>
        <v/>
      </c>
      <c r="H214" s="452" t="str">
        <f>_xlfn.CONCAT(_xlfn.XLOOKUP("[S08_ActivityDataIssuesDetail]["&amp;ROW(B214)-ROW($B$156)&amp;"][NumberOfInstallationsConEst]",Submission!$O:$O,Submission!$H:$N,""))</f>
        <v/>
      </c>
      <c r="I214" s="453"/>
    </row>
    <row r="215" spans="3:9" ht="54" hidden="1" customHeight="1" outlineLevel="1" x14ac:dyDescent="0.3">
      <c r="C215" s="284" t="str">
        <f>_xlfn.CONCAT(_xlfn.XLOOKUP("[S08_ActivityDataIssuesDetail]["&amp;ROW(B215)-ROW($B$156)&amp;"][AnnexIActivity]",Submission!$O:$O,Submission!$H:$N,""))</f>
        <v/>
      </c>
      <c r="D215" s="285"/>
      <c r="E215" s="72" t="str">
        <f>_xlfn.CONCAT(_xlfn.XLOOKUP("[S08_ActivityDataIssuesDetail]["&amp;ROW(B215)-ROW($B$156)&amp;"][TypeOfIssue]",Submission!$O:$O,Submission!$H:$N,""))</f>
        <v/>
      </c>
      <c r="F215" s="106" t="str">
        <f>_xlfn.CONCAT(_xlfn.XLOOKUP("[S08_ActivityDataIssuesDetail]["&amp;ROW(B215)-ROW($B$156)&amp;"][NumberOfInstallations]",Submission!$O:$O,Submission!$H:$N,""))</f>
        <v/>
      </c>
      <c r="G215" s="106" t="str">
        <f>_xlfn.CONCAT(_xlfn.XLOOKUP("[S08_ActivityDataIssuesDetail]["&amp;ROW(B215)-ROW($B$156)&amp;"][NumberOfIssues]",Submission!$O:$O,Submission!$H:$N,""))</f>
        <v/>
      </c>
      <c r="H215" s="452" t="str">
        <f>_xlfn.CONCAT(_xlfn.XLOOKUP("[S08_ActivityDataIssuesDetail]["&amp;ROW(B215)-ROW($B$156)&amp;"][NumberOfInstallationsConEst]",Submission!$O:$O,Submission!$H:$N,""))</f>
        <v/>
      </c>
      <c r="I215" s="453"/>
    </row>
    <row r="216" spans="3:9" ht="54" hidden="1" customHeight="1" outlineLevel="1" x14ac:dyDescent="0.3">
      <c r="C216" s="284" t="str">
        <f>_xlfn.CONCAT(_xlfn.XLOOKUP("[S08_ActivityDataIssuesDetail]["&amp;ROW(B216)-ROW($B$156)&amp;"][AnnexIActivity]",Submission!$O:$O,Submission!$H:$N,""))</f>
        <v/>
      </c>
      <c r="D216" s="285"/>
      <c r="E216" s="72" t="str">
        <f>_xlfn.CONCAT(_xlfn.XLOOKUP("[S08_ActivityDataIssuesDetail]["&amp;ROW(B216)-ROW($B$156)&amp;"][TypeOfIssue]",Submission!$O:$O,Submission!$H:$N,""))</f>
        <v/>
      </c>
      <c r="F216" s="106" t="str">
        <f>_xlfn.CONCAT(_xlfn.XLOOKUP("[S08_ActivityDataIssuesDetail]["&amp;ROW(B216)-ROW($B$156)&amp;"][NumberOfInstallations]",Submission!$O:$O,Submission!$H:$N,""))</f>
        <v/>
      </c>
      <c r="G216" s="106" t="str">
        <f>_xlfn.CONCAT(_xlfn.XLOOKUP("[S08_ActivityDataIssuesDetail]["&amp;ROW(B216)-ROW($B$156)&amp;"][NumberOfIssues]",Submission!$O:$O,Submission!$H:$N,""))</f>
        <v/>
      </c>
      <c r="H216" s="452" t="str">
        <f>_xlfn.CONCAT(_xlfn.XLOOKUP("[S08_ActivityDataIssuesDetail]["&amp;ROW(B216)-ROW($B$156)&amp;"][NumberOfInstallationsConEst]",Submission!$O:$O,Submission!$H:$N,""))</f>
        <v/>
      </c>
      <c r="I216" s="453"/>
    </row>
    <row r="217" spans="3:9" ht="54" hidden="1" customHeight="1" outlineLevel="1" x14ac:dyDescent="0.3">
      <c r="C217" s="284" t="str">
        <f>_xlfn.CONCAT(_xlfn.XLOOKUP("[S08_ActivityDataIssuesDetail]["&amp;ROW(B217)-ROW($B$156)&amp;"][AnnexIActivity]",Submission!$O:$O,Submission!$H:$N,""))</f>
        <v/>
      </c>
      <c r="D217" s="285"/>
      <c r="E217" s="72" t="str">
        <f>_xlfn.CONCAT(_xlfn.XLOOKUP("[S08_ActivityDataIssuesDetail]["&amp;ROW(B217)-ROW($B$156)&amp;"][TypeOfIssue]",Submission!$O:$O,Submission!$H:$N,""))</f>
        <v/>
      </c>
      <c r="F217" s="106" t="str">
        <f>_xlfn.CONCAT(_xlfn.XLOOKUP("[S08_ActivityDataIssuesDetail]["&amp;ROW(B217)-ROW($B$156)&amp;"][NumberOfInstallations]",Submission!$O:$O,Submission!$H:$N,""))</f>
        <v/>
      </c>
      <c r="G217" s="106" t="str">
        <f>_xlfn.CONCAT(_xlfn.XLOOKUP("[S08_ActivityDataIssuesDetail]["&amp;ROW(B217)-ROW($B$156)&amp;"][NumberOfIssues]",Submission!$O:$O,Submission!$H:$N,""))</f>
        <v/>
      </c>
      <c r="H217" s="452" t="str">
        <f>_xlfn.CONCAT(_xlfn.XLOOKUP("[S08_ActivityDataIssuesDetail]["&amp;ROW(B217)-ROW($B$156)&amp;"][NumberOfInstallationsConEst]",Submission!$O:$O,Submission!$H:$N,""))</f>
        <v/>
      </c>
      <c r="I217" s="453"/>
    </row>
    <row r="218" spans="3:9" ht="54" hidden="1" customHeight="1" outlineLevel="1" x14ac:dyDescent="0.3">
      <c r="C218" s="284" t="str">
        <f>_xlfn.CONCAT(_xlfn.XLOOKUP("[S08_ActivityDataIssuesDetail]["&amp;ROW(B218)-ROW($B$156)&amp;"][AnnexIActivity]",Submission!$O:$O,Submission!$H:$N,""))</f>
        <v/>
      </c>
      <c r="D218" s="285"/>
      <c r="E218" s="72" t="str">
        <f>_xlfn.CONCAT(_xlfn.XLOOKUP("[S08_ActivityDataIssuesDetail]["&amp;ROW(B218)-ROW($B$156)&amp;"][TypeOfIssue]",Submission!$O:$O,Submission!$H:$N,""))</f>
        <v/>
      </c>
      <c r="F218" s="106" t="str">
        <f>_xlfn.CONCAT(_xlfn.XLOOKUP("[S08_ActivityDataIssuesDetail]["&amp;ROW(B218)-ROW($B$156)&amp;"][NumberOfInstallations]",Submission!$O:$O,Submission!$H:$N,""))</f>
        <v/>
      </c>
      <c r="G218" s="106" t="str">
        <f>_xlfn.CONCAT(_xlfn.XLOOKUP("[S08_ActivityDataIssuesDetail]["&amp;ROW(B218)-ROW($B$156)&amp;"][NumberOfIssues]",Submission!$O:$O,Submission!$H:$N,""))</f>
        <v/>
      </c>
      <c r="H218" s="452" t="str">
        <f>_xlfn.CONCAT(_xlfn.XLOOKUP("[S08_ActivityDataIssuesDetail]["&amp;ROW(B218)-ROW($B$156)&amp;"][NumberOfInstallationsConEst]",Submission!$O:$O,Submission!$H:$N,""))</f>
        <v/>
      </c>
      <c r="I218" s="453"/>
    </row>
    <row r="219" spans="3:9" ht="54" hidden="1" customHeight="1" outlineLevel="1" x14ac:dyDescent="0.3">
      <c r="C219" s="284" t="str">
        <f>_xlfn.CONCAT(_xlfn.XLOOKUP("[S08_ActivityDataIssuesDetail]["&amp;ROW(B219)-ROW($B$156)&amp;"][AnnexIActivity]",Submission!$O:$O,Submission!$H:$N,""))</f>
        <v/>
      </c>
      <c r="D219" s="285"/>
      <c r="E219" s="72" t="str">
        <f>_xlfn.CONCAT(_xlfn.XLOOKUP("[S08_ActivityDataIssuesDetail]["&amp;ROW(B219)-ROW($B$156)&amp;"][TypeOfIssue]",Submission!$O:$O,Submission!$H:$N,""))</f>
        <v/>
      </c>
      <c r="F219" s="106" t="str">
        <f>_xlfn.CONCAT(_xlfn.XLOOKUP("[S08_ActivityDataIssuesDetail]["&amp;ROW(B219)-ROW($B$156)&amp;"][NumberOfInstallations]",Submission!$O:$O,Submission!$H:$N,""))</f>
        <v/>
      </c>
      <c r="G219" s="106" t="str">
        <f>_xlfn.CONCAT(_xlfn.XLOOKUP("[S08_ActivityDataIssuesDetail]["&amp;ROW(B219)-ROW($B$156)&amp;"][NumberOfIssues]",Submission!$O:$O,Submission!$H:$N,""))</f>
        <v/>
      </c>
      <c r="H219" s="452" t="str">
        <f>_xlfn.CONCAT(_xlfn.XLOOKUP("[S08_ActivityDataIssuesDetail]["&amp;ROW(B219)-ROW($B$156)&amp;"][NumberOfInstallationsConEst]",Submission!$O:$O,Submission!$H:$N,""))</f>
        <v/>
      </c>
      <c r="I219" s="453"/>
    </row>
    <row r="220" spans="3:9" ht="54" hidden="1" customHeight="1" outlineLevel="1" x14ac:dyDescent="0.3">
      <c r="C220" s="284" t="str">
        <f>_xlfn.CONCAT(_xlfn.XLOOKUP("[S08_ActivityDataIssuesDetail]["&amp;ROW(B220)-ROW($B$156)&amp;"][AnnexIActivity]",Submission!$O:$O,Submission!$H:$N,""))</f>
        <v/>
      </c>
      <c r="D220" s="285"/>
      <c r="E220" s="72" t="str">
        <f>_xlfn.CONCAT(_xlfn.XLOOKUP("[S08_ActivityDataIssuesDetail]["&amp;ROW(B220)-ROW($B$156)&amp;"][TypeOfIssue]",Submission!$O:$O,Submission!$H:$N,""))</f>
        <v/>
      </c>
      <c r="F220" s="106" t="str">
        <f>_xlfn.CONCAT(_xlfn.XLOOKUP("[S08_ActivityDataIssuesDetail]["&amp;ROW(B220)-ROW($B$156)&amp;"][NumberOfInstallations]",Submission!$O:$O,Submission!$H:$N,""))</f>
        <v/>
      </c>
      <c r="G220" s="106" t="str">
        <f>_xlfn.CONCAT(_xlfn.XLOOKUP("[S08_ActivityDataIssuesDetail]["&amp;ROW(B220)-ROW($B$156)&amp;"][NumberOfIssues]",Submission!$O:$O,Submission!$H:$N,""))</f>
        <v/>
      </c>
      <c r="H220" s="452" t="str">
        <f>_xlfn.CONCAT(_xlfn.XLOOKUP("[S08_ActivityDataIssuesDetail]["&amp;ROW(B220)-ROW($B$156)&amp;"][NumberOfInstallationsConEst]",Submission!$O:$O,Submission!$H:$N,""))</f>
        <v/>
      </c>
      <c r="I220" s="453"/>
    </row>
    <row r="221" spans="3:9" ht="54" hidden="1" customHeight="1" outlineLevel="1" x14ac:dyDescent="0.3">
      <c r="C221" s="284" t="str">
        <f>_xlfn.CONCAT(_xlfn.XLOOKUP("[S08_ActivityDataIssuesDetail]["&amp;ROW(B221)-ROW($B$156)&amp;"][AnnexIActivity]",Submission!$O:$O,Submission!$H:$N,""))</f>
        <v/>
      </c>
      <c r="D221" s="285"/>
      <c r="E221" s="72" t="str">
        <f>_xlfn.CONCAT(_xlfn.XLOOKUP("[S08_ActivityDataIssuesDetail]["&amp;ROW(B221)-ROW($B$156)&amp;"][TypeOfIssue]",Submission!$O:$O,Submission!$H:$N,""))</f>
        <v/>
      </c>
      <c r="F221" s="106" t="str">
        <f>_xlfn.CONCAT(_xlfn.XLOOKUP("[S08_ActivityDataIssuesDetail]["&amp;ROW(B221)-ROW($B$156)&amp;"][NumberOfInstallations]",Submission!$O:$O,Submission!$H:$N,""))</f>
        <v/>
      </c>
      <c r="G221" s="106" t="str">
        <f>_xlfn.CONCAT(_xlfn.XLOOKUP("[S08_ActivityDataIssuesDetail]["&amp;ROW(B221)-ROW($B$156)&amp;"][NumberOfIssues]",Submission!$O:$O,Submission!$H:$N,""))</f>
        <v/>
      </c>
      <c r="H221" s="452" t="str">
        <f>_xlfn.CONCAT(_xlfn.XLOOKUP("[S08_ActivityDataIssuesDetail]["&amp;ROW(B221)-ROW($B$156)&amp;"][NumberOfInstallationsConEst]",Submission!$O:$O,Submission!$H:$N,""))</f>
        <v/>
      </c>
      <c r="I221" s="453"/>
    </row>
    <row r="222" spans="3:9" ht="54" hidden="1" customHeight="1" outlineLevel="1" x14ac:dyDescent="0.3">
      <c r="C222" s="284" t="str">
        <f>_xlfn.CONCAT(_xlfn.XLOOKUP("[S08_ActivityDataIssuesDetail]["&amp;ROW(B222)-ROW($B$156)&amp;"][AnnexIActivity]",Submission!$O:$O,Submission!$H:$N,""))</f>
        <v/>
      </c>
      <c r="D222" s="285"/>
      <c r="E222" s="72" t="str">
        <f>_xlfn.CONCAT(_xlfn.XLOOKUP("[S08_ActivityDataIssuesDetail]["&amp;ROW(B222)-ROW($B$156)&amp;"][TypeOfIssue]",Submission!$O:$O,Submission!$H:$N,""))</f>
        <v/>
      </c>
      <c r="F222" s="106" t="str">
        <f>_xlfn.CONCAT(_xlfn.XLOOKUP("[S08_ActivityDataIssuesDetail]["&amp;ROW(B222)-ROW($B$156)&amp;"][NumberOfInstallations]",Submission!$O:$O,Submission!$H:$N,""))</f>
        <v/>
      </c>
      <c r="G222" s="106" t="str">
        <f>_xlfn.CONCAT(_xlfn.XLOOKUP("[S08_ActivityDataIssuesDetail]["&amp;ROW(B222)-ROW($B$156)&amp;"][NumberOfIssues]",Submission!$O:$O,Submission!$H:$N,""))</f>
        <v/>
      </c>
      <c r="H222" s="452" t="str">
        <f>_xlfn.CONCAT(_xlfn.XLOOKUP("[S08_ActivityDataIssuesDetail]["&amp;ROW(B222)-ROW($B$156)&amp;"][NumberOfInstallationsConEst]",Submission!$O:$O,Submission!$H:$N,""))</f>
        <v/>
      </c>
      <c r="I222" s="453"/>
    </row>
    <row r="223" spans="3:9" ht="54" hidden="1" customHeight="1" outlineLevel="1" x14ac:dyDescent="0.3">
      <c r="C223" s="284" t="str">
        <f>_xlfn.CONCAT(_xlfn.XLOOKUP("[S08_ActivityDataIssuesDetail]["&amp;ROW(B223)-ROW($B$156)&amp;"][AnnexIActivity]",Submission!$O:$O,Submission!$H:$N,""))</f>
        <v/>
      </c>
      <c r="D223" s="285"/>
      <c r="E223" s="72" t="str">
        <f>_xlfn.CONCAT(_xlfn.XLOOKUP("[S08_ActivityDataIssuesDetail]["&amp;ROW(B223)-ROW($B$156)&amp;"][TypeOfIssue]",Submission!$O:$O,Submission!$H:$N,""))</f>
        <v/>
      </c>
      <c r="F223" s="106" t="str">
        <f>_xlfn.CONCAT(_xlfn.XLOOKUP("[S08_ActivityDataIssuesDetail]["&amp;ROW(B223)-ROW($B$156)&amp;"][NumberOfInstallations]",Submission!$O:$O,Submission!$H:$N,""))</f>
        <v/>
      </c>
      <c r="G223" s="106" t="str">
        <f>_xlfn.CONCAT(_xlfn.XLOOKUP("[S08_ActivityDataIssuesDetail]["&amp;ROW(B223)-ROW($B$156)&amp;"][NumberOfIssues]",Submission!$O:$O,Submission!$H:$N,""))</f>
        <v/>
      </c>
      <c r="H223" s="452" t="str">
        <f>_xlfn.CONCAT(_xlfn.XLOOKUP("[S08_ActivityDataIssuesDetail]["&amp;ROW(B223)-ROW($B$156)&amp;"][NumberOfInstallationsConEst]",Submission!$O:$O,Submission!$H:$N,""))</f>
        <v/>
      </c>
      <c r="I223" s="453"/>
    </row>
    <row r="224" spans="3:9" ht="54" hidden="1" customHeight="1" outlineLevel="1" x14ac:dyDescent="0.3">
      <c r="C224" s="284" t="str">
        <f>_xlfn.CONCAT(_xlfn.XLOOKUP("[S08_ActivityDataIssuesDetail]["&amp;ROW(B224)-ROW($B$156)&amp;"][AnnexIActivity]",Submission!$O:$O,Submission!$H:$N,""))</f>
        <v/>
      </c>
      <c r="D224" s="285"/>
      <c r="E224" s="72" t="str">
        <f>_xlfn.CONCAT(_xlfn.XLOOKUP("[S08_ActivityDataIssuesDetail]["&amp;ROW(B224)-ROW($B$156)&amp;"][TypeOfIssue]",Submission!$O:$O,Submission!$H:$N,""))</f>
        <v/>
      </c>
      <c r="F224" s="106" t="str">
        <f>_xlfn.CONCAT(_xlfn.XLOOKUP("[S08_ActivityDataIssuesDetail]["&amp;ROW(B224)-ROW($B$156)&amp;"][NumberOfInstallations]",Submission!$O:$O,Submission!$H:$N,""))</f>
        <v/>
      </c>
      <c r="G224" s="106" t="str">
        <f>_xlfn.CONCAT(_xlfn.XLOOKUP("[S08_ActivityDataIssuesDetail]["&amp;ROW(B224)-ROW($B$156)&amp;"][NumberOfIssues]",Submission!$O:$O,Submission!$H:$N,""))</f>
        <v/>
      </c>
      <c r="H224" s="452" t="str">
        <f>_xlfn.CONCAT(_xlfn.XLOOKUP("[S08_ActivityDataIssuesDetail]["&amp;ROW(B224)-ROW($B$156)&amp;"][NumberOfInstallationsConEst]",Submission!$O:$O,Submission!$H:$N,""))</f>
        <v/>
      </c>
      <c r="I224" s="453"/>
    </row>
    <row r="225" spans="1:9" ht="54" hidden="1" customHeight="1" outlineLevel="1" x14ac:dyDescent="0.3">
      <c r="C225" s="284" t="str">
        <f>_xlfn.CONCAT(_xlfn.XLOOKUP("[S08_ActivityDataIssuesDetail]["&amp;ROW(B225)-ROW($B$156)&amp;"][AnnexIActivity]",Submission!$O:$O,Submission!$H:$N,""))</f>
        <v/>
      </c>
      <c r="D225" s="285"/>
      <c r="E225" s="72" t="str">
        <f>_xlfn.CONCAT(_xlfn.XLOOKUP("[S08_ActivityDataIssuesDetail]["&amp;ROW(B225)-ROW($B$156)&amp;"][TypeOfIssue]",Submission!$O:$O,Submission!$H:$N,""))</f>
        <v/>
      </c>
      <c r="F225" s="106" t="str">
        <f>_xlfn.CONCAT(_xlfn.XLOOKUP("[S08_ActivityDataIssuesDetail]["&amp;ROW(B225)-ROW($B$156)&amp;"][NumberOfInstallations]",Submission!$O:$O,Submission!$H:$N,""))</f>
        <v/>
      </c>
      <c r="G225" s="106" t="str">
        <f>_xlfn.CONCAT(_xlfn.XLOOKUP("[S08_ActivityDataIssuesDetail]["&amp;ROW(B225)-ROW($B$156)&amp;"][NumberOfIssues]",Submission!$O:$O,Submission!$H:$N,""))</f>
        <v/>
      </c>
      <c r="H225" s="452" t="str">
        <f>_xlfn.CONCAT(_xlfn.XLOOKUP("[S08_ActivityDataIssuesDetail]["&amp;ROW(B225)-ROW($B$156)&amp;"][NumberOfInstallationsConEst]",Submission!$O:$O,Submission!$H:$N,""))</f>
        <v/>
      </c>
      <c r="I225" s="453"/>
    </row>
    <row r="226" spans="1:9" ht="54" hidden="1" customHeight="1" outlineLevel="1" x14ac:dyDescent="0.3">
      <c r="C226" s="284" t="str">
        <f>_xlfn.CONCAT(_xlfn.XLOOKUP("[S08_ActivityDataIssuesDetail]["&amp;ROW(B226)-ROW($B$156)&amp;"][AnnexIActivity]",Submission!$O:$O,Submission!$H:$N,""))</f>
        <v/>
      </c>
      <c r="D226" s="285"/>
      <c r="E226" s="72" t="str">
        <f>_xlfn.CONCAT(_xlfn.XLOOKUP("[S08_ActivityDataIssuesDetail]["&amp;ROW(B226)-ROW($B$156)&amp;"][TypeOfIssue]",Submission!$O:$O,Submission!$H:$N,""))</f>
        <v/>
      </c>
      <c r="F226" s="106" t="str">
        <f>_xlfn.CONCAT(_xlfn.XLOOKUP("[S08_ActivityDataIssuesDetail]["&amp;ROW(B226)-ROW($B$156)&amp;"][NumberOfInstallations]",Submission!$O:$O,Submission!$H:$N,""))</f>
        <v/>
      </c>
      <c r="G226" s="106" t="str">
        <f>_xlfn.CONCAT(_xlfn.XLOOKUP("[S08_ActivityDataIssuesDetail]["&amp;ROW(B226)-ROW($B$156)&amp;"][NumberOfIssues]",Submission!$O:$O,Submission!$H:$N,""))</f>
        <v/>
      </c>
      <c r="H226" s="452" t="str">
        <f>_xlfn.CONCAT(_xlfn.XLOOKUP("[S08_ActivityDataIssuesDetail]["&amp;ROW(B226)-ROW($B$156)&amp;"][NumberOfInstallationsConEst]",Submission!$O:$O,Submission!$H:$N,""))</f>
        <v/>
      </c>
      <c r="I226" s="453"/>
    </row>
    <row r="227" spans="1:9" ht="54" hidden="1" customHeight="1" outlineLevel="1" x14ac:dyDescent="0.3">
      <c r="C227" s="284" t="str">
        <f>_xlfn.CONCAT(_xlfn.XLOOKUP("[S08_ActivityDataIssuesDetail]["&amp;ROW(B227)-ROW($B$156)&amp;"][AnnexIActivity]",Submission!$O:$O,Submission!$H:$N,""))</f>
        <v/>
      </c>
      <c r="D227" s="285"/>
      <c r="E227" s="72" t="str">
        <f>_xlfn.CONCAT(_xlfn.XLOOKUP("[S08_ActivityDataIssuesDetail]["&amp;ROW(B227)-ROW($B$156)&amp;"][TypeOfIssue]",Submission!$O:$O,Submission!$H:$N,""))</f>
        <v/>
      </c>
      <c r="F227" s="106" t="str">
        <f>_xlfn.CONCAT(_xlfn.XLOOKUP("[S08_ActivityDataIssuesDetail]["&amp;ROW(B227)-ROW($B$156)&amp;"][NumberOfInstallations]",Submission!$O:$O,Submission!$H:$N,""))</f>
        <v/>
      </c>
      <c r="G227" s="106" t="str">
        <f>_xlfn.CONCAT(_xlfn.XLOOKUP("[S08_ActivityDataIssuesDetail]["&amp;ROW(B227)-ROW($B$156)&amp;"][NumberOfIssues]",Submission!$O:$O,Submission!$H:$N,""))</f>
        <v/>
      </c>
      <c r="H227" s="452" t="str">
        <f>_xlfn.CONCAT(_xlfn.XLOOKUP("[S08_ActivityDataIssuesDetail]["&amp;ROW(B227)-ROW($B$156)&amp;"][NumberOfInstallationsConEst]",Submission!$O:$O,Submission!$H:$N,""))</f>
        <v/>
      </c>
      <c r="I227" s="453"/>
    </row>
    <row r="228" spans="1:9" ht="54" hidden="1" customHeight="1" outlineLevel="1" x14ac:dyDescent="0.3">
      <c r="C228" s="284" t="str">
        <f>_xlfn.CONCAT(_xlfn.XLOOKUP("[S08_ActivityDataIssuesDetail]["&amp;ROW(B228)-ROW($B$156)&amp;"][AnnexIActivity]",Submission!$O:$O,Submission!$H:$N,""))</f>
        <v/>
      </c>
      <c r="D228" s="285"/>
      <c r="E228" s="72" t="str">
        <f>_xlfn.CONCAT(_xlfn.XLOOKUP("[S08_ActivityDataIssuesDetail]["&amp;ROW(B228)-ROW($B$156)&amp;"][TypeOfIssue]",Submission!$O:$O,Submission!$H:$N,""))</f>
        <v/>
      </c>
      <c r="F228" s="106" t="str">
        <f>_xlfn.CONCAT(_xlfn.XLOOKUP("[S08_ActivityDataIssuesDetail]["&amp;ROW(B228)-ROW($B$156)&amp;"][NumberOfInstallations]",Submission!$O:$O,Submission!$H:$N,""))</f>
        <v/>
      </c>
      <c r="G228" s="106" t="str">
        <f>_xlfn.CONCAT(_xlfn.XLOOKUP("[S08_ActivityDataIssuesDetail]["&amp;ROW(B228)-ROW($B$156)&amp;"][NumberOfIssues]",Submission!$O:$O,Submission!$H:$N,""))</f>
        <v/>
      </c>
      <c r="H228" s="452" t="str">
        <f>_xlfn.CONCAT(_xlfn.XLOOKUP("[S08_ActivityDataIssuesDetail]["&amp;ROW(B228)-ROW($B$156)&amp;"][NumberOfInstallationsConEst]",Submission!$O:$O,Submission!$H:$N,""))</f>
        <v/>
      </c>
      <c r="I228" s="453"/>
    </row>
    <row r="229" spans="1:9" ht="54" hidden="1" customHeight="1" outlineLevel="1" x14ac:dyDescent="0.3">
      <c r="C229" s="284" t="str">
        <f>_xlfn.CONCAT(_xlfn.XLOOKUP("[S08_ActivityDataIssuesDetail]["&amp;ROW(B229)-ROW($B$156)&amp;"][AnnexIActivity]",Submission!$O:$O,Submission!$H:$N,""))</f>
        <v/>
      </c>
      <c r="D229" s="285"/>
      <c r="E229" s="72" t="str">
        <f>_xlfn.CONCAT(_xlfn.XLOOKUP("[S08_ActivityDataIssuesDetail]["&amp;ROW(B229)-ROW($B$156)&amp;"][TypeOfIssue]",Submission!$O:$O,Submission!$H:$N,""))</f>
        <v/>
      </c>
      <c r="F229" s="106" t="str">
        <f>_xlfn.CONCAT(_xlfn.XLOOKUP("[S08_ActivityDataIssuesDetail]["&amp;ROW(B229)-ROW($B$156)&amp;"][NumberOfInstallations]",Submission!$O:$O,Submission!$H:$N,""))</f>
        <v/>
      </c>
      <c r="G229" s="106" t="str">
        <f>_xlfn.CONCAT(_xlfn.XLOOKUP("[S08_ActivityDataIssuesDetail]["&amp;ROW(B229)-ROW($B$156)&amp;"][NumberOfIssues]",Submission!$O:$O,Submission!$H:$N,""))</f>
        <v/>
      </c>
      <c r="H229" s="452" t="str">
        <f>_xlfn.CONCAT(_xlfn.XLOOKUP("[S08_ActivityDataIssuesDetail]["&amp;ROW(B229)-ROW($B$156)&amp;"][NumberOfInstallationsConEst]",Submission!$O:$O,Submission!$H:$N,""))</f>
        <v/>
      </c>
      <c r="I229" s="453"/>
    </row>
    <row r="230" spans="1:9" ht="54" hidden="1" customHeight="1" outlineLevel="1" x14ac:dyDescent="0.3">
      <c r="C230" s="284" t="str">
        <f>_xlfn.CONCAT(_xlfn.XLOOKUP("[S08_ActivityDataIssuesDetail]["&amp;ROW(B230)-ROW($B$156)&amp;"][AnnexIActivity]",Submission!$O:$O,Submission!$H:$N,""))</f>
        <v/>
      </c>
      <c r="D230" s="285"/>
      <c r="E230" s="72" t="str">
        <f>_xlfn.CONCAT(_xlfn.XLOOKUP("[S08_ActivityDataIssuesDetail]["&amp;ROW(B230)-ROW($B$156)&amp;"][TypeOfIssue]",Submission!$O:$O,Submission!$H:$N,""))</f>
        <v/>
      </c>
      <c r="F230" s="106" t="str">
        <f>_xlfn.CONCAT(_xlfn.XLOOKUP("[S08_ActivityDataIssuesDetail]["&amp;ROW(B230)-ROW($B$156)&amp;"][NumberOfInstallations]",Submission!$O:$O,Submission!$H:$N,""))</f>
        <v/>
      </c>
      <c r="G230" s="106" t="str">
        <f>_xlfn.CONCAT(_xlfn.XLOOKUP("[S08_ActivityDataIssuesDetail]["&amp;ROW(B230)-ROW($B$156)&amp;"][NumberOfIssues]",Submission!$O:$O,Submission!$H:$N,""))</f>
        <v/>
      </c>
      <c r="H230" s="452" t="str">
        <f>_xlfn.CONCAT(_xlfn.XLOOKUP("[S08_ActivityDataIssuesDetail]["&amp;ROW(B230)-ROW($B$156)&amp;"][NumberOfInstallationsConEst]",Submission!$O:$O,Submission!$H:$N,""))</f>
        <v/>
      </c>
      <c r="I230" s="453"/>
    </row>
    <row r="231" spans="1:9" ht="54" hidden="1" customHeight="1" outlineLevel="1" x14ac:dyDescent="0.3">
      <c r="C231" s="284" t="str">
        <f>_xlfn.CONCAT(_xlfn.XLOOKUP("[S08_ActivityDataIssuesDetail]["&amp;ROW(B231)-ROW($B$156)&amp;"][AnnexIActivity]",Submission!$O:$O,Submission!$H:$N,""))</f>
        <v/>
      </c>
      <c r="D231" s="285"/>
      <c r="E231" s="72" t="str">
        <f>_xlfn.CONCAT(_xlfn.XLOOKUP("[S08_ActivityDataIssuesDetail]["&amp;ROW(B231)-ROW($B$156)&amp;"][TypeOfIssue]",Submission!$O:$O,Submission!$H:$N,""))</f>
        <v/>
      </c>
      <c r="F231" s="106" t="str">
        <f>_xlfn.CONCAT(_xlfn.XLOOKUP("[S08_ActivityDataIssuesDetail]["&amp;ROW(B231)-ROW($B$156)&amp;"][NumberOfInstallations]",Submission!$O:$O,Submission!$H:$N,""))</f>
        <v/>
      </c>
      <c r="G231" s="106" t="str">
        <f>_xlfn.CONCAT(_xlfn.XLOOKUP("[S08_ActivityDataIssuesDetail]["&amp;ROW(B231)-ROW($B$156)&amp;"][NumberOfIssues]",Submission!$O:$O,Submission!$H:$N,""))</f>
        <v/>
      </c>
      <c r="H231" s="452" t="str">
        <f>_xlfn.CONCAT(_xlfn.XLOOKUP("[S08_ActivityDataIssuesDetail]["&amp;ROW(B231)-ROW($B$156)&amp;"][NumberOfInstallationsConEst]",Submission!$O:$O,Submission!$H:$N,""))</f>
        <v/>
      </c>
      <c r="I231" s="453"/>
    </row>
    <row r="232" spans="1:9" ht="54" hidden="1" customHeight="1" outlineLevel="1" x14ac:dyDescent="0.3">
      <c r="C232" s="284" t="str">
        <f>_xlfn.CONCAT(_xlfn.XLOOKUP("[S08_ActivityDataIssuesDetail]["&amp;ROW(B232)-ROW($B$156)&amp;"][AnnexIActivity]",Submission!$O:$O,Submission!$H:$N,""))</f>
        <v/>
      </c>
      <c r="D232" s="285"/>
      <c r="E232" s="72" t="str">
        <f>_xlfn.CONCAT(_xlfn.XLOOKUP("[S08_ActivityDataIssuesDetail]["&amp;ROW(B232)-ROW($B$156)&amp;"][TypeOfIssue]",Submission!$O:$O,Submission!$H:$N,""))</f>
        <v/>
      </c>
      <c r="F232" s="106" t="str">
        <f>_xlfn.CONCAT(_xlfn.XLOOKUP("[S08_ActivityDataIssuesDetail]["&amp;ROW(B232)-ROW($B$156)&amp;"][NumberOfInstallations]",Submission!$O:$O,Submission!$H:$N,""))</f>
        <v/>
      </c>
      <c r="G232" s="106" t="str">
        <f>_xlfn.CONCAT(_xlfn.XLOOKUP("[S08_ActivityDataIssuesDetail]["&amp;ROW(B232)-ROW($B$156)&amp;"][NumberOfIssues]",Submission!$O:$O,Submission!$H:$N,""))</f>
        <v/>
      </c>
      <c r="H232" s="452" t="str">
        <f>_xlfn.CONCAT(_xlfn.XLOOKUP("[S08_ActivityDataIssuesDetail]["&amp;ROW(B232)-ROW($B$156)&amp;"][NumberOfInstallationsConEst]",Submission!$O:$O,Submission!$H:$N,""))</f>
        <v/>
      </c>
      <c r="I232" s="453"/>
    </row>
    <row r="233" spans="1:9" ht="54" hidden="1" customHeight="1" outlineLevel="1" x14ac:dyDescent="0.3">
      <c r="C233" s="284" t="str">
        <f>_xlfn.CONCAT(_xlfn.XLOOKUP("[S08_ActivityDataIssuesDetail]["&amp;ROW(B233)-ROW($B$156)&amp;"][AnnexIActivity]",Submission!$O:$O,Submission!$H:$N,""))</f>
        <v/>
      </c>
      <c r="D233" s="285"/>
      <c r="E233" s="72" t="str">
        <f>_xlfn.CONCAT(_xlfn.XLOOKUP("[S08_ActivityDataIssuesDetail]["&amp;ROW(B233)-ROW($B$156)&amp;"][TypeOfIssue]",Submission!$O:$O,Submission!$H:$N,""))</f>
        <v/>
      </c>
      <c r="F233" s="106" t="str">
        <f>_xlfn.CONCAT(_xlfn.XLOOKUP("[S08_ActivityDataIssuesDetail]["&amp;ROW(B233)-ROW($B$156)&amp;"][NumberOfInstallations]",Submission!$O:$O,Submission!$H:$N,""))</f>
        <v/>
      </c>
      <c r="G233" s="106" t="str">
        <f>_xlfn.CONCAT(_xlfn.XLOOKUP("[S08_ActivityDataIssuesDetail]["&amp;ROW(B233)-ROW($B$156)&amp;"][NumberOfIssues]",Submission!$O:$O,Submission!$H:$N,""))</f>
        <v/>
      </c>
      <c r="H233" s="452" t="str">
        <f>_xlfn.CONCAT(_xlfn.XLOOKUP("[S08_ActivityDataIssuesDetail]["&amp;ROW(B233)-ROW($B$156)&amp;"][NumberOfInstallationsConEst]",Submission!$O:$O,Submission!$H:$N,""))</f>
        <v/>
      </c>
      <c r="I233" s="453"/>
    </row>
    <row r="234" spans="1:9" ht="54" hidden="1" customHeight="1" outlineLevel="1" x14ac:dyDescent="0.3">
      <c r="C234" s="284" t="str">
        <f>_xlfn.CONCAT(_xlfn.XLOOKUP("[S08_ActivityDataIssuesDetail]["&amp;ROW(B234)-ROW($B$156)&amp;"][AnnexIActivity]",Submission!$O:$O,Submission!$H:$N,""))</f>
        <v/>
      </c>
      <c r="D234" s="285"/>
      <c r="E234" s="72" t="str">
        <f>_xlfn.CONCAT(_xlfn.XLOOKUP("[S08_ActivityDataIssuesDetail]["&amp;ROW(B234)-ROW($B$156)&amp;"][TypeOfIssue]",Submission!$O:$O,Submission!$H:$N,""))</f>
        <v/>
      </c>
      <c r="F234" s="106" t="str">
        <f>_xlfn.CONCAT(_xlfn.XLOOKUP("[S08_ActivityDataIssuesDetail]["&amp;ROW(B234)-ROW($B$156)&amp;"][NumberOfInstallations]",Submission!$O:$O,Submission!$H:$N,""))</f>
        <v/>
      </c>
      <c r="G234" s="106" t="str">
        <f>_xlfn.CONCAT(_xlfn.XLOOKUP("[S08_ActivityDataIssuesDetail]["&amp;ROW(B234)-ROW($B$156)&amp;"][NumberOfIssues]",Submission!$O:$O,Submission!$H:$N,""))</f>
        <v/>
      </c>
      <c r="H234" s="452" t="str">
        <f>_xlfn.CONCAT(_xlfn.XLOOKUP("[S08_ActivityDataIssuesDetail]["&amp;ROW(B234)-ROW($B$156)&amp;"][NumberOfInstallationsConEst]",Submission!$O:$O,Submission!$H:$N,""))</f>
        <v/>
      </c>
      <c r="I234" s="453"/>
    </row>
    <row r="235" spans="1:9" ht="54" hidden="1" customHeight="1" outlineLevel="1" x14ac:dyDescent="0.3">
      <c r="C235" s="284" t="str">
        <f>_xlfn.CONCAT(_xlfn.XLOOKUP("[S08_ActivityDataIssuesDetail]["&amp;ROW(B235)-ROW($B$156)&amp;"][AnnexIActivity]",Submission!$O:$O,Submission!$H:$N,""))</f>
        <v/>
      </c>
      <c r="D235" s="285"/>
      <c r="E235" s="72" t="str">
        <f>_xlfn.CONCAT(_xlfn.XLOOKUP("[S08_ActivityDataIssuesDetail]["&amp;ROW(B235)-ROW($B$156)&amp;"][TypeOfIssue]",Submission!$O:$O,Submission!$H:$N,""))</f>
        <v/>
      </c>
      <c r="F235" s="106" t="str">
        <f>_xlfn.CONCAT(_xlfn.XLOOKUP("[S08_ActivityDataIssuesDetail]["&amp;ROW(B235)-ROW($B$156)&amp;"][NumberOfInstallations]",Submission!$O:$O,Submission!$H:$N,""))</f>
        <v/>
      </c>
      <c r="G235" s="106" t="str">
        <f>_xlfn.CONCAT(_xlfn.XLOOKUP("[S08_ActivityDataIssuesDetail]["&amp;ROW(B235)-ROW($B$156)&amp;"][NumberOfIssues]",Submission!$O:$O,Submission!$H:$N,""))</f>
        <v/>
      </c>
      <c r="H235" s="452" t="str">
        <f>_xlfn.CONCAT(_xlfn.XLOOKUP("[S08_ActivityDataIssuesDetail]["&amp;ROW(B235)-ROW($B$156)&amp;"][NumberOfInstallationsConEst]",Submission!$O:$O,Submission!$H:$N,""))</f>
        <v/>
      </c>
      <c r="I235" s="453"/>
    </row>
    <row r="236" spans="1:9" ht="54" hidden="1" customHeight="1" outlineLevel="1" x14ac:dyDescent="0.3">
      <c r="C236" s="284" t="str">
        <f>_xlfn.CONCAT(_xlfn.XLOOKUP("[S08_ActivityDataIssuesDetail]["&amp;ROW(B236)-ROW($B$156)&amp;"][AnnexIActivity]",Submission!$O:$O,Submission!$H:$N,""))</f>
        <v/>
      </c>
      <c r="D236" s="285"/>
      <c r="E236" s="72" t="str">
        <f>_xlfn.CONCAT(_xlfn.XLOOKUP("[S08_ActivityDataIssuesDetail]["&amp;ROW(B236)-ROW($B$156)&amp;"][TypeOfIssue]",Submission!$O:$O,Submission!$H:$N,""))</f>
        <v/>
      </c>
      <c r="F236" s="106" t="str">
        <f>_xlfn.CONCAT(_xlfn.XLOOKUP("[S08_ActivityDataIssuesDetail]["&amp;ROW(B236)-ROW($B$156)&amp;"][NumberOfInstallations]",Submission!$O:$O,Submission!$H:$N,""))</f>
        <v/>
      </c>
      <c r="G236" s="106" t="str">
        <f>_xlfn.CONCAT(_xlfn.XLOOKUP("[S08_ActivityDataIssuesDetail]["&amp;ROW(B236)-ROW($B$156)&amp;"][NumberOfIssues]",Submission!$O:$O,Submission!$H:$N,""))</f>
        <v/>
      </c>
      <c r="H236" s="452" t="str">
        <f>_xlfn.CONCAT(_xlfn.XLOOKUP("[S08_ActivityDataIssuesDetail]["&amp;ROW(B236)-ROW($B$156)&amp;"][NumberOfInstallationsConEst]",Submission!$O:$O,Submission!$H:$N,""))</f>
        <v/>
      </c>
      <c r="I236" s="453"/>
    </row>
    <row r="237" spans="1:9" collapsed="1" x14ac:dyDescent="0.3">
      <c r="B237" s="26" t="s">
        <v>1000</v>
      </c>
    </row>
    <row r="238" spans="1:9" ht="27.6" customHeight="1" x14ac:dyDescent="0.3">
      <c r="C238" s="464" t="s">
        <v>1205</v>
      </c>
      <c r="D238" s="464"/>
      <c r="E238" s="464"/>
      <c r="F238" s="464"/>
      <c r="G238" s="464"/>
      <c r="H238" s="464"/>
      <c r="I238" s="464"/>
    </row>
    <row r="240" spans="1:9" ht="18" customHeight="1" x14ac:dyDescent="0.3">
      <c r="A240" s="12" t="s">
        <v>518</v>
      </c>
      <c r="B240" s="293" t="s">
        <v>1206</v>
      </c>
      <c r="C240" s="294"/>
      <c r="D240" s="294"/>
      <c r="E240" s="294"/>
      <c r="F240" s="294"/>
      <c r="G240" s="294"/>
      <c r="H240" s="295"/>
      <c r="I240" s="41" t="str">
        <f>_xlfn.CONCAT(_xlfn.XLOOKUP("[ActivityReportRejected][0][ActivityReportRejected]",Submission!$O:$O,Submission!$H:$N,""))</f>
        <v>No</v>
      </c>
    </row>
    <row r="241" spans="1:9" ht="17.399999999999999" customHeight="1" x14ac:dyDescent="0.3">
      <c r="B241" s="465" t="s">
        <v>1207</v>
      </c>
      <c r="C241" s="465"/>
      <c r="D241" s="465"/>
      <c r="E241" s="465"/>
      <c r="F241" s="465"/>
      <c r="G241" s="465"/>
      <c r="H241" s="465"/>
      <c r="I241" s="465"/>
    </row>
    <row r="242" spans="1:9" x14ac:dyDescent="0.3">
      <c r="C242" s="489" t="s">
        <v>519</v>
      </c>
      <c r="D242" s="490"/>
      <c r="E242" s="490"/>
      <c r="F242" s="490"/>
      <c r="G242" s="490"/>
      <c r="H242" s="490"/>
      <c r="I242" s="491"/>
    </row>
    <row r="243" spans="1:9" s="58" customFormat="1" ht="48" customHeight="1" x14ac:dyDescent="0.3">
      <c r="A243" s="75"/>
      <c r="C243" s="246" t="s">
        <v>1208</v>
      </c>
      <c r="D243" s="263"/>
      <c r="E243" s="264"/>
      <c r="F243" s="341" t="str">
        <f>_xlfn.CONCAT(_xlfn.XLOOKUP("[S08_ActivityReportRejectedDetail][1][NumberActivityReportRejected]",Submission!$O:$O,Submission!$H:$N,""))</f>
        <v>0</v>
      </c>
      <c r="G243" s="356"/>
      <c r="H243" s="496"/>
      <c r="I243" s="497"/>
    </row>
    <row r="244" spans="1:9" s="58" customFormat="1" ht="48" customHeight="1" x14ac:dyDescent="0.3">
      <c r="A244" s="75"/>
      <c r="C244" s="246" t="s">
        <v>1209</v>
      </c>
      <c r="D244" s="263"/>
      <c r="E244" s="264"/>
      <c r="F244" s="341" t="str">
        <f>_xlfn.CONCAT(_xlfn.XLOOKUP("[S08_ActivityReportRejectedDetail][2][NumberActivityReportRejected]",Submission!$O:$O,Submission!$H:$N,""))</f>
        <v>0</v>
      </c>
      <c r="G244" s="356"/>
      <c r="H244" s="341" t="str">
        <f>_xlfn.CONCAT(_xlfn.XLOOKUP("[S08_ActivityReportRejectedDetail][2][ReasonForRejection]",Submission!$O:$O,Submission!$H:$N,""))</f>
        <v/>
      </c>
      <c r="I244" s="356"/>
    </row>
    <row r="245" spans="1:9" s="58" customFormat="1" ht="48" customHeight="1" x14ac:dyDescent="0.3">
      <c r="A245" s="75"/>
      <c r="C245" s="246" t="s">
        <v>1210</v>
      </c>
      <c r="D245" s="263"/>
      <c r="E245" s="264"/>
      <c r="F245" s="284" t="str">
        <f>_xlfn.CONCAT(_xlfn.XLOOKUP("[S08_ActivityReportRejectedDetail][3][ActionsTaken]",Submission!$O:$O,Submission!$H:$N,""))</f>
        <v>NA</v>
      </c>
      <c r="G245" s="348"/>
      <c r="H245" s="348"/>
      <c r="I245" s="285"/>
    </row>
    <row r="246" spans="1:9" s="58" customFormat="1" ht="48" customHeight="1" x14ac:dyDescent="0.3">
      <c r="A246" s="75"/>
      <c r="C246" s="246" t="s">
        <v>1211</v>
      </c>
      <c r="D246" s="263"/>
      <c r="E246" s="264"/>
      <c r="F246" s="284" t="str">
        <f>_xlfn.CONCAT(_xlfn.XLOOKUP("[S08_ActivityReportRejectedDetail][4][ActionsTaken]",Submission!$O:$O,Submission!$H:$N,""))</f>
        <v>For some ALC reports, the competent authority requested corrections and additions from the operator.</v>
      </c>
      <c r="G246" s="348"/>
      <c r="H246" s="348"/>
      <c r="I246" s="285"/>
    </row>
    <row r="248" spans="1:9" ht="17.399999999999999" customHeight="1" x14ac:dyDescent="0.3">
      <c r="A248" s="12" t="s">
        <v>521</v>
      </c>
      <c r="B248" s="293" t="s">
        <v>1212</v>
      </c>
      <c r="C248" s="294"/>
      <c r="D248" s="294"/>
      <c r="E248" s="294"/>
      <c r="F248" s="294"/>
      <c r="G248" s="294"/>
      <c r="H248" s="295"/>
      <c r="I248" s="41" t="str">
        <f>_xlfn.CONCAT(_xlfn.XLOOKUP("[ActivityLevelVisitsWaived][0][ActivityLevelVisitsWaived]",Submission!$O:$O,Submission!$H:$N,""))</f>
        <v>No</v>
      </c>
    </row>
    <row r="249" spans="1:9" ht="16.95" customHeight="1" x14ac:dyDescent="0.3">
      <c r="B249" s="465" t="s">
        <v>1213</v>
      </c>
      <c r="C249" s="465"/>
      <c r="D249" s="465"/>
      <c r="E249" s="465"/>
      <c r="F249" s="465"/>
      <c r="G249" s="465"/>
      <c r="H249" s="465"/>
      <c r="I249" s="465"/>
    </row>
    <row r="250" spans="1:9" x14ac:dyDescent="0.3">
      <c r="C250" s="444" t="s">
        <v>1214</v>
      </c>
      <c r="D250" s="445"/>
      <c r="E250" s="445"/>
      <c r="F250" s="446"/>
      <c r="G250" s="444" t="s">
        <v>1045</v>
      </c>
      <c r="H250" s="445"/>
      <c r="I250" s="446"/>
    </row>
    <row r="251" spans="1:9" s="58" customFormat="1" ht="20.399999999999999" customHeight="1" x14ac:dyDescent="0.3">
      <c r="A251" s="75"/>
      <c r="C251" s="461" t="s">
        <v>1744</v>
      </c>
      <c r="D251" s="462"/>
      <c r="E251" s="462"/>
      <c r="F251" s="463"/>
      <c r="G251" s="452" t="str">
        <f>_xlfn.CONCAT(_xlfn.XLOOKUP("[S08_ActivityLevelVisitsWaivedDetail][1][NumberOfInstallations]",Submission!$O:$O,Submission!$H:$N,""))</f>
        <v/>
      </c>
      <c r="H251" s="509"/>
      <c r="I251" s="453"/>
    </row>
    <row r="252" spans="1:9" s="58" customFormat="1" ht="20.399999999999999" customHeight="1" x14ac:dyDescent="0.3">
      <c r="A252" s="75"/>
      <c r="C252" s="461" t="s">
        <v>1745</v>
      </c>
      <c r="D252" s="462"/>
      <c r="E252" s="462"/>
      <c r="F252" s="463"/>
      <c r="G252" s="452" t="str">
        <f>_xlfn.CONCAT(_xlfn.XLOOKUP("[S08_ActivityLevelVisitsWaivedDetail][2][NumberOfInstallations]",Submission!$O:$O,Submission!$H:$N,""))</f>
        <v/>
      </c>
      <c r="H252" s="509"/>
      <c r="I252" s="453"/>
    </row>
    <row r="253" spans="1:9" s="58" customFormat="1" ht="20.399999999999999" customHeight="1" x14ac:dyDescent="0.3">
      <c r="A253" s="75"/>
      <c r="C253" s="461" t="s">
        <v>1746</v>
      </c>
      <c r="D253" s="462"/>
      <c r="E253" s="462"/>
      <c r="F253" s="463"/>
      <c r="G253" s="452" t="str">
        <f>_xlfn.CONCAT(_xlfn.XLOOKUP("[S08_ActivityLevelVisitsWaivedDetail][3][NumberOfInstallations]",Submission!$O:$O,Submission!$H:$N,""))</f>
        <v/>
      </c>
      <c r="H253" s="509"/>
      <c r="I253" s="453"/>
    </row>
    <row r="254" spans="1:9" s="58" customFormat="1" ht="20.399999999999999" customHeight="1" x14ac:dyDescent="0.3">
      <c r="A254" s="75"/>
      <c r="C254" s="461" t="s">
        <v>1747</v>
      </c>
      <c r="D254" s="462"/>
      <c r="E254" s="462"/>
      <c r="F254" s="463"/>
      <c r="G254" s="452" t="str">
        <f>_xlfn.CONCAT(_xlfn.XLOOKUP("[S08_ActivityLevelVisitsWaivedDetail][4][NumberOfInstallations]",Submission!$O:$O,Submission!$H:$N,""))</f>
        <v/>
      </c>
      <c r="H254" s="509"/>
      <c r="I254" s="453"/>
    </row>
    <row r="255" spans="1:9" s="58" customFormat="1" ht="20.399999999999999" customHeight="1" x14ac:dyDescent="0.3">
      <c r="A255" s="75"/>
      <c r="C255" s="461" t="s">
        <v>1748</v>
      </c>
      <c r="D255" s="462"/>
      <c r="E255" s="462"/>
      <c r="F255" s="463"/>
      <c r="G255" s="452" t="str">
        <f>_xlfn.CONCAT(_xlfn.XLOOKUP("[S08_ActivityLevelVisitsWaivedDetail][5][NumberOfInstallations]",Submission!$O:$O,Submission!$H:$N,""))</f>
        <v/>
      </c>
      <c r="H255" s="509"/>
      <c r="I255" s="453"/>
    </row>
    <row r="256" spans="1:9" x14ac:dyDescent="0.3">
      <c r="C256" s="464" t="s">
        <v>1215</v>
      </c>
      <c r="D256" s="464"/>
      <c r="E256" s="464"/>
      <c r="F256" s="464"/>
      <c r="G256" s="464"/>
      <c r="H256" s="464"/>
      <c r="I256" s="464"/>
    </row>
    <row r="258" spans="1:9" ht="31.2" customHeight="1" x14ac:dyDescent="0.3">
      <c r="A258" s="12" t="s">
        <v>528</v>
      </c>
      <c r="B258" s="293" t="s">
        <v>1216</v>
      </c>
      <c r="C258" s="294"/>
      <c r="D258" s="294"/>
      <c r="E258" s="294"/>
      <c r="F258" s="294"/>
      <c r="G258" s="294"/>
      <c r="H258" s="295"/>
      <c r="I258" s="41" t="str">
        <f>_xlfn.CONCAT(_xlfn.XLOOKUP("[VirtualVisitsActivityLevel][0][VirtualVisitsActivityLevel]",Submission!$O:$O,Submission!$H:$N,""))</f>
        <v>No</v>
      </c>
    </row>
    <row r="259" spans="1:9" ht="15.9" customHeight="1" x14ac:dyDescent="0.3">
      <c r="B259" s="293" t="s">
        <v>1070</v>
      </c>
      <c r="C259" s="294"/>
      <c r="D259" s="294"/>
      <c r="E259" s="294"/>
      <c r="F259" s="294"/>
      <c r="G259" s="294"/>
      <c r="H259" s="294"/>
      <c r="I259" s="294"/>
    </row>
    <row r="260" spans="1:9" ht="15.9" customHeight="1" x14ac:dyDescent="0.3">
      <c r="B260" s="15" t="s">
        <v>8</v>
      </c>
      <c r="C260" s="310" t="s">
        <v>1217</v>
      </c>
      <c r="D260" s="310"/>
      <c r="E260" s="310"/>
      <c r="F260" s="310"/>
      <c r="G260" s="310"/>
      <c r="H260" s="310"/>
      <c r="I260" s="310"/>
    </row>
    <row r="261" spans="1:9" ht="15.9" customHeight="1" x14ac:dyDescent="0.3">
      <c r="B261" s="15" t="s">
        <v>8</v>
      </c>
      <c r="C261" s="310" t="s">
        <v>1218</v>
      </c>
      <c r="D261" s="310"/>
      <c r="E261" s="310"/>
      <c r="F261" s="310"/>
      <c r="G261" s="310"/>
      <c r="H261" s="310"/>
      <c r="I261" s="310"/>
    </row>
    <row r="262" spans="1:9" ht="15.9" customHeight="1" x14ac:dyDescent="0.3">
      <c r="B262" s="15" t="s">
        <v>8</v>
      </c>
      <c r="C262" s="314" t="s">
        <v>1073</v>
      </c>
      <c r="D262" s="314"/>
      <c r="E262" s="314"/>
      <c r="F262" s="314"/>
      <c r="G262" s="314"/>
      <c r="H262" s="314"/>
      <c r="I262" s="314"/>
    </row>
    <row r="263" spans="1:9" ht="28.95" customHeight="1" x14ac:dyDescent="0.3">
      <c r="B263" s="11"/>
      <c r="C263" s="42" t="s">
        <v>1074</v>
      </c>
      <c r="D263" s="303" t="s">
        <v>1075</v>
      </c>
      <c r="E263" s="305"/>
      <c r="F263" s="303" t="s">
        <v>1219</v>
      </c>
      <c r="G263" s="305"/>
      <c r="H263" s="303" t="s">
        <v>1220</v>
      </c>
      <c r="I263" s="305"/>
    </row>
    <row r="264" spans="1:9" ht="27.6" customHeight="1" x14ac:dyDescent="0.3">
      <c r="B264" s="11"/>
      <c r="C264" s="91" t="str">
        <f>_xlfn.CONCAT(_xlfn.XLOOKUP("[S08_VirtualVisitsActivityLevelDetail][1][TypeForceMajeur]",Submission!$O:$O,Submission!$H:$N,""))</f>
        <v/>
      </c>
      <c r="D264" s="322" t="str">
        <f>_xlfn.CONCAT(_xlfn.XLOOKUP("[S08_VirtualVisitsActivityLevelDetail][1][NumberOfInstallationsVV]",Submission!$O:$O,Submission!$H:$N,""))</f>
        <v/>
      </c>
      <c r="E264" s="324"/>
      <c r="F264" s="412" t="str">
        <f>_xlfn.CONCAT(_xlfn.XLOOKUP("[S08_VirtualVisitsActivityLevelDetail][1][AuthorityApproval]",Submission!$O:$O,Submission!$H:$N,""))</f>
        <v/>
      </c>
      <c r="G264" s="414"/>
      <c r="H264" s="412" t="str">
        <f>_xlfn.CONCAT(_xlfn.XLOOKUP("[S08_VirtualVisitsActivityLevelDetail][1][ConfirmationConditionsMet]",Submission!$O:$O,Submission!$H:$N,""))</f>
        <v/>
      </c>
      <c r="I264" s="414"/>
    </row>
    <row r="265" spans="1:9" ht="27.6" customHeight="1" x14ac:dyDescent="0.3">
      <c r="B265" s="11"/>
      <c r="C265" s="91" t="str">
        <f>_xlfn.CONCAT(_xlfn.XLOOKUP("[S08_VirtualVisitsActivityLevelDetail][2][TypeForceMajeur]",Submission!$O:$O,Submission!$H:$N,""))</f>
        <v/>
      </c>
      <c r="D265" s="322" t="str">
        <f>_xlfn.CONCAT(_xlfn.XLOOKUP("[S08_VirtualVisitsActivityLevelDetail][2][NumberOfInstallationsVV]",Submission!$O:$O,Submission!$H:$N,""))</f>
        <v/>
      </c>
      <c r="E265" s="324"/>
      <c r="F265" s="412" t="str">
        <f>_xlfn.CONCAT(_xlfn.XLOOKUP("[S08_VirtualVisitsActivityLevelDetail][2][AuthorityApproval]",Submission!$O:$O,Submission!$H:$N,""))</f>
        <v/>
      </c>
      <c r="G265" s="414"/>
      <c r="H265" s="412" t="str">
        <f>_xlfn.CONCAT(_xlfn.XLOOKUP("[S08_VirtualVisitsActivityLevelDetail][2][ConfirmationConditionsMet]",Submission!$O:$O,Submission!$H:$N,""))</f>
        <v/>
      </c>
      <c r="I265" s="414"/>
    </row>
    <row r="266" spans="1:9" ht="27.6" customHeight="1" x14ac:dyDescent="0.3">
      <c r="B266" s="11"/>
      <c r="C266" s="91" t="str">
        <f>_xlfn.CONCAT(_xlfn.XLOOKUP("[S08_VirtualVisitsActivityLevelDetail][3][TypeForceMajeur]",Submission!$O:$O,Submission!$H:$N,""))</f>
        <v/>
      </c>
      <c r="D266" s="322" t="str">
        <f>_xlfn.CONCAT(_xlfn.XLOOKUP("[S08_VirtualVisitsActivityLevelDetail][3][NumberOfInstallationsVV]",Submission!$O:$O,Submission!$H:$N,""))</f>
        <v/>
      </c>
      <c r="E266" s="324"/>
      <c r="F266" s="412" t="str">
        <f>_xlfn.CONCAT(_xlfn.XLOOKUP("[S08_VirtualVisitsActivityLevelDetail][3][AuthorityApproval]",Submission!$O:$O,Submission!$H:$N,""))</f>
        <v/>
      </c>
      <c r="G266" s="414"/>
      <c r="H266" s="412" t="str">
        <f>_xlfn.CONCAT(_xlfn.XLOOKUP("[S08_VirtualVisitsActivityLevelDetail][3][ConfirmationConditionsMet]",Submission!$O:$O,Submission!$H:$N,""))</f>
        <v/>
      </c>
      <c r="I266" s="414"/>
    </row>
    <row r="267" spans="1:9" ht="27.6" customHeight="1" x14ac:dyDescent="0.3">
      <c r="B267" s="11"/>
      <c r="C267" s="91" t="str">
        <f>_xlfn.CONCAT(_xlfn.XLOOKUP("[S08_VirtualVisitsActivityLevelDetail][4][TypeForceMajeur]",Submission!$O:$O,Submission!$H:$N,""))</f>
        <v/>
      </c>
      <c r="D267" s="322" t="str">
        <f>_xlfn.CONCAT(_xlfn.XLOOKUP("[S08_VirtualVisitsActivityLevelDetail][4][NumberOfInstallationsVV]",Submission!$O:$O,Submission!$H:$N,""))</f>
        <v/>
      </c>
      <c r="E267" s="324"/>
      <c r="F267" s="412" t="str">
        <f>_xlfn.CONCAT(_xlfn.XLOOKUP("[S08_VirtualVisitsActivityLevelDetail][4][AuthorityApproval]",Submission!$O:$O,Submission!$H:$N,""))</f>
        <v/>
      </c>
      <c r="G267" s="414"/>
      <c r="H267" s="412" t="str">
        <f>_xlfn.CONCAT(_xlfn.XLOOKUP("[S08_VirtualVisitsActivityLevelDetail][4][ConfirmationConditionsMet]",Submission!$O:$O,Submission!$H:$N,""))</f>
        <v/>
      </c>
      <c r="I267" s="414"/>
    </row>
    <row r="268" spans="1:9" ht="27.6" hidden="1" customHeight="1" outlineLevel="1" x14ac:dyDescent="0.3">
      <c r="B268" s="11"/>
      <c r="C268" s="91" t="str">
        <f>_xlfn.CONCAT(_xlfn.XLOOKUP("[S08_VirtualVisitsActivityLevelDetail][5][TypeForceMajeur]",Submission!$O:$O,Submission!$H:$N,""))</f>
        <v/>
      </c>
      <c r="D268" s="322" t="str">
        <f>_xlfn.CONCAT(_xlfn.XLOOKUP("[S08_VirtualVisitsActivityLevelDetail][5][NumberOfInstallationsVV]",Submission!$O:$O,Submission!$H:$N,""))</f>
        <v/>
      </c>
      <c r="E268" s="324"/>
      <c r="F268" s="412" t="str">
        <f>_xlfn.CONCAT(_xlfn.XLOOKUP("[S08_VirtualVisitsActivityLevelDetail][5][AuthorityApproval]",Submission!$O:$O,Submission!$H:$N,""))</f>
        <v/>
      </c>
      <c r="G268" s="414"/>
      <c r="H268" s="412" t="str">
        <f>_xlfn.CONCAT(_xlfn.XLOOKUP("[S08_VirtualVisitsActivityLevelDetail][5][ConfirmationConditionsMet]",Submission!$O:$O,Submission!$H:$N,""))</f>
        <v/>
      </c>
      <c r="I268" s="414"/>
    </row>
    <row r="269" spans="1:9" ht="27.6" hidden="1" customHeight="1" outlineLevel="1" x14ac:dyDescent="0.3">
      <c r="B269" s="11"/>
      <c r="C269" s="91" t="str">
        <f>_xlfn.CONCAT(_xlfn.XLOOKUP("[S08_VirtualVisitsActivityLevelDetail][6][TypeForceMajeur]",Submission!$O:$O,Submission!$H:$N,""))</f>
        <v/>
      </c>
      <c r="D269" s="322" t="str">
        <f>_xlfn.CONCAT(_xlfn.XLOOKUP("[S08_VirtualVisitsActivityLevelDetail][6][NumberOfInstallationsVV]",Submission!$O:$O,Submission!$H:$N,""))</f>
        <v/>
      </c>
      <c r="E269" s="324"/>
      <c r="F269" s="412" t="str">
        <f>_xlfn.CONCAT(_xlfn.XLOOKUP("[S08_VirtualVisitsActivityLevelDetail][6][AuthorityApproval]",Submission!$O:$O,Submission!$H:$N,""))</f>
        <v/>
      </c>
      <c r="G269" s="414"/>
      <c r="H269" s="412" t="str">
        <f>_xlfn.CONCAT(_xlfn.XLOOKUP("[S08_VirtualVisitsActivityLevelDetail][6][ConfirmationConditionsMet]",Submission!$O:$O,Submission!$H:$N,""))</f>
        <v/>
      </c>
      <c r="I269" s="414"/>
    </row>
    <row r="270" spans="1:9" ht="27.6" hidden="1" customHeight="1" outlineLevel="1" x14ac:dyDescent="0.3">
      <c r="B270" s="11"/>
      <c r="C270" s="91" t="str">
        <f>_xlfn.CONCAT(_xlfn.XLOOKUP("[S08_VirtualVisitsActivityLevelDetail][7][TypeForceMajeur]",Submission!$O:$O,Submission!$H:$N,""))</f>
        <v/>
      </c>
      <c r="D270" s="322" t="str">
        <f>_xlfn.CONCAT(_xlfn.XLOOKUP("[S08_VirtualVisitsActivityLevelDetail][7][NumberOfInstallationsVV]",Submission!$O:$O,Submission!$H:$N,""))</f>
        <v/>
      </c>
      <c r="E270" s="324"/>
      <c r="F270" s="412" t="str">
        <f>_xlfn.CONCAT(_xlfn.XLOOKUP("[S08_VirtualVisitsActivityLevelDetail][7][AuthorityApproval]",Submission!$O:$O,Submission!$H:$N,""))</f>
        <v/>
      </c>
      <c r="G270" s="414"/>
      <c r="H270" s="412" t="str">
        <f>_xlfn.CONCAT(_xlfn.XLOOKUP("[S08_VirtualVisitsActivityLevelDetail][7][ConfirmationConditionsMet]",Submission!$O:$O,Submission!$H:$N,""))</f>
        <v/>
      </c>
      <c r="I270" s="414"/>
    </row>
    <row r="271" spans="1:9" ht="27.6" hidden="1" customHeight="1" outlineLevel="1" x14ac:dyDescent="0.3">
      <c r="B271" s="11"/>
      <c r="C271" s="91" t="str">
        <f>_xlfn.CONCAT(_xlfn.XLOOKUP("[S08_VirtualVisitsActivityLevelDetail][8][TypeForceMajeur]",Submission!$O:$O,Submission!$H:$N,""))</f>
        <v/>
      </c>
      <c r="D271" s="322" t="str">
        <f>_xlfn.CONCAT(_xlfn.XLOOKUP("[S08_VirtualVisitsActivityLevelDetail][8][NumberOfInstallationsVV]",Submission!$O:$O,Submission!$H:$N,""))</f>
        <v/>
      </c>
      <c r="E271" s="324"/>
      <c r="F271" s="412" t="str">
        <f>_xlfn.CONCAT(_xlfn.XLOOKUP("[S08_VirtualVisitsActivityLevelDetail][8][AuthorityApproval]",Submission!$O:$O,Submission!$H:$N,""))</f>
        <v/>
      </c>
      <c r="G271" s="414"/>
      <c r="H271" s="412" t="str">
        <f>_xlfn.CONCAT(_xlfn.XLOOKUP("[S08_VirtualVisitsActivityLevelDetail][8][ConfirmationConditionsMet]",Submission!$O:$O,Submission!$H:$N,""))</f>
        <v/>
      </c>
      <c r="I271" s="414"/>
    </row>
    <row r="272" spans="1:9" ht="27.6" hidden="1" customHeight="1" outlineLevel="1" x14ac:dyDescent="0.3">
      <c r="B272" s="11"/>
      <c r="C272" s="91" t="str">
        <f>_xlfn.CONCAT(_xlfn.XLOOKUP("[S08_VirtualVisitsActivityLevelDetail][9][TypeForceMajeur]",Submission!$O:$O,Submission!$H:$N,""))</f>
        <v/>
      </c>
      <c r="D272" s="322" t="str">
        <f>_xlfn.CONCAT(_xlfn.XLOOKUP("[S08_VirtualVisitsActivityLevelDetail][9][NumberOfInstallationsVV]",Submission!$O:$O,Submission!$H:$N,""))</f>
        <v/>
      </c>
      <c r="E272" s="324"/>
      <c r="F272" s="412" t="str">
        <f>_xlfn.CONCAT(_xlfn.XLOOKUP("[S08_VirtualVisitsActivityLevelDetail][9][AuthorityApproval]",Submission!$O:$O,Submission!$H:$N,""))</f>
        <v/>
      </c>
      <c r="G272" s="414"/>
      <c r="H272" s="412" t="str">
        <f>_xlfn.CONCAT(_xlfn.XLOOKUP("[S08_VirtualVisitsActivityLevelDetail][9][ConfirmationConditionsMet]",Submission!$O:$O,Submission!$H:$N,""))</f>
        <v/>
      </c>
      <c r="I272" s="414"/>
    </row>
    <row r="273" spans="1:10" ht="27.6" hidden="1" customHeight="1" outlineLevel="1" x14ac:dyDescent="0.3">
      <c r="B273" s="11"/>
      <c r="C273" s="91" t="str">
        <f>_xlfn.CONCAT(_xlfn.XLOOKUP("[S08_VirtualVisitsActivityLevelDetail][10][TypeForceMajeur]",Submission!$O:$O,Submission!$H:$N,""))</f>
        <v/>
      </c>
      <c r="D273" s="322" t="str">
        <f>_xlfn.CONCAT(_xlfn.XLOOKUP("[S08_VirtualVisitsActivityLevelDetail][10][NumberOfInstallationsVV]",Submission!$O:$O,Submission!$H:$N,""))</f>
        <v/>
      </c>
      <c r="E273" s="324"/>
      <c r="F273" s="412" t="str">
        <f>_xlfn.CONCAT(_xlfn.XLOOKUP("[S08_VirtualVisitsActivityLevelDetail][10][AuthorityApproval]",Submission!$O:$O,Submission!$H:$N,""))</f>
        <v/>
      </c>
      <c r="G273" s="414"/>
      <c r="H273" s="412" t="str">
        <f>_xlfn.CONCAT(_xlfn.XLOOKUP("[S08_VirtualVisitsActivityLevelDetail][10][ConfirmationConditionsMet]",Submission!$O:$O,Submission!$H:$N,""))</f>
        <v/>
      </c>
      <c r="I273" s="414"/>
    </row>
    <row r="274" spans="1:10" ht="27.6" hidden="1" customHeight="1" outlineLevel="1" x14ac:dyDescent="0.3">
      <c r="B274" s="11"/>
      <c r="C274" s="91" t="str">
        <f>_xlfn.CONCAT(_xlfn.XLOOKUP("[S08_VirtualVisitsActivityLevelDetail][11][TypeForceMajeur]",Submission!$O:$O,Submission!$H:$N,""))</f>
        <v/>
      </c>
      <c r="D274" s="322" t="str">
        <f>_xlfn.CONCAT(_xlfn.XLOOKUP("[S08_VirtualVisitsActivityLevelDetail][11][NumberOfInstallationsVV]",Submission!$O:$O,Submission!$H:$N,""))</f>
        <v/>
      </c>
      <c r="E274" s="324"/>
      <c r="F274" s="412" t="str">
        <f>_xlfn.CONCAT(_xlfn.XLOOKUP("[S08_VirtualVisitsActivityLevelDetail][11][AuthorityApproval]",Submission!$O:$O,Submission!$H:$N,""))</f>
        <v/>
      </c>
      <c r="G274" s="414"/>
      <c r="H274" s="412" t="str">
        <f>_xlfn.CONCAT(_xlfn.XLOOKUP("[S08_VirtualVisitsActivityLevelDetail][11][ConfirmationConditionsMet]",Submission!$O:$O,Submission!$H:$N,""))</f>
        <v/>
      </c>
      <c r="I274" s="414"/>
    </row>
    <row r="275" spans="1:10" ht="27.6" hidden="1" customHeight="1" outlineLevel="1" x14ac:dyDescent="0.3">
      <c r="B275" s="11"/>
      <c r="C275" s="91" t="str">
        <f>_xlfn.CONCAT(_xlfn.XLOOKUP("[S08_VirtualVisitsActivityLevelDetail][12][TypeForceMajeur]",Submission!$O:$O,Submission!$H:$N,""))</f>
        <v/>
      </c>
      <c r="D275" s="322" t="str">
        <f>_xlfn.CONCAT(_xlfn.XLOOKUP("[S08_VirtualVisitsActivityLevelDetail][12][NumberOfInstallationsVV]",Submission!$O:$O,Submission!$H:$N,""))</f>
        <v/>
      </c>
      <c r="E275" s="324"/>
      <c r="F275" s="412" t="str">
        <f>_xlfn.CONCAT(_xlfn.XLOOKUP("[S08_VirtualVisitsActivityLevelDetail][12][AuthorityApproval]",Submission!$O:$O,Submission!$H:$N,""))</f>
        <v/>
      </c>
      <c r="G275" s="414"/>
      <c r="H275" s="412" t="str">
        <f>_xlfn.CONCAT(_xlfn.XLOOKUP("[S08_VirtualVisitsActivityLevelDetail][12][ConfirmationConditionsMet]",Submission!$O:$O,Submission!$H:$N,""))</f>
        <v/>
      </c>
      <c r="I275" s="414"/>
    </row>
    <row r="276" spans="1:10" collapsed="1" x14ac:dyDescent="0.3">
      <c r="B276" s="26" t="s">
        <v>1000</v>
      </c>
      <c r="C276" s="16"/>
      <c r="D276" s="19"/>
      <c r="E276" s="11"/>
      <c r="F276" s="11"/>
      <c r="G276" s="11"/>
      <c r="H276" s="11"/>
      <c r="I276" s="11"/>
    </row>
    <row r="277" spans="1:10" x14ac:dyDescent="0.3">
      <c r="C277" s="449" t="s">
        <v>1221</v>
      </c>
      <c r="D277" s="498"/>
      <c r="E277" s="498"/>
      <c r="F277" s="498"/>
      <c r="G277" s="498"/>
      <c r="H277" s="498"/>
      <c r="I277" s="498"/>
      <c r="J277" s="498"/>
    </row>
    <row r="278" spans="1:10" x14ac:dyDescent="0.3">
      <c r="C278" s="26"/>
      <c r="D278" s="16"/>
      <c r="E278" s="16"/>
      <c r="F278" s="16"/>
      <c r="G278" s="16"/>
      <c r="H278" s="16"/>
      <c r="I278" s="16"/>
      <c r="J278" s="16"/>
    </row>
    <row r="279" spans="1:10" x14ac:dyDescent="0.3">
      <c r="A279" s="12" t="s">
        <v>533</v>
      </c>
      <c r="B279" s="454" t="s">
        <v>1222</v>
      </c>
      <c r="C279" s="454"/>
      <c r="D279" s="454"/>
      <c r="E279" s="454"/>
      <c r="F279" s="454"/>
      <c r="G279" s="454"/>
      <c r="H279" s="454"/>
      <c r="I279" s="454"/>
    </row>
    <row r="280" spans="1:10" ht="31.2" customHeight="1" x14ac:dyDescent="0.3">
      <c r="A280" s="12"/>
      <c r="B280" s="293" t="s">
        <v>1223</v>
      </c>
      <c r="C280" s="294"/>
      <c r="D280" s="294"/>
      <c r="E280" s="294"/>
      <c r="F280" s="294"/>
      <c r="G280" s="294"/>
      <c r="H280" s="294"/>
      <c r="I280" s="294"/>
    </row>
    <row r="281" spans="1:10" x14ac:dyDescent="0.3">
      <c r="C281" s="501" t="s">
        <v>1224</v>
      </c>
      <c r="D281" s="502"/>
      <c r="E281" s="505" t="s">
        <v>1225</v>
      </c>
      <c r="F281" s="506"/>
      <c r="G281" s="505" t="s">
        <v>1226</v>
      </c>
      <c r="H281" s="506"/>
      <c r="I281" s="510" t="s">
        <v>1227</v>
      </c>
    </row>
    <row r="282" spans="1:10" x14ac:dyDescent="0.3">
      <c r="C282" s="351"/>
      <c r="D282" s="353"/>
      <c r="E282" s="52" t="s">
        <v>1228</v>
      </c>
      <c r="F282" s="52" t="s">
        <v>1229</v>
      </c>
      <c r="G282" s="52" t="s">
        <v>1228</v>
      </c>
      <c r="H282" s="52" t="s">
        <v>1229</v>
      </c>
      <c r="I282" s="511"/>
    </row>
    <row r="283" spans="1:10" ht="37.950000000000003" customHeight="1" x14ac:dyDescent="0.3">
      <c r="C283" s="246" t="s">
        <v>1230</v>
      </c>
      <c r="D283" s="264"/>
      <c r="E283" s="105" t="str">
        <f>_xlfn.CONCAT(_xlfn.XLOOKUP("[S08_PenaltiesAllocation][1][MinFine]",Submission!$O:$O,Submission!$H:$N,""))</f>
        <v>0</v>
      </c>
      <c r="F283" s="105" t="str">
        <f>_xlfn.CONCAT(_xlfn.XLOOKUP("[S08_PenaltiesAllocation][1][MaxFine]",Submission!$O:$O,Submission!$H:$N,""))</f>
        <v>0</v>
      </c>
      <c r="G283" s="105" t="str">
        <f>_xlfn.CONCAT(_xlfn.XLOOKUP("[S08_PenaltiesAllocation][1][PrisonMin]",Submission!$O:$O,Submission!$H:$N,""))</f>
        <v>0</v>
      </c>
      <c r="H283" s="105" t="str">
        <f>_xlfn.CONCAT(_xlfn.XLOOKUP("[S08_PenaltiesAllocation][1][PrisonMax]",Submission!$O:$O,Submission!$H:$N,""))</f>
        <v>0</v>
      </c>
      <c r="I283" s="72" t="str">
        <f>_xlfn.CONCAT(_xlfn.XLOOKUP("[S08_PenaltiesAllocation][1][OtherPenalty]",Submission!$O:$O,Submission!$H:$N,""))</f>
        <v/>
      </c>
    </row>
    <row r="284" spans="1:10" ht="58.2" customHeight="1" x14ac:dyDescent="0.3">
      <c r="C284" s="246" t="s">
        <v>1231</v>
      </c>
      <c r="D284" s="264"/>
      <c r="E284" s="105" t="str">
        <f>_xlfn.CONCAT(_xlfn.XLOOKUP("[S08_PenaltiesAllocation][2][MinFine]",Submission!$O:$O,Submission!$H:$N,""))</f>
        <v>0</v>
      </c>
      <c r="F284" s="105" t="str">
        <f>_xlfn.CONCAT(_xlfn.XLOOKUP("[S08_PenaltiesAllocation][2][MaxFine]",Submission!$O:$O,Submission!$H:$N,""))</f>
        <v>0</v>
      </c>
      <c r="G284" s="105" t="str">
        <f>_xlfn.CONCAT(_xlfn.XLOOKUP("[S08_PenaltiesAllocation][2][PrisonMin]",Submission!$O:$O,Submission!$H:$N,""))</f>
        <v>0</v>
      </c>
      <c r="H284" s="105" t="str">
        <f>_xlfn.CONCAT(_xlfn.XLOOKUP("[S08_PenaltiesAllocation][2][PrisonMax]",Submission!$O:$O,Submission!$H:$N,""))</f>
        <v>0</v>
      </c>
      <c r="I284" s="72" t="str">
        <f>_xlfn.CONCAT(_xlfn.XLOOKUP("[S08_PenaltiesAllocation][2][OtherPenalty]",Submission!$O:$O,Submission!$H:$N,""))</f>
        <v/>
      </c>
    </row>
    <row r="285" spans="1:10" ht="58.2" customHeight="1" x14ac:dyDescent="0.3">
      <c r="C285" s="246" t="s">
        <v>1232</v>
      </c>
      <c r="D285" s="264"/>
      <c r="E285" s="105" t="str">
        <f>_xlfn.CONCAT(_xlfn.XLOOKUP("[S08_PenaltiesAllocation][3][MinFine]",Submission!$O:$O,Submission!$H:$N,""))</f>
        <v>0</v>
      </c>
      <c r="F285" s="105" t="str">
        <f>_xlfn.CONCAT(_xlfn.XLOOKUP("[S08_PenaltiesAllocation][3][MaxFine]",Submission!$O:$O,Submission!$H:$N,""))</f>
        <v>0</v>
      </c>
      <c r="G285" s="105" t="str">
        <f>_xlfn.CONCAT(_xlfn.XLOOKUP("[S08_PenaltiesAllocation][3][PrisonMin]",Submission!$O:$O,Submission!$H:$N,""))</f>
        <v>0</v>
      </c>
      <c r="H285" s="105" t="str">
        <f>_xlfn.CONCAT(_xlfn.XLOOKUP("[S08_PenaltiesAllocation][3][PrisonMax]",Submission!$O:$O,Submission!$H:$N,""))</f>
        <v>0</v>
      </c>
      <c r="I285" s="72" t="str">
        <f>_xlfn.CONCAT(_xlfn.XLOOKUP("[S08_PenaltiesAllocation][3][OtherPenalty]",Submission!$O:$O,Submission!$H:$N,""))</f>
        <v/>
      </c>
    </row>
    <row r="286" spans="1:10" ht="36" customHeight="1" x14ac:dyDescent="0.3">
      <c r="C286" s="503" t="s">
        <v>1233</v>
      </c>
      <c r="D286" s="504"/>
      <c r="E286" s="105" t="str">
        <f>_xlfn.CONCAT(_xlfn.XLOOKUP("[S08_PenaltiesAllocation][4][MinFine]",Submission!$O:$O,Submission!$H:$N,""))</f>
        <v>13270</v>
      </c>
      <c r="F286" s="105" t="str">
        <f>_xlfn.CONCAT(_xlfn.XLOOKUP("[S08_PenaltiesAllocation][4][MaxFine]",Submission!$O:$O,Submission!$H:$N,""))</f>
        <v>66360</v>
      </c>
      <c r="G286" s="105" t="str">
        <f>_xlfn.CONCAT(_xlfn.XLOOKUP("[S08_PenaltiesAllocation][4][PrisonMin]",Submission!$O:$O,Submission!$H:$N,""))</f>
        <v>0</v>
      </c>
      <c r="H286" s="105" t="str">
        <f>_xlfn.CONCAT(_xlfn.XLOOKUP("[S08_PenaltiesAllocation][4][PrisonMax]",Submission!$O:$O,Submission!$H:$N,""))</f>
        <v>0</v>
      </c>
      <c r="I286" s="72" t="str">
        <f>_xlfn.CONCAT(_xlfn.XLOOKUP("[S08_PenaltiesAllocation][4][OtherPenalty]",Submission!$O:$O,Submission!$H:$N,""))</f>
        <v/>
      </c>
    </row>
    <row r="287" spans="1:10" ht="36" customHeight="1" x14ac:dyDescent="0.3">
      <c r="C287" s="140" t="s">
        <v>1234</v>
      </c>
      <c r="D287" s="72" t="str">
        <f>_xlfn.CONCAT(_xlfn.XLOOKUP("[S08_PenaltiesAllocation][5][InfringementOther]",Submission!$O:$O,Submission!$H:$N,""))</f>
        <v/>
      </c>
      <c r="E287" s="105" t="str">
        <f>_xlfn.CONCAT(_xlfn.XLOOKUP("[S08_PenaltiesAllocation][5][MinFine]",Submission!$O:$O,Submission!$H:$N,""))</f>
        <v>0</v>
      </c>
      <c r="F287" s="105" t="str">
        <f>_xlfn.CONCAT(_xlfn.XLOOKUP("[S08_PenaltiesAllocation][5][MaxFine]",Submission!$O:$O,Submission!$H:$N,""))</f>
        <v>0</v>
      </c>
      <c r="G287" s="105" t="str">
        <f>_xlfn.CONCAT(_xlfn.XLOOKUP("[S08_PenaltiesAllocation][5][PrisonMin]",Submission!$O:$O,Submission!$H:$N,""))</f>
        <v>0</v>
      </c>
      <c r="H287" s="105" t="str">
        <f>_xlfn.CONCAT(_xlfn.XLOOKUP("[S08_PenaltiesAllocation][5][PrisonMax]",Submission!$O:$O,Submission!$H:$N,""))</f>
        <v>0</v>
      </c>
      <c r="I287" s="72" t="str">
        <f>_xlfn.CONCAT(_xlfn.XLOOKUP("[S08_PenaltiesAllocation][5][OtherPenalty]",Submission!$O:$O,Submission!$H:$N,""))</f>
        <v/>
      </c>
    </row>
    <row r="288" spans="1:10" ht="36" hidden="1" customHeight="1" outlineLevel="1" x14ac:dyDescent="0.3">
      <c r="C288" s="140" t="s">
        <v>1235</v>
      </c>
      <c r="D288" s="72" t="str">
        <f>_xlfn.CONCAT(_xlfn.XLOOKUP("[S08_PenaltiesAllocation][6][InfringementOther]",Submission!$O:$O,Submission!$H:$N,""))</f>
        <v/>
      </c>
      <c r="E288" s="105" t="str">
        <f>_xlfn.CONCAT(_xlfn.XLOOKUP("[S08_PenaltiesAllocation][6][MinFine]",Submission!$O:$O,Submission!$H:$N,""))</f>
        <v/>
      </c>
      <c r="F288" s="105" t="str">
        <f>_xlfn.CONCAT(_xlfn.XLOOKUP("[S08_PenaltiesAllocation][6][MaxFine]",Submission!$O:$O,Submission!$H:$N,""))</f>
        <v/>
      </c>
      <c r="G288" s="105" t="str">
        <f>_xlfn.CONCAT(_xlfn.XLOOKUP("[S08_PenaltiesAllocation][6][PrisonMin]",Submission!$O:$O,Submission!$H:$N,""))</f>
        <v/>
      </c>
      <c r="H288" s="105" t="str">
        <f>_xlfn.CONCAT(_xlfn.XLOOKUP("[S08_PenaltiesAllocation][6][PrisonMax]",Submission!$O:$O,Submission!$H:$N,""))</f>
        <v/>
      </c>
      <c r="I288" s="72" t="str">
        <f>_xlfn.CONCAT(_xlfn.XLOOKUP("[S08_PenaltiesAllocation][6][OtherPenalty]",Submission!$O:$O,Submission!$H:$N,""))</f>
        <v/>
      </c>
    </row>
    <row r="289" spans="1:9" ht="36" hidden="1" customHeight="1" outlineLevel="1" x14ac:dyDescent="0.3">
      <c r="C289" s="140" t="s">
        <v>1236</v>
      </c>
      <c r="D289" s="72" t="str">
        <f>_xlfn.CONCAT(_xlfn.XLOOKUP("[S08_PenaltiesAllocation][7][InfringementOther]",Submission!$O:$O,Submission!$H:$N,""))</f>
        <v/>
      </c>
      <c r="E289" s="105" t="str">
        <f>_xlfn.CONCAT(_xlfn.XLOOKUP("[S08_PenaltiesAllocation][7][MinFine]",Submission!$O:$O,Submission!$H:$N,""))</f>
        <v/>
      </c>
      <c r="F289" s="105" t="str">
        <f>_xlfn.CONCAT(_xlfn.XLOOKUP("[S08_PenaltiesAllocation][7][MaxFine]",Submission!$O:$O,Submission!$H:$N,""))</f>
        <v/>
      </c>
      <c r="G289" s="105" t="str">
        <f>_xlfn.CONCAT(_xlfn.XLOOKUP("[S08_PenaltiesAllocation][7][PrisonMin]",Submission!$O:$O,Submission!$H:$N,""))</f>
        <v/>
      </c>
      <c r="H289" s="105" t="str">
        <f>_xlfn.CONCAT(_xlfn.XLOOKUP("[S08_PenaltiesAllocation][7][PrisonMax]",Submission!$O:$O,Submission!$H:$N,""))</f>
        <v/>
      </c>
      <c r="I289" s="72" t="str">
        <f>_xlfn.CONCAT(_xlfn.XLOOKUP("[S08_PenaltiesAllocation][7][OtherPenalty]",Submission!$O:$O,Submission!$H:$N,""))</f>
        <v/>
      </c>
    </row>
    <row r="290" spans="1:9" ht="36" hidden="1" customHeight="1" outlineLevel="1" x14ac:dyDescent="0.3">
      <c r="C290" s="140" t="s">
        <v>1237</v>
      </c>
      <c r="D290" s="72" t="str">
        <f>_xlfn.CONCAT(_xlfn.XLOOKUP("[S08_PenaltiesAllocation][8][InfringementOther]",Submission!$O:$O,Submission!$H:$N,""))</f>
        <v/>
      </c>
      <c r="E290" s="105" t="str">
        <f>_xlfn.CONCAT(_xlfn.XLOOKUP("[S08_PenaltiesAllocation][8][MinFine]",Submission!$O:$O,Submission!$H:$N,""))</f>
        <v/>
      </c>
      <c r="F290" s="105" t="str">
        <f>_xlfn.CONCAT(_xlfn.XLOOKUP("[S08_PenaltiesAllocation][8][MaxFine]",Submission!$O:$O,Submission!$H:$N,""))</f>
        <v/>
      </c>
      <c r="G290" s="105" t="str">
        <f>_xlfn.CONCAT(_xlfn.XLOOKUP("[S08_PenaltiesAllocation][8][PrisonMin]",Submission!$O:$O,Submission!$H:$N,""))</f>
        <v/>
      </c>
      <c r="H290" s="105" t="str">
        <f>_xlfn.CONCAT(_xlfn.XLOOKUP("[S08_PenaltiesAllocation][8][PrisonMax]",Submission!$O:$O,Submission!$H:$N,""))</f>
        <v/>
      </c>
      <c r="I290" s="72" t="str">
        <f>_xlfn.CONCAT(_xlfn.XLOOKUP("[S08_PenaltiesAllocation][8][OtherPenalty]",Submission!$O:$O,Submission!$H:$N,""))</f>
        <v/>
      </c>
    </row>
    <row r="291" spans="1:9" collapsed="1" x14ac:dyDescent="0.3">
      <c r="B291" s="26" t="s">
        <v>1000</v>
      </c>
    </row>
    <row r="293" spans="1:9" ht="33.6" customHeight="1" x14ac:dyDescent="0.3">
      <c r="A293" s="12" t="s">
        <v>538</v>
      </c>
      <c r="B293" s="293" t="s">
        <v>1238</v>
      </c>
      <c r="C293" s="294"/>
      <c r="D293" s="294"/>
      <c r="E293" s="294"/>
      <c r="F293" s="294"/>
      <c r="G293" s="294"/>
      <c r="H293" s="294"/>
      <c r="I293" s="294"/>
    </row>
    <row r="294" spans="1:9" x14ac:dyDescent="0.3">
      <c r="C294" s="501" t="s">
        <v>1239</v>
      </c>
      <c r="D294" s="502"/>
      <c r="E294" s="303" t="s">
        <v>1240</v>
      </c>
      <c r="F294" s="304"/>
      <c r="G294" s="305"/>
      <c r="H294" s="499" t="s">
        <v>1241</v>
      </c>
      <c r="I294" s="499" t="s">
        <v>1242</v>
      </c>
    </row>
    <row r="295" spans="1:9" ht="41.4" customHeight="1" x14ac:dyDescent="0.3">
      <c r="C295" s="351"/>
      <c r="D295" s="353"/>
      <c r="E295" s="53" t="s">
        <v>1225</v>
      </c>
      <c r="F295" s="53" t="s">
        <v>1226</v>
      </c>
      <c r="G295" s="53" t="s">
        <v>1227</v>
      </c>
      <c r="H295" s="500"/>
      <c r="I295" s="500"/>
    </row>
    <row r="296" spans="1:9" ht="39.6" customHeight="1" x14ac:dyDescent="0.3">
      <c r="C296" s="284" t="str">
        <f>_xlfn.CONCAT(_xlfn.XLOOKUP("[S08_InfringementsIncurredAllocation][1][InfringementType]",Submission!$O:$O,Submission!$H:$N,""))</f>
        <v/>
      </c>
      <c r="D296" s="285"/>
      <c r="E296" s="105" t="str">
        <f>_xlfn.CONCAT(_xlfn.XLOOKUP("[S08_InfringementsIncurredAllocation][1][ActualFines]",Submission!$O:$O,Submission!$H:$N,""))</f>
        <v>0</v>
      </c>
      <c r="F296" s="105" t="str">
        <f>_xlfn.CONCAT(_xlfn.XLOOKUP("[S08_InfringementsIncurredAllocation][1][ActualImprisonment]",Submission!$O:$O,Submission!$H:$N,""))</f>
        <v>0</v>
      </c>
      <c r="G296" s="105" t="str">
        <f>_xlfn.CONCAT(_xlfn.XLOOKUP("[S08_InfringementsIncurredAllocation][1][ACtualOtherPenalties]",Submission!$O:$O,Submission!$H:$N,""))</f>
        <v/>
      </c>
      <c r="H296" s="41" t="str">
        <f>_xlfn.CONCAT(_xlfn.XLOOKUP("[S08_InfringementsIncurredAllocation][1][OngoingProceedings]",Submission!$O:$O,Submission!$H:$N,""))</f>
        <v/>
      </c>
      <c r="I296" s="41" t="str">
        <f>_xlfn.CONCAT(_xlfn.XLOOKUP("[S08_InfringementsIncurredAllocation][1][PenaltyEnforcedWithinPeriod]",Submission!$O:$O,Submission!$H:$N,""))</f>
        <v/>
      </c>
    </row>
    <row r="297" spans="1:9" ht="39.6" customHeight="1" x14ac:dyDescent="0.3">
      <c r="C297" s="284" t="str">
        <f>_xlfn.CONCAT(_xlfn.XLOOKUP("[S08_InfringementsIncurredAllocation][2][InfringementType]",Submission!$O:$O,Submission!$H:$N,""))</f>
        <v/>
      </c>
      <c r="D297" s="285"/>
      <c r="E297" s="105" t="str">
        <f>_xlfn.CONCAT(_xlfn.XLOOKUP("[S08_InfringementsIncurredAllocation][2][ActualFines]",Submission!$O:$O,Submission!$H:$N,""))</f>
        <v>0</v>
      </c>
      <c r="F297" s="105" t="str">
        <f>_xlfn.CONCAT(_xlfn.XLOOKUP("[S08_InfringementsIncurredAllocation][2][ActualImprisonment]",Submission!$O:$O,Submission!$H:$N,""))</f>
        <v>0</v>
      </c>
      <c r="G297" s="105" t="str">
        <f>_xlfn.CONCAT(_xlfn.XLOOKUP("[S08_InfringementsIncurredAllocation][2][ACtualOtherPenalties]",Submission!$O:$O,Submission!$H:$N,""))</f>
        <v/>
      </c>
      <c r="H297" s="41" t="str">
        <f>_xlfn.CONCAT(_xlfn.XLOOKUP("[S08_InfringementsIncurredAllocation][2][OngoingProceedings]",Submission!$O:$O,Submission!$H:$N,""))</f>
        <v/>
      </c>
      <c r="I297" s="41" t="str">
        <f>_xlfn.CONCAT(_xlfn.XLOOKUP("[S08_InfringementsIncurredAllocation][2][PenaltyEnforcedWithinPeriod]",Submission!$O:$O,Submission!$H:$N,""))</f>
        <v/>
      </c>
    </row>
    <row r="298" spans="1:9" ht="39.6" customHeight="1" x14ac:dyDescent="0.3">
      <c r="C298" s="284" t="str">
        <f>_xlfn.CONCAT(_xlfn.XLOOKUP("[S08_InfringementsIncurredAllocation][3][InfringementType]",Submission!$O:$O,Submission!$H:$N,""))</f>
        <v/>
      </c>
      <c r="D298" s="285"/>
      <c r="E298" s="105" t="str">
        <f>_xlfn.CONCAT(_xlfn.XLOOKUP("[S08_InfringementsIncurredAllocation][3][ActualFines]",Submission!$O:$O,Submission!$H:$N,""))</f>
        <v>0</v>
      </c>
      <c r="F298" s="105" t="str">
        <f>_xlfn.CONCAT(_xlfn.XLOOKUP("[S08_InfringementsIncurredAllocation][3][ActualImprisonment]",Submission!$O:$O,Submission!$H:$N,""))</f>
        <v>0</v>
      </c>
      <c r="G298" s="105" t="str">
        <f>_xlfn.CONCAT(_xlfn.XLOOKUP("[S08_InfringementsIncurredAllocation][3][ACtualOtherPenalties]",Submission!$O:$O,Submission!$H:$N,""))</f>
        <v/>
      </c>
      <c r="H298" s="41" t="str">
        <f>_xlfn.CONCAT(_xlfn.XLOOKUP("[S08_InfringementsIncurredAllocation][3][OngoingProceedings]",Submission!$O:$O,Submission!$H:$N,""))</f>
        <v/>
      </c>
      <c r="I298" s="41" t="str">
        <f>_xlfn.CONCAT(_xlfn.XLOOKUP("[S08_InfringementsIncurredAllocation][3][PenaltyEnforcedWithinPeriod]",Submission!$O:$O,Submission!$H:$N,""))</f>
        <v/>
      </c>
    </row>
    <row r="299" spans="1:9" ht="39.6" customHeight="1" x14ac:dyDescent="0.3">
      <c r="C299" s="284" t="str">
        <f>_xlfn.CONCAT(_xlfn.XLOOKUP("[S08_InfringementsIncurredAllocation][4][InfringementType]",Submission!$O:$O,Submission!$H:$N,""))</f>
        <v/>
      </c>
      <c r="D299" s="285"/>
      <c r="E299" s="105" t="str">
        <f>_xlfn.CONCAT(_xlfn.XLOOKUP("[S08_InfringementsIncurredAllocation][4][ActualFines]",Submission!$O:$O,Submission!$H:$N,""))</f>
        <v>0</v>
      </c>
      <c r="F299" s="105" t="str">
        <f>_xlfn.CONCAT(_xlfn.XLOOKUP("[S08_InfringementsIncurredAllocation][4][ActualImprisonment]",Submission!$O:$O,Submission!$H:$N,""))</f>
        <v>0</v>
      </c>
      <c r="G299" s="105" t="str">
        <f>_xlfn.CONCAT(_xlfn.XLOOKUP("[S08_InfringementsIncurredAllocation][4][ACtualOtherPenalties]",Submission!$O:$O,Submission!$H:$N,""))</f>
        <v/>
      </c>
      <c r="H299" s="41" t="str">
        <f>_xlfn.CONCAT(_xlfn.XLOOKUP("[S08_InfringementsIncurredAllocation][4][OngoingProceedings]",Submission!$O:$O,Submission!$H:$N,""))</f>
        <v/>
      </c>
      <c r="I299" s="41" t="str">
        <f>_xlfn.CONCAT(_xlfn.XLOOKUP("[S08_InfringementsIncurredAllocation][4][PenaltyEnforcedWithinPeriod]",Submission!$O:$O,Submission!$H:$N,""))</f>
        <v/>
      </c>
    </row>
    <row r="300" spans="1:9" ht="39.6" customHeight="1" x14ac:dyDescent="0.3">
      <c r="C300" s="284" t="str">
        <f>_xlfn.CONCAT(_xlfn.XLOOKUP("[S08_InfringementsIncurredAllocation][5][InfringementType]",Submission!$O:$O,Submission!$H:$N,""))</f>
        <v/>
      </c>
      <c r="D300" s="285"/>
      <c r="E300" s="105" t="str">
        <f>_xlfn.CONCAT(_xlfn.XLOOKUP("[S08_InfringementsIncurredAllocation][5][ActualFines]",Submission!$O:$O,Submission!$H:$N,""))</f>
        <v>0</v>
      </c>
      <c r="F300" s="105" t="str">
        <f>_xlfn.CONCAT(_xlfn.XLOOKUP("[S08_InfringementsIncurredAllocation][5][ActualImprisonment]",Submission!$O:$O,Submission!$H:$N,""))</f>
        <v>0</v>
      </c>
      <c r="G300" s="105" t="str">
        <f>_xlfn.CONCAT(_xlfn.XLOOKUP("[S08_InfringementsIncurredAllocation][5][ACtualOtherPenalties]",Submission!$O:$O,Submission!$H:$N,""))</f>
        <v/>
      </c>
      <c r="H300" s="41" t="str">
        <f>_xlfn.CONCAT(_xlfn.XLOOKUP("[S08_InfringementsIncurredAllocation][5][OngoingProceedings]",Submission!$O:$O,Submission!$H:$N,""))</f>
        <v/>
      </c>
      <c r="I300" s="41" t="str">
        <f>_xlfn.CONCAT(_xlfn.XLOOKUP("[S08_InfringementsIncurredAllocation][5][PenaltyEnforcedWithinPeriod]",Submission!$O:$O,Submission!$H:$N,""))</f>
        <v/>
      </c>
    </row>
    <row r="301" spans="1:9" ht="39.6" hidden="1" customHeight="1" outlineLevel="1" x14ac:dyDescent="0.3">
      <c r="C301" s="284" t="str">
        <f>_xlfn.CONCAT(_xlfn.XLOOKUP("[S08_InfringementsIncurredAllocation][6][InfringementType]",Submission!$O:$O,Submission!$H:$N,""))</f>
        <v/>
      </c>
      <c r="D301" s="285"/>
      <c r="E301" s="105" t="str">
        <f>_xlfn.CONCAT(_xlfn.XLOOKUP("[S08_InfringementsIncurredAllocation][6][ActualFines]",Submission!$O:$O,Submission!$H:$N,""))</f>
        <v/>
      </c>
      <c r="F301" s="105" t="str">
        <f>_xlfn.CONCAT(_xlfn.XLOOKUP("[S08_InfringementsIncurredAllocation][6][ActualImprisonment]",Submission!$O:$O,Submission!$H:$N,""))</f>
        <v/>
      </c>
      <c r="G301" s="105" t="str">
        <f>_xlfn.CONCAT(_xlfn.XLOOKUP("[S08_InfringementsIncurredAllocation][6][ACtualOtherPenalties]",Submission!$O:$O,Submission!$H:$N,""))</f>
        <v/>
      </c>
      <c r="H301" s="41" t="str">
        <f>_xlfn.CONCAT(_xlfn.XLOOKUP("[S08_InfringementsIncurredAllocation][6][OngoingProceedings]",Submission!$O:$O,Submission!$H:$N,""))</f>
        <v/>
      </c>
      <c r="I301" s="41" t="str">
        <f>_xlfn.CONCAT(_xlfn.XLOOKUP("[S08_InfringementsIncurredAllocation][6][PenaltyEnforcedWithinPeriod]",Submission!$O:$O,Submission!$H:$N,""))</f>
        <v/>
      </c>
    </row>
    <row r="302" spans="1:9" ht="39.6" hidden="1" customHeight="1" outlineLevel="1" x14ac:dyDescent="0.3">
      <c r="C302" s="284" t="str">
        <f>_xlfn.CONCAT(_xlfn.XLOOKUP("[S08_InfringementsIncurredAllocation][7][InfringementType]",Submission!$O:$O,Submission!$H:$N,""))</f>
        <v/>
      </c>
      <c r="D302" s="285"/>
      <c r="E302" s="105" t="str">
        <f>_xlfn.CONCAT(_xlfn.XLOOKUP("[S08_InfringementsIncurredAllocation][7][ActualFines]",Submission!$O:$O,Submission!$H:$N,""))</f>
        <v/>
      </c>
      <c r="F302" s="105" t="str">
        <f>_xlfn.CONCAT(_xlfn.XLOOKUP("[S08_InfringementsIncurredAllocation][7][ActualImprisonment]",Submission!$O:$O,Submission!$H:$N,""))</f>
        <v/>
      </c>
      <c r="G302" s="105" t="str">
        <f>_xlfn.CONCAT(_xlfn.XLOOKUP("[S08_InfringementsIncurredAllocation][7][ACtualOtherPenalties]",Submission!$O:$O,Submission!$H:$N,""))</f>
        <v/>
      </c>
      <c r="H302" s="41" t="str">
        <f>_xlfn.CONCAT(_xlfn.XLOOKUP("[S08_InfringementsIncurredAllocation][7][OngoingProceedings]",Submission!$O:$O,Submission!$H:$N,""))</f>
        <v/>
      </c>
      <c r="I302" s="41" t="str">
        <f>_xlfn.CONCAT(_xlfn.XLOOKUP("[S08_InfringementsIncurredAllocation][7][PenaltyEnforcedWithinPeriod]",Submission!$O:$O,Submission!$H:$N,""))</f>
        <v/>
      </c>
    </row>
    <row r="303" spans="1:9" ht="39.6" hidden="1" customHeight="1" outlineLevel="1" x14ac:dyDescent="0.3">
      <c r="C303" s="284" t="str">
        <f>_xlfn.CONCAT(_xlfn.XLOOKUP("[S08_InfringementsIncurredAllocation][8][InfringementType]",Submission!$O:$O,Submission!$H:$N,""))</f>
        <v/>
      </c>
      <c r="D303" s="285"/>
      <c r="E303" s="105" t="str">
        <f>_xlfn.CONCAT(_xlfn.XLOOKUP("[S08_InfringementsIncurredAllocation][8][ActualFines]",Submission!$O:$O,Submission!$H:$N,""))</f>
        <v/>
      </c>
      <c r="F303" s="105" t="str">
        <f>_xlfn.CONCAT(_xlfn.XLOOKUP("[S08_InfringementsIncurredAllocation][8][ActualImprisonment]",Submission!$O:$O,Submission!$H:$N,""))</f>
        <v/>
      </c>
      <c r="G303" s="105" t="str">
        <f>_xlfn.CONCAT(_xlfn.XLOOKUP("[S08_InfringementsIncurredAllocation][8][ACtualOtherPenalties]",Submission!$O:$O,Submission!$H:$N,""))</f>
        <v/>
      </c>
      <c r="H303" s="41" t="str">
        <f>_xlfn.CONCAT(_xlfn.XLOOKUP("[S08_InfringementsIncurredAllocation][8][OngoingProceedings]",Submission!$O:$O,Submission!$H:$N,""))</f>
        <v/>
      </c>
      <c r="I303" s="41" t="str">
        <f>_xlfn.CONCAT(_xlfn.XLOOKUP("[S08_InfringementsIncurredAllocation][8][PenaltyEnforcedWithinPeriod]",Submission!$O:$O,Submission!$H:$N,""))</f>
        <v/>
      </c>
    </row>
    <row r="304" spans="1:9" ht="39.6" hidden="1" customHeight="1" outlineLevel="1" x14ac:dyDescent="0.3">
      <c r="C304" s="284" t="str">
        <f>_xlfn.CONCAT(_xlfn.XLOOKUP("[S08_InfringementsIncurredAllocation][9][InfringementType]",Submission!$O:$O,Submission!$H:$N,""))</f>
        <v/>
      </c>
      <c r="D304" s="285"/>
      <c r="E304" s="105" t="str">
        <f>_xlfn.CONCAT(_xlfn.XLOOKUP("[S08_InfringementsIncurredAllocation][9][ActualFines]",Submission!$O:$O,Submission!$H:$N,""))</f>
        <v/>
      </c>
      <c r="F304" s="105" t="str">
        <f>_xlfn.CONCAT(_xlfn.XLOOKUP("[S08_InfringementsIncurredAllocation][9][ActualImprisonment]",Submission!$O:$O,Submission!$H:$N,""))</f>
        <v/>
      </c>
      <c r="G304" s="105" t="str">
        <f>_xlfn.CONCAT(_xlfn.XLOOKUP("[S08_InfringementsIncurredAllocation][9][ACtualOtherPenalties]",Submission!$O:$O,Submission!$H:$N,""))</f>
        <v/>
      </c>
      <c r="H304" s="41" t="str">
        <f>_xlfn.CONCAT(_xlfn.XLOOKUP("[S08_InfringementsIncurredAllocation][9][OngoingProceedings]",Submission!$O:$O,Submission!$H:$N,""))</f>
        <v/>
      </c>
      <c r="I304" s="41" t="str">
        <f>_xlfn.CONCAT(_xlfn.XLOOKUP("[S08_InfringementsIncurredAllocation][9][PenaltyEnforcedWithinPeriod]",Submission!$O:$O,Submission!$H:$N,""))</f>
        <v/>
      </c>
    </row>
    <row r="305" spans="2:10" ht="39.6" hidden="1" customHeight="1" outlineLevel="1" x14ac:dyDescent="0.3">
      <c r="C305" s="284" t="str">
        <f>_xlfn.CONCAT(_xlfn.XLOOKUP("[S08_InfringementsIncurredAllocation][10][InfringementType]",Submission!$O:$O,Submission!$H:$N,""))</f>
        <v/>
      </c>
      <c r="D305" s="285"/>
      <c r="E305" s="105" t="str">
        <f>_xlfn.CONCAT(_xlfn.XLOOKUP("[S08_InfringementsIncurredAllocation][10][ActualFines]",Submission!$O:$O,Submission!$H:$N,""))</f>
        <v/>
      </c>
      <c r="F305" s="105" t="str">
        <f>_xlfn.CONCAT(_xlfn.XLOOKUP("[S08_InfringementsIncurredAllocation][10][ActualImprisonment]",Submission!$O:$O,Submission!$H:$N,""))</f>
        <v/>
      </c>
      <c r="G305" s="105" t="str">
        <f>_xlfn.CONCAT(_xlfn.XLOOKUP("[S08_InfringementsIncurredAllocation][10][ACtualOtherPenalties]",Submission!$O:$O,Submission!$H:$N,""))</f>
        <v/>
      </c>
      <c r="H305" s="41" t="str">
        <f>_xlfn.CONCAT(_xlfn.XLOOKUP("[S08_InfringementsIncurredAllocation][10][OngoingProceedings]",Submission!$O:$O,Submission!$H:$N,""))</f>
        <v/>
      </c>
      <c r="I305" s="41" t="str">
        <f>_xlfn.CONCAT(_xlfn.XLOOKUP("[S08_InfringementsIncurredAllocation][10][PenaltyEnforcedWithinPeriod]",Submission!$O:$O,Submission!$H:$N,""))</f>
        <v/>
      </c>
    </row>
    <row r="306" spans="2:10" ht="39.6" hidden="1" customHeight="1" outlineLevel="1" x14ac:dyDescent="0.3">
      <c r="C306" s="284" t="str">
        <f>_xlfn.CONCAT(_xlfn.XLOOKUP("[S08_InfringementsIncurredAllocation][11][InfringementType]",Submission!$O:$O,Submission!$H:$N,""))</f>
        <v/>
      </c>
      <c r="D306" s="285"/>
      <c r="E306" s="105" t="str">
        <f>_xlfn.CONCAT(_xlfn.XLOOKUP("[S08_InfringementsIncurredAllocation][11][ActualFines]",Submission!$O:$O,Submission!$H:$N,""))</f>
        <v/>
      </c>
      <c r="F306" s="105" t="str">
        <f>_xlfn.CONCAT(_xlfn.XLOOKUP("[S08_InfringementsIncurredAllocation][11][ActualImprisonment]",Submission!$O:$O,Submission!$H:$N,""))</f>
        <v/>
      </c>
      <c r="G306" s="105" t="str">
        <f>_xlfn.CONCAT(_xlfn.XLOOKUP("[S08_InfringementsIncurredAllocation][11][ACtualOtherPenalties]",Submission!$O:$O,Submission!$H:$N,""))</f>
        <v/>
      </c>
      <c r="H306" s="41" t="str">
        <f>_xlfn.CONCAT(_xlfn.XLOOKUP("[S08_InfringementsIncurredAllocation][11][OngoingProceedings]",Submission!$O:$O,Submission!$H:$N,""))</f>
        <v/>
      </c>
      <c r="I306" s="41" t="str">
        <f>_xlfn.CONCAT(_xlfn.XLOOKUP("[S08_InfringementsIncurredAllocation][11][PenaltyEnforcedWithinPeriod]",Submission!$O:$O,Submission!$H:$N,""))</f>
        <v/>
      </c>
    </row>
    <row r="307" spans="2:10" ht="39.6" hidden="1" customHeight="1" outlineLevel="1" x14ac:dyDescent="0.3">
      <c r="C307" s="284" t="str">
        <f>_xlfn.CONCAT(_xlfn.XLOOKUP("[S08_InfringementsIncurredAllocation][12][InfringementType]",Submission!$O:$O,Submission!$H:$N,""))</f>
        <v/>
      </c>
      <c r="D307" s="285"/>
      <c r="E307" s="105" t="str">
        <f>_xlfn.CONCAT(_xlfn.XLOOKUP("[S08_InfringementsIncurredAllocation][12][ActualFines]",Submission!$O:$O,Submission!$H:$N,""))</f>
        <v/>
      </c>
      <c r="F307" s="105" t="str">
        <f>_xlfn.CONCAT(_xlfn.XLOOKUP("[S08_InfringementsIncurredAllocation][12][ActualImprisonment]",Submission!$O:$O,Submission!$H:$N,""))</f>
        <v/>
      </c>
      <c r="G307" s="105" t="str">
        <f>_xlfn.CONCAT(_xlfn.XLOOKUP("[S08_InfringementsIncurredAllocation][12][ACtualOtherPenalties]",Submission!$O:$O,Submission!$H:$N,""))</f>
        <v/>
      </c>
      <c r="H307" s="41" t="str">
        <f>_xlfn.CONCAT(_xlfn.XLOOKUP("[S08_InfringementsIncurredAllocation][12][OngoingProceedings]",Submission!$O:$O,Submission!$H:$N,""))</f>
        <v/>
      </c>
      <c r="I307" s="41" t="str">
        <f>_xlfn.CONCAT(_xlfn.XLOOKUP("[S08_InfringementsIncurredAllocation][12][PenaltyEnforcedWithinPeriod]",Submission!$O:$O,Submission!$H:$N,""))</f>
        <v/>
      </c>
    </row>
    <row r="308" spans="2:10" ht="39.6" hidden="1" customHeight="1" outlineLevel="1" x14ac:dyDescent="0.3">
      <c r="C308" s="284" t="str">
        <f>_xlfn.CONCAT(_xlfn.XLOOKUP("[S08_InfringementsIncurredAllocation][13][InfringementType]",Submission!$O:$O,Submission!$H:$N,""))</f>
        <v/>
      </c>
      <c r="D308" s="285"/>
      <c r="E308" s="105" t="str">
        <f>_xlfn.CONCAT(_xlfn.XLOOKUP("[S08_InfringementsIncurredAllocation][13][ActualFines]",Submission!$O:$O,Submission!$H:$N,""))</f>
        <v/>
      </c>
      <c r="F308" s="105" t="str">
        <f>_xlfn.CONCAT(_xlfn.XLOOKUP("[S08_InfringementsIncurredAllocation][13][ActualImprisonment]",Submission!$O:$O,Submission!$H:$N,""))</f>
        <v/>
      </c>
      <c r="G308" s="105" t="str">
        <f>_xlfn.CONCAT(_xlfn.XLOOKUP("[S08_InfringementsIncurredAllocation][13][ACtualOtherPenalties]",Submission!$O:$O,Submission!$H:$N,""))</f>
        <v/>
      </c>
      <c r="H308" s="41" t="str">
        <f>_xlfn.CONCAT(_xlfn.XLOOKUP("[S08_InfringementsIncurredAllocation][13][OngoingProceedings]",Submission!$O:$O,Submission!$H:$N,""))</f>
        <v/>
      </c>
      <c r="I308" s="41" t="str">
        <f>_xlfn.CONCAT(_xlfn.XLOOKUP("[S08_InfringementsIncurredAllocation][13][PenaltyEnforcedWithinPeriod]",Submission!$O:$O,Submission!$H:$N,""))</f>
        <v/>
      </c>
    </row>
    <row r="309" spans="2:10" ht="39.6" hidden="1" customHeight="1" outlineLevel="1" x14ac:dyDescent="0.3">
      <c r="C309" s="284" t="str">
        <f>_xlfn.CONCAT(_xlfn.XLOOKUP("[S08_InfringementsIncurredAllocation][14][InfringementType]",Submission!$O:$O,Submission!$H:$N,""))</f>
        <v/>
      </c>
      <c r="D309" s="285"/>
      <c r="E309" s="105" t="str">
        <f>_xlfn.CONCAT(_xlfn.XLOOKUP("[S08_InfringementsIncurredAllocation][14][ActualFines]",Submission!$O:$O,Submission!$H:$N,""))</f>
        <v/>
      </c>
      <c r="F309" s="105" t="str">
        <f>_xlfn.CONCAT(_xlfn.XLOOKUP("[S08_InfringementsIncurredAllocation][14][ActualImprisonment]",Submission!$O:$O,Submission!$H:$N,""))</f>
        <v/>
      </c>
      <c r="G309" s="105" t="str">
        <f>_xlfn.CONCAT(_xlfn.XLOOKUP("[S08_InfringementsIncurredAllocation][14][ACtualOtherPenalties]",Submission!$O:$O,Submission!$H:$N,""))</f>
        <v/>
      </c>
      <c r="H309" s="41" t="str">
        <f>_xlfn.CONCAT(_xlfn.XLOOKUP("[S08_InfringementsIncurredAllocation][14][OngoingProceedings]",Submission!$O:$O,Submission!$H:$N,""))</f>
        <v/>
      </c>
      <c r="I309" s="41" t="str">
        <f>_xlfn.CONCAT(_xlfn.XLOOKUP("[S08_InfringementsIncurredAllocation][14][PenaltyEnforcedWithinPeriod]",Submission!$O:$O,Submission!$H:$N,""))</f>
        <v/>
      </c>
    </row>
    <row r="310" spans="2:10" ht="39.6" hidden="1" customHeight="1" outlineLevel="1" x14ac:dyDescent="0.3">
      <c r="C310" s="284" t="str">
        <f>_xlfn.CONCAT(_xlfn.XLOOKUP("[S08_InfringementsIncurredAllocation][15][InfringementType]",Submission!$O:$O,Submission!$H:$N,""))</f>
        <v/>
      </c>
      <c r="D310" s="285"/>
      <c r="E310" s="105" t="str">
        <f>_xlfn.CONCAT(_xlfn.XLOOKUP("[S08_InfringementsIncurredAllocation][15][ActualFines]",Submission!$O:$O,Submission!$H:$N,""))</f>
        <v/>
      </c>
      <c r="F310" s="105" t="str">
        <f>_xlfn.CONCAT(_xlfn.XLOOKUP("[S08_InfringementsIncurredAllocation][15][ActualImprisonment]",Submission!$O:$O,Submission!$H:$N,""))</f>
        <v/>
      </c>
      <c r="G310" s="105" t="str">
        <f>_xlfn.CONCAT(_xlfn.XLOOKUP("[S08_InfringementsIncurredAllocation][15][ACtualOtherPenalties]",Submission!$O:$O,Submission!$H:$N,""))</f>
        <v/>
      </c>
      <c r="H310" s="41" t="str">
        <f>_xlfn.CONCAT(_xlfn.XLOOKUP("[S08_InfringementsIncurredAllocation][15][OngoingProceedings]",Submission!$O:$O,Submission!$H:$N,""))</f>
        <v/>
      </c>
      <c r="I310" s="41" t="str">
        <f>_xlfn.CONCAT(_xlfn.XLOOKUP("[S08_InfringementsIncurredAllocation][15][PenaltyEnforcedWithinPeriod]",Submission!$O:$O,Submission!$H:$N,""))</f>
        <v/>
      </c>
    </row>
    <row r="311" spans="2:10" ht="39.6" hidden="1" customHeight="1" outlineLevel="1" x14ac:dyDescent="0.3">
      <c r="C311" s="284" t="str">
        <f>_xlfn.CONCAT(_xlfn.XLOOKUP("[S08_InfringementsIncurredAllocation][16][InfringementType]",Submission!$O:$O,Submission!$H:$N,""))</f>
        <v/>
      </c>
      <c r="D311" s="285"/>
      <c r="E311" s="105" t="str">
        <f>_xlfn.CONCAT(_xlfn.XLOOKUP("[S08_InfringementsIncurredAllocation][16][ActualFines]",Submission!$O:$O,Submission!$H:$N,""))</f>
        <v/>
      </c>
      <c r="F311" s="105" t="str">
        <f>_xlfn.CONCAT(_xlfn.XLOOKUP("[S08_InfringementsIncurredAllocation][16][ActualImprisonment]",Submission!$O:$O,Submission!$H:$N,""))</f>
        <v/>
      </c>
      <c r="G311" s="105" t="str">
        <f>_xlfn.CONCAT(_xlfn.XLOOKUP("[S08_InfringementsIncurredAllocation][16][ACtualOtherPenalties]",Submission!$O:$O,Submission!$H:$N,""))</f>
        <v/>
      </c>
      <c r="H311" s="41" t="str">
        <f>_xlfn.CONCAT(_xlfn.XLOOKUP("[S08_InfringementsIncurredAllocation][16][OngoingProceedings]",Submission!$O:$O,Submission!$H:$N,""))</f>
        <v/>
      </c>
      <c r="I311" s="41" t="str">
        <f>_xlfn.CONCAT(_xlfn.XLOOKUP("[S08_InfringementsIncurredAllocation][16][PenaltyEnforcedWithinPeriod]",Submission!$O:$O,Submission!$H:$N,""))</f>
        <v/>
      </c>
    </row>
    <row r="312" spans="2:10" ht="39.6" hidden="1" customHeight="1" outlineLevel="1" x14ac:dyDescent="0.3">
      <c r="C312" s="284" t="str">
        <f>_xlfn.CONCAT(_xlfn.XLOOKUP("[S08_InfringementsIncurredAllocation][17][InfringementType]",Submission!$O:$O,Submission!$H:$N,""))</f>
        <v/>
      </c>
      <c r="D312" s="285"/>
      <c r="E312" s="105" t="str">
        <f>_xlfn.CONCAT(_xlfn.XLOOKUP("[S08_InfringementsIncurredAllocation][17][ActualFines]",Submission!$O:$O,Submission!$H:$N,""))</f>
        <v/>
      </c>
      <c r="F312" s="105" t="str">
        <f>_xlfn.CONCAT(_xlfn.XLOOKUP("[S08_InfringementsIncurredAllocation][17][ActualImprisonment]",Submission!$O:$O,Submission!$H:$N,""))</f>
        <v/>
      </c>
      <c r="G312" s="105" t="str">
        <f>_xlfn.CONCAT(_xlfn.XLOOKUP("[S08_InfringementsIncurredAllocation][17][ACtualOtherPenalties]",Submission!$O:$O,Submission!$H:$N,""))</f>
        <v/>
      </c>
      <c r="H312" s="41" t="str">
        <f>_xlfn.CONCAT(_xlfn.XLOOKUP("[S08_InfringementsIncurredAllocation][17][OngoingProceedings]",Submission!$O:$O,Submission!$H:$N,""))</f>
        <v/>
      </c>
      <c r="I312" s="41" t="str">
        <f>_xlfn.CONCAT(_xlfn.XLOOKUP("[S08_InfringementsIncurredAllocation][17][PenaltyEnforcedWithinPeriod]",Submission!$O:$O,Submission!$H:$N,""))</f>
        <v/>
      </c>
    </row>
    <row r="313" spans="2:10" ht="39.6" hidden="1" customHeight="1" outlineLevel="1" x14ac:dyDescent="0.3">
      <c r="C313" s="284" t="str">
        <f>_xlfn.CONCAT(_xlfn.XLOOKUP("[S08_InfringementsIncurredAllocation][18][InfringementType]",Submission!$O:$O,Submission!$H:$N,""))</f>
        <v/>
      </c>
      <c r="D313" s="285"/>
      <c r="E313" s="105" t="str">
        <f>_xlfn.CONCAT(_xlfn.XLOOKUP("[S08_InfringementsIncurredAllocation][18][ActualFines]",Submission!$O:$O,Submission!$H:$N,""))</f>
        <v/>
      </c>
      <c r="F313" s="105" t="str">
        <f>_xlfn.CONCAT(_xlfn.XLOOKUP("[S08_InfringementsIncurredAllocation][18][ActualImprisonment]",Submission!$O:$O,Submission!$H:$N,""))</f>
        <v/>
      </c>
      <c r="G313" s="105" t="str">
        <f>_xlfn.CONCAT(_xlfn.XLOOKUP("[S08_InfringementsIncurredAllocation][18][ACtualOtherPenalties]",Submission!$O:$O,Submission!$H:$N,""))</f>
        <v/>
      </c>
      <c r="H313" s="41" t="str">
        <f>_xlfn.CONCAT(_xlfn.XLOOKUP("[S08_InfringementsIncurredAllocation][18][OngoingProceedings]",Submission!$O:$O,Submission!$H:$N,""))</f>
        <v/>
      </c>
      <c r="I313" s="41" t="str">
        <f>_xlfn.CONCAT(_xlfn.XLOOKUP("[S08_InfringementsIncurredAllocation][18][PenaltyEnforcedWithinPeriod]",Submission!$O:$O,Submission!$H:$N,""))</f>
        <v/>
      </c>
    </row>
    <row r="314" spans="2:10" ht="39.6" hidden="1" customHeight="1" outlineLevel="1" x14ac:dyDescent="0.3">
      <c r="C314" s="284" t="str">
        <f>_xlfn.CONCAT(_xlfn.XLOOKUP("[S08_InfringementsIncurredAllocation][19][InfringementType]",Submission!$O:$O,Submission!$H:$N,""))</f>
        <v/>
      </c>
      <c r="D314" s="285"/>
      <c r="E314" s="105" t="str">
        <f>_xlfn.CONCAT(_xlfn.XLOOKUP("[S08_InfringementsIncurredAllocation][19][ActualFines]",Submission!$O:$O,Submission!$H:$N,""))</f>
        <v/>
      </c>
      <c r="F314" s="105" t="str">
        <f>_xlfn.CONCAT(_xlfn.XLOOKUP("[S08_InfringementsIncurredAllocation][19][ActualImprisonment]",Submission!$O:$O,Submission!$H:$N,""))</f>
        <v/>
      </c>
      <c r="G314" s="105" t="str">
        <f>_xlfn.CONCAT(_xlfn.XLOOKUP("[S08_InfringementsIncurredAllocation][19][ACtualOtherPenalties]",Submission!$O:$O,Submission!$H:$N,""))</f>
        <v/>
      </c>
      <c r="H314" s="41" t="str">
        <f>_xlfn.CONCAT(_xlfn.XLOOKUP("[S08_InfringementsIncurredAllocation][19][OngoingProceedings]",Submission!$O:$O,Submission!$H:$N,""))</f>
        <v/>
      </c>
      <c r="I314" s="41" t="str">
        <f>_xlfn.CONCAT(_xlfn.XLOOKUP("[S08_InfringementsIncurredAllocation][19][PenaltyEnforcedWithinPeriod]",Submission!$O:$O,Submission!$H:$N,""))</f>
        <v/>
      </c>
    </row>
    <row r="315" spans="2:10" ht="39.6" hidden="1" customHeight="1" outlineLevel="1" x14ac:dyDescent="0.3">
      <c r="C315" s="284" t="str">
        <f>_xlfn.CONCAT(_xlfn.XLOOKUP("[S08_InfringementsIncurredAllocation][20][InfringementType]",Submission!$O:$O,Submission!$H:$N,""))</f>
        <v/>
      </c>
      <c r="D315" s="285"/>
      <c r="E315" s="105" t="str">
        <f>_xlfn.CONCAT(_xlfn.XLOOKUP("[S08_InfringementsIncurredAllocation][20][ActualFines]",Submission!$O:$O,Submission!$H:$N,""))</f>
        <v/>
      </c>
      <c r="F315" s="105" t="str">
        <f>_xlfn.CONCAT(_xlfn.XLOOKUP("[S08_InfringementsIncurredAllocation][20][ActualImprisonment]",Submission!$O:$O,Submission!$H:$N,""))</f>
        <v/>
      </c>
      <c r="G315" s="105" t="str">
        <f>_xlfn.CONCAT(_xlfn.XLOOKUP("[S08_InfringementsIncurredAllocation][20][ACtualOtherPenalties]",Submission!$O:$O,Submission!$H:$N,""))</f>
        <v/>
      </c>
      <c r="H315" s="41" t="str">
        <f>_xlfn.CONCAT(_xlfn.XLOOKUP("[S08_InfringementsIncurredAllocation][20][OngoingProceedings]",Submission!$O:$O,Submission!$H:$N,""))</f>
        <v/>
      </c>
      <c r="I315" s="41" t="str">
        <f>_xlfn.CONCAT(_xlfn.XLOOKUP("[S08_InfringementsIncurredAllocation][20][PenaltyEnforcedWithinPeriod]",Submission!$O:$O,Submission!$H:$N,""))</f>
        <v/>
      </c>
    </row>
    <row r="316" spans="2:10" ht="39.6" hidden="1" customHeight="1" outlineLevel="1" x14ac:dyDescent="0.3">
      <c r="C316" s="284" t="str">
        <f>_xlfn.CONCAT(_xlfn.XLOOKUP("[S08_InfringementsIncurredAllocation][21][InfringementType]",Submission!$O:$O,Submission!$H:$N,""))</f>
        <v/>
      </c>
      <c r="D316" s="285"/>
      <c r="E316" s="105" t="str">
        <f>_xlfn.CONCAT(_xlfn.XLOOKUP("[S08_InfringementsIncurredAllocation][21][ActualFines]",Submission!$O:$O,Submission!$H:$N,""))</f>
        <v/>
      </c>
      <c r="F316" s="105" t="str">
        <f>_xlfn.CONCAT(_xlfn.XLOOKUP("[S08_InfringementsIncurredAllocation][21][ActualImprisonment]",Submission!$O:$O,Submission!$H:$N,""))</f>
        <v/>
      </c>
      <c r="G316" s="105" t="str">
        <f>_xlfn.CONCAT(_xlfn.XLOOKUP("[S08_InfringementsIncurredAllocation][21][ACtualOtherPenalties]",Submission!$O:$O,Submission!$H:$N,""))</f>
        <v/>
      </c>
      <c r="H316" s="41" t="str">
        <f>_xlfn.CONCAT(_xlfn.XLOOKUP("[S08_InfringementsIncurredAllocation][21][OngoingProceedings]",Submission!$O:$O,Submission!$H:$N,""))</f>
        <v/>
      </c>
      <c r="I316" s="41" t="str">
        <f>_xlfn.CONCAT(_xlfn.XLOOKUP("[S08_InfringementsIncurredAllocation][21][PenaltyEnforcedWithinPeriod]",Submission!$O:$O,Submission!$H:$N,""))</f>
        <v/>
      </c>
    </row>
    <row r="317" spans="2:10" ht="39.6" hidden="1" customHeight="1" outlineLevel="1" x14ac:dyDescent="0.3">
      <c r="C317" s="284" t="str">
        <f>_xlfn.CONCAT(_xlfn.XLOOKUP("[S08_InfringementsIncurredAllocation][22][InfringementType]",Submission!$O:$O,Submission!$H:$N,""))</f>
        <v/>
      </c>
      <c r="D317" s="285"/>
      <c r="E317" s="105" t="str">
        <f>_xlfn.CONCAT(_xlfn.XLOOKUP("[S08_InfringementsIncurredAllocation][22][ActualFines]",Submission!$O:$O,Submission!$H:$N,""))</f>
        <v/>
      </c>
      <c r="F317" s="105" t="str">
        <f>_xlfn.CONCAT(_xlfn.XLOOKUP("[S08_InfringementsIncurredAllocation][22][ActualImprisonment]",Submission!$O:$O,Submission!$H:$N,""))</f>
        <v/>
      </c>
      <c r="G317" s="105" t="str">
        <f>_xlfn.CONCAT(_xlfn.XLOOKUP("[S08_InfringementsIncurredAllocation][22][ACtualOtherPenalties]",Submission!$O:$O,Submission!$H:$N,""))</f>
        <v/>
      </c>
      <c r="H317" s="41" t="str">
        <f>_xlfn.CONCAT(_xlfn.XLOOKUP("[S08_InfringementsIncurredAllocation][22][OngoingProceedings]",Submission!$O:$O,Submission!$H:$N,""))</f>
        <v/>
      </c>
      <c r="I317" s="41" t="str">
        <f>_xlfn.CONCAT(_xlfn.XLOOKUP("[S08_InfringementsIncurredAllocation][22][PenaltyEnforcedWithinPeriod]",Submission!$O:$O,Submission!$H:$N,""))</f>
        <v/>
      </c>
    </row>
    <row r="318" spans="2:10" collapsed="1" x14ac:dyDescent="0.3">
      <c r="B318" s="26" t="s">
        <v>1000</v>
      </c>
    </row>
    <row r="319" spans="2:10" x14ac:dyDescent="0.3">
      <c r="C319" s="449" t="s">
        <v>1243</v>
      </c>
      <c r="D319" s="498"/>
      <c r="E319" s="498"/>
      <c r="F319" s="498"/>
      <c r="G319" s="498"/>
      <c r="H319" s="498"/>
      <c r="I319" s="498"/>
      <c r="J319" s="498"/>
    </row>
    <row r="321" spans="2:9" ht="15.6" customHeight="1" x14ac:dyDescent="0.3">
      <c r="B321" s="507" t="s">
        <v>1244</v>
      </c>
      <c r="C321" s="507"/>
      <c r="D321" s="507"/>
      <c r="E321" s="507"/>
      <c r="F321" s="507"/>
      <c r="G321" s="507"/>
      <c r="H321" s="508"/>
      <c r="I321" s="41" t="str">
        <f>_xlfn.CONCAT(_xlfn.XLOOKUP("[PriorPenaltiesEnforced][0][PriorPenaltiesEnforced]",Submission!$O:$O,Submission!$H:$N,""))</f>
        <v/>
      </c>
    </row>
    <row r="322" spans="2:9" ht="16.2" customHeight="1" x14ac:dyDescent="0.3">
      <c r="B322" s="293" t="s">
        <v>1245</v>
      </c>
      <c r="C322" s="294"/>
      <c r="D322" s="294"/>
      <c r="E322" s="294"/>
      <c r="F322" s="294"/>
      <c r="G322" s="294"/>
      <c r="H322" s="294"/>
      <c r="I322" s="294"/>
    </row>
    <row r="323" spans="2:9" x14ac:dyDescent="0.3">
      <c r="C323" s="444" t="s">
        <v>1224</v>
      </c>
      <c r="D323" s="445"/>
      <c r="E323" s="446"/>
      <c r="F323" s="444" t="s">
        <v>1246</v>
      </c>
      <c r="G323" s="446"/>
      <c r="H323" s="444" t="s">
        <v>1247</v>
      </c>
      <c r="I323" s="446"/>
    </row>
    <row r="324" spans="2:9" x14ac:dyDescent="0.3">
      <c r="C324" s="251" t="str">
        <f>_xlfn.CONCAT(_xlfn.XLOOKUP("[S08_PriorPenaltiesEnforcedDetail][1][TypeInfringement]",Submission!$O:$O,Submission!$H:$N,""))</f>
        <v/>
      </c>
      <c r="D324" s="468"/>
      <c r="E324" s="252"/>
      <c r="F324" s="251" t="str">
        <f>_xlfn.CONCAT(_xlfn.XLOOKUP("[S08_PriorPenaltiesEnforcedDetail][1][TypePenalty]",Submission!$O:$O,Submission!$H:$N,""))</f>
        <v/>
      </c>
      <c r="G324" s="252"/>
      <c r="H324" s="466" t="str">
        <f>_xlfn.CONCAT(_xlfn.XLOOKUP("[S08_PriorPenaltiesEnforcedDetail][1][ReportinYear]",Submission!$O:$O,Submission!$H:$N,""))</f>
        <v/>
      </c>
      <c r="I324" s="467"/>
    </row>
    <row r="325" spans="2:9" x14ac:dyDescent="0.3">
      <c r="C325" s="251" t="str">
        <f>_xlfn.CONCAT(_xlfn.XLOOKUP("[S08_PriorPenaltiesEnforcedDetail][2][TypeInfringement]",Submission!$O:$O,Submission!$H:$N,""))</f>
        <v/>
      </c>
      <c r="D325" s="468"/>
      <c r="E325" s="252"/>
      <c r="F325" s="251" t="str">
        <f>_xlfn.CONCAT(_xlfn.XLOOKUP("[S08_PriorPenaltiesEnforcedDetail][2][TypePenalty]",Submission!$O:$O,Submission!$H:$N,""))</f>
        <v/>
      </c>
      <c r="G325" s="252"/>
      <c r="H325" s="466" t="str">
        <f>_xlfn.CONCAT(_xlfn.XLOOKUP("[S08_PriorPenaltiesEnforcedDetail][2][ReportinYear]",Submission!$O:$O,Submission!$H:$N,""))</f>
        <v/>
      </c>
      <c r="I325" s="467"/>
    </row>
    <row r="326" spans="2:9" x14ac:dyDescent="0.3">
      <c r="C326" s="251" t="str">
        <f>_xlfn.CONCAT(_xlfn.XLOOKUP("[S08_PriorPenaltiesEnforcedDetail][3][TypeInfringement]",Submission!$O:$O,Submission!$H:$N,""))</f>
        <v/>
      </c>
      <c r="D326" s="468"/>
      <c r="E326" s="252"/>
      <c r="F326" s="251" t="str">
        <f>_xlfn.CONCAT(_xlfn.XLOOKUP("[S08_PriorPenaltiesEnforcedDetail][3][TypePenalty]",Submission!$O:$O,Submission!$H:$N,""))</f>
        <v/>
      </c>
      <c r="G326" s="252"/>
      <c r="H326" s="466" t="str">
        <f>_xlfn.CONCAT(_xlfn.XLOOKUP("[S08_PriorPenaltiesEnforcedDetail][3][ReportinYear]",Submission!$O:$O,Submission!$H:$N,""))</f>
        <v/>
      </c>
      <c r="I326" s="467"/>
    </row>
    <row r="327" spans="2:9" x14ac:dyDescent="0.3">
      <c r="C327" s="251" t="str">
        <f>_xlfn.CONCAT(_xlfn.XLOOKUP("[S08_PriorPenaltiesEnforcedDetail][4][TypeInfringement]",Submission!$O:$O,Submission!$H:$N,""))</f>
        <v/>
      </c>
      <c r="D327" s="468"/>
      <c r="E327" s="252"/>
      <c r="F327" s="251" t="str">
        <f>_xlfn.CONCAT(_xlfn.XLOOKUP("[S08_PriorPenaltiesEnforcedDetail][4][TypePenalty]",Submission!$O:$O,Submission!$H:$N,""))</f>
        <v/>
      </c>
      <c r="G327" s="252"/>
      <c r="H327" s="466" t="str">
        <f>_xlfn.CONCAT(_xlfn.XLOOKUP("[S08_PriorPenaltiesEnforcedDetail][4][ReportinYear]",Submission!$O:$O,Submission!$H:$N,""))</f>
        <v/>
      </c>
      <c r="I327" s="467"/>
    </row>
    <row r="328" spans="2:9" x14ac:dyDescent="0.3">
      <c r="C328" s="251" t="str">
        <f>_xlfn.CONCAT(_xlfn.XLOOKUP("[S08_PriorPenaltiesEnforcedDetail][5][TypeInfringement]",Submission!$O:$O,Submission!$H:$N,""))</f>
        <v/>
      </c>
      <c r="D328" s="468"/>
      <c r="E328" s="252"/>
      <c r="F328" s="251" t="str">
        <f>_xlfn.CONCAT(_xlfn.XLOOKUP("[S08_PriorPenaltiesEnforcedDetail][5][TypePenalty]",Submission!$O:$O,Submission!$H:$N,""))</f>
        <v/>
      </c>
      <c r="G328" s="252"/>
      <c r="H328" s="466" t="str">
        <f>_xlfn.CONCAT(_xlfn.XLOOKUP("[S08_PriorPenaltiesEnforcedDetail][5][ReportinYear]",Submission!$O:$O,Submission!$H:$N,""))</f>
        <v/>
      </c>
      <c r="I328" s="467"/>
    </row>
    <row r="329" spans="2:9" hidden="1" outlineLevel="1" x14ac:dyDescent="0.3">
      <c r="C329" s="251" t="str">
        <f>_xlfn.CONCAT(_xlfn.XLOOKUP("[S08_PriorPenaltiesEnforcedDetail][6][TypeInfringement]",Submission!$O:$O,Submission!$H:$N,""))</f>
        <v/>
      </c>
      <c r="D329" s="468"/>
      <c r="E329" s="252"/>
      <c r="F329" s="251" t="str">
        <f>_xlfn.CONCAT(_xlfn.XLOOKUP("[S08_PriorPenaltiesEnforcedDetail][6][TypePenalty]",Submission!$O:$O,Submission!$H:$N,""))</f>
        <v/>
      </c>
      <c r="G329" s="252"/>
      <c r="H329" s="466" t="str">
        <f>_xlfn.CONCAT(_xlfn.XLOOKUP("[S08_PriorPenaltiesEnforcedDetail][6][ReportinYear]",Submission!$O:$O,Submission!$H:$N,""))</f>
        <v/>
      </c>
      <c r="I329" s="467"/>
    </row>
    <row r="330" spans="2:9" hidden="1" outlineLevel="1" x14ac:dyDescent="0.3">
      <c r="C330" s="251" t="str">
        <f>_xlfn.CONCAT(_xlfn.XLOOKUP("[S08_PriorPenaltiesEnforcedDetail][7][TypeInfringement]",Submission!$O:$O,Submission!$H:$N,""))</f>
        <v/>
      </c>
      <c r="D330" s="468"/>
      <c r="E330" s="252"/>
      <c r="F330" s="251" t="str">
        <f>_xlfn.CONCAT(_xlfn.XLOOKUP("[S08_PriorPenaltiesEnforcedDetail][7][TypePenalty]",Submission!$O:$O,Submission!$H:$N,""))</f>
        <v/>
      </c>
      <c r="G330" s="252"/>
      <c r="H330" s="466" t="str">
        <f>_xlfn.CONCAT(_xlfn.XLOOKUP("[S08_PriorPenaltiesEnforcedDetail][7][ReportinYear]",Submission!$O:$O,Submission!$H:$N,""))</f>
        <v/>
      </c>
      <c r="I330" s="467"/>
    </row>
    <row r="331" spans="2:9" hidden="1" outlineLevel="1" x14ac:dyDescent="0.3">
      <c r="C331" s="251" t="str">
        <f>_xlfn.CONCAT(_xlfn.XLOOKUP("[S08_PriorPenaltiesEnforcedDetail][8][TypeInfringement]",Submission!$O:$O,Submission!$H:$N,""))</f>
        <v/>
      </c>
      <c r="D331" s="468"/>
      <c r="E331" s="252"/>
      <c r="F331" s="251" t="str">
        <f>_xlfn.CONCAT(_xlfn.XLOOKUP("[S08_PriorPenaltiesEnforcedDetail][8][TypePenalty]",Submission!$O:$O,Submission!$H:$N,""))</f>
        <v/>
      </c>
      <c r="G331" s="252"/>
      <c r="H331" s="466" t="str">
        <f>_xlfn.CONCAT(_xlfn.XLOOKUP("[S08_PriorPenaltiesEnforcedDetail][8][ReportinYear]",Submission!$O:$O,Submission!$H:$N,""))</f>
        <v/>
      </c>
      <c r="I331" s="467"/>
    </row>
    <row r="332" spans="2:9" hidden="1" outlineLevel="1" x14ac:dyDescent="0.3">
      <c r="C332" s="251" t="str">
        <f>_xlfn.CONCAT(_xlfn.XLOOKUP("[S08_PriorPenaltiesEnforcedDetail][9][TypeInfringement]",Submission!$O:$O,Submission!$H:$N,""))</f>
        <v/>
      </c>
      <c r="D332" s="468"/>
      <c r="E332" s="252"/>
      <c r="F332" s="251" t="str">
        <f>_xlfn.CONCAT(_xlfn.XLOOKUP("[S08_PriorPenaltiesEnforcedDetail][9][TypePenalty]",Submission!$O:$O,Submission!$H:$N,""))</f>
        <v/>
      </c>
      <c r="G332" s="252"/>
      <c r="H332" s="466" t="str">
        <f>_xlfn.CONCAT(_xlfn.XLOOKUP("[S08_PriorPenaltiesEnforcedDetail][9][ReportinYear]",Submission!$O:$O,Submission!$H:$N,""))</f>
        <v/>
      </c>
      <c r="I332" s="467"/>
    </row>
    <row r="333" spans="2:9" hidden="1" outlineLevel="1" x14ac:dyDescent="0.3">
      <c r="C333" s="251" t="str">
        <f>_xlfn.CONCAT(_xlfn.XLOOKUP("[S08_PriorPenaltiesEnforcedDetail][10][TypeInfringement]",Submission!$O:$O,Submission!$H:$N,""))</f>
        <v/>
      </c>
      <c r="D333" s="468"/>
      <c r="E333" s="252"/>
      <c r="F333" s="251" t="str">
        <f>_xlfn.CONCAT(_xlfn.XLOOKUP("[S08_PriorPenaltiesEnforcedDetail][10][TypePenalty]",Submission!$O:$O,Submission!$H:$N,""))</f>
        <v/>
      </c>
      <c r="G333" s="252"/>
      <c r="H333" s="466" t="str">
        <f>_xlfn.CONCAT(_xlfn.XLOOKUP("[S08_PriorPenaltiesEnforcedDetail][10][ReportinYear]",Submission!$O:$O,Submission!$H:$N,""))</f>
        <v/>
      </c>
      <c r="I333" s="467"/>
    </row>
    <row r="334" spans="2:9" hidden="1" outlineLevel="1" x14ac:dyDescent="0.3">
      <c r="C334" s="251" t="str">
        <f>_xlfn.CONCAT(_xlfn.XLOOKUP("[S08_PriorPenaltiesEnforcedDetail][11][TypeInfringement]",Submission!$O:$O,Submission!$H:$N,""))</f>
        <v/>
      </c>
      <c r="D334" s="468"/>
      <c r="E334" s="252"/>
      <c r="F334" s="251" t="str">
        <f>_xlfn.CONCAT(_xlfn.XLOOKUP("[S08_PriorPenaltiesEnforcedDetail][11][TypePenalty]",Submission!$O:$O,Submission!$H:$N,""))</f>
        <v/>
      </c>
      <c r="G334" s="252"/>
      <c r="H334" s="466" t="str">
        <f>_xlfn.CONCAT(_xlfn.XLOOKUP("[S08_PriorPenaltiesEnforcedDetail][11][ReportinYear]",Submission!$O:$O,Submission!$H:$N,""))</f>
        <v/>
      </c>
      <c r="I334" s="467"/>
    </row>
    <row r="335" spans="2:9" hidden="1" outlineLevel="1" x14ac:dyDescent="0.3">
      <c r="C335" s="251" t="str">
        <f>_xlfn.CONCAT(_xlfn.XLOOKUP("[S08_PriorPenaltiesEnforcedDetail][12][TypeInfringement]",Submission!$O:$O,Submission!$H:$N,""))</f>
        <v/>
      </c>
      <c r="D335" s="468"/>
      <c r="E335" s="252"/>
      <c r="F335" s="251" t="str">
        <f>_xlfn.CONCAT(_xlfn.XLOOKUP("[S08_PriorPenaltiesEnforcedDetail][12][TypePenalty]",Submission!$O:$O,Submission!$H:$N,""))</f>
        <v/>
      </c>
      <c r="G335" s="252"/>
      <c r="H335" s="466" t="str">
        <f>_xlfn.CONCAT(_xlfn.XLOOKUP("[S08_PriorPenaltiesEnforcedDetail][12][ReportinYear]",Submission!$O:$O,Submission!$H:$N,""))</f>
        <v/>
      </c>
      <c r="I335" s="467"/>
    </row>
    <row r="336" spans="2:9" hidden="1" outlineLevel="1" x14ac:dyDescent="0.3">
      <c r="C336" s="251" t="str">
        <f>_xlfn.CONCAT(_xlfn.XLOOKUP("[S08_PriorPenaltiesEnforcedDetail][13][TypeInfringement]",Submission!$O:$O,Submission!$H:$N,""))</f>
        <v/>
      </c>
      <c r="D336" s="468"/>
      <c r="E336" s="252"/>
      <c r="F336" s="251" t="str">
        <f>_xlfn.CONCAT(_xlfn.XLOOKUP("[S08_PriorPenaltiesEnforcedDetail][13][TypePenalty]",Submission!$O:$O,Submission!$H:$N,""))</f>
        <v/>
      </c>
      <c r="G336" s="252"/>
      <c r="H336" s="466" t="str">
        <f>_xlfn.CONCAT(_xlfn.XLOOKUP("[S08_PriorPenaltiesEnforcedDetail][13][ReportinYear]",Submission!$O:$O,Submission!$H:$N,""))</f>
        <v/>
      </c>
      <c r="I336" s="467"/>
    </row>
    <row r="337" spans="2:10" hidden="1" outlineLevel="1" x14ac:dyDescent="0.3">
      <c r="C337" s="251" t="str">
        <f>_xlfn.CONCAT(_xlfn.XLOOKUP("[S08_PriorPenaltiesEnforcedDetail][14][TypeInfringement]",Submission!$O:$O,Submission!$H:$N,""))</f>
        <v/>
      </c>
      <c r="D337" s="468"/>
      <c r="E337" s="252"/>
      <c r="F337" s="251" t="str">
        <f>_xlfn.CONCAT(_xlfn.XLOOKUP("[S08_PriorPenaltiesEnforcedDetail][14][TypePenalty]",Submission!$O:$O,Submission!$H:$N,""))</f>
        <v/>
      </c>
      <c r="G337" s="252"/>
      <c r="H337" s="466" t="str">
        <f>_xlfn.CONCAT(_xlfn.XLOOKUP("[S08_PriorPenaltiesEnforcedDetail][14][ReportinYear]",Submission!$O:$O,Submission!$H:$N,""))</f>
        <v/>
      </c>
      <c r="I337" s="467"/>
    </row>
    <row r="338" spans="2:10" hidden="1" outlineLevel="1" x14ac:dyDescent="0.3">
      <c r="C338" s="251" t="str">
        <f>_xlfn.CONCAT(_xlfn.XLOOKUP("[S08_PriorPenaltiesEnforcedDetail][15][TypeInfringement]",Submission!$O:$O,Submission!$H:$N,""))</f>
        <v/>
      </c>
      <c r="D338" s="468"/>
      <c r="E338" s="252"/>
      <c r="F338" s="251" t="str">
        <f>_xlfn.CONCAT(_xlfn.XLOOKUP("[S08_PriorPenaltiesEnforcedDetail][15][TypePenalty]",Submission!$O:$O,Submission!$H:$N,""))</f>
        <v/>
      </c>
      <c r="G338" s="252"/>
      <c r="H338" s="466" t="str">
        <f>_xlfn.CONCAT(_xlfn.XLOOKUP("[S08_PriorPenaltiesEnforcedDetail][15][ReportinYear]",Submission!$O:$O,Submission!$H:$N,""))</f>
        <v/>
      </c>
      <c r="I338" s="467"/>
    </row>
    <row r="339" spans="2:10" hidden="1" outlineLevel="1" x14ac:dyDescent="0.3">
      <c r="C339" s="251" t="str">
        <f>_xlfn.CONCAT(_xlfn.XLOOKUP("[S08_PriorPenaltiesEnforcedDetail][16][TypeInfringement]",Submission!$O:$O,Submission!$H:$N,""))</f>
        <v/>
      </c>
      <c r="D339" s="468"/>
      <c r="E339" s="252"/>
      <c r="F339" s="251" t="str">
        <f>_xlfn.CONCAT(_xlfn.XLOOKUP("[S08_PriorPenaltiesEnforcedDetail][16][TypePenalty]",Submission!$O:$O,Submission!$H:$N,""))</f>
        <v/>
      </c>
      <c r="G339" s="252"/>
      <c r="H339" s="466" t="str">
        <f>_xlfn.CONCAT(_xlfn.XLOOKUP("[S08_PriorPenaltiesEnforcedDetail][16][ReportinYear]",Submission!$O:$O,Submission!$H:$N,""))</f>
        <v/>
      </c>
      <c r="I339" s="467"/>
    </row>
    <row r="340" spans="2:10" hidden="1" outlineLevel="1" x14ac:dyDescent="0.3">
      <c r="C340" s="251" t="str">
        <f>_xlfn.CONCAT(_xlfn.XLOOKUP("[S08_PriorPenaltiesEnforcedDetail][17][TypeInfringement]",Submission!$O:$O,Submission!$H:$N,""))</f>
        <v/>
      </c>
      <c r="D340" s="468"/>
      <c r="E340" s="252"/>
      <c r="F340" s="251" t="str">
        <f>_xlfn.CONCAT(_xlfn.XLOOKUP("[S08_PriorPenaltiesEnforcedDetail][17][TypePenalty]",Submission!$O:$O,Submission!$H:$N,""))</f>
        <v/>
      </c>
      <c r="G340" s="252"/>
      <c r="H340" s="466" t="str">
        <f>_xlfn.CONCAT(_xlfn.XLOOKUP("[S08_PriorPenaltiesEnforcedDetail][17][ReportinYear]",Submission!$O:$O,Submission!$H:$N,""))</f>
        <v/>
      </c>
      <c r="I340" s="467"/>
    </row>
    <row r="341" spans="2:10" collapsed="1" x14ac:dyDescent="0.3">
      <c r="B341" s="26" t="s">
        <v>1000</v>
      </c>
      <c r="C341" s="16"/>
      <c r="D341" s="19"/>
      <c r="E341" s="11"/>
      <c r="F341" s="11"/>
      <c r="G341" s="11"/>
      <c r="H341" s="11"/>
      <c r="I341" s="11"/>
    </row>
    <row r="342" spans="2:10" x14ac:dyDescent="0.3">
      <c r="C342" s="449" t="s">
        <v>1248</v>
      </c>
      <c r="D342" s="498"/>
      <c r="E342" s="498"/>
      <c r="F342" s="498"/>
      <c r="G342" s="498"/>
      <c r="H342" s="498"/>
      <c r="I342" s="498"/>
      <c r="J342" s="498"/>
    </row>
  </sheetData>
  <mergeCells count="583">
    <mergeCell ref="H324:I324"/>
    <mergeCell ref="C325:E325"/>
    <mergeCell ref="F325:G325"/>
    <mergeCell ref="H325:I325"/>
    <mergeCell ref="C335:E335"/>
    <mergeCell ref="F335:G335"/>
    <mergeCell ref="H335:I335"/>
    <mergeCell ref="C326:E326"/>
    <mergeCell ref="F326:G326"/>
    <mergeCell ref="H326:I326"/>
    <mergeCell ref="C327:E327"/>
    <mergeCell ref="F327:G327"/>
    <mergeCell ref="H327:I327"/>
    <mergeCell ref="C328:E328"/>
    <mergeCell ref="F328:G328"/>
    <mergeCell ref="H328:I328"/>
    <mergeCell ref="C329:E329"/>
    <mergeCell ref="F329:G329"/>
    <mergeCell ref="H329:I329"/>
    <mergeCell ref="C330:E330"/>
    <mergeCell ref="F330:G330"/>
    <mergeCell ref="H330:I330"/>
    <mergeCell ref="C331:E331"/>
    <mergeCell ref="F331:G331"/>
    <mergeCell ref="C324:E324"/>
    <mergeCell ref="F324:G324"/>
    <mergeCell ref="C306:D306"/>
    <mergeCell ref="C307:D307"/>
    <mergeCell ref="C308:D308"/>
    <mergeCell ref="C309:D309"/>
    <mergeCell ref="C310:D310"/>
    <mergeCell ref="F267:G267"/>
    <mergeCell ref="H267:I267"/>
    <mergeCell ref="C296:D296"/>
    <mergeCell ref="C297:D297"/>
    <mergeCell ref="C298:D298"/>
    <mergeCell ref="C299:D299"/>
    <mergeCell ref="C300:D300"/>
    <mergeCell ref="C314:D314"/>
    <mergeCell ref="C315:D315"/>
    <mergeCell ref="C301:D301"/>
    <mergeCell ref="C302:D302"/>
    <mergeCell ref="C303:D303"/>
    <mergeCell ref="C304:D304"/>
    <mergeCell ref="C305:D305"/>
    <mergeCell ref="D275:E275"/>
    <mergeCell ref="F275:G275"/>
    <mergeCell ref="H275:I275"/>
    <mergeCell ref="C260:I260"/>
    <mergeCell ref="C261:I261"/>
    <mergeCell ref="H104:I104"/>
    <mergeCell ref="H118:I118"/>
    <mergeCell ref="H105:I105"/>
    <mergeCell ref="C105:D105"/>
    <mergeCell ref="C104:D104"/>
    <mergeCell ref="C118:D118"/>
    <mergeCell ref="I281:I282"/>
    <mergeCell ref="F270:G270"/>
    <mergeCell ref="H270:I270"/>
    <mergeCell ref="D271:E271"/>
    <mergeCell ref="F271:G271"/>
    <mergeCell ref="H271:I271"/>
    <mergeCell ref="D264:E264"/>
    <mergeCell ref="F264:G264"/>
    <mergeCell ref="H264:I264"/>
    <mergeCell ref="D265:E265"/>
    <mergeCell ref="F265:G265"/>
    <mergeCell ref="H265:I265"/>
    <mergeCell ref="D266:E266"/>
    <mergeCell ref="F266:G266"/>
    <mergeCell ref="H266:I266"/>
    <mergeCell ref="D267:E267"/>
    <mergeCell ref="G253:I253"/>
    <mergeCell ref="G254:I254"/>
    <mergeCell ref="D272:E272"/>
    <mergeCell ref="F272:G272"/>
    <mergeCell ref="H272:I272"/>
    <mergeCell ref="D273:E273"/>
    <mergeCell ref="F273:G273"/>
    <mergeCell ref="H273:I273"/>
    <mergeCell ref="C204:D204"/>
    <mergeCell ref="H204:I204"/>
    <mergeCell ref="C205:D205"/>
    <mergeCell ref="H205:I205"/>
    <mergeCell ref="C206:D206"/>
    <mergeCell ref="H206:I206"/>
    <mergeCell ref="D268:E268"/>
    <mergeCell ref="F268:G268"/>
    <mergeCell ref="H268:I268"/>
    <mergeCell ref="C262:I262"/>
    <mergeCell ref="D263:E263"/>
    <mergeCell ref="F263:G263"/>
    <mergeCell ref="H263:I263"/>
    <mergeCell ref="C256:I256"/>
    <mergeCell ref="B258:H258"/>
    <mergeCell ref="B259:I259"/>
    <mergeCell ref="C198:D198"/>
    <mergeCell ref="H198:I198"/>
    <mergeCell ref="B248:H248"/>
    <mergeCell ref="B249:I249"/>
    <mergeCell ref="C250:F250"/>
    <mergeCell ref="G250:I250"/>
    <mergeCell ref="C255:F255"/>
    <mergeCell ref="G255:I255"/>
    <mergeCell ref="C199:D199"/>
    <mergeCell ref="H199:I199"/>
    <mergeCell ref="C200:D200"/>
    <mergeCell ref="H200:I200"/>
    <mergeCell ref="C201:D201"/>
    <mergeCell ref="H201:I201"/>
    <mergeCell ref="C202:D202"/>
    <mergeCell ref="H202:I202"/>
    <mergeCell ref="C203:D203"/>
    <mergeCell ref="H203:I203"/>
    <mergeCell ref="C251:F251"/>
    <mergeCell ref="G251:I251"/>
    <mergeCell ref="C252:F252"/>
    <mergeCell ref="C253:F253"/>
    <mergeCell ref="C254:F254"/>
    <mergeCell ref="G252:I252"/>
    <mergeCell ref="C193:D193"/>
    <mergeCell ref="H193:I193"/>
    <mergeCell ref="C194:D194"/>
    <mergeCell ref="H194:I194"/>
    <mergeCell ref="C195:D195"/>
    <mergeCell ref="H195:I195"/>
    <mergeCell ref="C196:D196"/>
    <mergeCell ref="H196:I196"/>
    <mergeCell ref="C197:D197"/>
    <mergeCell ref="H197:I197"/>
    <mergeCell ref="C188:D188"/>
    <mergeCell ref="H188:I188"/>
    <mergeCell ref="C189:D189"/>
    <mergeCell ref="H189:I189"/>
    <mergeCell ref="C190:D190"/>
    <mergeCell ref="H190:I190"/>
    <mergeCell ref="C191:D191"/>
    <mergeCell ref="H191:I191"/>
    <mergeCell ref="C192:D192"/>
    <mergeCell ref="H192:I192"/>
    <mergeCell ref="C183:D183"/>
    <mergeCell ref="H183:I183"/>
    <mergeCell ref="C184:D184"/>
    <mergeCell ref="H184:I184"/>
    <mergeCell ref="C185:D185"/>
    <mergeCell ref="H185:I185"/>
    <mergeCell ref="C186:D186"/>
    <mergeCell ref="H186:I186"/>
    <mergeCell ref="C187:D187"/>
    <mergeCell ref="H187:I187"/>
    <mergeCell ref="C178:D178"/>
    <mergeCell ref="H178:I178"/>
    <mergeCell ref="C179:D179"/>
    <mergeCell ref="H179:I179"/>
    <mergeCell ref="C180:D180"/>
    <mergeCell ref="H180:I180"/>
    <mergeCell ref="C181:D181"/>
    <mergeCell ref="H181:I181"/>
    <mergeCell ref="C182:D182"/>
    <mergeCell ref="H182:I182"/>
    <mergeCell ref="H173:I173"/>
    <mergeCell ref="C174:D174"/>
    <mergeCell ref="H174:I174"/>
    <mergeCell ref="C175:D175"/>
    <mergeCell ref="H175:I175"/>
    <mergeCell ref="C176:D176"/>
    <mergeCell ref="H176:I176"/>
    <mergeCell ref="C177:D177"/>
    <mergeCell ref="H177:I177"/>
    <mergeCell ref="C173:D173"/>
    <mergeCell ref="C106:D106"/>
    <mergeCell ref="H106:I106"/>
    <mergeCell ref="C107:D107"/>
    <mergeCell ref="H107:I107"/>
    <mergeCell ref="C108:D108"/>
    <mergeCell ref="H108:I108"/>
    <mergeCell ref="C109:D109"/>
    <mergeCell ref="H109:I109"/>
    <mergeCell ref="C127:D127"/>
    <mergeCell ref="H127:I127"/>
    <mergeCell ref="C123:D123"/>
    <mergeCell ref="H123:I123"/>
    <mergeCell ref="C124:D124"/>
    <mergeCell ref="H124:I124"/>
    <mergeCell ref="C125:D125"/>
    <mergeCell ref="H125:I125"/>
    <mergeCell ref="C126:D126"/>
    <mergeCell ref="H126:I126"/>
    <mergeCell ref="C110:D110"/>
    <mergeCell ref="H110:I110"/>
    <mergeCell ref="C111:D111"/>
    <mergeCell ref="H111:I111"/>
    <mergeCell ref="C112:D112"/>
    <mergeCell ref="H112:I112"/>
    <mergeCell ref="C83:D83"/>
    <mergeCell ref="H83:I83"/>
    <mergeCell ref="C84:D84"/>
    <mergeCell ref="H84:I84"/>
    <mergeCell ref="C85:D85"/>
    <mergeCell ref="H85:I85"/>
    <mergeCell ref="C86:D86"/>
    <mergeCell ref="H86:I86"/>
    <mergeCell ref="C87:D87"/>
    <mergeCell ref="H87:I87"/>
    <mergeCell ref="B73:I73"/>
    <mergeCell ref="C69:F69"/>
    <mergeCell ref="G69:I69"/>
    <mergeCell ref="H119:I119"/>
    <mergeCell ref="C120:D120"/>
    <mergeCell ref="H120:I120"/>
    <mergeCell ref="C121:D121"/>
    <mergeCell ref="H121:I121"/>
    <mergeCell ref="C122:D122"/>
    <mergeCell ref="H122:I122"/>
    <mergeCell ref="C113:D113"/>
    <mergeCell ref="H113:I113"/>
    <mergeCell ref="C114:D114"/>
    <mergeCell ref="H114:I114"/>
    <mergeCell ref="C115:D115"/>
    <mergeCell ref="H115:I115"/>
    <mergeCell ref="C116:D116"/>
    <mergeCell ref="H116:I116"/>
    <mergeCell ref="C117:D117"/>
    <mergeCell ref="H117:I117"/>
    <mergeCell ref="C93:D93"/>
    <mergeCell ref="H93:I93"/>
    <mergeCell ref="C94:D94"/>
    <mergeCell ref="H94:I94"/>
    <mergeCell ref="H95:I95"/>
    <mergeCell ref="C96:D96"/>
    <mergeCell ref="H96:I96"/>
    <mergeCell ref="C97:D97"/>
    <mergeCell ref="H97:I97"/>
    <mergeCell ref="C88:D88"/>
    <mergeCell ref="H88:I88"/>
    <mergeCell ref="C89:D89"/>
    <mergeCell ref="H89:I89"/>
    <mergeCell ref="C90:D90"/>
    <mergeCell ref="H90:I90"/>
    <mergeCell ref="C91:D91"/>
    <mergeCell ref="H91:I91"/>
    <mergeCell ref="C92:D92"/>
    <mergeCell ref="H92:I92"/>
    <mergeCell ref="G54:I54"/>
    <mergeCell ref="B47:H47"/>
    <mergeCell ref="B48:I48"/>
    <mergeCell ref="C49:F49"/>
    <mergeCell ref="G49:I49"/>
    <mergeCell ref="C50:F50"/>
    <mergeCell ref="G50:I50"/>
    <mergeCell ref="B42:H42"/>
    <mergeCell ref="B43:I43"/>
    <mergeCell ref="C44:F44"/>
    <mergeCell ref="G44:I44"/>
    <mergeCell ref="C45:F45"/>
    <mergeCell ref="G45:I45"/>
    <mergeCell ref="F338:G338"/>
    <mergeCell ref="F339:G339"/>
    <mergeCell ref="C319:J319"/>
    <mergeCell ref="C316:D316"/>
    <mergeCell ref="C311:D311"/>
    <mergeCell ref="C313:D313"/>
    <mergeCell ref="C312:D312"/>
    <mergeCell ref="F337:G337"/>
    <mergeCell ref="B321:H321"/>
    <mergeCell ref="F336:G336"/>
    <mergeCell ref="H336:I336"/>
    <mergeCell ref="H337:I337"/>
    <mergeCell ref="H338:I338"/>
    <mergeCell ref="H339:I339"/>
    <mergeCell ref="H331:I331"/>
    <mergeCell ref="C332:E332"/>
    <mergeCell ref="F332:G332"/>
    <mergeCell ref="H332:I332"/>
    <mergeCell ref="C333:E333"/>
    <mergeCell ref="F333:G333"/>
    <mergeCell ref="H333:I333"/>
    <mergeCell ref="C334:E334"/>
    <mergeCell ref="F334:G334"/>
    <mergeCell ref="H334:I334"/>
    <mergeCell ref="C342:J342"/>
    <mergeCell ref="B137:I137"/>
    <mergeCell ref="B142:I142"/>
    <mergeCell ref="B279:I279"/>
    <mergeCell ref="H323:I323"/>
    <mergeCell ref="F323:G323"/>
    <mergeCell ref="C323:E323"/>
    <mergeCell ref="F340:G340"/>
    <mergeCell ref="C317:D317"/>
    <mergeCell ref="H294:H295"/>
    <mergeCell ref="I294:I295"/>
    <mergeCell ref="B322:I322"/>
    <mergeCell ref="B293:I293"/>
    <mergeCell ref="E294:G294"/>
    <mergeCell ref="C294:D295"/>
    <mergeCell ref="C283:D283"/>
    <mergeCell ref="C284:D284"/>
    <mergeCell ref="C285:D285"/>
    <mergeCell ref="C286:D286"/>
    <mergeCell ref="C277:J277"/>
    <mergeCell ref="B280:I280"/>
    <mergeCell ref="G281:H281"/>
    <mergeCell ref="E281:F281"/>
    <mergeCell ref="C281:D282"/>
    <mergeCell ref="D274:E274"/>
    <mergeCell ref="F274:G274"/>
    <mergeCell ref="H274:I274"/>
    <mergeCell ref="D269:E269"/>
    <mergeCell ref="F269:G269"/>
    <mergeCell ref="H269:I269"/>
    <mergeCell ref="D270:E270"/>
    <mergeCell ref="H166:I166"/>
    <mergeCell ref="C167:D167"/>
    <mergeCell ref="H167:I167"/>
    <mergeCell ref="C168:D168"/>
    <mergeCell ref="H168:I168"/>
    <mergeCell ref="C169:D169"/>
    <mergeCell ref="C245:E245"/>
    <mergeCell ref="C246:E246"/>
    <mergeCell ref="F245:I245"/>
    <mergeCell ref="F246:I246"/>
    <mergeCell ref="C243:E243"/>
    <mergeCell ref="C244:E244"/>
    <mergeCell ref="H243:I243"/>
    <mergeCell ref="F243:G243"/>
    <mergeCell ref="F244:G244"/>
    <mergeCell ref="H244:I244"/>
    <mergeCell ref="H169:I169"/>
    <mergeCell ref="B136:I136"/>
    <mergeCell ref="B138:H138"/>
    <mergeCell ref="B139:I139"/>
    <mergeCell ref="C140:F140"/>
    <mergeCell ref="G140:I140"/>
    <mergeCell ref="B147:I147"/>
    <mergeCell ref="C148:E148"/>
    <mergeCell ref="F148:G148"/>
    <mergeCell ref="H148:I148"/>
    <mergeCell ref="C149:E149"/>
    <mergeCell ref="F149:G149"/>
    <mergeCell ref="H149:I149"/>
    <mergeCell ref="B143:H143"/>
    <mergeCell ref="B144:I144"/>
    <mergeCell ref="C145:F145"/>
    <mergeCell ref="H163:I163"/>
    <mergeCell ref="C164:D164"/>
    <mergeCell ref="H164:I164"/>
    <mergeCell ref="G145:I145"/>
    <mergeCell ref="H150:I150"/>
    <mergeCell ref="B154:H154"/>
    <mergeCell ref="H151:I151"/>
    <mergeCell ref="H152:I152"/>
    <mergeCell ref="C151:E151"/>
    <mergeCell ref="C162:D162"/>
    <mergeCell ref="H162:I162"/>
    <mergeCell ref="C163:D163"/>
    <mergeCell ref="F151:G151"/>
    <mergeCell ref="C152:E152"/>
    <mergeCell ref="F152:G152"/>
    <mergeCell ref="C165:D165"/>
    <mergeCell ref="H165:I165"/>
    <mergeCell ref="C150:E150"/>
    <mergeCell ref="F150:G150"/>
    <mergeCell ref="B240:H240"/>
    <mergeCell ref="B241:I241"/>
    <mergeCell ref="C242:I242"/>
    <mergeCell ref="C238:I238"/>
    <mergeCell ref="B155:I155"/>
    <mergeCell ref="C156:D156"/>
    <mergeCell ref="H156:I156"/>
    <mergeCell ref="C161:D161"/>
    <mergeCell ref="H161:I161"/>
    <mergeCell ref="C157:D157"/>
    <mergeCell ref="H157:I157"/>
    <mergeCell ref="C160:D160"/>
    <mergeCell ref="H160:I160"/>
    <mergeCell ref="C159:D159"/>
    <mergeCell ref="H159:I159"/>
    <mergeCell ref="C158:D158"/>
    <mergeCell ref="H158:I158"/>
    <mergeCell ref="C166:D166"/>
    <mergeCell ref="C170:D170"/>
    <mergeCell ref="H170:I170"/>
    <mergeCell ref="C171:D171"/>
    <mergeCell ref="H171:I171"/>
    <mergeCell ref="C172:D172"/>
    <mergeCell ref="H172:I172"/>
    <mergeCell ref="H82:I82"/>
    <mergeCell ref="C134:I134"/>
    <mergeCell ref="C82:D82"/>
    <mergeCell ref="C128:D128"/>
    <mergeCell ref="C129:D129"/>
    <mergeCell ref="H128:I128"/>
    <mergeCell ref="H129:I129"/>
    <mergeCell ref="H130:I130"/>
    <mergeCell ref="H131:I131"/>
    <mergeCell ref="H132:I132"/>
    <mergeCell ref="C130:D130"/>
    <mergeCell ref="C131:D131"/>
    <mergeCell ref="C132:D132"/>
    <mergeCell ref="C119:D119"/>
    <mergeCell ref="C99:D99"/>
    <mergeCell ref="H99:I99"/>
    <mergeCell ref="C100:D100"/>
    <mergeCell ref="H100:I100"/>
    <mergeCell ref="C101:D101"/>
    <mergeCell ref="H101:I101"/>
    <mergeCell ref="C102:D102"/>
    <mergeCell ref="H102:I102"/>
    <mergeCell ref="C103:D103"/>
    <mergeCell ref="H103:I103"/>
    <mergeCell ref="C55:F55"/>
    <mergeCell ref="G55:I55"/>
    <mergeCell ref="C56:F56"/>
    <mergeCell ref="G56:I56"/>
    <mergeCell ref="B52:I52"/>
    <mergeCell ref="C53:F53"/>
    <mergeCell ref="G53:I53"/>
    <mergeCell ref="C98:D98"/>
    <mergeCell ref="H98:I98"/>
    <mergeCell ref="B80:H80"/>
    <mergeCell ref="B81:I81"/>
    <mergeCell ref="C74:G74"/>
    <mergeCell ref="H74:I74"/>
    <mergeCell ref="C75:G75"/>
    <mergeCell ref="H75:I75"/>
    <mergeCell ref="C76:G76"/>
    <mergeCell ref="H76:I76"/>
    <mergeCell ref="C77:G77"/>
    <mergeCell ref="H77:I77"/>
    <mergeCell ref="C95:D95"/>
    <mergeCell ref="G39:I39"/>
    <mergeCell ref="B66:I66"/>
    <mergeCell ref="C67:F67"/>
    <mergeCell ref="G67:I67"/>
    <mergeCell ref="C68:F68"/>
    <mergeCell ref="G68:I68"/>
    <mergeCell ref="G59:I59"/>
    <mergeCell ref="B65:H65"/>
    <mergeCell ref="C57:F57"/>
    <mergeCell ref="G57:I57"/>
    <mergeCell ref="C58:F58"/>
    <mergeCell ref="G58:I58"/>
    <mergeCell ref="C61:D61"/>
    <mergeCell ref="E61:F61"/>
    <mergeCell ref="G61:I61"/>
    <mergeCell ref="C62:D62"/>
    <mergeCell ref="E62:F62"/>
    <mergeCell ref="G62:I62"/>
    <mergeCell ref="C59:D59"/>
    <mergeCell ref="E59:F59"/>
    <mergeCell ref="C60:D60"/>
    <mergeCell ref="E60:F60"/>
    <mergeCell ref="G60:I60"/>
    <mergeCell ref="C54:F54"/>
    <mergeCell ref="B38:I38"/>
    <mergeCell ref="B3:I3"/>
    <mergeCell ref="B5:I5"/>
    <mergeCell ref="B4:I4"/>
    <mergeCell ref="G8:I8"/>
    <mergeCell ref="G9:I9"/>
    <mergeCell ref="G10:I10"/>
    <mergeCell ref="E8:F8"/>
    <mergeCell ref="E9:F9"/>
    <mergeCell ref="E10:F10"/>
    <mergeCell ref="C8:D8"/>
    <mergeCell ref="C9:D9"/>
    <mergeCell ref="C10:D10"/>
    <mergeCell ref="B6:H6"/>
    <mergeCell ref="B7:I7"/>
    <mergeCell ref="C25:D25"/>
    <mergeCell ref="E25:F25"/>
    <mergeCell ref="G25:I25"/>
    <mergeCell ref="C24:D24"/>
    <mergeCell ref="E24:F24"/>
    <mergeCell ref="G24:I24"/>
    <mergeCell ref="E23:F23"/>
    <mergeCell ref="G23:I23"/>
    <mergeCell ref="B28:I28"/>
    <mergeCell ref="H340:I340"/>
    <mergeCell ref="C340:E340"/>
    <mergeCell ref="C339:E339"/>
    <mergeCell ref="C338:E338"/>
    <mergeCell ref="C337:E337"/>
    <mergeCell ref="C336:E336"/>
    <mergeCell ref="B29:H29"/>
    <mergeCell ref="G40:I40"/>
    <mergeCell ref="C39:F39"/>
    <mergeCell ref="C40:F40"/>
    <mergeCell ref="C35:F35"/>
    <mergeCell ref="G32:I32"/>
    <mergeCell ref="G33:I33"/>
    <mergeCell ref="G34:I34"/>
    <mergeCell ref="G35:I35"/>
    <mergeCell ref="B31:I31"/>
    <mergeCell ref="C32:F32"/>
    <mergeCell ref="C33:F33"/>
    <mergeCell ref="C34:F34"/>
    <mergeCell ref="B71:I71"/>
    <mergeCell ref="B37:H37"/>
    <mergeCell ref="C207:D207"/>
    <mergeCell ref="H207:I207"/>
    <mergeCell ref="C208:D208"/>
    <mergeCell ref="A1:I1"/>
    <mergeCell ref="B72:I72"/>
    <mergeCell ref="B79:I79"/>
    <mergeCell ref="C11:D11"/>
    <mergeCell ref="C12:D12"/>
    <mergeCell ref="E11:F11"/>
    <mergeCell ref="E12:F12"/>
    <mergeCell ref="G11:I11"/>
    <mergeCell ref="G19:I19"/>
    <mergeCell ref="G20:I20"/>
    <mergeCell ref="G21:I21"/>
    <mergeCell ref="G22:I22"/>
    <mergeCell ref="C19:F19"/>
    <mergeCell ref="C20:F20"/>
    <mergeCell ref="C21:F21"/>
    <mergeCell ref="G12:I12"/>
    <mergeCell ref="C13:I13"/>
    <mergeCell ref="C14:I14"/>
    <mergeCell ref="B17:H17"/>
    <mergeCell ref="B18:I18"/>
    <mergeCell ref="C22:D22"/>
    <mergeCell ref="E22:F22"/>
    <mergeCell ref="B16:I16"/>
    <mergeCell ref="C23:D23"/>
    <mergeCell ref="H208:I208"/>
    <mergeCell ref="C209:D209"/>
    <mergeCell ref="H209:I209"/>
    <mergeCell ref="C210:D210"/>
    <mergeCell ref="H210:I210"/>
    <mergeCell ref="C211:D211"/>
    <mergeCell ref="H211:I211"/>
    <mergeCell ref="C212:D212"/>
    <mergeCell ref="H212:I212"/>
    <mergeCell ref="C213:D213"/>
    <mergeCell ref="H213:I213"/>
    <mergeCell ref="C214:D214"/>
    <mergeCell ref="H214:I214"/>
    <mergeCell ref="C215:D215"/>
    <mergeCell ref="H215:I215"/>
    <mergeCell ref="C216:D216"/>
    <mergeCell ref="H216:I216"/>
    <mergeCell ref="C217:D217"/>
    <mergeCell ref="H217:I217"/>
    <mergeCell ref="C218:D218"/>
    <mergeCell ref="H218:I218"/>
    <mergeCell ref="C219:D219"/>
    <mergeCell ref="H219:I219"/>
    <mergeCell ref="C220:D220"/>
    <mergeCell ref="H220:I220"/>
    <mergeCell ref="C221:D221"/>
    <mergeCell ref="H221:I221"/>
    <mergeCell ref="C222:D222"/>
    <mergeCell ref="H222:I222"/>
    <mergeCell ref="C223:D223"/>
    <mergeCell ref="H223:I223"/>
    <mergeCell ref="C224:D224"/>
    <mergeCell ref="H224:I224"/>
    <mergeCell ref="C225:D225"/>
    <mergeCell ref="H225:I225"/>
    <mergeCell ref="C226:D226"/>
    <mergeCell ref="H226:I226"/>
    <mergeCell ref="C227:D227"/>
    <mergeCell ref="H227:I227"/>
    <mergeCell ref="C233:D233"/>
    <mergeCell ref="H233:I233"/>
    <mergeCell ref="C234:D234"/>
    <mergeCell ref="H234:I234"/>
    <mergeCell ref="C235:D235"/>
    <mergeCell ref="H235:I235"/>
    <mergeCell ref="C236:D236"/>
    <mergeCell ref="H236:I236"/>
    <mergeCell ref="C228:D228"/>
    <mergeCell ref="H228:I228"/>
    <mergeCell ref="C229:D229"/>
    <mergeCell ref="H229:I229"/>
    <mergeCell ref="C230:D230"/>
    <mergeCell ref="H230:I230"/>
    <mergeCell ref="C231:D231"/>
    <mergeCell ref="H231:I231"/>
    <mergeCell ref="C232:D232"/>
    <mergeCell ref="H232:I232"/>
  </mergeCells>
  <phoneticPr fontId="56" type="noConversion"/>
  <dataValidations count="10">
    <dataValidation type="list" allowBlank="1" showInputMessage="1" showErrorMessage="1" sqref="I321 I17 I29 I37 I42 I47 I65 I80 I138 I143 I154 I240 I248 I258 I6 H296:I317" xr:uid="{00000000-0002-0000-0C00-000000000000}">
      <formula1>Yes_No</formula1>
    </dataValidation>
    <dataValidation type="list" allowBlank="1" showInputMessage="1" showErrorMessage="1" sqref="E83:E132" xr:uid="{00000000-0002-0000-0C00-000001000000}">
      <formula1>_8.9_col2</formula1>
    </dataValidation>
    <dataValidation type="list" allowBlank="1" showInputMessage="1" showErrorMessage="1" sqref="F264:G275" xr:uid="{00000000-0002-0000-0C00-000003000000}">
      <formula1>_8.16_col3</formula1>
    </dataValidation>
    <dataValidation type="list" allowBlank="1" showInputMessage="1" showErrorMessage="1" sqref="E9:E12" xr:uid="{00000000-0002-0000-0C00-000004000000}">
      <formula1>_5.3_col2</formula1>
    </dataValidation>
    <dataValidation type="list" allowBlank="1" showInputMessage="1" showErrorMessage="1" sqref="C83:C132 C157:C236" xr:uid="{00000000-0002-0000-0C00-000005000000}">
      <formula1>Annex_I</formula1>
    </dataValidation>
    <dataValidation type="list" allowBlank="1" showInputMessage="1" showErrorMessage="1" sqref="F26:F27" xr:uid="{00000000-0002-0000-0C00-000006000000}">
      <formula1>_5A.5_col3</formula1>
    </dataValidation>
    <dataValidation type="list" allowBlank="1" showInputMessage="1" showErrorMessage="1" sqref="F324:G340" xr:uid="{00000000-0002-0000-0C00-000007000000}">
      <formula1>Penalty_type</formula1>
    </dataValidation>
    <dataValidation type="list" allowBlank="1" showInputMessage="1" showErrorMessage="1" sqref="E157:E236" xr:uid="{75F44746-6B05-431E-BA5B-F67F0B324317}">
      <formula1>_8.13_col2</formula1>
    </dataValidation>
    <dataValidation type="whole" operator="greaterThanOrEqual" allowBlank="1" showInputMessage="1" showErrorMessage="1" error="Please type a whole number greater or equal to zero" sqref="G33:I35 C40:I40 C45:I45 C50:I50 G54:I62 G68:I68 H75:I77 F83:I132 F149:I152 D264:E275 F243:G244 G251:I255 F157:I236" xr:uid="{484F5E42-2CF8-43F9-B21D-34A27E57F4A5}">
      <formula1>0</formula1>
    </dataValidation>
    <dataValidation type="decimal" operator="greaterThanOrEqual" allowBlank="1" showInputMessage="1" showErrorMessage="1" error="Please type a number greater or equal to zero" sqref="G69:I69 E283:H290 E296:F317 G20:I25" xr:uid="{09C68769-E25B-4486-B059-340D8E9ED6AC}">
      <formula1>0</formula1>
    </dataValidation>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C00-000008000000}">
          <x14:formula1>
            <xm:f>OFFSET('Lists and version log'!$AJ$3,0,0,'Lists and version log'!$AJ$2)</xm:f>
          </x14:formula1>
          <xm:sqref>C297:D317 C296:D296</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0"/>
  <dimension ref="A1:I84"/>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11" customFormat="1" ht="18.899999999999999" customHeight="1" x14ac:dyDescent="0.35">
      <c r="A3" s="62">
        <v>9</v>
      </c>
      <c r="B3" s="327" t="s">
        <v>545</v>
      </c>
      <c r="C3" s="327"/>
      <c r="D3" s="327"/>
      <c r="E3" s="327"/>
      <c r="F3" s="327"/>
      <c r="G3" s="327"/>
      <c r="H3" s="327"/>
      <c r="I3" s="327"/>
    </row>
    <row r="4" spans="1:9" s="7" customFormat="1" ht="18.899999999999999" customHeight="1" x14ac:dyDescent="0.35">
      <c r="A4" s="107" t="s">
        <v>546</v>
      </c>
      <c r="B4" s="512" t="s">
        <v>74</v>
      </c>
      <c r="C4" s="512"/>
      <c r="D4" s="512"/>
      <c r="E4" s="512"/>
      <c r="F4" s="512"/>
      <c r="G4" s="512"/>
      <c r="H4" s="512"/>
      <c r="I4" s="513"/>
    </row>
    <row r="5" spans="1:9" ht="15.9" customHeight="1" x14ac:dyDescent="0.25">
      <c r="A5" s="55" t="s">
        <v>547</v>
      </c>
      <c r="B5" s="377" t="s">
        <v>1249</v>
      </c>
      <c r="C5" s="403"/>
      <c r="D5" s="403"/>
      <c r="E5" s="403"/>
      <c r="F5" s="403"/>
      <c r="G5" s="403"/>
      <c r="H5" s="403"/>
      <c r="I5" s="403"/>
    </row>
    <row r="6" spans="1:9" ht="16.95" customHeight="1" x14ac:dyDescent="0.3">
      <c r="B6" s="293" t="s">
        <v>1250</v>
      </c>
      <c r="C6" s="294"/>
      <c r="D6" s="294"/>
      <c r="E6" s="294"/>
      <c r="F6" s="294"/>
      <c r="G6" s="294"/>
      <c r="H6" s="295"/>
      <c r="I6" s="41" t="str">
        <f>_xlfn.CONCAT(_xlfn.XLOOKUP("[InstallationOperatorFees][0][InstallationOperatorFees]",Submission!$O:$O,Submission!$H:$N,""))</f>
        <v>Yes</v>
      </c>
    </row>
    <row r="7" spans="1:9" ht="16.95" customHeight="1" x14ac:dyDescent="0.3">
      <c r="B7" s="340" t="s">
        <v>1251</v>
      </c>
      <c r="C7" s="465"/>
      <c r="D7" s="465"/>
      <c r="E7" s="465"/>
      <c r="F7" s="465"/>
      <c r="G7" s="465"/>
      <c r="H7" s="465"/>
      <c r="I7" s="465"/>
    </row>
    <row r="8" spans="1:9" x14ac:dyDescent="0.3">
      <c r="C8" s="444" t="s">
        <v>1145</v>
      </c>
      <c r="D8" s="445"/>
      <c r="E8" s="445"/>
      <c r="F8" s="446"/>
      <c r="G8" s="444" t="s">
        <v>1146</v>
      </c>
      <c r="H8" s="445"/>
      <c r="I8" s="446"/>
    </row>
    <row r="9" spans="1:9" x14ac:dyDescent="0.3">
      <c r="C9" s="461" t="s">
        <v>1252</v>
      </c>
      <c r="D9" s="462"/>
      <c r="E9" s="462"/>
      <c r="F9" s="463"/>
      <c r="G9" s="452" t="str">
        <f>_xlfn.CONCAT(_xlfn.XLOOKUP("[S09_InstallationOperatorFeesPermits][1][FeesAmount]",Submission!$O:$O,Submission!$H:$N,""))</f>
        <v>5</v>
      </c>
      <c r="H9" s="509"/>
      <c r="I9" s="453"/>
    </row>
    <row r="10" spans="1:9" x14ac:dyDescent="0.3">
      <c r="C10" s="461" t="s">
        <v>1253</v>
      </c>
      <c r="D10" s="462"/>
      <c r="E10" s="462"/>
      <c r="F10" s="463"/>
      <c r="G10" s="452" t="str">
        <f>_xlfn.CONCAT(_xlfn.XLOOKUP("[S09_InstallationOperatorFeesPermits][2][FeesAmount]",Submission!$O:$O,Submission!$H:$N,""))</f>
        <v>5</v>
      </c>
      <c r="H10" s="509"/>
      <c r="I10" s="453"/>
    </row>
    <row r="11" spans="1:9" x14ac:dyDescent="0.3">
      <c r="C11" s="461" t="s">
        <v>1254</v>
      </c>
      <c r="D11" s="462"/>
      <c r="E11" s="462"/>
      <c r="F11" s="463"/>
      <c r="G11" s="452" t="str">
        <f>_xlfn.CONCAT(_xlfn.XLOOKUP("[S09_InstallationOperatorFeesPermits][3][FeesAmount]",Submission!$O:$O,Submission!$H:$N,""))</f>
        <v>5</v>
      </c>
      <c r="H11" s="509"/>
      <c r="I11" s="453"/>
    </row>
    <row r="12" spans="1:9" x14ac:dyDescent="0.3">
      <c r="C12" s="461" t="s">
        <v>1255</v>
      </c>
      <c r="D12" s="462"/>
      <c r="E12" s="462"/>
      <c r="F12" s="463"/>
      <c r="G12" s="452" t="str">
        <f>_xlfn.CONCAT(_xlfn.XLOOKUP("[S09_InstallationOperatorFeesPermits][4][FeesAmount]",Submission!$O:$O,Submission!$H:$N,""))</f>
        <v>0</v>
      </c>
      <c r="H12" s="509"/>
      <c r="I12" s="453"/>
    </row>
    <row r="13" spans="1:9" x14ac:dyDescent="0.3">
      <c r="C13" s="461" t="s">
        <v>1256</v>
      </c>
      <c r="D13" s="462"/>
      <c r="E13" s="462"/>
      <c r="F13" s="463"/>
      <c r="G13" s="452" t="str">
        <f>_xlfn.CONCAT(_xlfn.XLOOKUP("[S09_InstallationOperatorFeesPermits][5][FeesAmount]",Submission!$O:$O,Submission!$H:$N,""))</f>
        <v>5</v>
      </c>
      <c r="H13" s="509"/>
      <c r="I13" s="453"/>
    </row>
    <row r="14" spans="1:9" x14ac:dyDescent="0.3">
      <c r="C14" s="93" t="s">
        <v>697</v>
      </c>
      <c r="D14" s="514" t="str">
        <f>_xlfn.CONCAT(_xlfn.XLOOKUP("[S09_InstallationOperatorFeesPermits][6][FeesOther]",Submission!$O:$O,Submission!$H:$N,""))</f>
        <v/>
      </c>
      <c r="E14" s="515"/>
      <c r="F14" s="516"/>
      <c r="G14" s="341" t="str">
        <f>_xlfn.CONCAT(_xlfn.XLOOKUP("[S09_InstallationOperatorFeesPermits][6][FeesAmount]",Submission!$O:$O,Submission!$H:$N,""))</f>
        <v/>
      </c>
      <c r="H14" s="355"/>
      <c r="I14" s="356"/>
    </row>
    <row r="15" spans="1:9" hidden="1" outlineLevel="1" x14ac:dyDescent="0.3">
      <c r="C15" s="93" t="s">
        <v>1257</v>
      </c>
      <c r="D15" s="514" t="str">
        <f>_xlfn.CONCAT(_xlfn.XLOOKUP("[S09_InstallationOperatorFeesPermits][7][FeesOther]",Submission!$O:$O,Submission!$H:$N,""))</f>
        <v/>
      </c>
      <c r="E15" s="515"/>
      <c r="F15" s="516"/>
      <c r="G15" s="341" t="str">
        <f>_xlfn.CONCAT(_xlfn.XLOOKUP("[S09_InstallationOperatorFeesPermits][7][FeesAmount]",Submission!$O:$O,Submission!$H:$N,""))</f>
        <v/>
      </c>
      <c r="H15" s="355"/>
      <c r="I15" s="356"/>
    </row>
    <row r="16" spans="1:9" hidden="1" outlineLevel="1" x14ac:dyDescent="0.3">
      <c r="C16" s="93" t="s">
        <v>1258</v>
      </c>
      <c r="D16" s="514" t="str">
        <f>_xlfn.CONCAT(_xlfn.XLOOKUP("[S09_InstallationOperatorFeesPermits][8][FeesOther]",Submission!$O:$O,Submission!$H:$N,""))</f>
        <v/>
      </c>
      <c r="E16" s="515"/>
      <c r="F16" s="516"/>
      <c r="G16" s="341" t="str">
        <f>_xlfn.CONCAT(_xlfn.XLOOKUP("[S09_InstallationOperatorFeesPermits][8][FeesAmount]",Submission!$O:$O,Submission!$H:$N,""))</f>
        <v/>
      </c>
      <c r="H16" s="355"/>
      <c r="I16" s="356"/>
    </row>
    <row r="17" spans="1:9" hidden="1" outlineLevel="1" x14ac:dyDescent="0.3">
      <c r="C17" s="93" t="s">
        <v>1259</v>
      </c>
      <c r="D17" s="514" t="str">
        <f>_xlfn.CONCAT(_xlfn.XLOOKUP("[S09_InstallationOperatorFeesPermits][9][FeesOther]",Submission!$O:$O,Submission!$H:$N,""))</f>
        <v/>
      </c>
      <c r="E17" s="515"/>
      <c r="F17" s="516"/>
      <c r="G17" s="341" t="str">
        <f>_xlfn.CONCAT(_xlfn.XLOOKUP("[S09_InstallationOperatorFeesPermits][9][FeesAmount]",Submission!$O:$O,Submission!$H:$N,""))</f>
        <v/>
      </c>
      <c r="H17" s="355"/>
      <c r="I17" s="356"/>
    </row>
    <row r="18" spans="1:9" collapsed="1" x14ac:dyDescent="0.3">
      <c r="B18" s="26" t="s">
        <v>1000</v>
      </c>
      <c r="C18" s="16"/>
      <c r="D18" s="19"/>
      <c r="E18" s="11"/>
      <c r="F18" s="11"/>
      <c r="G18" s="11"/>
      <c r="H18" s="11"/>
      <c r="I18" s="11"/>
    </row>
    <row r="20" spans="1:9" x14ac:dyDescent="0.3">
      <c r="B20" s="465" t="s">
        <v>1260</v>
      </c>
      <c r="C20" s="465"/>
      <c r="D20" s="465"/>
      <c r="E20" s="465"/>
      <c r="F20" s="465"/>
      <c r="G20" s="465"/>
      <c r="H20" s="465"/>
      <c r="I20" s="465"/>
    </row>
    <row r="21" spans="1:9" x14ac:dyDescent="0.3">
      <c r="C21" s="365" t="s">
        <v>1145</v>
      </c>
      <c r="D21" s="365"/>
      <c r="E21" s="365"/>
      <c r="F21" s="365"/>
      <c r="G21" s="422" t="s">
        <v>1146</v>
      </c>
      <c r="H21" s="365"/>
      <c r="I21" s="365"/>
    </row>
    <row r="22" spans="1:9" x14ac:dyDescent="0.3">
      <c r="C22" s="366" t="s">
        <v>1261</v>
      </c>
      <c r="D22" s="366"/>
      <c r="E22" s="366"/>
      <c r="F22" s="366"/>
      <c r="G22" s="452" t="str">
        <f>_xlfn.CONCAT(_xlfn.XLOOKUP("[S09_InstallationOperatorFeesSubsistence][1][FeesAmount]",Submission!$O:$O,Submission!$H:$N,""))</f>
        <v>0</v>
      </c>
      <c r="H22" s="509"/>
      <c r="I22" s="453"/>
    </row>
    <row r="23" spans="1:9" x14ac:dyDescent="0.3">
      <c r="C23" s="96" t="s">
        <v>1234</v>
      </c>
      <c r="D23" s="284" t="str">
        <f>_xlfn.CONCAT(_xlfn.XLOOKUP("[S09_InstallationOperatorFeesSubsistence][2][FeesOther]",Submission!$O:$O,Submission!$H:$N,""))</f>
        <v/>
      </c>
      <c r="E23" s="348"/>
      <c r="F23" s="285"/>
      <c r="G23" s="452" t="str">
        <f>_xlfn.CONCAT(_xlfn.XLOOKUP("[S09_InstallationOperatorFeesSubsistence][2][FeesAmount]",Submission!$O:$O,Submission!$H:$N,""))</f>
        <v>0</v>
      </c>
      <c r="H23" s="509"/>
      <c r="I23" s="453"/>
    </row>
    <row r="24" spans="1:9" hidden="1" outlineLevel="1" x14ac:dyDescent="0.3">
      <c r="C24" s="93" t="s">
        <v>1257</v>
      </c>
      <c r="D24" s="514" t="str">
        <f>_xlfn.CONCAT(_xlfn.XLOOKUP("[S09_InstallationOperatorFeesSubsistence][3][FeesOther]",Submission!$O:$O,Submission!$H:$N,""))</f>
        <v/>
      </c>
      <c r="E24" s="515"/>
      <c r="F24" s="516"/>
      <c r="G24" s="341" t="str">
        <f>_xlfn.CONCAT(_xlfn.XLOOKUP("[S09_InstallationOperatorFeesSubsistence][3][FeesAmount]",Submission!$O:$O,Submission!$H:$N,""))</f>
        <v/>
      </c>
      <c r="H24" s="355"/>
      <c r="I24" s="356"/>
    </row>
    <row r="25" spans="1:9" hidden="1" outlineLevel="1" x14ac:dyDescent="0.3">
      <c r="C25" s="93" t="s">
        <v>1258</v>
      </c>
      <c r="D25" s="514" t="str">
        <f>_xlfn.CONCAT(_xlfn.XLOOKUP("[S09_InstallationOperatorFeesSubsistence][4][FeesOther]",Submission!$O:$O,Submission!$H:$N,""))</f>
        <v/>
      </c>
      <c r="E25" s="515"/>
      <c r="F25" s="516"/>
      <c r="G25" s="341" t="str">
        <f>_xlfn.CONCAT(_xlfn.XLOOKUP("[S09_InstallationOperatorFeesSubsistence][4][FeesAmount]",Submission!$O:$O,Submission!$H:$N,""))</f>
        <v/>
      </c>
      <c r="H25" s="355"/>
      <c r="I25" s="356"/>
    </row>
    <row r="26" spans="1:9" hidden="1" outlineLevel="1" x14ac:dyDescent="0.3">
      <c r="C26" s="93" t="s">
        <v>1259</v>
      </c>
      <c r="D26" s="514" t="str">
        <f>_xlfn.CONCAT(_xlfn.XLOOKUP("[S09_InstallationOperatorFeesSubsistence][5][FeesOther]",Submission!$O:$O,Submission!$H:$N,""))</f>
        <v/>
      </c>
      <c r="E26" s="515"/>
      <c r="F26" s="516"/>
      <c r="G26" s="341" t="str">
        <f>_xlfn.CONCAT(_xlfn.XLOOKUP("[S09_InstallationOperatorFeesSubsistence][5][FeesAmount]",Submission!$O:$O,Submission!$H:$N,""))</f>
        <v/>
      </c>
      <c r="H26" s="355"/>
      <c r="I26" s="356"/>
    </row>
    <row r="27" spans="1:9" collapsed="1" x14ac:dyDescent="0.3">
      <c r="B27" s="26" t="s">
        <v>1000</v>
      </c>
      <c r="C27" s="16"/>
      <c r="D27" s="19"/>
      <c r="E27" s="11"/>
      <c r="F27" s="11"/>
      <c r="G27" s="11"/>
      <c r="H27" s="11"/>
      <c r="I27" s="11"/>
    </row>
    <row r="29" spans="1:9" s="11" customFormat="1" ht="18.899999999999999" customHeight="1" x14ac:dyDescent="0.35">
      <c r="A29" s="107" t="s">
        <v>552</v>
      </c>
      <c r="B29" s="512" t="s">
        <v>97</v>
      </c>
      <c r="C29" s="512"/>
      <c r="D29" s="512"/>
      <c r="E29" s="512"/>
      <c r="F29" s="512"/>
      <c r="G29" s="512"/>
      <c r="H29" s="512"/>
      <c r="I29" s="513"/>
    </row>
    <row r="30" spans="1:9" ht="15.9" customHeight="1" x14ac:dyDescent="0.25">
      <c r="A30" s="55" t="s">
        <v>553</v>
      </c>
      <c r="B30" s="377" t="s">
        <v>1262</v>
      </c>
      <c r="C30" s="403"/>
      <c r="D30" s="403"/>
      <c r="E30" s="403"/>
      <c r="F30" s="403"/>
      <c r="G30" s="403"/>
      <c r="H30" s="403"/>
      <c r="I30" s="403"/>
    </row>
    <row r="31" spans="1:9" ht="16.95" customHeight="1" x14ac:dyDescent="0.3">
      <c r="B31" s="293" t="s">
        <v>1263</v>
      </c>
      <c r="C31" s="294"/>
      <c r="D31" s="294"/>
      <c r="E31" s="294"/>
      <c r="F31" s="294"/>
      <c r="G31" s="294"/>
      <c r="H31" s="295"/>
      <c r="I31" s="41" t="str">
        <f>_xlfn.CONCAT(_xlfn.XLOOKUP("[AircraftOperatorFees][0][AircraftOperatorFees]",Submission!$O:$O,Submission!$H:$N,""))</f>
        <v>Yes</v>
      </c>
    </row>
    <row r="32" spans="1:9" ht="16.95" customHeight="1" x14ac:dyDescent="0.3">
      <c r="B32" s="340" t="s">
        <v>1264</v>
      </c>
      <c r="C32" s="465"/>
      <c r="D32" s="465"/>
      <c r="E32" s="465"/>
      <c r="F32" s="465"/>
      <c r="G32" s="465"/>
      <c r="H32" s="465"/>
      <c r="I32" s="465"/>
    </row>
    <row r="33" spans="2:9" x14ac:dyDescent="0.3">
      <c r="C33" s="444" t="s">
        <v>1145</v>
      </c>
      <c r="D33" s="445"/>
      <c r="E33" s="445"/>
      <c r="F33" s="446"/>
      <c r="G33" s="444" t="s">
        <v>1146</v>
      </c>
      <c r="H33" s="445"/>
      <c r="I33" s="446"/>
    </row>
    <row r="34" spans="2:9" x14ac:dyDescent="0.3">
      <c r="C34" s="461" t="s">
        <v>1265</v>
      </c>
      <c r="D34" s="462"/>
      <c r="E34" s="462"/>
      <c r="F34" s="463"/>
      <c r="G34" s="452" t="str">
        <f>_xlfn.CONCAT(_xlfn.XLOOKUP("[S09_AircraftOperatorFeesMonitoringPlans][1][FeesAmount]",Submission!$O:$O,Submission!$H:$N,""))</f>
        <v>5</v>
      </c>
      <c r="H34" s="509"/>
      <c r="I34" s="453"/>
    </row>
    <row r="35" spans="2:9" x14ac:dyDescent="0.3">
      <c r="C35" s="461" t="s">
        <v>1266</v>
      </c>
      <c r="D35" s="462"/>
      <c r="E35" s="462"/>
      <c r="F35" s="463"/>
      <c r="G35" s="452" t="str">
        <f>_xlfn.CONCAT(_xlfn.XLOOKUP("[S09_AircraftOperatorFeesMonitoringPlans][2][FeesAmount]",Submission!$O:$O,Submission!$H:$N,""))</f>
        <v>5</v>
      </c>
      <c r="H35" s="509"/>
      <c r="I35" s="453"/>
    </row>
    <row r="36" spans="2:9" x14ac:dyDescent="0.3">
      <c r="C36" s="461" t="s">
        <v>1267</v>
      </c>
      <c r="D36" s="462"/>
      <c r="E36" s="462"/>
      <c r="F36" s="463"/>
      <c r="G36" s="452" t="str">
        <f>_xlfn.CONCAT(_xlfn.XLOOKUP("[S09_AircraftOperatorFeesMonitoringPlans][3][FeesAmount]",Submission!$O:$O,Submission!$H:$N,""))</f>
        <v>0</v>
      </c>
      <c r="H36" s="509"/>
      <c r="I36" s="453"/>
    </row>
    <row r="37" spans="2:9" x14ac:dyDescent="0.3">
      <c r="C37" s="461" t="s">
        <v>1268</v>
      </c>
      <c r="D37" s="462"/>
      <c r="E37" s="462"/>
      <c r="F37" s="463"/>
      <c r="G37" s="452" t="str">
        <f>_xlfn.CONCAT(_xlfn.XLOOKUP("[S09_AircraftOperatorFeesMonitoringPlans][4][FeesAmount]",Submission!$O:$O,Submission!$H:$N,""))</f>
        <v>0</v>
      </c>
      <c r="H37" s="509"/>
      <c r="I37" s="453"/>
    </row>
    <row r="38" spans="2:9" x14ac:dyDescent="0.3">
      <c r="C38" s="461" t="s">
        <v>1269</v>
      </c>
      <c r="D38" s="462"/>
      <c r="E38" s="462"/>
      <c r="F38" s="463"/>
      <c r="G38" s="452" t="str">
        <f>_xlfn.CONCAT(_xlfn.XLOOKUP("[S09_AircraftOperatorFeesMonitoringPlans][5][FeesAmount]",Submission!$O:$O,Submission!$H:$N,""))</f>
        <v>5</v>
      </c>
      <c r="H38" s="509"/>
      <c r="I38" s="453"/>
    </row>
    <row r="39" spans="2:9" x14ac:dyDescent="0.3">
      <c r="C39" s="461" t="s">
        <v>1270</v>
      </c>
      <c r="D39" s="462"/>
      <c r="E39" s="462"/>
      <c r="F39" s="463"/>
      <c r="G39" s="452" t="str">
        <f>_xlfn.CONCAT(_xlfn.XLOOKUP("[S09_AircraftOperatorFeesMonitoringPlans][6][FeesAmount]",Submission!$O:$O,Submission!$H:$N,""))</f>
        <v>0</v>
      </c>
      <c r="H39" s="509"/>
      <c r="I39" s="453"/>
    </row>
    <row r="40" spans="2:9" x14ac:dyDescent="0.3">
      <c r="C40" s="93" t="s">
        <v>1234</v>
      </c>
      <c r="D40" s="514" t="str">
        <f>_xlfn.CONCAT(_xlfn.XLOOKUP("[S09_AircraftOperatorFeesMonitoringPlans][7][FeesOther]",Submission!$O:$O,Submission!$H:$N,""))</f>
        <v/>
      </c>
      <c r="E40" s="515"/>
      <c r="F40" s="516"/>
      <c r="G40" s="452" t="str">
        <f>_xlfn.CONCAT(_xlfn.XLOOKUP("[S09_AircraftOperatorFeesMonitoringPlans][7][FeesAmount]",Submission!$O:$O,Submission!$H:$N,""))</f>
        <v/>
      </c>
      <c r="H40" s="509"/>
      <c r="I40" s="453"/>
    </row>
    <row r="41" spans="2:9" hidden="1" outlineLevel="1" x14ac:dyDescent="0.3">
      <c r="C41" s="93" t="s">
        <v>1257</v>
      </c>
      <c r="D41" s="514" t="str">
        <f>_xlfn.CONCAT(_xlfn.XLOOKUP("[S09_AircraftOperatorFeesMonitoringPlans][8][FeesOther]",Submission!$O:$O,Submission!$H:$N,""))</f>
        <v/>
      </c>
      <c r="E41" s="515"/>
      <c r="F41" s="516"/>
      <c r="G41" s="341" t="str">
        <f>_xlfn.CONCAT(_xlfn.XLOOKUP("[S09_AircraftOperatorFeesMonitoringPlans][8][FeesAmount]",Submission!$O:$O,Submission!$H:$N,""))</f>
        <v/>
      </c>
      <c r="H41" s="355"/>
      <c r="I41" s="356"/>
    </row>
    <row r="42" spans="2:9" hidden="1" outlineLevel="1" x14ac:dyDescent="0.3">
      <c r="C42" s="93" t="s">
        <v>1258</v>
      </c>
      <c r="D42" s="514" t="str">
        <f>_xlfn.CONCAT(_xlfn.XLOOKUP("[S09_AircraftOperatorFeesMonitoringPlans][9][FeesOther]",Submission!$O:$O,Submission!$H:$N,""))</f>
        <v/>
      </c>
      <c r="E42" s="515"/>
      <c r="F42" s="516"/>
      <c r="G42" s="341" t="str">
        <f>_xlfn.CONCAT(_xlfn.XLOOKUP("[S09_AircraftOperatorFeesMonitoringPlans][9][FeesAmount]",Submission!$O:$O,Submission!$H:$N,""))</f>
        <v/>
      </c>
      <c r="H42" s="355"/>
      <c r="I42" s="356"/>
    </row>
    <row r="43" spans="2:9" hidden="1" outlineLevel="1" x14ac:dyDescent="0.3">
      <c r="C43" s="93" t="s">
        <v>1259</v>
      </c>
      <c r="D43" s="514" t="str">
        <f>_xlfn.CONCAT(_xlfn.XLOOKUP("[S09_AircraftOperatorFeesMonitoringPlans][10][FeesOther]",Submission!$O:$O,Submission!$H:$N,""))</f>
        <v/>
      </c>
      <c r="E43" s="515"/>
      <c r="F43" s="516"/>
      <c r="G43" s="341" t="str">
        <f>_xlfn.CONCAT(_xlfn.XLOOKUP("[S09_AircraftOperatorFeesMonitoringPlans][10][FeesAmount]",Submission!$O:$O,Submission!$H:$N,""))</f>
        <v/>
      </c>
      <c r="H43" s="355"/>
      <c r="I43" s="356"/>
    </row>
    <row r="44" spans="2:9" collapsed="1" x14ac:dyDescent="0.3">
      <c r="B44" s="26" t="s">
        <v>1000</v>
      </c>
      <c r="C44" s="16"/>
      <c r="D44" s="19"/>
      <c r="E44" s="11"/>
      <c r="F44" s="11"/>
      <c r="G44" s="11"/>
      <c r="H44" s="11"/>
      <c r="I44" s="11"/>
    </row>
    <row r="46" spans="2:9" x14ac:dyDescent="0.3">
      <c r="B46" s="465" t="s">
        <v>1271</v>
      </c>
      <c r="C46" s="465"/>
      <c r="D46" s="465"/>
      <c r="E46" s="465"/>
      <c r="F46" s="465"/>
      <c r="G46" s="465"/>
      <c r="H46" s="465"/>
      <c r="I46" s="465"/>
    </row>
    <row r="47" spans="2:9" x14ac:dyDescent="0.3">
      <c r="C47" s="365" t="s">
        <v>1145</v>
      </c>
      <c r="D47" s="365"/>
      <c r="E47" s="365"/>
      <c r="F47" s="365"/>
      <c r="G47" s="422" t="s">
        <v>1146</v>
      </c>
      <c r="H47" s="365"/>
      <c r="I47" s="365"/>
    </row>
    <row r="48" spans="2:9" x14ac:dyDescent="0.3">
      <c r="C48" s="366" t="s">
        <v>1261</v>
      </c>
      <c r="D48" s="366"/>
      <c r="E48" s="366"/>
      <c r="F48" s="366"/>
      <c r="G48" s="452" t="str">
        <f>_xlfn.CONCAT(_xlfn.XLOOKUP("[S09_AircraftOperatorFeesSubsistence][1][FeesAmount]",Submission!$O:$O,Submission!$H:$N,""))</f>
        <v>0</v>
      </c>
      <c r="H48" s="509"/>
      <c r="I48" s="453"/>
    </row>
    <row r="49" spans="1:9" x14ac:dyDescent="0.3">
      <c r="C49" s="93" t="s">
        <v>1234</v>
      </c>
      <c r="D49" s="517" t="str">
        <f>_xlfn.CONCAT(_xlfn.XLOOKUP("[S09_AircraftOperatorFeesSubsistence][2][FeesOther]",Submission!$O:$O,Submission!$H:$N,""))</f>
        <v/>
      </c>
      <c r="E49" s="349"/>
      <c r="F49" s="282"/>
      <c r="G49" s="452" t="str">
        <f>_xlfn.CONCAT(_xlfn.XLOOKUP("[S09_AircraftOperatorFeesSubsistence][2][FeesAmount]",Submission!$O:$O,Submission!$H:$N,""))</f>
        <v/>
      </c>
      <c r="H49" s="509"/>
      <c r="I49" s="453"/>
    </row>
    <row r="50" spans="1:9" hidden="1" outlineLevel="1" x14ac:dyDescent="0.3">
      <c r="C50" s="93" t="s">
        <v>1257</v>
      </c>
      <c r="D50" s="514" t="str">
        <f>_xlfn.CONCAT(_xlfn.XLOOKUP("[S09_AircraftOperatorFeesSubsistence][3][FeesOther]",Submission!$O:$O,Submission!$H:$N,""))</f>
        <v/>
      </c>
      <c r="E50" s="515"/>
      <c r="F50" s="516"/>
      <c r="G50" s="341" t="str">
        <f>_xlfn.CONCAT(_xlfn.XLOOKUP("[S09_AircraftOperatorFeesSubsistence][3][FeesAmount]",Submission!$O:$O,Submission!$H:$N,""))</f>
        <v/>
      </c>
      <c r="H50" s="355"/>
      <c r="I50" s="356"/>
    </row>
    <row r="51" spans="1:9" hidden="1" outlineLevel="1" x14ac:dyDescent="0.3">
      <c r="C51" s="93" t="s">
        <v>1258</v>
      </c>
      <c r="D51" s="514" t="str">
        <f>_xlfn.CONCAT(_xlfn.XLOOKUP("[S09_AircraftOperatorFeesSubsistence][4][FeesOther]",Submission!$O:$O,Submission!$H:$N,""))</f>
        <v/>
      </c>
      <c r="E51" s="515"/>
      <c r="F51" s="516"/>
      <c r="G51" s="341" t="str">
        <f>_xlfn.CONCAT(_xlfn.XLOOKUP("[S09_AircraftOperatorFeesSubsistence][4][FeesAmount]",Submission!$O:$O,Submission!$H:$N,""))</f>
        <v/>
      </c>
      <c r="H51" s="355"/>
      <c r="I51" s="356"/>
    </row>
    <row r="52" spans="1:9" hidden="1" outlineLevel="1" x14ac:dyDescent="0.3">
      <c r="C52" s="93" t="s">
        <v>1259</v>
      </c>
      <c r="D52" s="514" t="str">
        <f>_xlfn.CONCAT(_xlfn.XLOOKUP("[S09_AircraftOperatorFeesSubsistence][5][FeesOther]",Submission!$O:$O,Submission!$H:$N,""))</f>
        <v/>
      </c>
      <c r="E52" s="515"/>
      <c r="F52" s="516"/>
      <c r="G52" s="341" t="str">
        <f>_xlfn.CONCAT(_xlfn.XLOOKUP("[S09_AircraftOperatorFeesSubsistence][5][FeesAmount]",Submission!$O:$O,Submission!$H:$N,""))</f>
        <v/>
      </c>
      <c r="H52" s="355"/>
      <c r="I52" s="356"/>
    </row>
    <row r="53" spans="1:9" collapsed="1" x14ac:dyDescent="0.3">
      <c r="B53" s="26" t="s">
        <v>1000</v>
      </c>
      <c r="C53" s="16"/>
      <c r="D53" s="19"/>
      <c r="E53" s="11"/>
      <c r="F53" s="11"/>
      <c r="G53" s="11"/>
      <c r="H53" s="11"/>
      <c r="I53" s="11"/>
    </row>
    <row r="55" spans="1:9" s="11" customFormat="1" ht="18.899999999999999" customHeight="1" x14ac:dyDescent="0.35">
      <c r="A55" s="107" t="s">
        <v>557</v>
      </c>
      <c r="B55" s="512" t="s">
        <v>558</v>
      </c>
      <c r="C55" s="512"/>
      <c r="D55" s="512"/>
      <c r="E55" s="512"/>
      <c r="F55" s="512"/>
      <c r="G55" s="512"/>
      <c r="H55" s="512"/>
      <c r="I55" s="513"/>
    </row>
    <row r="56" spans="1:9" ht="15.9" customHeight="1" x14ac:dyDescent="0.25">
      <c r="A56" s="55" t="s">
        <v>559</v>
      </c>
      <c r="B56" s="377" t="s">
        <v>1272</v>
      </c>
      <c r="C56" s="403"/>
      <c r="D56" s="403"/>
      <c r="E56" s="403"/>
      <c r="F56" s="403"/>
      <c r="G56" s="403"/>
      <c r="H56" s="403"/>
      <c r="I56" s="403"/>
    </row>
    <row r="57" spans="1:9" x14ac:dyDescent="0.3">
      <c r="B57" s="465" t="s">
        <v>1273</v>
      </c>
      <c r="C57" s="465"/>
      <c r="D57" s="465"/>
      <c r="E57" s="465"/>
      <c r="F57" s="465"/>
      <c r="G57" s="465"/>
      <c r="H57" s="465"/>
      <c r="I57" s="465"/>
    </row>
    <row r="58" spans="1:9" ht="15.6" customHeight="1" x14ac:dyDescent="0.3">
      <c r="B58" s="25"/>
      <c r="C58" s="518" t="s">
        <v>1274</v>
      </c>
      <c r="D58" s="518"/>
      <c r="E58" s="518"/>
      <c r="F58" s="518"/>
      <c r="G58" s="518"/>
      <c r="H58" s="518"/>
      <c r="I58" s="518"/>
    </row>
    <row r="59" spans="1:9" x14ac:dyDescent="0.3">
      <c r="C59" s="365" t="s">
        <v>1145</v>
      </c>
      <c r="D59" s="365"/>
      <c r="E59" s="365"/>
      <c r="F59" s="365"/>
      <c r="G59" s="422" t="s">
        <v>1146</v>
      </c>
      <c r="H59" s="365"/>
      <c r="I59" s="365"/>
    </row>
    <row r="60" spans="1:9" x14ac:dyDescent="0.3">
      <c r="C60" s="251" t="str">
        <f>_xlfn.CONCAT(_xlfn.XLOOKUP("[S09_RegistryAccountOneOffFees][1][OneOffFeeReason]",Submission!$O:$O,Submission!$H:$N,""))</f>
        <v xml:space="preserve">There is no fee for registry accounts </v>
      </c>
      <c r="D60" s="468"/>
      <c r="E60" s="468"/>
      <c r="F60" s="252"/>
      <c r="G60" s="452" t="str">
        <f>_xlfn.CONCAT(_xlfn.XLOOKUP("[S09_RegistryAccountOneOffFees][1][OneOffFeeAmount]",Submission!$O:$O,Submission!$H:$N,""))</f>
        <v>0</v>
      </c>
      <c r="H60" s="509"/>
      <c r="I60" s="453"/>
    </row>
    <row r="61" spans="1:9" x14ac:dyDescent="0.3">
      <c r="C61" s="251" t="str">
        <f>_xlfn.CONCAT(_xlfn.XLOOKUP("[S09_RegistryAccountOneOffFees][2][OneOffFeeReason]",Submission!$O:$O,Submission!$H:$N,""))</f>
        <v/>
      </c>
      <c r="D61" s="468"/>
      <c r="E61" s="468"/>
      <c r="F61" s="252"/>
      <c r="G61" s="452" t="str">
        <f>_xlfn.CONCAT(_xlfn.XLOOKUP("[S09_RegistryAccountOneOffFees][2][OneOffFeeAmount]",Submission!$O:$O,Submission!$H:$N,""))</f>
        <v/>
      </c>
      <c r="H61" s="509"/>
      <c r="I61" s="453"/>
    </row>
    <row r="62" spans="1:9" x14ac:dyDescent="0.3">
      <c r="C62" s="251" t="str">
        <f>_xlfn.CONCAT(_xlfn.XLOOKUP("[S09_RegistryAccountOneOffFees][3][OneOffFeeReason]",Submission!$O:$O,Submission!$H:$N,""))</f>
        <v/>
      </c>
      <c r="D62" s="468"/>
      <c r="E62" s="468"/>
      <c r="F62" s="252"/>
      <c r="G62" s="452" t="str">
        <f>_xlfn.CONCAT(_xlfn.XLOOKUP("[S09_RegistryAccountOneOffFees][3][OneOffFeeAmount]",Submission!$O:$O,Submission!$H:$N,""))</f>
        <v/>
      </c>
      <c r="H62" s="509"/>
      <c r="I62" s="453"/>
    </row>
    <row r="63" spans="1:9" x14ac:dyDescent="0.3">
      <c r="C63" s="251" t="str">
        <f>_xlfn.CONCAT(_xlfn.XLOOKUP("[S09_RegistryAccountOneOffFees][4][OneOffFeeReason]",Submission!$O:$O,Submission!$H:$N,""))</f>
        <v/>
      </c>
      <c r="D63" s="468"/>
      <c r="E63" s="468"/>
      <c r="F63" s="252"/>
      <c r="G63" s="452" t="str">
        <f>_xlfn.CONCAT(_xlfn.XLOOKUP("[S09_RegistryAccountOneOffFees][4][OneOffFeeAmount]",Submission!$O:$O,Submission!$H:$N,""))</f>
        <v/>
      </c>
      <c r="H63" s="509"/>
      <c r="I63" s="453"/>
    </row>
    <row r="64" spans="1:9" x14ac:dyDescent="0.3">
      <c r="C64" s="251" t="str">
        <f>_xlfn.CONCAT(_xlfn.XLOOKUP("[S09_RegistryAccountOneOffFees][5][OneOffFeeReason]",Submission!$O:$O,Submission!$H:$N,""))</f>
        <v/>
      </c>
      <c r="D64" s="468"/>
      <c r="E64" s="468"/>
      <c r="F64" s="252"/>
      <c r="G64" s="452" t="str">
        <f>_xlfn.CONCAT(_xlfn.XLOOKUP("[S09_RegistryAccountOneOffFees][5][OneOffFeeAmount]",Submission!$O:$O,Submission!$H:$N,""))</f>
        <v/>
      </c>
      <c r="H64" s="509"/>
      <c r="I64" s="453"/>
    </row>
    <row r="65" spans="2:9" hidden="1" outlineLevel="1" x14ac:dyDescent="0.3">
      <c r="C65" s="251" t="str">
        <f>_xlfn.CONCAT(_xlfn.XLOOKUP("[S09_RegistryAccountOneOffFees][6][OneOffFeeReason]",Submission!$O:$O,Submission!$H:$N,""))</f>
        <v/>
      </c>
      <c r="D65" s="468"/>
      <c r="E65" s="468"/>
      <c r="F65" s="252"/>
      <c r="G65" s="452" t="str">
        <f>_xlfn.CONCAT(_xlfn.XLOOKUP("[S09_RegistryAccountOneOffFees][6][OneOffFeeAmount]",Submission!$O:$O,Submission!$H:$N,""))</f>
        <v/>
      </c>
      <c r="H65" s="509"/>
      <c r="I65" s="453"/>
    </row>
    <row r="66" spans="2:9" hidden="1" outlineLevel="1" x14ac:dyDescent="0.3">
      <c r="C66" s="251" t="str">
        <f>_xlfn.CONCAT(_xlfn.XLOOKUP("[S09_RegistryAccountOneOffFees][7][OneOffFeeReason]",Submission!$O:$O,Submission!$H:$N,""))</f>
        <v/>
      </c>
      <c r="D66" s="468"/>
      <c r="E66" s="468"/>
      <c r="F66" s="252"/>
      <c r="G66" s="452" t="str">
        <f>_xlfn.CONCAT(_xlfn.XLOOKUP("[S09_RegistryAccountOneOffFees][7][OneOffFeeAmount]",Submission!$O:$O,Submission!$H:$N,""))</f>
        <v/>
      </c>
      <c r="H66" s="509"/>
      <c r="I66" s="453"/>
    </row>
    <row r="67" spans="2:9" hidden="1" outlineLevel="1" x14ac:dyDescent="0.3">
      <c r="C67" s="251" t="str">
        <f>_xlfn.CONCAT(_xlfn.XLOOKUP("[S09_RegistryAccountOneOffFees][8][OneOffFeeReason]",Submission!$O:$O,Submission!$H:$N,""))</f>
        <v/>
      </c>
      <c r="D67" s="468"/>
      <c r="E67" s="468"/>
      <c r="F67" s="252"/>
      <c r="G67" s="452" t="str">
        <f>_xlfn.CONCAT(_xlfn.XLOOKUP("[S09_RegistryAccountOneOffFees][8][OneOffFeeAmount]",Submission!$O:$O,Submission!$H:$N,""))</f>
        <v/>
      </c>
      <c r="H67" s="509"/>
      <c r="I67" s="453"/>
    </row>
    <row r="68" spans="2:9" hidden="1" outlineLevel="1" x14ac:dyDescent="0.3">
      <c r="C68" s="251" t="str">
        <f>_xlfn.CONCAT(_xlfn.XLOOKUP("[S09_RegistryAccountOneOffFees][9][OneOffFeeReason]",Submission!$O:$O,Submission!$H:$N,""))</f>
        <v/>
      </c>
      <c r="D68" s="468"/>
      <c r="E68" s="468"/>
      <c r="F68" s="252"/>
      <c r="G68" s="452" t="str">
        <f>_xlfn.CONCAT(_xlfn.XLOOKUP("[S09_RegistryAccountOneOffFees][9][OneOffFeeAmount]",Submission!$O:$O,Submission!$H:$N,""))</f>
        <v/>
      </c>
      <c r="H68" s="509"/>
      <c r="I68" s="453"/>
    </row>
    <row r="69" spans="2:9" hidden="1" outlineLevel="1" x14ac:dyDescent="0.3">
      <c r="C69" s="251" t="str">
        <f>_xlfn.CONCAT(_xlfn.XLOOKUP("[S09_RegistryAccountOneOffFees][10][OneOffFeeReason]",Submission!$O:$O,Submission!$H:$N,""))</f>
        <v/>
      </c>
      <c r="D69" s="468"/>
      <c r="E69" s="468"/>
      <c r="F69" s="252"/>
      <c r="G69" s="452" t="str">
        <f>_xlfn.CONCAT(_xlfn.XLOOKUP("[S09_RegistryAccountOneOffFees][10][OneOffFeeAmount]",Submission!$O:$O,Submission!$H:$N,""))</f>
        <v/>
      </c>
      <c r="H69" s="509"/>
      <c r="I69" s="453"/>
    </row>
    <row r="70" spans="2:9" collapsed="1" x14ac:dyDescent="0.3">
      <c r="B70" s="26" t="s">
        <v>1000</v>
      </c>
    </row>
    <row r="72" spans="2:9" x14ac:dyDescent="0.3">
      <c r="B72" s="25"/>
      <c r="C72" s="519" t="s">
        <v>1275</v>
      </c>
      <c r="D72" s="519"/>
      <c r="E72" s="519"/>
      <c r="F72" s="519"/>
      <c r="G72" s="519"/>
      <c r="H72" s="519"/>
      <c r="I72" s="519"/>
    </row>
    <row r="73" spans="2:9" x14ac:dyDescent="0.3">
      <c r="C73" s="365" t="s">
        <v>1145</v>
      </c>
      <c r="D73" s="365"/>
      <c r="E73" s="365"/>
      <c r="F73" s="365"/>
      <c r="G73" s="422" t="s">
        <v>1146</v>
      </c>
      <c r="H73" s="365"/>
      <c r="I73" s="365"/>
    </row>
    <row r="74" spans="2:9" x14ac:dyDescent="0.3">
      <c r="C74" s="251" t="str">
        <f>_xlfn.CONCAT(_xlfn.XLOOKUP("[S09_RegistryAccountAnnualFees][1][AnnualFeeReason]",Submission!$O:$O,Submission!$H:$N,""))</f>
        <v xml:space="preserve">There is no fee for registry accounts </v>
      </c>
      <c r="D74" s="468"/>
      <c r="E74" s="468"/>
      <c r="F74" s="252"/>
      <c r="G74" s="452" t="str">
        <f>_xlfn.CONCAT(_xlfn.XLOOKUP("[S09_RegistryAccountAnnualFees][1][AnnualFeeAmount]",Submission!$O:$O,Submission!$H:$N,""))</f>
        <v>0</v>
      </c>
      <c r="H74" s="509"/>
      <c r="I74" s="453"/>
    </row>
    <row r="75" spans="2:9" x14ac:dyDescent="0.3">
      <c r="C75" s="251" t="str">
        <f>_xlfn.CONCAT(_xlfn.XLOOKUP("[S09_RegistryAccountAnnualFees][2][AnnualFeeReason]",Submission!$O:$O,Submission!$H:$N,""))</f>
        <v/>
      </c>
      <c r="D75" s="468"/>
      <c r="E75" s="468"/>
      <c r="F75" s="252"/>
      <c r="G75" s="452" t="str">
        <f>_xlfn.CONCAT(_xlfn.XLOOKUP("[S09_RegistryAccountAnnualFees][2][AnnualFeeAmount]",Submission!$O:$O,Submission!$H:$N,""))</f>
        <v/>
      </c>
      <c r="H75" s="509"/>
      <c r="I75" s="453"/>
    </row>
    <row r="76" spans="2:9" x14ac:dyDescent="0.3">
      <c r="C76" s="251" t="str">
        <f>_xlfn.CONCAT(_xlfn.XLOOKUP("[S09_RegistryAccountAnnualFees][3][AnnualFeeReason]",Submission!$O:$O,Submission!$H:$N,""))</f>
        <v/>
      </c>
      <c r="D76" s="468"/>
      <c r="E76" s="468"/>
      <c r="F76" s="252"/>
      <c r="G76" s="452" t="str">
        <f>_xlfn.CONCAT(_xlfn.XLOOKUP("[S09_RegistryAccountAnnualFees][3][AnnualFeeAmount]",Submission!$O:$O,Submission!$H:$N,""))</f>
        <v/>
      </c>
      <c r="H76" s="509"/>
      <c r="I76" s="453"/>
    </row>
    <row r="77" spans="2:9" x14ac:dyDescent="0.3">
      <c r="C77" s="251" t="str">
        <f>_xlfn.CONCAT(_xlfn.XLOOKUP("[S09_RegistryAccountAnnualFees][4][AnnualFeeReason]",Submission!$O:$O,Submission!$H:$N,""))</f>
        <v/>
      </c>
      <c r="D77" s="468"/>
      <c r="E77" s="468"/>
      <c r="F77" s="252"/>
      <c r="G77" s="452" t="str">
        <f>_xlfn.CONCAT(_xlfn.XLOOKUP("[S09_RegistryAccountAnnualFees][4][AnnualFeeAmount]",Submission!$O:$O,Submission!$H:$N,""))</f>
        <v/>
      </c>
      <c r="H77" s="509"/>
      <c r="I77" s="453"/>
    </row>
    <row r="78" spans="2:9" x14ac:dyDescent="0.3">
      <c r="C78" s="251" t="str">
        <f>_xlfn.CONCAT(_xlfn.XLOOKUP("[S09_RegistryAccountAnnualFees][5][AnnualFeeReason]",Submission!$O:$O,Submission!$H:$N,""))</f>
        <v/>
      </c>
      <c r="D78" s="468"/>
      <c r="E78" s="468"/>
      <c r="F78" s="252"/>
      <c r="G78" s="452" t="str">
        <f>_xlfn.CONCAT(_xlfn.XLOOKUP("[S09_RegistryAccountAnnualFees][5][AnnualFeeAmount]",Submission!$O:$O,Submission!$H:$N,""))</f>
        <v/>
      </c>
      <c r="H78" s="509"/>
      <c r="I78" s="453"/>
    </row>
    <row r="79" spans="2:9" hidden="1" outlineLevel="1" x14ac:dyDescent="0.3">
      <c r="C79" s="251" t="str">
        <f>_xlfn.CONCAT(_xlfn.XLOOKUP("[S09_RegistryAccountAnnualFees][6][AnnualFeeReason]",Submission!$O:$O,Submission!$H:$N,""))</f>
        <v/>
      </c>
      <c r="D79" s="468"/>
      <c r="E79" s="468"/>
      <c r="F79" s="252"/>
      <c r="G79" s="452" t="str">
        <f>_xlfn.CONCAT(_xlfn.XLOOKUP("[S09_RegistryAccountAnnualFees][6][AnnualFeeAmount]",Submission!$O:$O,Submission!$H:$N,""))</f>
        <v/>
      </c>
      <c r="H79" s="509"/>
      <c r="I79" s="453"/>
    </row>
    <row r="80" spans="2:9" hidden="1" outlineLevel="1" x14ac:dyDescent="0.3">
      <c r="C80" s="251" t="str">
        <f>_xlfn.CONCAT(_xlfn.XLOOKUP("[S09_RegistryAccountAnnualFees][7][AnnualFeeReason]",Submission!$O:$O,Submission!$H:$N,""))</f>
        <v/>
      </c>
      <c r="D80" s="468"/>
      <c r="E80" s="468"/>
      <c r="F80" s="252"/>
      <c r="G80" s="452" t="str">
        <f>_xlfn.CONCAT(_xlfn.XLOOKUP("[S09_RegistryAccountAnnualFees][7][AnnualFeeAmount]",Submission!$O:$O,Submission!$H:$N,""))</f>
        <v/>
      </c>
      <c r="H80" s="509"/>
      <c r="I80" s="453"/>
    </row>
    <row r="81" spans="2:9" hidden="1" outlineLevel="1" x14ac:dyDescent="0.3">
      <c r="C81" s="251" t="str">
        <f>_xlfn.CONCAT(_xlfn.XLOOKUP("[S09_RegistryAccountAnnualFees][8][AnnualFeeReason]",Submission!$O:$O,Submission!$H:$N,""))</f>
        <v/>
      </c>
      <c r="D81" s="468"/>
      <c r="E81" s="468"/>
      <c r="F81" s="252"/>
      <c r="G81" s="452" t="str">
        <f>_xlfn.CONCAT(_xlfn.XLOOKUP("[S09_RegistryAccountAnnualFees][8][AnnualFeeAmount]",Submission!$O:$O,Submission!$H:$N,""))</f>
        <v/>
      </c>
      <c r="H81" s="509"/>
      <c r="I81" s="453"/>
    </row>
    <row r="82" spans="2:9" hidden="1" outlineLevel="1" x14ac:dyDescent="0.3">
      <c r="C82" s="251" t="str">
        <f>_xlfn.CONCAT(_xlfn.XLOOKUP("[S09_RegistryAccountAnnualFees][9][AnnualFeeReason]",Submission!$O:$O,Submission!$H:$N,""))</f>
        <v/>
      </c>
      <c r="D82" s="468"/>
      <c r="E82" s="468"/>
      <c r="F82" s="252"/>
      <c r="G82" s="452" t="str">
        <f>_xlfn.CONCAT(_xlfn.XLOOKUP("[S09_RegistryAccountAnnualFees][9][AnnualFeeAmount]",Submission!$O:$O,Submission!$H:$N,""))</f>
        <v/>
      </c>
      <c r="H82" s="509"/>
      <c r="I82" s="453"/>
    </row>
    <row r="83" spans="2:9" hidden="1" outlineLevel="1" x14ac:dyDescent="0.3">
      <c r="C83" s="251" t="str">
        <f>_xlfn.CONCAT(_xlfn.XLOOKUP("[S09_RegistryAccountAnnualFees][10][AnnualFeeReason]",Submission!$O:$O,Submission!$H:$N,""))</f>
        <v/>
      </c>
      <c r="D83" s="468"/>
      <c r="E83" s="468"/>
      <c r="F83" s="252"/>
      <c r="G83" s="452" t="str">
        <f>_xlfn.CONCAT(_xlfn.XLOOKUP("[S09_RegistryAccountAnnualFees][10][AnnualFeeAmount]",Submission!$O:$O,Submission!$H:$N,""))</f>
        <v/>
      </c>
      <c r="H83" s="509"/>
      <c r="I83" s="453"/>
    </row>
    <row r="84" spans="2:9" collapsed="1" x14ac:dyDescent="0.3">
      <c r="B84" s="26" t="s">
        <v>1000</v>
      </c>
    </row>
  </sheetData>
  <mergeCells count="127">
    <mergeCell ref="C81:F81"/>
    <mergeCell ref="C82:F82"/>
    <mergeCell ref="C83:F83"/>
    <mergeCell ref="C69:F69"/>
    <mergeCell ref="C80:F80"/>
    <mergeCell ref="C73:F73"/>
    <mergeCell ref="C79:F79"/>
    <mergeCell ref="G83:I83"/>
    <mergeCell ref="G66:I66"/>
    <mergeCell ref="G67:I67"/>
    <mergeCell ref="G68:I68"/>
    <mergeCell ref="G81:I81"/>
    <mergeCell ref="G82:I82"/>
    <mergeCell ref="G74:I74"/>
    <mergeCell ref="G75:I75"/>
    <mergeCell ref="G76:I76"/>
    <mergeCell ref="G77:I77"/>
    <mergeCell ref="G78:I78"/>
    <mergeCell ref="G69:I69"/>
    <mergeCell ref="G80:I80"/>
    <mergeCell ref="G73:I73"/>
    <mergeCell ref="G79:I79"/>
    <mergeCell ref="C72:I72"/>
    <mergeCell ref="C74:F74"/>
    <mergeCell ref="C75:F75"/>
    <mergeCell ref="C66:F66"/>
    <mergeCell ref="C67:F67"/>
    <mergeCell ref="C68:F68"/>
    <mergeCell ref="C76:F76"/>
    <mergeCell ref="C77:F77"/>
    <mergeCell ref="C78:F78"/>
    <mergeCell ref="G65:I65"/>
    <mergeCell ref="C65:F65"/>
    <mergeCell ref="C58:I58"/>
    <mergeCell ref="B57:I57"/>
    <mergeCell ref="C59:F59"/>
    <mergeCell ref="G59:I59"/>
    <mergeCell ref="G62:I62"/>
    <mergeCell ref="G63:I63"/>
    <mergeCell ref="C64:F64"/>
    <mergeCell ref="G64:I64"/>
    <mergeCell ref="C60:F60"/>
    <mergeCell ref="G60:I60"/>
    <mergeCell ref="G61:I61"/>
    <mergeCell ref="C61:F61"/>
    <mergeCell ref="C62:F62"/>
    <mergeCell ref="C63:F63"/>
    <mergeCell ref="G40:I40"/>
    <mergeCell ref="D40:F40"/>
    <mergeCell ref="G49:I49"/>
    <mergeCell ref="B55:I55"/>
    <mergeCell ref="B56:I56"/>
    <mergeCell ref="D49:F49"/>
    <mergeCell ref="B46:I46"/>
    <mergeCell ref="C47:F47"/>
    <mergeCell ref="G47:I47"/>
    <mergeCell ref="C48:F48"/>
    <mergeCell ref="G48:I48"/>
    <mergeCell ref="D41:F41"/>
    <mergeCell ref="G41:I41"/>
    <mergeCell ref="D42:F42"/>
    <mergeCell ref="G42:I42"/>
    <mergeCell ref="D43:F43"/>
    <mergeCell ref="D52:F52"/>
    <mergeCell ref="G52:I52"/>
    <mergeCell ref="G43:I43"/>
    <mergeCell ref="D50:F50"/>
    <mergeCell ref="G50:I50"/>
    <mergeCell ref="D51:F51"/>
    <mergeCell ref="G51:I51"/>
    <mergeCell ref="C37:F37"/>
    <mergeCell ref="G37:I37"/>
    <mergeCell ref="C38:F38"/>
    <mergeCell ref="G38:I38"/>
    <mergeCell ref="C39:F39"/>
    <mergeCell ref="G39:I39"/>
    <mergeCell ref="C34:F34"/>
    <mergeCell ref="G34:I34"/>
    <mergeCell ref="C35:F35"/>
    <mergeCell ref="G35:I35"/>
    <mergeCell ref="C36:F36"/>
    <mergeCell ref="G36:I36"/>
    <mergeCell ref="B31:H31"/>
    <mergeCell ref="D23:F23"/>
    <mergeCell ref="B32:I32"/>
    <mergeCell ref="C33:F33"/>
    <mergeCell ref="G33:I33"/>
    <mergeCell ref="D24:F24"/>
    <mergeCell ref="G24:I24"/>
    <mergeCell ref="D25:F25"/>
    <mergeCell ref="G25:I25"/>
    <mergeCell ref="D26:F26"/>
    <mergeCell ref="G26:I26"/>
    <mergeCell ref="C22:F22"/>
    <mergeCell ref="G22:I22"/>
    <mergeCell ref="G23:I23"/>
    <mergeCell ref="B29:I29"/>
    <mergeCell ref="B30:I30"/>
    <mergeCell ref="B20:I20"/>
    <mergeCell ref="G13:I13"/>
    <mergeCell ref="G17:I17"/>
    <mergeCell ref="D17:F17"/>
    <mergeCell ref="C21:F21"/>
    <mergeCell ref="G21:I21"/>
    <mergeCell ref="D15:F15"/>
    <mergeCell ref="G15:I15"/>
    <mergeCell ref="D14:F14"/>
    <mergeCell ref="G14:I14"/>
    <mergeCell ref="D16:F16"/>
    <mergeCell ref="G16:I16"/>
    <mergeCell ref="A1:I1"/>
    <mergeCell ref="B3:I3"/>
    <mergeCell ref="B5:I5"/>
    <mergeCell ref="B4:I4"/>
    <mergeCell ref="B6:H6"/>
    <mergeCell ref="B7:I7"/>
    <mergeCell ref="C11:F11"/>
    <mergeCell ref="C12:F12"/>
    <mergeCell ref="C13:F13"/>
    <mergeCell ref="C8:F8"/>
    <mergeCell ref="C9:F9"/>
    <mergeCell ref="C10:F10"/>
    <mergeCell ref="G8:I8"/>
    <mergeCell ref="G9:I9"/>
    <mergeCell ref="G10:I10"/>
    <mergeCell ref="G11:I11"/>
    <mergeCell ref="G12:I12"/>
  </mergeCells>
  <dataValidations count="2">
    <dataValidation type="list" allowBlank="1" showInputMessage="1" showErrorMessage="1" sqref="I6 I31" xr:uid="{00000000-0002-0000-0D00-000000000000}">
      <formula1>Yes_No</formula1>
    </dataValidation>
    <dataValidation type="decimal" operator="greaterThanOrEqual" allowBlank="1" showInputMessage="1" showErrorMessage="1" error="Please type a number greater or equal to zero" sqref="G9:I17 G22:I26 G34:I43 G48:I52 G60:I69 G74:I83" xr:uid="{5DABAD88-8737-4E35-B2D7-86540C2228C6}">
      <formula1>0</formula1>
    </dataValidation>
  </dataValidations>
  <pageMargins left="0.7" right="0.7" top="0.75" bottom="0.75" header="0.3" footer="0.3"/>
  <pageSetup paperSize="9" orientation="portrait" verticalDpi="0"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dimension ref="A1:J219"/>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11" customFormat="1" ht="18.899999999999999" customHeight="1" x14ac:dyDescent="0.35">
      <c r="A3" s="62">
        <v>10</v>
      </c>
      <c r="B3" s="327" t="s">
        <v>1276</v>
      </c>
      <c r="C3" s="327"/>
      <c r="D3" s="327"/>
      <c r="E3" s="327"/>
      <c r="F3" s="327"/>
      <c r="G3" s="327"/>
      <c r="H3" s="327"/>
      <c r="I3" s="327"/>
    </row>
    <row r="4" spans="1:9" s="7" customFormat="1" ht="18.899999999999999" customHeight="1" x14ac:dyDescent="0.35">
      <c r="A4" s="48" t="s">
        <v>1277</v>
      </c>
      <c r="B4" s="325" t="s">
        <v>74</v>
      </c>
      <c r="C4" s="325"/>
      <c r="D4" s="325"/>
      <c r="E4" s="325"/>
      <c r="F4" s="325"/>
      <c r="G4" s="325"/>
      <c r="H4" s="325"/>
      <c r="I4" s="326"/>
    </row>
    <row r="5" spans="1:9" ht="32.1" customHeight="1" x14ac:dyDescent="0.3">
      <c r="A5" s="17" t="s">
        <v>567</v>
      </c>
      <c r="B5" s="271" t="s">
        <v>1278</v>
      </c>
      <c r="C5" s="272"/>
      <c r="D5" s="272"/>
      <c r="E5" s="272"/>
      <c r="F5" s="272"/>
      <c r="G5" s="272"/>
      <c r="H5" s="272"/>
      <c r="I5" s="272"/>
    </row>
    <row r="6" spans="1:9" ht="15.9" customHeight="1" x14ac:dyDescent="0.3">
      <c r="C6" s="315" t="s">
        <v>1279</v>
      </c>
      <c r="D6" s="379"/>
      <c r="E6" s="379"/>
      <c r="F6" s="379"/>
      <c r="G6" s="336"/>
      <c r="H6" s="53" t="s">
        <v>709</v>
      </c>
      <c r="I6" s="54" t="s">
        <v>1280</v>
      </c>
    </row>
    <row r="7" spans="1:9" s="58" customFormat="1" ht="25.2" customHeight="1" x14ac:dyDescent="0.3">
      <c r="A7" s="75"/>
      <c r="C7" s="246" t="s">
        <v>1281</v>
      </c>
      <c r="D7" s="263"/>
      <c r="E7" s="263"/>
      <c r="F7" s="263"/>
      <c r="G7" s="264"/>
      <c r="H7" s="47" t="str">
        <f>_xlfn.CONCAT(_xlfn.XLOOKUP("[S10_InstallationsComplianceMeasures][1][ComplianceMeasuresYesNo]",Submission!$O:$O,Submission!$H:$N,""))</f>
        <v>Yes</v>
      </c>
      <c r="I7" s="72" t="str">
        <f>_xlfn.CONCAT(_xlfn.XLOOKUP("[S10_InstallationsComplianceMeasures][1][ComplianceMeasuresComment]",Submission!$O:$O,Submission!$H:$N,""))</f>
        <v>25</v>
      </c>
    </row>
    <row r="8" spans="1:9" s="58" customFormat="1" ht="25.2" customHeight="1" x14ac:dyDescent="0.3">
      <c r="A8" s="75"/>
      <c r="C8" s="246" t="s">
        <v>1282</v>
      </c>
      <c r="D8" s="263"/>
      <c r="E8" s="263"/>
      <c r="F8" s="263"/>
      <c r="G8" s="264"/>
      <c r="H8" s="47" t="str">
        <f>_xlfn.CONCAT(_xlfn.XLOOKUP("[S10_InstallationsComplianceMeasures][2][ComplianceMeasuresYesNo]",Submission!$O:$O,Submission!$H:$N,""))</f>
        <v>No</v>
      </c>
      <c r="I8" s="72" t="str">
        <f>_xlfn.CONCAT(_xlfn.XLOOKUP("[S10_InstallationsComplianceMeasures][2][ComplianceMeasuresComment]",Submission!$O:$O,Submission!$H:$N,""))</f>
        <v>no irregularities were found</v>
      </c>
    </row>
    <row r="9" spans="1:9" s="58" customFormat="1" ht="25.2" customHeight="1" x14ac:dyDescent="0.3">
      <c r="A9" s="75"/>
      <c r="C9" s="246" t="s">
        <v>1283</v>
      </c>
      <c r="D9" s="263"/>
      <c r="E9" s="263"/>
      <c r="F9" s="263"/>
      <c r="G9" s="264"/>
      <c r="H9" s="47" t="str">
        <f>_xlfn.CONCAT(_xlfn.XLOOKUP("[S10_InstallationsComplianceMeasures][3][ComplianceMeasuresYesNo]",Submission!$O:$O,Submission!$H:$N,""))</f>
        <v>Yes</v>
      </c>
      <c r="I9" s="72" t="str">
        <f>_xlfn.CONCAT(_xlfn.XLOOKUP("[S10_InstallationsComplianceMeasures][3][ComplianceMeasuresComment]",Submission!$O:$O,Submission!$H:$N,""))</f>
        <v>sending a notice as a reminder about the deadlines for performance of the operator's obligations and fines in case of non-performance</v>
      </c>
    </row>
    <row r="10" spans="1:9" s="58" customFormat="1" ht="25.2" customHeight="1" x14ac:dyDescent="0.3">
      <c r="A10" s="75"/>
      <c r="C10" s="246" t="s">
        <v>1284</v>
      </c>
      <c r="D10" s="263"/>
      <c r="E10" s="263"/>
      <c r="F10" s="263"/>
      <c r="G10" s="264"/>
      <c r="H10" s="47" t="str">
        <f>_xlfn.CONCAT(_xlfn.XLOOKUP("[S10_InstallationsComplianceMeasures][4][ComplianceMeasuresYesNo]",Submission!$O:$O,Submission!$H:$N,""))</f>
        <v>Yes</v>
      </c>
      <c r="I10" s="72" t="str">
        <f>_xlfn.CONCAT(_xlfn.XLOOKUP("[S10_InstallationsComplianceMeasures][4][ComplianceMeasuresComment]",Submission!$O:$O,Submission!$H:$N,""))</f>
        <v/>
      </c>
    </row>
    <row r="11" spans="1:9" s="58" customFormat="1" ht="25.2" customHeight="1" x14ac:dyDescent="0.3">
      <c r="A11" s="75"/>
      <c r="C11" s="246" t="s">
        <v>697</v>
      </c>
      <c r="D11" s="264"/>
      <c r="E11" s="284" t="str">
        <f>_xlfn.CONCAT(_xlfn.XLOOKUP("[S10_InstallationsComplianceMeasures][5][ComplianceMeasuresOther]",Submission!$O:$O,Submission!$H:$N,""))</f>
        <v/>
      </c>
      <c r="F11" s="348"/>
      <c r="G11" s="285"/>
      <c r="H11" s="47" t="str">
        <f>_xlfn.CONCAT(_xlfn.XLOOKUP("[S10_InstallationsComplianceMeasures][5][ComplianceMeasuresYesNo]",Submission!$O:$O,Submission!$H:$N,""))</f>
        <v/>
      </c>
      <c r="I11" s="72" t="str">
        <f>_xlfn.CONCAT(_xlfn.XLOOKUP("[S10_InstallationsComplianceMeasures][5][ComplianceMeasuresComment]",Submission!$O:$O,Submission!$H:$N,""))</f>
        <v/>
      </c>
    </row>
    <row r="12" spans="1:9" s="58" customFormat="1" ht="25.2" hidden="1" customHeight="1" outlineLevel="1" x14ac:dyDescent="0.3">
      <c r="A12" s="75"/>
      <c r="C12" s="246" t="s">
        <v>1257</v>
      </c>
      <c r="D12" s="264"/>
      <c r="E12" s="284" t="str">
        <f>_xlfn.CONCAT(_xlfn.XLOOKUP("[S10_InstallationsComplianceMeasures][6][ComplianceMeasuresOther]",Submission!$O:$O,Submission!$H:$N,""))</f>
        <v/>
      </c>
      <c r="F12" s="348"/>
      <c r="G12" s="285"/>
      <c r="H12" s="47" t="str">
        <f>_xlfn.CONCAT(_xlfn.XLOOKUP("[S10_InstallationsComplianceMeasures][6][ComplianceMeasuresYesNo]",Submission!$O:$O,Submission!$H:$N,""))</f>
        <v/>
      </c>
      <c r="I12" s="72" t="str">
        <f>_xlfn.CONCAT(_xlfn.XLOOKUP("[S10_InstallationsComplianceMeasures][6][ComplianceMeasuresComment]",Submission!$O:$O,Submission!$H:$N,""))</f>
        <v/>
      </c>
    </row>
    <row r="13" spans="1:9" s="58" customFormat="1" ht="25.2" hidden="1" customHeight="1" outlineLevel="1" x14ac:dyDescent="0.3">
      <c r="A13" s="75"/>
      <c r="C13" s="246" t="s">
        <v>1258</v>
      </c>
      <c r="D13" s="264"/>
      <c r="E13" s="284" t="str">
        <f>_xlfn.CONCAT(_xlfn.XLOOKUP("[S10_InstallationsComplianceMeasures][7][ComplianceMeasuresOther]",Submission!$O:$O,Submission!$H:$N,""))</f>
        <v/>
      </c>
      <c r="F13" s="348"/>
      <c r="G13" s="285"/>
      <c r="H13" s="47" t="str">
        <f>_xlfn.CONCAT(_xlfn.XLOOKUP("[S10_InstallationsComplianceMeasures][7][ComplianceMeasuresYesNo]",Submission!$O:$O,Submission!$H:$N,""))</f>
        <v/>
      </c>
      <c r="I13" s="72" t="str">
        <f>_xlfn.CONCAT(_xlfn.XLOOKUP("[S10_InstallationsComplianceMeasures][7][ComplianceMeasuresComment]",Submission!$O:$O,Submission!$H:$N,""))</f>
        <v/>
      </c>
    </row>
    <row r="14" spans="1:9" s="58" customFormat="1" ht="25.2" hidden="1" customHeight="1" outlineLevel="1" x14ac:dyDescent="0.3">
      <c r="A14" s="75"/>
      <c r="C14" s="246" t="s">
        <v>1259</v>
      </c>
      <c r="D14" s="264"/>
      <c r="E14" s="284" t="str">
        <f>_xlfn.CONCAT(_xlfn.XLOOKUP("[S10_InstallationsComplianceMeasures][8][ComplianceMeasuresOther]",Submission!$O:$O,Submission!$H:$N,""))</f>
        <v/>
      </c>
      <c r="F14" s="348"/>
      <c r="G14" s="285"/>
      <c r="H14" s="47" t="str">
        <f>_xlfn.CONCAT(_xlfn.XLOOKUP("[S10_InstallationsComplianceMeasures][8][ComplianceMeasuresYesNo]",Submission!$O:$O,Submission!$H:$N,""))</f>
        <v/>
      </c>
      <c r="I14" s="72" t="str">
        <f>_xlfn.CONCAT(_xlfn.XLOOKUP("[S10_InstallationsComplianceMeasures][8][ComplianceMeasuresComment]",Submission!$O:$O,Submission!$H:$N,""))</f>
        <v/>
      </c>
    </row>
    <row r="15" spans="1:9" ht="15.9" customHeight="1" collapsed="1" x14ac:dyDescent="0.3">
      <c r="B15" s="26" t="s">
        <v>1000</v>
      </c>
    </row>
    <row r="16" spans="1:9" ht="15.9" customHeight="1" x14ac:dyDescent="0.3"/>
    <row r="17" spans="1:9" ht="15.9" customHeight="1" x14ac:dyDescent="0.25">
      <c r="A17" s="12" t="s">
        <v>573</v>
      </c>
      <c r="B17" s="377" t="s">
        <v>1285</v>
      </c>
      <c r="C17" s="403"/>
      <c r="D17" s="403"/>
      <c r="E17" s="403"/>
      <c r="F17" s="403"/>
      <c r="G17" s="403"/>
      <c r="H17" s="403"/>
      <c r="I17" s="403"/>
    </row>
    <row r="18" spans="1:9" ht="32.1" customHeight="1" x14ac:dyDescent="0.3">
      <c r="A18" s="13"/>
      <c r="B18" s="293" t="s">
        <v>1286</v>
      </c>
      <c r="C18" s="294"/>
      <c r="D18" s="294"/>
      <c r="E18" s="294"/>
      <c r="F18" s="294"/>
      <c r="G18" s="294"/>
      <c r="H18" s="294"/>
      <c r="I18" s="294"/>
    </row>
    <row r="19" spans="1:9" x14ac:dyDescent="0.3">
      <c r="A19" s="13"/>
      <c r="C19" s="524" t="s">
        <v>1224</v>
      </c>
      <c r="D19" s="524"/>
      <c r="E19" s="524" t="s">
        <v>1225</v>
      </c>
      <c r="F19" s="524"/>
      <c r="G19" s="524" t="s">
        <v>1226</v>
      </c>
      <c r="H19" s="524"/>
      <c r="I19" s="527" t="s">
        <v>1227</v>
      </c>
    </row>
    <row r="20" spans="1:9" ht="15.9" customHeight="1" x14ac:dyDescent="0.3">
      <c r="A20" s="13"/>
      <c r="C20" s="524"/>
      <c r="D20" s="524"/>
      <c r="E20" s="43" t="s">
        <v>1228</v>
      </c>
      <c r="F20" s="43" t="s">
        <v>1229</v>
      </c>
      <c r="G20" s="43" t="s">
        <v>1228</v>
      </c>
      <c r="H20" s="43" t="s">
        <v>1229</v>
      </c>
      <c r="I20" s="528"/>
    </row>
    <row r="21" spans="1:9" ht="33" customHeight="1" x14ac:dyDescent="0.3">
      <c r="A21" s="13"/>
      <c r="C21" s="246" t="s">
        <v>1287</v>
      </c>
      <c r="D21" s="239"/>
      <c r="E21" s="105" t="str">
        <f>_xlfn.CONCAT(_xlfn.XLOOKUP("[S10_InstallationsInfringementPenalties]["&amp;ROW(B21)-ROW($B$20)&amp;"][MinFine]",Submission!$O:$O,Submission!$H:$N,""))</f>
        <v>13270</v>
      </c>
      <c r="F21" s="105" t="str">
        <f>_xlfn.CONCAT(_xlfn.XLOOKUP("[S10_InstallationsInfringementPenalties]["&amp;ROW(B21)-ROW($B$20)&amp;"][MaxFine]",Submission!$O:$O,Submission!$H:$N,""))</f>
        <v>66360</v>
      </c>
      <c r="G21" s="105" t="str">
        <f>_xlfn.CONCAT(_xlfn.XLOOKUP("[S10_InstallationsInfringementPenalties]["&amp;ROW(B21)-ROW($B$20)&amp;"][PrisonMin]",Submission!$O:$O,Submission!$H:$N,""))</f>
        <v>0</v>
      </c>
      <c r="H21" s="105" t="str">
        <f>_xlfn.CONCAT(_xlfn.XLOOKUP("[S10_InstallationsInfringementPenalties]["&amp;ROW(B21)-ROW($B$20)&amp;"][PrisonMax]",Submission!$O:$O,Submission!$H:$N,""))</f>
        <v>0</v>
      </c>
      <c r="I21" s="72" t="str">
        <f>_xlfn.CONCAT(_xlfn.XLOOKUP("[S10_InstallationsInfringementPenalties]["&amp;ROW(B21)-ROW($B$20)&amp;"][OtherPenalty]",Submission!$O:$O,Submission!$H:$N,""))</f>
        <v/>
      </c>
    </row>
    <row r="22" spans="1:9" ht="33" customHeight="1" x14ac:dyDescent="0.3">
      <c r="A22" s="13"/>
      <c r="C22" s="246" t="s">
        <v>1288</v>
      </c>
      <c r="D22" s="239"/>
      <c r="E22" s="105" t="str">
        <f>_xlfn.CONCAT(_xlfn.XLOOKUP("[S10_InstallationsInfringementPenalties]["&amp;ROW(B22)-ROW($B$20)&amp;"][MinFine]",Submission!$O:$O,Submission!$H:$N,""))</f>
        <v>0</v>
      </c>
      <c r="F22" s="105" t="str">
        <f>_xlfn.CONCAT(_xlfn.XLOOKUP("[S10_InstallationsInfringementPenalties]["&amp;ROW(B22)-ROW($B$20)&amp;"][MaxFine]",Submission!$O:$O,Submission!$H:$N,""))</f>
        <v>0</v>
      </c>
      <c r="G22" s="105" t="str">
        <f>_xlfn.CONCAT(_xlfn.XLOOKUP("[S10_InstallationsInfringementPenalties]["&amp;ROW(B22)-ROW($B$20)&amp;"][PrisonMin]",Submission!$O:$O,Submission!$H:$N,""))</f>
        <v>0</v>
      </c>
      <c r="H22" s="105" t="str">
        <f>_xlfn.CONCAT(_xlfn.XLOOKUP("[S10_InstallationsInfringementPenalties]["&amp;ROW(B22)-ROW($B$20)&amp;"][PrisonMax]",Submission!$O:$O,Submission!$H:$N,""))</f>
        <v>0</v>
      </c>
      <c r="I22" s="72" t="str">
        <f>_xlfn.CONCAT(_xlfn.XLOOKUP("[S10_InstallationsInfringementPenalties]["&amp;ROW(B22)-ROW($B$20)&amp;"][OtherPenalty]",Submission!$O:$O,Submission!$H:$N,""))</f>
        <v/>
      </c>
    </row>
    <row r="23" spans="1:9" ht="33" customHeight="1" x14ac:dyDescent="0.3">
      <c r="A23" s="13"/>
      <c r="C23" s="246" t="s">
        <v>1289</v>
      </c>
      <c r="D23" s="239"/>
      <c r="E23" s="105" t="str">
        <f>_xlfn.CONCAT(_xlfn.XLOOKUP("[S10_InstallationsInfringementPenalties]["&amp;ROW(B23)-ROW($B$20)&amp;"][MinFine]",Submission!$O:$O,Submission!$H:$N,""))</f>
        <v>13270</v>
      </c>
      <c r="F23" s="105" t="str">
        <f>_xlfn.CONCAT(_xlfn.XLOOKUP("[S10_InstallationsInfringementPenalties]["&amp;ROW(B23)-ROW($B$20)&amp;"][MaxFine]",Submission!$O:$O,Submission!$H:$N,""))</f>
        <v>66360</v>
      </c>
      <c r="G23" s="105" t="str">
        <f>_xlfn.CONCAT(_xlfn.XLOOKUP("[S10_InstallationsInfringementPenalties]["&amp;ROW(B23)-ROW($B$20)&amp;"][PrisonMin]",Submission!$O:$O,Submission!$H:$N,""))</f>
        <v>0</v>
      </c>
      <c r="H23" s="105" t="str">
        <f>_xlfn.CONCAT(_xlfn.XLOOKUP("[S10_InstallationsInfringementPenalties]["&amp;ROW(B23)-ROW($B$20)&amp;"][PrisonMax]",Submission!$O:$O,Submission!$H:$N,""))</f>
        <v>0</v>
      </c>
      <c r="I23" s="72" t="str">
        <f>_xlfn.CONCAT(_xlfn.XLOOKUP("[S10_InstallationsInfringementPenalties]["&amp;ROW(B23)-ROW($B$20)&amp;"][OtherPenalty]",Submission!$O:$O,Submission!$H:$N,""))</f>
        <v/>
      </c>
    </row>
    <row r="24" spans="1:9" ht="41.4" customHeight="1" x14ac:dyDescent="0.3">
      <c r="A24" s="13"/>
      <c r="C24" s="246" t="s">
        <v>1290</v>
      </c>
      <c r="D24" s="239"/>
      <c r="E24" s="105" t="str">
        <f>_xlfn.CONCAT(_xlfn.XLOOKUP("[S10_InstallationsInfringementPenalties]["&amp;ROW(B24)-ROW($B$20)&amp;"][MinFine]",Submission!$O:$O,Submission!$H:$N,""))</f>
        <v>0</v>
      </c>
      <c r="F24" s="105" t="str">
        <f>_xlfn.CONCAT(_xlfn.XLOOKUP("[S10_InstallationsInfringementPenalties]["&amp;ROW(B24)-ROW($B$20)&amp;"][MaxFine]",Submission!$O:$O,Submission!$H:$N,""))</f>
        <v>0</v>
      </c>
      <c r="G24" s="105" t="str">
        <f>_xlfn.CONCAT(_xlfn.XLOOKUP("[S10_InstallationsInfringementPenalties]["&amp;ROW(B24)-ROW($B$20)&amp;"][PrisonMin]",Submission!$O:$O,Submission!$H:$N,""))</f>
        <v>0</v>
      </c>
      <c r="H24" s="105" t="str">
        <f>_xlfn.CONCAT(_xlfn.XLOOKUP("[S10_InstallationsInfringementPenalties]["&amp;ROW(B24)-ROW($B$20)&amp;"][PrisonMax]",Submission!$O:$O,Submission!$H:$N,""))</f>
        <v>0</v>
      </c>
      <c r="I24" s="72" t="str">
        <f>_xlfn.CONCAT(_xlfn.XLOOKUP("[S10_InstallationsInfringementPenalties]["&amp;ROW(B24)-ROW($B$20)&amp;"][OtherPenalty]",Submission!$O:$O,Submission!$H:$N,""))</f>
        <v/>
      </c>
    </row>
    <row r="25" spans="1:9" ht="33" customHeight="1" x14ac:dyDescent="0.3">
      <c r="C25" s="246" t="s">
        <v>1291</v>
      </c>
      <c r="D25" s="239"/>
      <c r="E25" s="105" t="str">
        <f>_xlfn.CONCAT(_xlfn.XLOOKUP("[S10_InstallationsInfringementPenalties]["&amp;ROW(B25)-ROW($B$20)&amp;"][MinFine]",Submission!$O:$O,Submission!$H:$N,""))</f>
        <v>0</v>
      </c>
      <c r="F25" s="105" t="str">
        <f>_xlfn.CONCAT(_xlfn.XLOOKUP("[S10_InstallationsInfringementPenalties]["&amp;ROW(B25)-ROW($B$20)&amp;"][MaxFine]",Submission!$O:$O,Submission!$H:$N,""))</f>
        <v>0</v>
      </c>
      <c r="G25" s="105" t="str">
        <f>_xlfn.CONCAT(_xlfn.XLOOKUP("[S10_InstallationsInfringementPenalties]["&amp;ROW(B25)-ROW($B$20)&amp;"][PrisonMin]",Submission!$O:$O,Submission!$H:$N,""))</f>
        <v>0</v>
      </c>
      <c r="H25" s="105" t="str">
        <f>_xlfn.CONCAT(_xlfn.XLOOKUP("[S10_InstallationsInfringementPenalties]["&amp;ROW(B25)-ROW($B$20)&amp;"][PrisonMax]",Submission!$O:$O,Submission!$H:$N,""))</f>
        <v>0</v>
      </c>
      <c r="I25" s="72" t="str">
        <f>_xlfn.CONCAT(_xlfn.XLOOKUP("[S10_InstallationsInfringementPenalties]["&amp;ROW(B25)-ROW($B$20)&amp;"][OtherPenalty]",Submission!$O:$O,Submission!$H:$N,""))</f>
        <v/>
      </c>
    </row>
    <row r="26" spans="1:9" ht="41.4" customHeight="1" x14ac:dyDescent="0.3">
      <c r="C26" s="246" t="s">
        <v>1292</v>
      </c>
      <c r="D26" s="239"/>
      <c r="E26" s="105" t="str">
        <f>_xlfn.CONCAT(_xlfn.XLOOKUP("[S10_InstallationsInfringementPenalties]["&amp;ROW(B26)-ROW($B$20)&amp;"][MinFine]",Submission!$O:$O,Submission!$H:$N,""))</f>
        <v>0</v>
      </c>
      <c r="F26" s="105" t="str">
        <f>_xlfn.CONCAT(_xlfn.XLOOKUP("[S10_InstallationsInfringementPenalties]["&amp;ROW(B26)-ROW($B$20)&amp;"][MaxFine]",Submission!$O:$O,Submission!$H:$N,""))</f>
        <v>0</v>
      </c>
      <c r="G26" s="105" t="str">
        <f>_xlfn.CONCAT(_xlfn.XLOOKUP("[S10_InstallationsInfringementPenalties]["&amp;ROW(B26)-ROW($B$20)&amp;"][PrisonMin]",Submission!$O:$O,Submission!$H:$N,""))</f>
        <v>0</v>
      </c>
      <c r="H26" s="105" t="str">
        <f>_xlfn.CONCAT(_xlfn.XLOOKUP("[S10_InstallationsInfringementPenalties]["&amp;ROW(B26)-ROW($B$20)&amp;"][PrisonMax]",Submission!$O:$O,Submission!$H:$N,""))</f>
        <v>0</v>
      </c>
      <c r="I26" s="72" t="str">
        <f>_xlfn.CONCAT(_xlfn.XLOOKUP("[S10_InstallationsInfringementPenalties]["&amp;ROW(B26)-ROW($B$20)&amp;"][OtherPenalty]",Submission!$O:$O,Submission!$H:$N,""))</f>
        <v/>
      </c>
    </row>
    <row r="27" spans="1:9" ht="41.4" customHeight="1" x14ac:dyDescent="0.3">
      <c r="C27" s="246" t="s">
        <v>1293</v>
      </c>
      <c r="D27" s="239"/>
      <c r="E27" s="105" t="str">
        <f>_xlfn.CONCAT(_xlfn.XLOOKUP("[S10_InstallationsInfringementPenalties]["&amp;ROW(B27)-ROW($B$20)&amp;"][MinFine]",Submission!$O:$O,Submission!$H:$N,""))</f>
        <v>3980</v>
      </c>
      <c r="F27" s="105" t="str">
        <f>_xlfn.CONCAT(_xlfn.XLOOKUP("[S10_InstallationsInfringementPenalties]["&amp;ROW(B27)-ROW($B$20)&amp;"][MaxFine]",Submission!$O:$O,Submission!$H:$N,""))</f>
        <v>13270</v>
      </c>
      <c r="G27" s="105" t="str">
        <f>_xlfn.CONCAT(_xlfn.XLOOKUP("[S10_InstallationsInfringementPenalties]["&amp;ROW(B27)-ROW($B$20)&amp;"][PrisonMin]",Submission!$O:$O,Submission!$H:$N,""))</f>
        <v>0</v>
      </c>
      <c r="H27" s="105" t="str">
        <f>_xlfn.CONCAT(_xlfn.XLOOKUP("[S10_InstallationsInfringementPenalties]["&amp;ROW(B27)-ROW($B$20)&amp;"][PrisonMax]",Submission!$O:$O,Submission!$H:$N,""))</f>
        <v>0</v>
      </c>
      <c r="I27" s="72" t="str">
        <f>_xlfn.CONCAT(_xlfn.XLOOKUP("[S10_InstallationsInfringementPenalties]["&amp;ROW(B27)-ROW($B$20)&amp;"][OtherPenalty]",Submission!$O:$O,Submission!$H:$N,""))</f>
        <v/>
      </c>
    </row>
    <row r="28" spans="1:9" ht="33" customHeight="1" x14ac:dyDescent="0.3">
      <c r="C28" s="246" t="s">
        <v>1294</v>
      </c>
      <c r="D28" s="239"/>
      <c r="E28" s="105" t="str">
        <f>_xlfn.CONCAT(_xlfn.XLOOKUP("[S10_InstallationsInfringementPenalties]["&amp;ROW(B28)-ROW($B$20)&amp;"][MinFine]",Submission!$O:$O,Submission!$H:$N,""))</f>
        <v>13270</v>
      </c>
      <c r="F28" s="105" t="str">
        <f>_xlfn.CONCAT(_xlfn.XLOOKUP("[S10_InstallationsInfringementPenalties]["&amp;ROW(B28)-ROW($B$20)&amp;"][MaxFine]",Submission!$O:$O,Submission!$H:$N,""))</f>
        <v>66360</v>
      </c>
      <c r="G28" s="105" t="str">
        <f>_xlfn.CONCAT(_xlfn.XLOOKUP("[S10_InstallationsInfringementPenalties]["&amp;ROW(B28)-ROW($B$20)&amp;"][PrisonMin]",Submission!$O:$O,Submission!$H:$N,""))</f>
        <v>0</v>
      </c>
      <c r="H28" s="105" t="str">
        <f>_xlfn.CONCAT(_xlfn.XLOOKUP("[S10_InstallationsInfringementPenalties]["&amp;ROW(B28)-ROW($B$20)&amp;"][PrisonMax]",Submission!$O:$O,Submission!$H:$N,""))</f>
        <v>0</v>
      </c>
      <c r="I28" s="72" t="str">
        <f>_xlfn.CONCAT(_xlfn.XLOOKUP("[S10_InstallationsInfringementPenalties]["&amp;ROW(B28)-ROW($B$20)&amp;"][OtherPenalty]",Submission!$O:$O,Submission!$H:$N,""))</f>
        <v/>
      </c>
    </row>
    <row r="29" spans="1:9" ht="33" customHeight="1" x14ac:dyDescent="0.3">
      <c r="C29" s="246" t="s">
        <v>1295</v>
      </c>
      <c r="D29" s="239"/>
      <c r="E29" s="105" t="str">
        <f>_xlfn.CONCAT(_xlfn.XLOOKUP("[S10_InstallationsInfringementPenalties]["&amp;ROW(B29)-ROW($B$20)&amp;"][MinFine]",Submission!$O:$O,Submission!$H:$N,""))</f>
        <v>0</v>
      </c>
      <c r="F29" s="105" t="str">
        <f>_xlfn.CONCAT(_xlfn.XLOOKUP("[S10_InstallationsInfringementPenalties]["&amp;ROW(B29)-ROW($B$20)&amp;"][MaxFine]",Submission!$O:$O,Submission!$H:$N,""))</f>
        <v>0</v>
      </c>
      <c r="G29" s="105" t="str">
        <f>_xlfn.CONCAT(_xlfn.XLOOKUP("[S10_InstallationsInfringementPenalties]["&amp;ROW(B29)-ROW($B$20)&amp;"][PrisonMin]",Submission!$O:$O,Submission!$H:$N,""))</f>
        <v>0</v>
      </c>
      <c r="H29" s="105" t="str">
        <f>_xlfn.CONCAT(_xlfn.XLOOKUP("[S10_InstallationsInfringementPenalties]["&amp;ROW(B29)-ROW($B$20)&amp;"][PrisonMax]",Submission!$O:$O,Submission!$H:$N,""))</f>
        <v>0</v>
      </c>
      <c r="I29" s="72" t="str">
        <f>_xlfn.CONCAT(_xlfn.XLOOKUP("[S10_InstallationsInfringementPenalties]["&amp;ROW(B29)-ROW($B$20)&amp;"][OtherPenalty]",Submission!$O:$O,Submission!$H:$N,""))</f>
        <v/>
      </c>
    </row>
    <row r="30" spans="1:9" ht="33" customHeight="1" x14ac:dyDescent="0.3">
      <c r="C30" s="246" t="s">
        <v>1296</v>
      </c>
      <c r="D30" s="239"/>
      <c r="E30" s="105" t="str">
        <f>_xlfn.CONCAT(_xlfn.XLOOKUP("[S10_InstallationsInfringementPenalties]["&amp;ROW(B30)-ROW($B$20)&amp;"][MinFine]",Submission!$O:$O,Submission!$H:$N,""))</f>
        <v>0</v>
      </c>
      <c r="F30" s="105" t="str">
        <f>_xlfn.CONCAT(_xlfn.XLOOKUP("[S10_InstallationsInfringementPenalties]["&amp;ROW(B30)-ROW($B$20)&amp;"][MaxFine]",Submission!$O:$O,Submission!$H:$N,""))</f>
        <v>0</v>
      </c>
      <c r="G30" s="105" t="str">
        <f>_xlfn.CONCAT(_xlfn.XLOOKUP("[S10_InstallationsInfringementPenalties]["&amp;ROW(B30)-ROW($B$20)&amp;"][PrisonMin]",Submission!$O:$O,Submission!$H:$N,""))</f>
        <v>0</v>
      </c>
      <c r="H30" s="105" t="str">
        <f>_xlfn.CONCAT(_xlfn.XLOOKUP("[S10_InstallationsInfringementPenalties]["&amp;ROW(B30)-ROW($B$20)&amp;"][PrisonMax]",Submission!$O:$O,Submission!$H:$N,""))</f>
        <v>0</v>
      </c>
      <c r="I30" s="72" t="str">
        <f>_xlfn.CONCAT(_xlfn.XLOOKUP("[S10_InstallationsInfringementPenalties]["&amp;ROW(B30)-ROW($B$20)&amp;"][OtherPenalty]",Submission!$O:$O,Submission!$H:$N,""))</f>
        <v/>
      </c>
    </row>
    <row r="31" spans="1:9" ht="33" customHeight="1" x14ac:dyDescent="0.3">
      <c r="C31" s="246" t="s">
        <v>1297</v>
      </c>
      <c r="D31" s="239"/>
      <c r="E31" s="105" t="str">
        <f>_xlfn.CONCAT(_xlfn.XLOOKUP("[S10_InstallationsInfringementPenalties]["&amp;ROW(B31)-ROW($B$20)&amp;"][MinFine]",Submission!$O:$O,Submission!$H:$N,""))</f>
        <v>0</v>
      </c>
      <c r="F31" s="105" t="str">
        <f>_xlfn.CONCAT(_xlfn.XLOOKUP("[S10_InstallationsInfringementPenalties]["&amp;ROW(B31)-ROW($B$20)&amp;"][MaxFine]",Submission!$O:$O,Submission!$H:$N,""))</f>
        <v>0</v>
      </c>
      <c r="G31" s="105" t="str">
        <f>_xlfn.CONCAT(_xlfn.XLOOKUP("[S10_InstallationsInfringementPenalties]["&amp;ROW(B31)-ROW($B$20)&amp;"][PrisonMin]",Submission!$O:$O,Submission!$H:$N,""))</f>
        <v>0</v>
      </c>
      <c r="H31" s="105" t="str">
        <f>_xlfn.CONCAT(_xlfn.XLOOKUP("[S10_InstallationsInfringementPenalties]["&amp;ROW(B31)-ROW($B$20)&amp;"][PrisonMax]",Submission!$O:$O,Submission!$H:$N,""))</f>
        <v>0</v>
      </c>
      <c r="I31" s="72" t="str">
        <f>_xlfn.CONCAT(_xlfn.XLOOKUP("[S10_InstallationsInfringementPenalties]["&amp;ROW(B31)-ROW($B$20)&amp;"][OtherPenalty]",Submission!$O:$O,Submission!$H:$N,""))</f>
        <v/>
      </c>
    </row>
    <row r="32" spans="1:9" ht="33" customHeight="1" x14ac:dyDescent="0.3">
      <c r="C32" s="93" t="s">
        <v>1234</v>
      </c>
      <c r="D32" s="72" t="str">
        <f>_xlfn.CONCAT(_xlfn.XLOOKUP("[S10_InstallationsInfringementPenalties]["&amp;ROW(B32)-ROW($B$20)&amp;"][InfringementOther]",Submission!$O:$O,Submission!$H:$N,""))</f>
        <v/>
      </c>
      <c r="E32" s="105" t="str">
        <f>_xlfn.CONCAT(_xlfn.XLOOKUP("[S10_InstallationsInfringementPenalties]["&amp;ROW(B32)-ROW($B$20)&amp;"][MinFine]",Submission!$O:$O,Submission!$H:$N,""))</f>
        <v/>
      </c>
      <c r="F32" s="105" t="str">
        <f>_xlfn.CONCAT(_xlfn.XLOOKUP("[S10_InstallationsInfringementPenalties]["&amp;ROW(B32)-ROW($B$20)&amp;"][MaxFine]",Submission!$O:$O,Submission!$H:$N,""))</f>
        <v/>
      </c>
      <c r="G32" s="105" t="str">
        <f>_xlfn.CONCAT(_xlfn.XLOOKUP("[S10_InstallationsInfringementPenalties]["&amp;ROW(B32)-ROW($B$20)&amp;"][PrisonMin]",Submission!$O:$O,Submission!$H:$N,""))</f>
        <v>0</v>
      </c>
      <c r="H32" s="105" t="str">
        <f>_xlfn.CONCAT(_xlfn.XLOOKUP("[S10_InstallationsInfringementPenalties]["&amp;ROW(B32)-ROW($B$20)&amp;"][PrisonMax]",Submission!$O:$O,Submission!$H:$N,""))</f>
        <v>0</v>
      </c>
      <c r="I32" s="72" t="str">
        <f>_xlfn.CONCAT(_xlfn.XLOOKUP("[S10_InstallationsInfringementPenalties]["&amp;ROW(B32)-ROW($B$20)&amp;"][OtherPenalty]",Submission!$O:$O,Submission!$H:$N,""))</f>
        <v/>
      </c>
    </row>
    <row r="33" spans="3:9" ht="33" hidden="1" customHeight="1" outlineLevel="1" x14ac:dyDescent="0.3">
      <c r="C33" s="93" t="s">
        <v>1234</v>
      </c>
      <c r="D33" s="72" t="str">
        <f>_xlfn.CONCAT(_xlfn.XLOOKUP("[S10_InstallationsInfringementPenalties]["&amp;ROW(B33)-ROW($B$20)&amp;"][InfringementOther]",Submission!$O:$O,Submission!$H:$N,""))</f>
        <v/>
      </c>
      <c r="E33" s="105" t="str">
        <f>_xlfn.CONCAT(_xlfn.XLOOKUP("[S10_InstallationsInfringementPenalties]["&amp;ROW(B33)-ROW($B$20)&amp;"][MinFine]",Submission!$O:$O,Submission!$H:$N,""))</f>
        <v/>
      </c>
      <c r="F33" s="105" t="str">
        <f>_xlfn.CONCAT(_xlfn.XLOOKUP("[S10_InstallationsInfringementPenalties]["&amp;ROW(B33)-ROW($B$20)&amp;"][MaxFine]",Submission!$O:$O,Submission!$H:$N,""))</f>
        <v/>
      </c>
      <c r="G33" s="105" t="str">
        <f>_xlfn.CONCAT(_xlfn.XLOOKUP("[S10_InstallationsInfringementPenalties]["&amp;ROW(B33)-ROW($B$20)&amp;"][PrisonMin]",Submission!$O:$O,Submission!$H:$N,""))</f>
        <v/>
      </c>
      <c r="H33" s="105" t="str">
        <f>_xlfn.CONCAT(_xlfn.XLOOKUP("[S10_InstallationsInfringementPenalties]["&amp;ROW(B33)-ROW($B$20)&amp;"][PrisonMax]",Submission!$O:$O,Submission!$H:$N,""))</f>
        <v/>
      </c>
      <c r="I33" s="72" t="str">
        <f>_xlfn.CONCAT(_xlfn.XLOOKUP("[S10_InstallationsInfringementPenalties]["&amp;ROW(B33)-ROW($B$20)&amp;"][OtherPenalty]",Submission!$O:$O,Submission!$H:$N,""))</f>
        <v/>
      </c>
    </row>
    <row r="34" spans="3:9" ht="33" hidden="1" customHeight="1" outlineLevel="1" x14ac:dyDescent="0.3">
      <c r="C34" s="93" t="s">
        <v>1234</v>
      </c>
      <c r="D34" s="72" t="str">
        <f>_xlfn.CONCAT(_xlfn.XLOOKUP("[S10_InstallationsInfringementPenalties]["&amp;ROW(B34)-ROW($B$20)&amp;"][InfringementOther]",Submission!$O:$O,Submission!$H:$N,""))</f>
        <v/>
      </c>
      <c r="E34" s="105" t="str">
        <f>_xlfn.CONCAT(_xlfn.XLOOKUP("[S10_InstallationsInfringementPenalties]["&amp;ROW(B34)-ROW($B$20)&amp;"][MinFine]",Submission!$O:$O,Submission!$H:$N,""))</f>
        <v/>
      </c>
      <c r="F34" s="105" t="str">
        <f>_xlfn.CONCAT(_xlfn.XLOOKUP("[S10_InstallationsInfringementPenalties]["&amp;ROW(B34)-ROW($B$20)&amp;"][MaxFine]",Submission!$O:$O,Submission!$H:$N,""))</f>
        <v/>
      </c>
      <c r="G34" s="105" t="str">
        <f>_xlfn.CONCAT(_xlfn.XLOOKUP("[S10_InstallationsInfringementPenalties]["&amp;ROW(B34)-ROW($B$20)&amp;"][PrisonMin]",Submission!$O:$O,Submission!$H:$N,""))</f>
        <v/>
      </c>
      <c r="H34" s="105" t="str">
        <f>_xlfn.CONCAT(_xlfn.XLOOKUP("[S10_InstallationsInfringementPenalties]["&amp;ROW(B34)-ROW($B$20)&amp;"][PrisonMax]",Submission!$O:$O,Submission!$H:$N,""))</f>
        <v/>
      </c>
      <c r="I34" s="72" t="str">
        <f>_xlfn.CONCAT(_xlfn.XLOOKUP("[S10_InstallationsInfringementPenalties]["&amp;ROW(B34)-ROW($B$20)&amp;"][OtherPenalty]",Submission!$O:$O,Submission!$H:$N,""))</f>
        <v/>
      </c>
    </row>
    <row r="35" spans="3:9" ht="33" hidden="1" customHeight="1" outlineLevel="1" x14ac:dyDescent="0.3">
      <c r="C35" s="93" t="s">
        <v>1234</v>
      </c>
      <c r="D35" s="72" t="str">
        <f>_xlfn.CONCAT(_xlfn.XLOOKUP("[S10_InstallationsInfringementPenalties]["&amp;ROW(B35)-ROW($B$20)&amp;"][InfringementOther]",Submission!$O:$O,Submission!$H:$N,""))</f>
        <v/>
      </c>
      <c r="E35" s="105" t="str">
        <f>_xlfn.CONCAT(_xlfn.XLOOKUP("[S10_InstallationsInfringementPenalties]["&amp;ROW(B35)-ROW($B$20)&amp;"][MinFine]",Submission!$O:$O,Submission!$H:$N,""))</f>
        <v/>
      </c>
      <c r="F35" s="105" t="str">
        <f>_xlfn.CONCAT(_xlfn.XLOOKUP("[S10_InstallationsInfringementPenalties]["&amp;ROW(B35)-ROW($B$20)&amp;"][MaxFine]",Submission!$O:$O,Submission!$H:$N,""))</f>
        <v/>
      </c>
      <c r="G35" s="105" t="str">
        <f>_xlfn.CONCAT(_xlfn.XLOOKUP("[S10_InstallationsInfringementPenalties]["&amp;ROW(B35)-ROW($B$20)&amp;"][PrisonMin]",Submission!$O:$O,Submission!$H:$N,""))</f>
        <v/>
      </c>
      <c r="H35" s="105" t="str">
        <f>_xlfn.CONCAT(_xlfn.XLOOKUP("[S10_InstallationsInfringementPenalties]["&amp;ROW(B35)-ROW($B$20)&amp;"][PrisonMax]",Submission!$O:$O,Submission!$H:$N,""))</f>
        <v/>
      </c>
      <c r="I35" s="72" t="str">
        <f>_xlfn.CONCAT(_xlfn.XLOOKUP("[S10_InstallationsInfringementPenalties]["&amp;ROW(B35)-ROW($B$20)&amp;"][OtherPenalty]",Submission!$O:$O,Submission!$H:$N,""))</f>
        <v/>
      </c>
    </row>
    <row r="36" spans="3:9" ht="33" hidden="1" customHeight="1" outlineLevel="1" x14ac:dyDescent="0.3">
      <c r="C36" s="93" t="s">
        <v>1234</v>
      </c>
      <c r="D36" s="72" t="str">
        <f>_xlfn.CONCAT(_xlfn.XLOOKUP("[S10_InstallationsInfringementPenalties]["&amp;ROW(B36)-ROW($B$20)&amp;"][InfringementOther]",Submission!$O:$O,Submission!$H:$N,""))</f>
        <v/>
      </c>
      <c r="E36" s="105" t="str">
        <f>_xlfn.CONCAT(_xlfn.XLOOKUP("[S10_InstallationsInfringementPenalties]["&amp;ROW(B36)-ROW($B$20)&amp;"][MinFine]",Submission!$O:$O,Submission!$H:$N,""))</f>
        <v/>
      </c>
      <c r="F36" s="105" t="str">
        <f>_xlfn.CONCAT(_xlfn.XLOOKUP("[S10_InstallationsInfringementPenalties]["&amp;ROW(B36)-ROW($B$20)&amp;"][MaxFine]",Submission!$O:$O,Submission!$H:$N,""))</f>
        <v/>
      </c>
      <c r="G36" s="105" t="str">
        <f>_xlfn.CONCAT(_xlfn.XLOOKUP("[S10_InstallationsInfringementPenalties]["&amp;ROW(B36)-ROW($B$20)&amp;"][PrisonMin]",Submission!$O:$O,Submission!$H:$N,""))</f>
        <v/>
      </c>
      <c r="H36" s="105" t="str">
        <f>_xlfn.CONCAT(_xlfn.XLOOKUP("[S10_InstallationsInfringementPenalties]["&amp;ROW(B36)-ROW($B$20)&amp;"][PrisonMax]",Submission!$O:$O,Submission!$H:$N,""))</f>
        <v/>
      </c>
      <c r="I36" s="72" t="str">
        <f>_xlfn.CONCAT(_xlfn.XLOOKUP("[S10_InstallationsInfringementPenalties]["&amp;ROW(B36)-ROW($B$20)&amp;"][OtherPenalty]",Submission!$O:$O,Submission!$H:$N,""))</f>
        <v/>
      </c>
    </row>
    <row r="37" spans="3:9" ht="33" hidden="1" customHeight="1" outlineLevel="1" x14ac:dyDescent="0.3">
      <c r="C37" s="93" t="s">
        <v>1234</v>
      </c>
      <c r="D37" s="72" t="str">
        <f>_xlfn.CONCAT(_xlfn.XLOOKUP("[S10_InstallationsInfringementPenalties]["&amp;ROW(B37)-ROW($B$20)&amp;"][InfringementOther]",Submission!$O:$O,Submission!$H:$N,""))</f>
        <v/>
      </c>
      <c r="E37" s="105" t="str">
        <f>_xlfn.CONCAT(_xlfn.XLOOKUP("[S10_InstallationsInfringementPenalties]["&amp;ROW(B37)-ROW($B$20)&amp;"][MinFine]",Submission!$O:$O,Submission!$H:$N,""))</f>
        <v/>
      </c>
      <c r="F37" s="105" t="str">
        <f>_xlfn.CONCAT(_xlfn.XLOOKUP("[S10_InstallationsInfringementPenalties]["&amp;ROW(B37)-ROW($B$20)&amp;"][MaxFine]",Submission!$O:$O,Submission!$H:$N,""))</f>
        <v/>
      </c>
      <c r="G37" s="105" t="str">
        <f>_xlfn.CONCAT(_xlfn.XLOOKUP("[S10_InstallationsInfringementPenalties]["&amp;ROW(B37)-ROW($B$20)&amp;"][PrisonMin]",Submission!$O:$O,Submission!$H:$N,""))</f>
        <v/>
      </c>
      <c r="H37" s="105" t="str">
        <f>_xlfn.CONCAT(_xlfn.XLOOKUP("[S10_InstallationsInfringementPenalties]["&amp;ROW(B37)-ROW($B$20)&amp;"][PrisonMax]",Submission!$O:$O,Submission!$H:$N,""))</f>
        <v/>
      </c>
      <c r="I37" s="72" t="str">
        <f>_xlfn.CONCAT(_xlfn.XLOOKUP("[S10_InstallationsInfringementPenalties]["&amp;ROW(B37)-ROW($B$20)&amp;"][OtherPenalty]",Submission!$O:$O,Submission!$H:$N,""))</f>
        <v/>
      </c>
    </row>
    <row r="38" spans="3:9" ht="33" hidden="1" customHeight="1" outlineLevel="1" x14ac:dyDescent="0.3">
      <c r="C38" s="93" t="s">
        <v>1234</v>
      </c>
      <c r="D38" s="72" t="str">
        <f>_xlfn.CONCAT(_xlfn.XLOOKUP("[S10_InstallationsInfringementPenalties]["&amp;ROW(B38)-ROW($B$20)&amp;"][InfringementOther]",Submission!$O:$O,Submission!$H:$N,""))</f>
        <v/>
      </c>
      <c r="E38" s="105" t="str">
        <f>_xlfn.CONCAT(_xlfn.XLOOKUP("[S10_InstallationsInfringementPenalties]["&amp;ROW(B38)-ROW($B$20)&amp;"][MinFine]",Submission!$O:$O,Submission!$H:$N,""))</f>
        <v/>
      </c>
      <c r="F38" s="105" t="str">
        <f>_xlfn.CONCAT(_xlfn.XLOOKUP("[S10_InstallationsInfringementPenalties]["&amp;ROW(B38)-ROW($B$20)&amp;"][MaxFine]",Submission!$O:$O,Submission!$H:$N,""))</f>
        <v/>
      </c>
      <c r="G38" s="105" t="str">
        <f>_xlfn.CONCAT(_xlfn.XLOOKUP("[S10_InstallationsInfringementPenalties]["&amp;ROW(B38)-ROW($B$20)&amp;"][PrisonMin]",Submission!$O:$O,Submission!$H:$N,""))</f>
        <v/>
      </c>
      <c r="H38" s="105" t="str">
        <f>_xlfn.CONCAT(_xlfn.XLOOKUP("[S10_InstallationsInfringementPenalties]["&amp;ROW(B38)-ROW($B$20)&amp;"][PrisonMax]",Submission!$O:$O,Submission!$H:$N,""))</f>
        <v/>
      </c>
      <c r="I38" s="72" t="str">
        <f>_xlfn.CONCAT(_xlfn.XLOOKUP("[S10_InstallationsInfringementPenalties]["&amp;ROW(B38)-ROW($B$20)&amp;"][OtherPenalty]",Submission!$O:$O,Submission!$H:$N,""))</f>
        <v/>
      </c>
    </row>
    <row r="39" spans="3:9" ht="33" hidden="1" customHeight="1" outlineLevel="1" x14ac:dyDescent="0.3">
      <c r="C39" s="93" t="s">
        <v>1234</v>
      </c>
      <c r="D39" s="72" t="str">
        <f>_xlfn.CONCAT(_xlfn.XLOOKUP("[S10_InstallationsInfringementPenalties]["&amp;ROW(B39)-ROW($B$20)&amp;"][InfringementOther]",Submission!$O:$O,Submission!$H:$N,""))</f>
        <v/>
      </c>
      <c r="E39" s="105" t="str">
        <f>_xlfn.CONCAT(_xlfn.XLOOKUP("[S10_InstallationsInfringementPenalties]["&amp;ROW(B39)-ROW($B$20)&amp;"][MinFine]",Submission!$O:$O,Submission!$H:$N,""))</f>
        <v/>
      </c>
      <c r="F39" s="105" t="str">
        <f>_xlfn.CONCAT(_xlfn.XLOOKUP("[S10_InstallationsInfringementPenalties]["&amp;ROW(B39)-ROW($B$20)&amp;"][MaxFine]",Submission!$O:$O,Submission!$H:$N,""))</f>
        <v/>
      </c>
      <c r="G39" s="105" t="str">
        <f>_xlfn.CONCAT(_xlfn.XLOOKUP("[S10_InstallationsInfringementPenalties]["&amp;ROW(B39)-ROW($B$20)&amp;"][PrisonMin]",Submission!$O:$O,Submission!$H:$N,""))</f>
        <v/>
      </c>
      <c r="H39" s="105" t="str">
        <f>_xlfn.CONCAT(_xlfn.XLOOKUP("[S10_InstallationsInfringementPenalties]["&amp;ROW(B39)-ROW($B$20)&amp;"][PrisonMax]",Submission!$O:$O,Submission!$H:$N,""))</f>
        <v/>
      </c>
      <c r="I39" s="72" t="str">
        <f>_xlfn.CONCAT(_xlfn.XLOOKUP("[S10_InstallationsInfringementPenalties]["&amp;ROW(B39)-ROW($B$20)&amp;"][OtherPenalty]",Submission!$O:$O,Submission!$H:$N,""))</f>
        <v/>
      </c>
    </row>
    <row r="40" spans="3:9" ht="33" hidden="1" customHeight="1" outlineLevel="1" x14ac:dyDescent="0.3">
      <c r="C40" s="93" t="s">
        <v>1234</v>
      </c>
      <c r="D40" s="72" t="str">
        <f>_xlfn.CONCAT(_xlfn.XLOOKUP("[S10_InstallationsInfringementPenalties]["&amp;ROW(B40)-ROW($B$20)&amp;"][InfringementOther]",Submission!$O:$O,Submission!$H:$N,""))</f>
        <v/>
      </c>
      <c r="E40" s="105" t="str">
        <f>_xlfn.CONCAT(_xlfn.XLOOKUP("[S10_InstallationsInfringementPenalties]["&amp;ROW(B40)-ROW($B$20)&amp;"][MinFine]",Submission!$O:$O,Submission!$H:$N,""))</f>
        <v/>
      </c>
      <c r="F40" s="105" t="str">
        <f>_xlfn.CONCAT(_xlfn.XLOOKUP("[S10_InstallationsInfringementPenalties]["&amp;ROW(B40)-ROW($B$20)&amp;"][MaxFine]",Submission!$O:$O,Submission!$H:$N,""))</f>
        <v/>
      </c>
      <c r="G40" s="105" t="str">
        <f>_xlfn.CONCAT(_xlfn.XLOOKUP("[S10_InstallationsInfringementPenalties]["&amp;ROW(B40)-ROW($B$20)&amp;"][PrisonMin]",Submission!$O:$O,Submission!$H:$N,""))</f>
        <v/>
      </c>
      <c r="H40" s="105" t="str">
        <f>_xlfn.CONCAT(_xlfn.XLOOKUP("[S10_InstallationsInfringementPenalties]["&amp;ROW(B40)-ROW($B$20)&amp;"][PrisonMax]",Submission!$O:$O,Submission!$H:$N,""))</f>
        <v/>
      </c>
      <c r="I40" s="72" t="str">
        <f>_xlfn.CONCAT(_xlfn.XLOOKUP("[S10_InstallationsInfringementPenalties]["&amp;ROW(B40)-ROW($B$20)&amp;"][OtherPenalty]",Submission!$O:$O,Submission!$H:$N,""))</f>
        <v/>
      </c>
    </row>
    <row r="41" spans="3:9" ht="33" hidden="1" customHeight="1" outlineLevel="1" x14ac:dyDescent="0.3">
      <c r="C41" s="93" t="s">
        <v>1234</v>
      </c>
      <c r="D41" s="72" t="str">
        <f>_xlfn.CONCAT(_xlfn.XLOOKUP("[S10_InstallationsInfringementPenalties]["&amp;ROW(B41)-ROW($B$20)&amp;"][InfringementOther]",Submission!$O:$O,Submission!$H:$N,""))</f>
        <v/>
      </c>
      <c r="E41" s="105" t="str">
        <f>_xlfn.CONCAT(_xlfn.XLOOKUP("[S10_InstallationsInfringementPenalties]["&amp;ROW(B41)-ROW($B$20)&amp;"][MinFine]",Submission!$O:$O,Submission!$H:$N,""))</f>
        <v/>
      </c>
      <c r="F41" s="105" t="str">
        <f>_xlfn.CONCAT(_xlfn.XLOOKUP("[S10_InstallationsInfringementPenalties]["&amp;ROW(B41)-ROW($B$20)&amp;"][MaxFine]",Submission!$O:$O,Submission!$H:$N,""))</f>
        <v/>
      </c>
      <c r="G41" s="105" t="str">
        <f>_xlfn.CONCAT(_xlfn.XLOOKUP("[S10_InstallationsInfringementPenalties]["&amp;ROW(B41)-ROW($B$20)&amp;"][PrisonMin]",Submission!$O:$O,Submission!$H:$N,""))</f>
        <v/>
      </c>
      <c r="H41" s="105" t="str">
        <f>_xlfn.CONCAT(_xlfn.XLOOKUP("[S10_InstallationsInfringementPenalties]["&amp;ROW(B41)-ROW($B$20)&amp;"][PrisonMax]",Submission!$O:$O,Submission!$H:$N,""))</f>
        <v/>
      </c>
      <c r="I41" s="72" t="str">
        <f>_xlfn.CONCAT(_xlfn.XLOOKUP("[S10_InstallationsInfringementPenalties]["&amp;ROW(B41)-ROW($B$20)&amp;"][OtherPenalty]",Submission!$O:$O,Submission!$H:$N,""))</f>
        <v/>
      </c>
    </row>
    <row r="42" spans="3:9" ht="33" hidden="1" customHeight="1" outlineLevel="1" x14ac:dyDescent="0.3">
      <c r="C42" s="93" t="s">
        <v>1234</v>
      </c>
      <c r="D42" s="72" t="str">
        <f>_xlfn.CONCAT(_xlfn.XLOOKUP("[S10_InstallationsInfringementPenalties]["&amp;ROW(B42)-ROW($B$20)&amp;"][InfringementOther]",Submission!$O:$O,Submission!$H:$N,""))</f>
        <v/>
      </c>
      <c r="E42" s="105" t="str">
        <f>_xlfn.CONCAT(_xlfn.XLOOKUP("[S10_InstallationsInfringementPenalties]["&amp;ROW(B42)-ROW($B$20)&amp;"][MinFine]",Submission!$O:$O,Submission!$H:$N,""))</f>
        <v/>
      </c>
      <c r="F42" s="105" t="str">
        <f>_xlfn.CONCAT(_xlfn.XLOOKUP("[S10_InstallationsInfringementPenalties]["&amp;ROW(B42)-ROW($B$20)&amp;"][MaxFine]",Submission!$O:$O,Submission!$H:$N,""))</f>
        <v/>
      </c>
      <c r="G42" s="105" t="str">
        <f>_xlfn.CONCAT(_xlfn.XLOOKUP("[S10_InstallationsInfringementPenalties]["&amp;ROW(B42)-ROW($B$20)&amp;"][PrisonMin]",Submission!$O:$O,Submission!$H:$N,""))</f>
        <v/>
      </c>
      <c r="H42" s="105" t="str">
        <f>_xlfn.CONCAT(_xlfn.XLOOKUP("[S10_InstallationsInfringementPenalties]["&amp;ROW(B42)-ROW($B$20)&amp;"][PrisonMax]",Submission!$O:$O,Submission!$H:$N,""))</f>
        <v/>
      </c>
      <c r="I42" s="72" t="str">
        <f>_xlfn.CONCAT(_xlfn.XLOOKUP("[S10_InstallationsInfringementPenalties]["&amp;ROW(B42)-ROW($B$20)&amp;"][OtherPenalty]",Submission!$O:$O,Submission!$H:$N,""))</f>
        <v/>
      </c>
    </row>
    <row r="43" spans="3:9" ht="33" hidden="1" customHeight="1" outlineLevel="1" x14ac:dyDescent="0.3">
      <c r="C43" s="93" t="s">
        <v>1234</v>
      </c>
      <c r="D43" s="72" t="str">
        <f>_xlfn.CONCAT(_xlfn.XLOOKUP("[S10_InstallationsInfringementPenalties]["&amp;ROW(B43)-ROW($B$20)&amp;"][InfringementOther]",Submission!$O:$O,Submission!$H:$N,""))</f>
        <v/>
      </c>
      <c r="E43" s="105" t="str">
        <f>_xlfn.CONCAT(_xlfn.XLOOKUP("[S10_InstallationsInfringementPenalties]["&amp;ROW(B43)-ROW($B$20)&amp;"][MinFine]",Submission!$O:$O,Submission!$H:$N,""))</f>
        <v/>
      </c>
      <c r="F43" s="105" t="str">
        <f>_xlfn.CONCAT(_xlfn.XLOOKUP("[S10_InstallationsInfringementPenalties]["&amp;ROW(B43)-ROW($B$20)&amp;"][MaxFine]",Submission!$O:$O,Submission!$H:$N,""))</f>
        <v/>
      </c>
      <c r="G43" s="105" t="str">
        <f>_xlfn.CONCAT(_xlfn.XLOOKUP("[S10_InstallationsInfringementPenalties]["&amp;ROW(B43)-ROW($B$20)&amp;"][PrisonMin]",Submission!$O:$O,Submission!$H:$N,""))</f>
        <v/>
      </c>
      <c r="H43" s="105" t="str">
        <f>_xlfn.CONCAT(_xlfn.XLOOKUP("[S10_InstallationsInfringementPenalties]["&amp;ROW(B43)-ROW($B$20)&amp;"][PrisonMax]",Submission!$O:$O,Submission!$H:$N,""))</f>
        <v/>
      </c>
      <c r="I43" s="72" t="str">
        <f>_xlfn.CONCAT(_xlfn.XLOOKUP("[S10_InstallationsInfringementPenalties]["&amp;ROW(B43)-ROW($B$20)&amp;"][OtherPenalty]",Submission!$O:$O,Submission!$H:$N,""))</f>
        <v/>
      </c>
    </row>
    <row r="44" spans="3:9" ht="33" hidden="1" customHeight="1" outlineLevel="1" x14ac:dyDescent="0.3">
      <c r="C44" s="93" t="s">
        <v>1234</v>
      </c>
      <c r="D44" s="72" t="str">
        <f>_xlfn.CONCAT(_xlfn.XLOOKUP("[S10_InstallationsInfringementPenalties]["&amp;ROW(B44)-ROW($B$20)&amp;"][InfringementOther]",Submission!$O:$O,Submission!$H:$N,""))</f>
        <v/>
      </c>
      <c r="E44" s="105" t="str">
        <f>_xlfn.CONCAT(_xlfn.XLOOKUP("[S10_InstallationsInfringementPenalties]["&amp;ROW(B44)-ROW($B$20)&amp;"][MinFine]",Submission!$O:$O,Submission!$H:$N,""))</f>
        <v/>
      </c>
      <c r="F44" s="105" t="str">
        <f>_xlfn.CONCAT(_xlfn.XLOOKUP("[S10_InstallationsInfringementPenalties]["&amp;ROW(B44)-ROW($B$20)&amp;"][MaxFine]",Submission!$O:$O,Submission!$H:$N,""))</f>
        <v/>
      </c>
      <c r="G44" s="105" t="str">
        <f>_xlfn.CONCAT(_xlfn.XLOOKUP("[S10_InstallationsInfringementPenalties]["&amp;ROW(B44)-ROW($B$20)&amp;"][PrisonMin]",Submission!$O:$O,Submission!$H:$N,""))</f>
        <v/>
      </c>
      <c r="H44" s="105" t="str">
        <f>_xlfn.CONCAT(_xlfn.XLOOKUP("[S10_InstallationsInfringementPenalties]["&amp;ROW(B44)-ROW($B$20)&amp;"][PrisonMax]",Submission!$O:$O,Submission!$H:$N,""))</f>
        <v/>
      </c>
      <c r="I44" s="72" t="str">
        <f>_xlfn.CONCAT(_xlfn.XLOOKUP("[S10_InstallationsInfringementPenalties]["&amp;ROW(B44)-ROW($B$20)&amp;"][OtherPenalty]",Submission!$O:$O,Submission!$H:$N,""))</f>
        <v/>
      </c>
    </row>
    <row r="45" spans="3:9" ht="33" hidden="1" customHeight="1" outlineLevel="1" x14ac:dyDescent="0.3">
      <c r="C45" s="93" t="s">
        <v>1234</v>
      </c>
      <c r="D45" s="72" t="str">
        <f>_xlfn.CONCAT(_xlfn.XLOOKUP("[S10_InstallationsInfringementPenalties]["&amp;ROW(B45)-ROW($B$20)&amp;"][InfringementOther]",Submission!$O:$O,Submission!$H:$N,""))</f>
        <v/>
      </c>
      <c r="E45" s="105" t="str">
        <f>_xlfn.CONCAT(_xlfn.XLOOKUP("[S10_InstallationsInfringementPenalties]["&amp;ROW(B45)-ROW($B$20)&amp;"][MinFine]",Submission!$O:$O,Submission!$H:$N,""))</f>
        <v/>
      </c>
      <c r="F45" s="105" t="str">
        <f>_xlfn.CONCAT(_xlfn.XLOOKUP("[S10_InstallationsInfringementPenalties]["&amp;ROW(B45)-ROW($B$20)&amp;"][MaxFine]",Submission!$O:$O,Submission!$H:$N,""))</f>
        <v/>
      </c>
      <c r="G45" s="105" t="str">
        <f>_xlfn.CONCAT(_xlfn.XLOOKUP("[S10_InstallationsInfringementPenalties]["&amp;ROW(B45)-ROW($B$20)&amp;"][PrisonMin]",Submission!$O:$O,Submission!$H:$N,""))</f>
        <v/>
      </c>
      <c r="H45" s="105" t="str">
        <f>_xlfn.CONCAT(_xlfn.XLOOKUP("[S10_InstallationsInfringementPenalties]["&amp;ROW(B45)-ROW($B$20)&amp;"][PrisonMax]",Submission!$O:$O,Submission!$H:$N,""))</f>
        <v/>
      </c>
      <c r="I45" s="72" t="str">
        <f>_xlfn.CONCAT(_xlfn.XLOOKUP("[S10_InstallationsInfringementPenalties]["&amp;ROW(B45)-ROW($B$20)&amp;"][OtherPenalty]",Submission!$O:$O,Submission!$H:$N,""))</f>
        <v/>
      </c>
    </row>
    <row r="46" spans="3:9" ht="33" hidden="1" customHeight="1" outlineLevel="1" x14ac:dyDescent="0.3">
      <c r="C46" s="93" t="s">
        <v>1234</v>
      </c>
      <c r="D46" s="72" t="str">
        <f>_xlfn.CONCAT(_xlfn.XLOOKUP("[S10_InstallationsInfringementPenalties]["&amp;ROW(B46)-ROW($B$20)&amp;"][InfringementOther]",Submission!$O:$O,Submission!$H:$N,""))</f>
        <v/>
      </c>
      <c r="E46" s="105" t="str">
        <f>_xlfn.CONCAT(_xlfn.XLOOKUP("[S10_InstallationsInfringementPenalties]["&amp;ROW(B46)-ROW($B$20)&amp;"][MinFine]",Submission!$O:$O,Submission!$H:$N,""))</f>
        <v/>
      </c>
      <c r="F46" s="105" t="str">
        <f>_xlfn.CONCAT(_xlfn.XLOOKUP("[S10_InstallationsInfringementPenalties]["&amp;ROW(B46)-ROW($B$20)&amp;"][MaxFine]",Submission!$O:$O,Submission!$H:$N,""))</f>
        <v/>
      </c>
      <c r="G46" s="105" t="str">
        <f>_xlfn.CONCAT(_xlfn.XLOOKUP("[S10_InstallationsInfringementPenalties]["&amp;ROW(B46)-ROW($B$20)&amp;"][PrisonMin]",Submission!$O:$O,Submission!$H:$N,""))</f>
        <v/>
      </c>
      <c r="H46" s="105" t="str">
        <f>_xlfn.CONCAT(_xlfn.XLOOKUP("[S10_InstallationsInfringementPenalties]["&amp;ROW(B46)-ROW($B$20)&amp;"][PrisonMax]",Submission!$O:$O,Submission!$H:$N,""))</f>
        <v/>
      </c>
      <c r="I46" s="72" t="str">
        <f>_xlfn.CONCAT(_xlfn.XLOOKUP("[S10_InstallationsInfringementPenalties]["&amp;ROW(B46)-ROW($B$20)&amp;"][OtherPenalty]",Submission!$O:$O,Submission!$H:$N,""))</f>
        <v/>
      </c>
    </row>
    <row r="47" spans="3:9" ht="33" hidden="1" customHeight="1" outlineLevel="1" x14ac:dyDescent="0.3">
      <c r="C47" s="93" t="s">
        <v>1234</v>
      </c>
      <c r="D47" s="72" t="str">
        <f>_xlfn.CONCAT(_xlfn.XLOOKUP("[S10_InstallationsInfringementPenalties]["&amp;ROW(B47)-ROW($B$20)&amp;"][InfringementOther]",Submission!$O:$O,Submission!$H:$N,""))</f>
        <v/>
      </c>
      <c r="E47" s="105" t="str">
        <f>_xlfn.CONCAT(_xlfn.XLOOKUP("[S10_InstallationsInfringementPenalties]["&amp;ROW(B47)-ROW($B$20)&amp;"][MinFine]",Submission!$O:$O,Submission!$H:$N,""))</f>
        <v/>
      </c>
      <c r="F47" s="105" t="str">
        <f>_xlfn.CONCAT(_xlfn.XLOOKUP("[S10_InstallationsInfringementPenalties]["&amp;ROW(B47)-ROW($B$20)&amp;"][MaxFine]",Submission!$O:$O,Submission!$H:$N,""))</f>
        <v/>
      </c>
      <c r="G47" s="105" t="str">
        <f>_xlfn.CONCAT(_xlfn.XLOOKUP("[S10_InstallationsInfringementPenalties]["&amp;ROW(B47)-ROW($B$20)&amp;"][PrisonMin]",Submission!$O:$O,Submission!$H:$N,""))</f>
        <v/>
      </c>
      <c r="H47" s="105" t="str">
        <f>_xlfn.CONCAT(_xlfn.XLOOKUP("[S10_InstallationsInfringementPenalties]["&amp;ROW(B47)-ROW($B$20)&amp;"][PrisonMax]",Submission!$O:$O,Submission!$H:$N,""))</f>
        <v/>
      </c>
      <c r="I47" s="72" t="str">
        <f>_xlfn.CONCAT(_xlfn.XLOOKUP("[S10_InstallationsInfringementPenalties]["&amp;ROW(B47)-ROW($B$20)&amp;"][OtherPenalty]",Submission!$O:$O,Submission!$H:$N,""))</f>
        <v/>
      </c>
    </row>
    <row r="48" spans="3:9" ht="33" hidden="1" customHeight="1" outlineLevel="1" x14ac:dyDescent="0.3">
      <c r="C48" s="93" t="s">
        <v>1234</v>
      </c>
      <c r="D48" s="72" t="str">
        <f>_xlfn.CONCAT(_xlfn.XLOOKUP("[S10_InstallationsInfringementPenalties]["&amp;ROW(B48)-ROW($B$20)&amp;"][InfringementOther]",Submission!$O:$O,Submission!$H:$N,""))</f>
        <v/>
      </c>
      <c r="E48" s="105" t="str">
        <f>_xlfn.CONCAT(_xlfn.XLOOKUP("[S10_InstallationsInfringementPenalties]["&amp;ROW(B48)-ROW($B$20)&amp;"][MinFine]",Submission!$O:$O,Submission!$H:$N,""))</f>
        <v/>
      </c>
      <c r="F48" s="105" t="str">
        <f>_xlfn.CONCAT(_xlfn.XLOOKUP("[S10_InstallationsInfringementPenalties]["&amp;ROW(B48)-ROW($B$20)&amp;"][MaxFine]",Submission!$O:$O,Submission!$H:$N,""))</f>
        <v/>
      </c>
      <c r="G48" s="105" t="str">
        <f>_xlfn.CONCAT(_xlfn.XLOOKUP("[S10_InstallationsInfringementPenalties]["&amp;ROW(B48)-ROW($B$20)&amp;"][PrisonMin]",Submission!$O:$O,Submission!$H:$N,""))</f>
        <v/>
      </c>
      <c r="H48" s="105" t="str">
        <f>_xlfn.CONCAT(_xlfn.XLOOKUP("[S10_InstallationsInfringementPenalties]["&amp;ROW(B48)-ROW($B$20)&amp;"][PrisonMax]",Submission!$O:$O,Submission!$H:$N,""))</f>
        <v/>
      </c>
      <c r="I48" s="72" t="str">
        <f>_xlfn.CONCAT(_xlfn.XLOOKUP("[S10_InstallationsInfringementPenalties]["&amp;ROW(B48)-ROW($B$20)&amp;"][OtherPenalty]",Submission!$O:$O,Submission!$H:$N,""))</f>
        <v/>
      </c>
    </row>
    <row r="49" spans="1:9" ht="33" hidden="1" customHeight="1" outlineLevel="1" x14ac:dyDescent="0.3">
      <c r="C49" s="93" t="s">
        <v>1234</v>
      </c>
      <c r="D49" s="72" t="str">
        <f>_xlfn.CONCAT(_xlfn.XLOOKUP("[S10_InstallationsInfringementPenalties]["&amp;ROW(B49)-ROW($B$20)&amp;"][InfringementOther]",Submission!$O:$O,Submission!$H:$N,""))</f>
        <v/>
      </c>
      <c r="E49" s="105" t="str">
        <f>_xlfn.CONCAT(_xlfn.XLOOKUP("[S10_InstallationsInfringementPenalties]["&amp;ROW(B49)-ROW($B$20)&amp;"][MinFine]",Submission!$O:$O,Submission!$H:$N,""))</f>
        <v/>
      </c>
      <c r="F49" s="105" t="str">
        <f>_xlfn.CONCAT(_xlfn.XLOOKUP("[S10_InstallationsInfringementPenalties]["&amp;ROW(B49)-ROW($B$20)&amp;"][MaxFine]",Submission!$O:$O,Submission!$H:$N,""))</f>
        <v/>
      </c>
      <c r="G49" s="105" t="str">
        <f>_xlfn.CONCAT(_xlfn.XLOOKUP("[S10_InstallationsInfringementPenalties]["&amp;ROW(B49)-ROW($B$20)&amp;"][PrisonMin]",Submission!$O:$O,Submission!$H:$N,""))</f>
        <v/>
      </c>
      <c r="H49" s="105" t="str">
        <f>_xlfn.CONCAT(_xlfn.XLOOKUP("[S10_InstallationsInfringementPenalties]["&amp;ROW(B49)-ROW($B$20)&amp;"][PrisonMax]",Submission!$O:$O,Submission!$H:$N,""))</f>
        <v/>
      </c>
      <c r="I49" s="72" t="str">
        <f>_xlfn.CONCAT(_xlfn.XLOOKUP("[S10_InstallationsInfringementPenalties]["&amp;ROW(B49)-ROW($B$20)&amp;"][OtherPenalty]",Submission!$O:$O,Submission!$H:$N,""))</f>
        <v/>
      </c>
    </row>
    <row r="50" spans="1:9" ht="33" hidden="1" customHeight="1" outlineLevel="1" x14ac:dyDescent="0.3">
      <c r="C50" s="93" t="s">
        <v>1234</v>
      </c>
      <c r="D50" s="72" t="str">
        <f>_xlfn.CONCAT(_xlfn.XLOOKUP("[S10_InstallationsInfringementPenalties]["&amp;ROW(B50)-ROW($B$20)&amp;"][InfringementOther]",Submission!$O:$O,Submission!$H:$N,""))</f>
        <v/>
      </c>
      <c r="E50" s="105" t="str">
        <f>_xlfn.CONCAT(_xlfn.XLOOKUP("[S10_InstallationsInfringementPenalties]["&amp;ROW(B50)-ROW($B$20)&amp;"][MinFine]",Submission!$O:$O,Submission!$H:$N,""))</f>
        <v/>
      </c>
      <c r="F50" s="105" t="str">
        <f>_xlfn.CONCAT(_xlfn.XLOOKUP("[S10_InstallationsInfringementPenalties]["&amp;ROW(B50)-ROW($B$20)&amp;"][MaxFine]",Submission!$O:$O,Submission!$H:$N,""))</f>
        <v/>
      </c>
      <c r="G50" s="105" t="str">
        <f>_xlfn.CONCAT(_xlfn.XLOOKUP("[S10_InstallationsInfringementPenalties]["&amp;ROW(B50)-ROW($B$20)&amp;"][PrisonMin]",Submission!$O:$O,Submission!$H:$N,""))</f>
        <v/>
      </c>
      <c r="H50" s="105" t="str">
        <f>_xlfn.CONCAT(_xlfn.XLOOKUP("[S10_InstallationsInfringementPenalties]["&amp;ROW(B50)-ROW($B$20)&amp;"][PrisonMax]",Submission!$O:$O,Submission!$H:$N,""))</f>
        <v/>
      </c>
      <c r="I50" s="72" t="str">
        <f>_xlfn.CONCAT(_xlfn.XLOOKUP("[S10_InstallationsInfringementPenalties]["&amp;ROW(B50)-ROW($B$20)&amp;"][OtherPenalty]",Submission!$O:$O,Submission!$H:$N,""))</f>
        <v/>
      </c>
    </row>
    <row r="51" spans="1:9" ht="33" hidden="1" customHeight="1" outlineLevel="1" x14ac:dyDescent="0.3">
      <c r="C51" s="93" t="s">
        <v>1234</v>
      </c>
      <c r="D51" s="72" t="str">
        <f>_xlfn.CONCAT(_xlfn.XLOOKUP("[S10_InstallationsInfringementPenalties]["&amp;ROW(B51)-ROW($B$20)&amp;"][InfringementOther]",Submission!$O:$O,Submission!$H:$N,""))</f>
        <v/>
      </c>
      <c r="E51" s="105" t="str">
        <f>_xlfn.CONCAT(_xlfn.XLOOKUP("[S10_InstallationsInfringementPenalties]["&amp;ROW(B51)-ROW($B$20)&amp;"][MinFine]",Submission!$O:$O,Submission!$H:$N,""))</f>
        <v/>
      </c>
      <c r="F51" s="105" t="str">
        <f>_xlfn.CONCAT(_xlfn.XLOOKUP("[S10_InstallationsInfringementPenalties]["&amp;ROW(B51)-ROW($B$20)&amp;"][MaxFine]",Submission!$O:$O,Submission!$H:$N,""))</f>
        <v/>
      </c>
      <c r="G51" s="105" t="str">
        <f>_xlfn.CONCAT(_xlfn.XLOOKUP("[S10_InstallationsInfringementPenalties]["&amp;ROW(B51)-ROW($B$20)&amp;"][PrisonMin]",Submission!$O:$O,Submission!$H:$N,""))</f>
        <v/>
      </c>
      <c r="H51" s="105" t="str">
        <f>_xlfn.CONCAT(_xlfn.XLOOKUP("[S10_InstallationsInfringementPenalties]["&amp;ROW(B51)-ROW($B$20)&amp;"][PrisonMax]",Submission!$O:$O,Submission!$H:$N,""))</f>
        <v/>
      </c>
      <c r="I51" s="72" t="str">
        <f>_xlfn.CONCAT(_xlfn.XLOOKUP("[S10_InstallationsInfringementPenalties]["&amp;ROW(B51)-ROW($B$20)&amp;"][OtherPenalty]",Submission!$O:$O,Submission!$H:$N,""))</f>
        <v/>
      </c>
    </row>
    <row r="52" spans="1:9" ht="33" hidden="1" customHeight="1" outlineLevel="1" x14ac:dyDescent="0.3">
      <c r="C52" s="93" t="s">
        <v>1234</v>
      </c>
      <c r="D52" s="72" t="str">
        <f>_xlfn.CONCAT(_xlfn.XLOOKUP("[S10_InstallationsInfringementPenalties]["&amp;ROW(B52)-ROW($B$20)&amp;"][InfringementOther]",Submission!$O:$O,Submission!$H:$N,""))</f>
        <v/>
      </c>
      <c r="E52" s="105" t="str">
        <f>_xlfn.CONCAT(_xlfn.XLOOKUP("[S10_InstallationsInfringementPenalties]["&amp;ROW(B52)-ROW($B$20)&amp;"][MinFine]",Submission!$O:$O,Submission!$H:$N,""))</f>
        <v/>
      </c>
      <c r="F52" s="105" t="str">
        <f>_xlfn.CONCAT(_xlfn.XLOOKUP("[S10_InstallationsInfringementPenalties]["&amp;ROW(B52)-ROW($B$20)&amp;"][MaxFine]",Submission!$O:$O,Submission!$H:$N,""))</f>
        <v/>
      </c>
      <c r="G52" s="105" t="str">
        <f>_xlfn.CONCAT(_xlfn.XLOOKUP("[S10_InstallationsInfringementPenalties]["&amp;ROW(B52)-ROW($B$20)&amp;"][PrisonMin]",Submission!$O:$O,Submission!$H:$N,""))</f>
        <v/>
      </c>
      <c r="H52" s="105" t="str">
        <f>_xlfn.CONCAT(_xlfn.XLOOKUP("[S10_InstallationsInfringementPenalties]["&amp;ROW(B52)-ROW($B$20)&amp;"][PrisonMax]",Submission!$O:$O,Submission!$H:$N,""))</f>
        <v/>
      </c>
      <c r="I52" s="72" t="str">
        <f>_xlfn.CONCAT(_xlfn.XLOOKUP("[S10_InstallationsInfringementPenalties]["&amp;ROW(B52)-ROW($B$20)&amp;"][OtherPenalty]",Submission!$O:$O,Submission!$H:$N,""))</f>
        <v/>
      </c>
    </row>
    <row r="53" spans="1:9" ht="33" hidden="1" customHeight="1" outlineLevel="1" x14ac:dyDescent="0.3">
      <c r="C53" s="93" t="s">
        <v>1234</v>
      </c>
      <c r="D53" s="72" t="str">
        <f>_xlfn.CONCAT(_xlfn.XLOOKUP("[S10_InstallationsInfringementPenalties]["&amp;ROW(B53)-ROW($B$20)&amp;"][InfringementOther]",Submission!$O:$O,Submission!$H:$N,""))</f>
        <v/>
      </c>
      <c r="E53" s="105" t="str">
        <f>_xlfn.CONCAT(_xlfn.XLOOKUP("[S10_InstallationsInfringementPenalties]["&amp;ROW(B53)-ROW($B$20)&amp;"][MinFine]",Submission!$O:$O,Submission!$H:$N,""))</f>
        <v/>
      </c>
      <c r="F53" s="105" t="str">
        <f>_xlfn.CONCAT(_xlfn.XLOOKUP("[S10_InstallationsInfringementPenalties]["&amp;ROW(B53)-ROW($B$20)&amp;"][MaxFine]",Submission!$O:$O,Submission!$H:$N,""))</f>
        <v/>
      </c>
      <c r="G53" s="105" t="str">
        <f>_xlfn.CONCAT(_xlfn.XLOOKUP("[S10_InstallationsInfringementPenalties]["&amp;ROW(B53)-ROW($B$20)&amp;"][PrisonMin]",Submission!$O:$O,Submission!$H:$N,""))</f>
        <v/>
      </c>
      <c r="H53" s="105" t="str">
        <f>_xlfn.CONCAT(_xlfn.XLOOKUP("[S10_InstallationsInfringementPenalties]["&amp;ROW(B53)-ROW($B$20)&amp;"][PrisonMax]",Submission!$O:$O,Submission!$H:$N,""))</f>
        <v/>
      </c>
      <c r="I53" s="72" t="str">
        <f>_xlfn.CONCAT(_xlfn.XLOOKUP("[S10_InstallationsInfringementPenalties]["&amp;ROW(B53)-ROW($B$20)&amp;"][OtherPenalty]",Submission!$O:$O,Submission!$H:$N,""))</f>
        <v/>
      </c>
    </row>
    <row r="54" spans="1:9" ht="33" hidden="1" customHeight="1" outlineLevel="1" x14ac:dyDescent="0.3">
      <c r="C54" s="93" t="s">
        <v>1234</v>
      </c>
      <c r="D54" s="72" t="str">
        <f>_xlfn.CONCAT(_xlfn.XLOOKUP("[S10_InstallationsInfringementPenalties]["&amp;ROW(B54)-ROW($B$20)&amp;"][InfringementOther]",Submission!$O:$O,Submission!$H:$N,""))</f>
        <v/>
      </c>
      <c r="E54" s="105" t="str">
        <f>_xlfn.CONCAT(_xlfn.XLOOKUP("[S10_InstallationsInfringementPenalties]["&amp;ROW(B54)-ROW($B$20)&amp;"][MinFine]",Submission!$O:$O,Submission!$H:$N,""))</f>
        <v/>
      </c>
      <c r="F54" s="105" t="str">
        <f>_xlfn.CONCAT(_xlfn.XLOOKUP("[S10_InstallationsInfringementPenalties]["&amp;ROW(B54)-ROW($B$20)&amp;"][MaxFine]",Submission!$O:$O,Submission!$H:$N,""))</f>
        <v/>
      </c>
      <c r="G54" s="105" t="str">
        <f>_xlfn.CONCAT(_xlfn.XLOOKUP("[S10_InstallationsInfringementPenalties]["&amp;ROW(B54)-ROW($B$20)&amp;"][PrisonMin]",Submission!$O:$O,Submission!$H:$N,""))</f>
        <v/>
      </c>
      <c r="H54" s="105" t="str">
        <f>_xlfn.CONCAT(_xlfn.XLOOKUP("[S10_InstallationsInfringementPenalties]["&amp;ROW(B54)-ROW($B$20)&amp;"][PrisonMax]",Submission!$O:$O,Submission!$H:$N,""))</f>
        <v/>
      </c>
      <c r="I54" s="72" t="str">
        <f>_xlfn.CONCAT(_xlfn.XLOOKUP("[S10_InstallationsInfringementPenalties]["&amp;ROW(B54)-ROW($B$20)&amp;"][OtherPenalty]",Submission!$O:$O,Submission!$H:$N,""))</f>
        <v/>
      </c>
    </row>
    <row r="55" spans="1:9" ht="33" hidden="1" customHeight="1" outlineLevel="1" x14ac:dyDescent="0.3">
      <c r="C55" s="93" t="s">
        <v>1234</v>
      </c>
      <c r="D55" s="72" t="str">
        <f>_xlfn.CONCAT(_xlfn.XLOOKUP("[S10_InstallationsInfringementPenalties]["&amp;ROW(B55)-ROW($B$20)&amp;"][InfringementOther]",Submission!$O:$O,Submission!$H:$N,""))</f>
        <v/>
      </c>
      <c r="E55" s="105" t="str">
        <f>_xlfn.CONCAT(_xlfn.XLOOKUP("[S10_InstallationsInfringementPenalties]["&amp;ROW(B55)-ROW($B$20)&amp;"][MinFine]",Submission!$O:$O,Submission!$H:$N,""))</f>
        <v/>
      </c>
      <c r="F55" s="105" t="str">
        <f>_xlfn.CONCAT(_xlfn.XLOOKUP("[S10_InstallationsInfringementPenalties]["&amp;ROW(B55)-ROW($B$20)&amp;"][MaxFine]",Submission!$O:$O,Submission!$H:$N,""))</f>
        <v/>
      </c>
      <c r="G55" s="105" t="str">
        <f>_xlfn.CONCAT(_xlfn.XLOOKUP("[S10_InstallationsInfringementPenalties]["&amp;ROW(B55)-ROW($B$20)&amp;"][PrisonMin]",Submission!$O:$O,Submission!$H:$N,""))</f>
        <v/>
      </c>
      <c r="H55" s="105" t="str">
        <f>_xlfn.CONCAT(_xlfn.XLOOKUP("[S10_InstallationsInfringementPenalties]["&amp;ROW(B55)-ROW($B$20)&amp;"][PrisonMax]",Submission!$O:$O,Submission!$H:$N,""))</f>
        <v/>
      </c>
      <c r="I55" s="72" t="str">
        <f>_xlfn.CONCAT(_xlfn.XLOOKUP("[S10_InstallationsInfringementPenalties]["&amp;ROW(B55)-ROW($B$20)&amp;"][OtherPenalty]",Submission!$O:$O,Submission!$H:$N,""))</f>
        <v/>
      </c>
    </row>
    <row r="56" spans="1:9" ht="33" hidden="1" customHeight="1" outlineLevel="1" x14ac:dyDescent="0.3">
      <c r="C56" s="93" t="s">
        <v>1234</v>
      </c>
      <c r="D56" s="72" t="str">
        <f>_xlfn.CONCAT(_xlfn.XLOOKUP("[S10_InstallationsInfringementPenalties]["&amp;ROW(B56)-ROW($B$20)&amp;"][InfringementOther]",Submission!$O:$O,Submission!$H:$N,""))</f>
        <v/>
      </c>
      <c r="E56" s="105" t="str">
        <f>_xlfn.CONCAT(_xlfn.XLOOKUP("[S10_InstallationsInfringementPenalties]["&amp;ROW(B56)-ROW($B$20)&amp;"][MinFine]",Submission!$O:$O,Submission!$H:$N,""))</f>
        <v/>
      </c>
      <c r="F56" s="105" t="str">
        <f>_xlfn.CONCAT(_xlfn.XLOOKUP("[S10_InstallationsInfringementPenalties]["&amp;ROW(B56)-ROW($B$20)&amp;"][MaxFine]",Submission!$O:$O,Submission!$H:$N,""))</f>
        <v/>
      </c>
      <c r="G56" s="105" t="str">
        <f>_xlfn.CONCAT(_xlfn.XLOOKUP("[S10_InstallationsInfringementPenalties]["&amp;ROW(B56)-ROW($B$20)&amp;"][PrisonMin]",Submission!$O:$O,Submission!$H:$N,""))</f>
        <v/>
      </c>
      <c r="H56" s="105" t="str">
        <f>_xlfn.CONCAT(_xlfn.XLOOKUP("[S10_InstallationsInfringementPenalties]["&amp;ROW(B56)-ROW($B$20)&amp;"][PrisonMax]",Submission!$O:$O,Submission!$H:$N,""))</f>
        <v/>
      </c>
      <c r="I56" s="72" t="str">
        <f>_xlfn.CONCAT(_xlfn.XLOOKUP("[S10_InstallationsInfringementPenalties]["&amp;ROW(B56)-ROW($B$20)&amp;"][OtherPenalty]",Submission!$O:$O,Submission!$H:$N,""))</f>
        <v/>
      </c>
    </row>
    <row r="57" spans="1:9" ht="15.9" customHeight="1" collapsed="1" x14ac:dyDescent="0.3">
      <c r="B57" s="26" t="s">
        <v>1000</v>
      </c>
      <c r="C57" s="14"/>
      <c r="D57" s="14"/>
      <c r="E57" s="14"/>
      <c r="F57" s="14"/>
      <c r="G57" s="14"/>
      <c r="H57" s="14"/>
      <c r="I57" s="14"/>
    </row>
    <row r="58" spans="1:9" ht="15.9" customHeight="1" x14ac:dyDescent="0.3">
      <c r="B58" s="16"/>
      <c r="C58" s="14"/>
      <c r="D58" s="14"/>
      <c r="E58" s="14"/>
      <c r="F58" s="14"/>
      <c r="G58" s="14"/>
      <c r="H58" s="14"/>
      <c r="I58" s="14"/>
    </row>
    <row r="59" spans="1:9" ht="15.9" customHeight="1" x14ac:dyDescent="0.3">
      <c r="B59" s="293" t="s">
        <v>1298</v>
      </c>
      <c r="C59" s="294"/>
      <c r="D59" s="294"/>
      <c r="E59" s="294"/>
      <c r="F59" s="294"/>
      <c r="G59" s="294"/>
      <c r="H59" s="294"/>
      <c r="I59" s="294"/>
    </row>
    <row r="60" spans="1:9" ht="15.9" customHeight="1" x14ac:dyDescent="0.3">
      <c r="B60" s="18"/>
      <c r="C60" s="552" t="str">
        <f>_xlfn.CONCAT(_xlfn.XLOOKUP("[InstallationsNationalLaw][0][InstallationsNationalLaw]",Submission!$O:$O,Submission!$H:$N,""))</f>
        <v>Zakon o klimatskim promjenama i zaštiti ozonskog sloja - („Narodne novine“ broj 127/19) -  Law on Climate Change and Protection of the Ozone Layer (OG 127/2019)</v>
      </c>
      <c r="D60" s="552"/>
      <c r="E60" s="552"/>
      <c r="F60" s="552"/>
      <c r="G60" s="552"/>
      <c r="H60" s="552"/>
      <c r="I60" s="552"/>
    </row>
    <row r="61" spans="1:9" ht="15.9" customHeight="1" x14ac:dyDescent="0.3"/>
    <row r="62" spans="1:9" ht="32.1" customHeight="1" x14ac:dyDescent="0.3">
      <c r="A62" s="12" t="s">
        <v>579</v>
      </c>
      <c r="B62" s="293" t="s">
        <v>1238</v>
      </c>
      <c r="C62" s="294"/>
      <c r="D62" s="294"/>
      <c r="E62" s="294"/>
      <c r="F62" s="294"/>
      <c r="G62" s="294"/>
      <c r="H62" s="294"/>
      <c r="I62" s="294"/>
    </row>
    <row r="63" spans="1:9" ht="15.9" customHeight="1" x14ac:dyDescent="0.3">
      <c r="A63" s="13"/>
      <c r="C63" s="551" t="s">
        <v>1299</v>
      </c>
      <c r="D63" s="551"/>
      <c r="E63" s="551"/>
      <c r="F63" s="551"/>
      <c r="G63" s="551"/>
      <c r="H63" s="551"/>
      <c r="I63" s="551"/>
    </row>
    <row r="64" spans="1:9" ht="25.5" customHeight="1" x14ac:dyDescent="0.3">
      <c r="A64" s="13"/>
      <c r="C64" s="547" t="s">
        <v>1224</v>
      </c>
      <c r="D64" s="548"/>
      <c r="E64" s="315" t="s">
        <v>1240</v>
      </c>
      <c r="F64" s="379"/>
      <c r="G64" s="336"/>
      <c r="H64" s="525" t="s">
        <v>1300</v>
      </c>
      <c r="I64" s="525" t="s">
        <v>1242</v>
      </c>
    </row>
    <row r="65" spans="1:9" ht="31.2" customHeight="1" x14ac:dyDescent="0.3">
      <c r="A65" s="13"/>
      <c r="C65" s="549"/>
      <c r="D65" s="550"/>
      <c r="E65" s="46" t="s">
        <v>1225</v>
      </c>
      <c r="F65" s="46" t="s">
        <v>1226</v>
      </c>
      <c r="G65" s="46" t="s">
        <v>1227</v>
      </c>
      <c r="H65" s="526"/>
      <c r="I65" s="526"/>
    </row>
    <row r="66" spans="1:9" ht="41.4" customHeight="1" x14ac:dyDescent="0.3">
      <c r="A66" s="13"/>
      <c r="C66" s="284" t="str">
        <f>_xlfn.CONCAT(_xlfn.XLOOKUP("[S10_InstallationsPenaltiesImposed][1][InfringementType]",Submission!$O:$O,Submission!$H:$N,""))</f>
        <v/>
      </c>
      <c r="D66" s="285"/>
      <c r="E66" s="105" t="str">
        <f>_xlfn.CONCAT(_xlfn.XLOOKUP("[S10_InstallationsPenaltiesImposed][1][ActualFines]",Submission!$O:$O,Submission!$H:$N,""))</f>
        <v/>
      </c>
      <c r="F66" s="105" t="str">
        <f>_xlfn.CONCAT(_xlfn.XLOOKUP("[S10_InstallationsPenaltiesImposed][1][ActualImprisonment]",Submission!$O:$O,Submission!$H:$N,""))</f>
        <v/>
      </c>
      <c r="G66" s="92" t="str">
        <f>_xlfn.CONCAT(_xlfn.XLOOKUP("[S10_InstallationsPenaltiesImposed][1][ACtualOtherPenalties]",Submission!$O:$O,Submission!$H:$N,""))</f>
        <v/>
      </c>
      <c r="H66" s="63" t="str">
        <f>_xlfn.CONCAT(_xlfn.XLOOKUP("[S10_InstallationsPenaltiesImposed][1][OngoingProceedings]",Submission!$O:$O,Submission!$H:$N,""))</f>
        <v/>
      </c>
      <c r="I66" s="89" t="str">
        <f>_xlfn.CONCAT(_xlfn.XLOOKUP("[S10_InstallationsPenaltiesImposed][1][PenaltyEnforcedWithinPeriod]",Submission!$O:$O,Submission!$H:$N,""))</f>
        <v/>
      </c>
    </row>
    <row r="67" spans="1:9" ht="41.4" customHeight="1" x14ac:dyDescent="0.3">
      <c r="A67" s="13"/>
      <c r="C67" s="284" t="str">
        <f>_xlfn.CONCAT(_xlfn.XLOOKUP("[S10_InstallationsPenaltiesImposed][2][InfringementType]",Submission!$O:$O,Submission!$H:$N,""))</f>
        <v/>
      </c>
      <c r="D67" s="285"/>
      <c r="E67" s="105" t="str">
        <f>_xlfn.CONCAT(_xlfn.XLOOKUP("[S10_InstallationsPenaltiesImposed][2][ActualFines]",Submission!$O:$O,Submission!$H:$N,""))</f>
        <v/>
      </c>
      <c r="F67" s="105" t="str">
        <f>_xlfn.CONCAT(_xlfn.XLOOKUP("[S10_InstallationsPenaltiesImposed][2][ActualImprisonment]",Submission!$O:$O,Submission!$H:$N,""))</f>
        <v/>
      </c>
      <c r="G67" s="92" t="str">
        <f>_xlfn.CONCAT(_xlfn.XLOOKUP("[S10_InstallationsPenaltiesImposed][2][ACtualOtherPenalties]",Submission!$O:$O,Submission!$H:$N,""))</f>
        <v/>
      </c>
      <c r="H67" s="63" t="str">
        <f>_xlfn.CONCAT(_xlfn.XLOOKUP("[S10_InstallationsPenaltiesImposed][2][OngoingProceedings]",Submission!$O:$O,Submission!$H:$N,""))</f>
        <v/>
      </c>
      <c r="I67" s="89" t="str">
        <f>_xlfn.CONCAT(_xlfn.XLOOKUP("[S10_InstallationsPenaltiesImposed][2][PenaltyEnforcedWithinPeriod]",Submission!$O:$O,Submission!$H:$N,""))</f>
        <v/>
      </c>
    </row>
    <row r="68" spans="1:9" ht="41.4" customHeight="1" x14ac:dyDescent="0.3">
      <c r="A68" s="13"/>
      <c r="C68" s="284" t="str">
        <f>_xlfn.CONCAT(_xlfn.XLOOKUP("[S10_InstallationsPenaltiesImposed][3][InfringementType]",Submission!$O:$O,Submission!$H:$N,""))</f>
        <v/>
      </c>
      <c r="D68" s="285"/>
      <c r="E68" s="105" t="str">
        <f>_xlfn.CONCAT(_xlfn.XLOOKUP("[S10_InstallationsPenaltiesImposed][3][ActualFines]",Submission!$O:$O,Submission!$H:$N,""))</f>
        <v/>
      </c>
      <c r="F68" s="105" t="str">
        <f>_xlfn.CONCAT(_xlfn.XLOOKUP("[S10_InstallationsPenaltiesImposed][3][ActualImprisonment]",Submission!$O:$O,Submission!$H:$N,""))</f>
        <v/>
      </c>
      <c r="G68" s="92" t="str">
        <f>_xlfn.CONCAT(_xlfn.XLOOKUP("[S10_InstallationsPenaltiesImposed][3][ACtualOtherPenalties]",Submission!$O:$O,Submission!$H:$N,""))</f>
        <v/>
      </c>
      <c r="H68" s="63" t="str">
        <f>_xlfn.CONCAT(_xlfn.XLOOKUP("[S10_InstallationsPenaltiesImposed][3][OngoingProceedings]",Submission!$O:$O,Submission!$H:$N,""))</f>
        <v/>
      </c>
      <c r="I68" s="89" t="str">
        <f>_xlfn.CONCAT(_xlfn.XLOOKUP("[S10_InstallationsPenaltiesImposed][3][PenaltyEnforcedWithinPeriod]",Submission!$O:$O,Submission!$H:$N,""))</f>
        <v/>
      </c>
    </row>
    <row r="69" spans="1:9" ht="41.4" customHeight="1" x14ac:dyDescent="0.3">
      <c r="A69" s="13"/>
      <c r="C69" s="284" t="str">
        <f>_xlfn.CONCAT(_xlfn.XLOOKUP("[S10_InstallationsPenaltiesImposed][4][InfringementType]",Submission!$O:$O,Submission!$H:$N,""))</f>
        <v/>
      </c>
      <c r="D69" s="285"/>
      <c r="E69" s="105" t="str">
        <f>_xlfn.CONCAT(_xlfn.XLOOKUP("[S10_InstallationsPenaltiesImposed][4][ActualFines]",Submission!$O:$O,Submission!$H:$N,""))</f>
        <v/>
      </c>
      <c r="F69" s="105" t="str">
        <f>_xlfn.CONCAT(_xlfn.XLOOKUP("[S10_InstallationsPenaltiesImposed][4][ActualImprisonment]",Submission!$O:$O,Submission!$H:$N,""))</f>
        <v/>
      </c>
      <c r="G69" s="92" t="str">
        <f>_xlfn.CONCAT(_xlfn.XLOOKUP("[S10_InstallationsPenaltiesImposed][4][ACtualOtherPenalties]",Submission!$O:$O,Submission!$H:$N,""))</f>
        <v/>
      </c>
      <c r="H69" s="63" t="str">
        <f>_xlfn.CONCAT(_xlfn.XLOOKUP("[S10_InstallationsPenaltiesImposed][4][OngoingProceedings]",Submission!$O:$O,Submission!$H:$N,""))</f>
        <v/>
      </c>
      <c r="I69" s="89" t="str">
        <f>_xlfn.CONCAT(_xlfn.XLOOKUP("[S10_InstallationsPenaltiesImposed][4][PenaltyEnforcedWithinPeriod]",Submission!$O:$O,Submission!$H:$N,""))</f>
        <v/>
      </c>
    </row>
    <row r="70" spans="1:9" ht="41.4" customHeight="1" x14ac:dyDescent="0.3">
      <c r="A70" s="13"/>
      <c r="C70" s="284" t="str">
        <f>_xlfn.CONCAT(_xlfn.XLOOKUP("[S10_InstallationsPenaltiesImposed][5][InfringementType]",Submission!$O:$O,Submission!$H:$N,""))</f>
        <v/>
      </c>
      <c r="D70" s="285"/>
      <c r="E70" s="105" t="str">
        <f>_xlfn.CONCAT(_xlfn.XLOOKUP("[S10_InstallationsPenaltiesImposed][5][ActualFines]",Submission!$O:$O,Submission!$H:$N,""))</f>
        <v/>
      </c>
      <c r="F70" s="105" t="str">
        <f>_xlfn.CONCAT(_xlfn.XLOOKUP("[S10_InstallationsPenaltiesImposed][5][ActualImprisonment]",Submission!$O:$O,Submission!$H:$N,""))</f>
        <v/>
      </c>
      <c r="G70" s="92" t="str">
        <f>_xlfn.CONCAT(_xlfn.XLOOKUP("[S10_InstallationsPenaltiesImposed][5][ACtualOtherPenalties]",Submission!$O:$O,Submission!$H:$N,""))</f>
        <v/>
      </c>
      <c r="H70" s="63" t="str">
        <f>_xlfn.CONCAT(_xlfn.XLOOKUP("[S10_InstallationsPenaltiesImposed][5][OngoingProceedings]",Submission!$O:$O,Submission!$H:$N,""))</f>
        <v/>
      </c>
      <c r="I70" s="89" t="str">
        <f>_xlfn.CONCAT(_xlfn.XLOOKUP("[S10_InstallationsPenaltiesImposed][5][PenaltyEnforcedWithinPeriod]",Submission!$O:$O,Submission!$H:$N,""))</f>
        <v/>
      </c>
    </row>
    <row r="71" spans="1:9" ht="41.4" hidden="1" customHeight="1" outlineLevel="1" x14ac:dyDescent="0.3">
      <c r="A71" s="13"/>
      <c r="C71" s="284" t="str">
        <f>_xlfn.CONCAT(_xlfn.XLOOKUP("[S10_InstallationsPenaltiesImposed][6][InfringementType]",Submission!$O:$O,Submission!$H:$N,""))</f>
        <v/>
      </c>
      <c r="D71" s="285"/>
      <c r="E71" s="105" t="str">
        <f>_xlfn.CONCAT(_xlfn.XLOOKUP("[S10_InstallationsPenaltiesImposed][6][ActualFines]",Submission!$O:$O,Submission!$H:$N,""))</f>
        <v/>
      </c>
      <c r="F71" s="105" t="str">
        <f>_xlfn.CONCAT(_xlfn.XLOOKUP("[S10_InstallationsPenaltiesImposed][6][ActualImprisonment]",Submission!$O:$O,Submission!$H:$N,""))</f>
        <v/>
      </c>
      <c r="G71" s="92" t="str">
        <f>_xlfn.CONCAT(_xlfn.XLOOKUP("[S10_InstallationsPenaltiesImposed][6][ACtualOtherPenalties]",Submission!$O:$O,Submission!$H:$N,""))</f>
        <v/>
      </c>
      <c r="H71" s="63" t="str">
        <f>_xlfn.CONCAT(_xlfn.XLOOKUP("[S10_InstallationsPenaltiesImposed][6][OngoingProceedings]",Submission!$O:$O,Submission!$H:$N,""))</f>
        <v/>
      </c>
      <c r="I71" s="89" t="str">
        <f>_xlfn.CONCAT(_xlfn.XLOOKUP("[S10_InstallationsPenaltiesImposed][6][PenaltyEnforcedWithinPeriod]",Submission!$O:$O,Submission!$H:$N,""))</f>
        <v/>
      </c>
    </row>
    <row r="72" spans="1:9" ht="41.4" hidden="1" customHeight="1" outlineLevel="1" x14ac:dyDescent="0.3">
      <c r="A72" s="13"/>
      <c r="C72" s="284" t="str">
        <f>_xlfn.CONCAT(_xlfn.XLOOKUP("[S10_InstallationsPenaltiesImposed][7][InfringementType]",Submission!$O:$O,Submission!$H:$N,""))</f>
        <v/>
      </c>
      <c r="D72" s="285"/>
      <c r="E72" s="105" t="str">
        <f>_xlfn.CONCAT(_xlfn.XLOOKUP("[S10_InstallationsPenaltiesImposed][7][ActualFines]",Submission!$O:$O,Submission!$H:$N,""))</f>
        <v/>
      </c>
      <c r="F72" s="105" t="str">
        <f>_xlfn.CONCAT(_xlfn.XLOOKUP("[S10_InstallationsPenaltiesImposed][7][ActualImprisonment]",Submission!$O:$O,Submission!$H:$N,""))</f>
        <v/>
      </c>
      <c r="G72" s="92" t="str">
        <f>_xlfn.CONCAT(_xlfn.XLOOKUP("[S10_InstallationsPenaltiesImposed][7][ACtualOtherPenalties]",Submission!$O:$O,Submission!$H:$N,""))</f>
        <v/>
      </c>
      <c r="H72" s="63" t="str">
        <f>_xlfn.CONCAT(_xlfn.XLOOKUP("[S10_InstallationsPenaltiesImposed][7][OngoingProceedings]",Submission!$O:$O,Submission!$H:$N,""))</f>
        <v/>
      </c>
      <c r="I72" s="89" t="str">
        <f>_xlfn.CONCAT(_xlfn.XLOOKUP("[S10_InstallationsPenaltiesImposed][7][PenaltyEnforcedWithinPeriod]",Submission!$O:$O,Submission!$H:$N,""))</f>
        <v/>
      </c>
    </row>
    <row r="73" spans="1:9" ht="41.4" hidden="1" customHeight="1" outlineLevel="1" x14ac:dyDescent="0.3">
      <c r="A73" s="13"/>
      <c r="C73" s="284" t="str">
        <f>_xlfn.CONCAT(_xlfn.XLOOKUP("[S10_InstallationsPenaltiesImposed][8][InfringementType]",Submission!$O:$O,Submission!$H:$N,""))</f>
        <v/>
      </c>
      <c r="D73" s="285"/>
      <c r="E73" s="105" t="str">
        <f>_xlfn.CONCAT(_xlfn.XLOOKUP("[S10_InstallationsPenaltiesImposed][8][ActualFines]",Submission!$O:$O,Submission!$H:$N,""))</f>
        <v/>
      </c>
      <c r="F73" s="105" t="str">
        <f>_xlfn.CONCAT(_xlfn.XLOOKUP("[S10_InstallationsPenaltiesImposed][8][ActualImprisonment]",Submission!$O:$O,Submission!$H:$N,""))</f>
        <v/>
      </c>
      <c r="G73" s="92" t="str">
        <f>_xlfn.CONCAT(_xlfn.XLOOKUP("[S10_InstallationsPenaltiesImposed][8][ACtualOtherPenalties]",Submission!$O:$O,Submission!$H:$N,""))</f>
        <v/>
      </c>
      <c r="H73" s="63" t="str">
        <f>_xlfn.CONCAT(_xlfn.XLOOKUP("[S10_InstallationsPenaltiesImposed][8][OngoingProceedings]",Submission!$O:$O,Submission!$H:$N,""))</f>
        <v/>
      </c>
      <c r="I73" s="89" t="str">
        <f>_xlfn.CONCAT(_xlfn.XLOOKUP("[S10_InstallationsPenaltiesImposed][8][PenaltyEnforcedWithinPeriod]",Submission!$O:$O,Submission!$H:$N,""))</f>
        <v/>
      </c>
    </row>
    <row r="74" spans="1:9" ht="41.4" hidden="1" customHeight="1" outlineLevel="1" x14ac:dyDescent="0.3">
      <c r="A74" s="13"/>
      <c r="C74" s="284" t="str">
        <f>_xlfn.CONCAT(_xlfn.XLOOKUP("[S10_InstallationsPenaltiesImposed][9][InfringementType]",Submission!$O:$O,Submission!$H:$N,""))</f>
        <v/>
      </c>
      <c r="D74" s="285"/>
      <c r="E74" s="105" t="str">
        <f>_xlfn.CONCAT(_xlfn.XLOOKUP("[S10_InstallationsPenaltiesImposed][9][ActualFines]",Submission!$O:$O,Submission!$H:$N,""))</f>
        <v/>
      </c>
      <c r="F74" s="105" t="str">
        <f>_xlfn.CONCAT(_xlfn.XLOOKUP("[S10_InstallationsPenaltiesImposed][9][ActualImprisonment]",Submission!$O:$O,Submission!$H:$N,""))</f>
        <v/>
      </c>
      <c r="G74" s="92" t="str">
        <f>_xlfn.CONCAT(_xlfn.XLOOKUP("[S10_InstallationsPenaltiesImposed][9][ACtualOtherPenalties]",Submission!$O:$O,Submission!$H:$N,""))</f>
        <v/>
      </c>
      <c r="H74" s="63" t="str">
        <f>_xlfn.CONCAT(_xlfn.XLOOKUP("[S10_InstallationsPenaltiesImposed][9][OngoingProceedings]",Submission!$O:$O,Submission!$H:$N,""))</f>
        <v/>
      </c>
      <c r="I74" s="89" t="str">
        <f>_xlfn.CONCAT(_xlfn.XLOOKUP("[S10_InstallationsPenaltiesImposed][9][PenaltyEnforcedWithinPeriod]",Submission!$O:$O,Submission!$H:$N,""))</f>
        <v/>
      </c>
    </row>
    <row r="75" spans="1:9" ht="41.4" hidden="1" customHeight="1" outlineLevel="1" x14ac:dyDescent="0.3">
      <c r="A75" s="13"/>
      <c r="C75" s="284" t="str">
        <f>_xlfn.CONCAT(_xlfn.XLOOKUP("[S10_InstallationsPenaltiesImposed][10][InfringementType]",Submission!$O:$O,Submission!$H:$N,""))</f>
        <v/>
      </c>
      <c r="D75" s="285"/>
      <c r="E75" s="105" t="str">
        <f>_xlfn.CONCAT(_xlfn.XLOOKUP("[S10_InstallationsPenaltiesImposed][10][ActualFines]",Submission!$O:$O,Submission!$H:$N,""))</f>
        <v/>
      </c>
      <c r="F75" s="105" t="str">
        <f>_xlfn.CONCAT(_xlfn.XLOOKUP("[S10_InstallationsPenaltiesImposed][10][ActualImprisonment]",Submission!$O:$O,Submission!$H:$N,""))</f>
        <v/>
      </c>
      <c r="G75" s="92" t="str">
        <f>_xlfn.CONCAT(_xlfn.XLOOKUP("[S10_InstallationsPenaltiesImposed][10][ACtualOtherPenalties]",Submission!$O:$O,Submission!$H:$N,""))</f>
        <v/>
      </c>
      <c r="H75" s="63" t="str">
        <f>_xlfn.CONCAT(_xlfn.XLOOKUP("[S10_InstallationsPenaltiesImposed][10][OngoingProceedings]",Submission!$O:$O,Submission!$H:$N,""))</f>
        <v/>
      </c>
      <c r="I75" s="89" t="str">
        <f>_xlfn.CONCAT(_xlfn.XLOOKUP("[S10_InstallationsPenaltiesImposed][10][PenaltyEnforcedWithinPeriod]",Submission!$O:$O,Submission!$H:$N,""))</f>
        <v/>
      </c>
    </row>
    <row r="76" spans="1:9" ht="41.4" hidden="1" customHeight="1" outlineLevel="1" x14ac:dyDescent="0.3">
      <c r="A76" s="13"/>
      <c r="C76" s="284" t="str">
        <f>_xlfn.CONCAT(_xlfn.XLOOKUP("[S10_InstallationsPenaltiesImposed][11][InfringementType]",Submission!$O:$O,Submission!$H:$N,""))</f>
        <v/>
      </c>
      <c r="D76" s="285"/>
      <c r="E76" s="105" t="str">
        <f>_xlfn.CONCAT(_xlfn.XLOOKUP("[S10_InstallationsPenaltiesImposed][11][ActualFines]",Submission!$O:$O,Submission!$H:$N,""))</f>
        <v/>
      </c>
      <c r="F76" s="105" t="str">
        <f>_xlfn.CONCAT(_xlfn.XLOOKUP("[S10_InstallationsPenaltiesImposed][11][ActualImprisonment]",Submission!$O:$O,Submission!$H:$N,""))</f>
        <v/>
      </c>
      <c r="G76" s="92" t="str">
        <f>_xlfn.CONCAT(_xlfn.XLOOKUP("[S10_InstallationsPenaltiesImposed][11][ACtualOtherPenalties]",Submission!$O:$O,Submission!$H:$N,""))</f>
        <v/>
      </c>
      <c r="H76" s="63" t="str">
        <f>_xlfn.CONCAT(_xlfn.XLOOKUP("[S10_InstallationsPenaltiesImposed][11][OngoingProceedings]",Submission!$O:$O,Submission!$H:$N,""))</f>
        <v/>
      </c>
      <c r="I76" s="89" t="str">
        <f>_xlfn.CONCAT(_xlfn.XLOOKUP("[S10_InstallationsPenaltiesImposed][11][PenaltyEnforcedWithinPeriod]",Submission!$O:$O,Submission!$H:$N,""))</f>
        <v/>
      </c>
    </row>
    <row r="77" spans="1:9" ht="41.4" hidden="1" customHeight="1" outlineLevel="1" x14ac:dyDescent="0.3">
      <c r="A77" s="13"/>
      <c r="C77" s="284" t="str">
        <f>_xlfn.CONCAT(_xlfn.XLOOKUP("[S10_InstallationsPenaltiesImposed][12][InfringementType]",Submission!$O:$O,Submission!$H:$N,""))</f>
        <v/>
      </c>
      <c r="D77" s="285"/>
      <c r="E77" s="105" t="str">
        <f>_xlfn.CONCAT(_xlfn.XLOOKUP("[S10_InstallationsPenaltiesImposed][12][ActualFines]",Submission!$O:$O,Submission!$H:$N,""))</f>
        <v/>
      </c>
      <c r="F77" s="105" t="str">
        <f>_xlfn.CONCAT(_xlfn.XLOOKUP("[S10_InstallationsPenaltiesImposed][12][ActualImprisonment]",Submission!$O:$O,Submission!$H:$N,""))</f>
        <v/>
      </c>
      <c r="G77" s="92" t="str">
        <f>_xlfn.CONCAT(_xlfn.XLOOKUP("[S10_InstallationsPenaltiesImposed][12][ACtualOtherPenalties]",Submission!$O:$O,Submission!$H:$N,""))</f>
        <v/>
      </c>
      <c r="H77" s="63" t="str">
        <f>_xlfn.CONCAT(_xlfn.XLOOKUP("[S10_InstallationsPenaltiesImposed][12][OngoingProceedings]",Submission!$O:$O,Submission!$H:$N,""))</f>
        <v/>
      </c>
      <c r="I77" s="89" t="str">
        <f>_xlfn.CONCAT(_xlfn.XLOOKUP("[S10_InstallationsPenaltiesImposed][12][PenaltyEnforcedWithinPeriod]",Submission!$O:$O,Submission!$H:$N,""))</f>
        <v/>
      </c>
    </row>
    <row r="78" spans="1:9" ht="41.4" hidden="1" customHeight="1" outlineLevel="1" x14ac:dyDescent="0.3">
      <c r="A78" s="13"/>
      <c r="C78" s="284" t="str">
        <f>_xlfn.CONCAT(_xlfn.XLOOKUP("[S10_InstallationsPenaltiesImposed][13][InfringementType]",Submission!$O:$O,Submission!$H:$N,""))</f>
        <v/>
      </c>
      <c r="D78" s="285"/>
      <c r="E78" s="105" t="str">
        <f>_xlfn.CONCAT(_xlfn.XLOOKUP("[S10_InstallationsPenaltiesImposed][13][ActualFines]",Submission!$O:$O,Submission!$H:$N,""))</f>
        <v/>
      </c>
      <c r="F78" s="105" t="str">
        <f>_xlfn.CONCAT(_xlfn.XLOOKUP("[S10_InstallationsPenaltiesImposed][13][ActualImprisonment]",Submission!$O:$O,Submission!$H:$N,""))</f>
        <v/>
      </c>
      <c r="G78" s="92" t="str">
        <f>_xlfn.CONCAT(_xlfn.XLOOKUP("[S10_InstallationsPenaltiesImposed][13][ACtualOtherPenalties]",Submission!$O:$O,Submission!$H:$N,""))</f>
        <v/>
      </c>
      <c r="H78" s="63" t="str">
        <f>_xlfn.CONCAT(_xlfn.XLOOKUP("[S10_InstallationsPenaltiesImposed][13][OngoingProceedings]",Submission!$O:$O,Submission!$H:$N,""))</f>
        <v/>
      </c>
      <c r="I78" s="89" t="str">
        <f>_xlfn.CONCAT(_xlfn.XLOOKUP("[S10_InstallationsPenaltiesImposed][13][PenaltyEnforcedWithinPeriod]",Submission!$O:$O,Submission!$H:$N,""))</f>
        <v/>
      </c>
    </row>
    <row r="79" spans="1:9" ht="41.4" hidden="1" customHeight="1" outlineLevel="1" x14ac:dyDescent="0.3">
      <c r="A79" s="13"/>
      <c r="C79" s="284" t="str">
        <f>_xlfn.CONCAT(_xlfn.XLOOKUP("[S10_InstallationsPenaltiesImposed][14][InfringementType]",Submission!$O:$O,Submission!$H:$N,""))</f>
        <v/>
      </c>
      <c r="D79" s="285"/>
      <c r="E79" s="105" t="str">
        <f>_xlfn.CONCAT(_xlfn.XLOOKUP("[S10_InstallationsPenaltiesImposed][14][ActualFines]",Submission!$O:$O,Submission!$H:$N,""))</f>
        <v/>
      </c>
      <c r="F79" s="105" t="str">
        <f>_xlfn.CONCAT(_xlfn.XLOOKUP("[S10_InstallationsPenaltiesImposed][14][ActualImprisonment]",Submission!$O:$O,Submission!$H:$N,""))</f>
        <v/>
      </c>
      <c r="G79" s="92" t="str">
        <f>_xlfn.CONCAT(_xlfn.XLOOKUP("[S10_InstallationsPenaltiesImposed][14][ACtualOtherPenalties]",Submission!$O:$O,Submission!$H:$N,""))</f>
        <v/>
      </c>
      <c r="H79" s="63" t="str">
        <f>_xlfn.CONCAT(_xlfn.XLOOKUP("[S10_InstallationsPenaltiesImposed][14][OngoingProceedings]",Submission!$O:$O,Submission!$H:$N,""))</f>
        <v/>
      </c>
      <c r="I79" s="89" t="str">
        <f>_xlfn.CONCAT(_xlfn.XLOOKUP("[S10_InstallationsPenaltiesImposed][14][PenaltyEnforcedWithinPeriod]",Submission!$O:$O,Submission!$H:$N,""))</f>
        <v/>
      </c>
    </row>
    <row r="80" spans="1:9" ht="41.4" hidden="1" customHeight="1" outlineLevel="1" x14ac:dyDescent="0.3">
      <c r="A80" s="13"/>
      <c r="C80" s="284" t="str">
        <f>_xlfn.CONCAT(_xlfn.XLOOKUP("[S10_InstallationsPenaltiesImposed][15][InfringementType]",Submission!$O:$O,Submission!$H:$N,""))</f>
        <v/>
      </c>
      <c r="D80" s="285"/>
      <c r="E80" s="105" t="str">
        <f>_xlfn.CONCAT(_xlfn.XLOOKUP("[S10_InstallationsPenaltiesImposed][15][ActualFines]",Submission!$O:$O,Submission!$H:$N,""))</f>
        <v/>
      </c>
      <c r="F80" s="105" t="str">
        <f>_xlfn.CONCAT(_xlfn.XLOOKUP("[S10_InstallationsPenaltiesImposed][15][ActualImprisonment]",Submission!$O:$O,Submission!$H:$N,""))</f>
        <v/>
      </c>
      <c r="G80" s="92" t="str">
        <f>_xlfn.CONCAT(_xlfn.XLOOKUP("[S10_InstallationsPenaltiesImposed][15][ACtualOtherPenalties]",Submission!$O:$O,Submission!$H:$N,""))</f>
        <v/>
      </c>
      <c r="H80" s="63" t="str">
        <f>_xlfn.CONCAT(_xlfn.XLOOKUP("[S10_InstallationsPenaltiesImposed][15][OngoingProceedings]",Submission!$O:$O,Submission!$H:$N,""))</f>
        <v/>
      </c>
      <c r="I80" s="89" t="str">
        <f>_xlfn.CONCAT(_xlfn.XLOOKUP("[S10_InstallationsPenaltiesImposed][15][PenaltyEnforcedWithinPeriod]",Submission!$O:$O,Submission!$H:$N,""))</f>
        <v/>
      </c>
    </row>
    <row r="81" spans="1:9" ht="41.4" hidden="1" customHeight="1" outlineLevel="1" x14ac:dyDescent="0.3">
      <c r="A81" s="13"/>
      <c r="C81" s="284" t="str">
        <f>_xlfn.CONCAT(_xlfn.XLOOKUP("[S10_InstallationsPenaltiesImposed][16][InfringementType]",Submission!$O:$O,Submission!$H:$N,""))</f>
        <v/>
      </c>
      <c r="D81" s="285"/>
      <c r="E81" s="105" t="str">
        <f>_xlfn.CONCAT(_xlfn.XLOOKUP("[S10_InstallationsPenaltiesImposed][16][ActualFines]",Submission!$O:$O,Submission!$H:$N,""))</f>
        <v/>
      </c>
      <c r="F81" s="105" t="str">
        <f>_xlfn.CONCAT(_xlfn.XLOOKUP("[S10_InstallationsPenaltiesImposed][16][ActualImprisonment]",Submission!$O:$O,Submission!$H:$N,""))</f>
        <v/>
      </c>
      <c r="G81" s="92" t="str">
        <f>_xlfn.CONCAT(_xlfn.XLOOKUP("[S10_InstallationsPenaltiesImposed][16][ACtualOtherPenalties]",Submission!$O:$O,Submission!$H:$N,""))</f>
        <v/>
      </c>
      <c r="H81" s="63" t="str">
        <f>_xlfn.CONCAT(_xlfn.XLOOKUP("[S10_InstallationsPenaltiesImposed][16][OngoingProceedings]",Submission!$O:$O,Submission!$H:$N,""))</f>
        <v/>
      </c>
      <c r="I81" s="89" t="str">
        <f>_xlfn.CONCAT(_xlfn.XLOOKUP("[S10_InstallationsPenaltiesImposed][16][PenaltyEnforcedWithinPeriod]",Submission!$O:$O,Submission!$H:$N,""))</f>
        <v/>
      </c>
    </row>
    <row r="82" spans="1:9" ht="41.4" hidden="1" customHeight="1" outlineLevel="1" x14ac:dyDescent="0.3">
      <c r="A82" s="13"/>
      <c r="C82" s="284" t="str">
        <f>_xlfn.CONCAT(_xlfn.XLOOKUP("[S10_InstallationsPenaltiesImposed][17][InfringementType]",Submission!$O:$O,Submission!$H:$N,""))</f>
        <v/>
      </c>
      <c r="D82" s="285"/>
      <c r="E82" s="105" t="str">
        <f>_xlfn.CONCAT(_xlfn.XLOOKUP("[S10_InstallationsPenaltiesImposed][17][ActualFines]",Submission!$O:$O,Submission!$H:$N,""))</f>
        <v/>
      </c>
      <c r="F82" s="105" t="str">
        <f>_xlfn.CONCAT(_xlfn.XLOOKUP("[S10_InstallationsPenaltiesImposed][17][ActualImprisonment]",Submission!$O:$O,Submission!$H:$N,""))</f>
        <v/>
      </c>
      <c r="G82" s="92" t="str">
        <f>_xlfn.CONCAT(_xlfn.XLOOKUP("[S10_InstallationsPenaltiesImposed][17][ACtualOtherPenalties]",Submission!$O:$O,Submission!$H:$N,""))</f>
        <v/>
      </c>
      <c r="H82" s="63" t="str">
        <f>_xlfn.CONCAT(_xlfn.XLOOKUP("[S10_InstallationsPenaltiesImposed][17][OngoingProceedings]",Submission!$O:$O,Submission!$H:$N,""))</f>
        <v/>
      </c>
      <c r="I82" s="89" t="str">
        <f>_xlfn.CONCAT(_xlfn.XLOOKUP("[S10_InstallationsPenaltiesImposed][17][PenaltyEnforcedWithinPeriod]",Submission!$O:$O,Submission!$H:$N,""))</f>
        <v/>
      </c>
    </row>
    <row r="83" spans="1:9" ht="41.4" hidden="1" customHeight="1" outlineLevel="1" x14ac:dyDescent="0.3">
      <c r="A83" s="13"/>
      <c r="C83" s="284" t="str">
        <f>_xlfn.CONCAT(_xlfn.XLOOKUP("[S10_InstallationsPenaltiesImposed][18][InfringementType]",Submission!$O:$O,Submission!$H:$N,""))</f>
        <v/>
      </c>
      <c r="D83" s="285"/>
      <c r="E83" s="105" t="str">
        <f>_xlfn.CONCAT(_xlfn.XLOOKUP("[S10_InstallationsPenaltiesImposed][18][ActualFines]",Submission!$O:$O,Submission!$H:$N,""))</f>
        <v/>
      </c>
      <c r="F83" s="105" t="str">
        <f>_xlfn.CONCAT(_xlfn.XLOOKUP("[S10_InstallationsPenaltiesImposed][18][ActualImprisonment]",Submission!$O:$O,Submission!$H:$N,""))</f>
        <v/>
      </c>
      <c r="G83" s="92" t="str">
        <f>_xlfn.CONCAT(_xlfn.XLOOKUP("[S10_InstallationsPenaltiesImposed][18][ACtualOtherPenalties]",Submission!$O:$O,Submission!$H:$N,""))</f>
        <v/>
      </c>
      <c r="H83" s="63" t="str">
        <f>_xlfn.CONCAT(_xlfn.XLOOKUP("[S10_InstallationsPenaltiesImposed][18][OngoingProceedings]",Submission!$O:$O,Submission!$H:$N,""))</f>
        <v/>
      </c>
      <c r="I83" s="89" t="str">
        <f>_xlfn.CONCAT(_xlfn.XLOOKUP("[S10_InstallationsPenaltiesImposed][18][PenaltyEnforcedWithinPeriod]",Submission!$O:$O,Submission!$H:$N,""))</f>
        <v/>
      </c>
    </row>
    <row r="84" spans="1:9" ht="41.4" hidden="1" customHeight="1" outlineLevel="1" x14ac:dyDescent="0.3">
      <c r="A84" s="13"/>
      <c r="C84" s="284" t="str">
        <f>_xlfn.CONCAT(_xlfn.XLOOKUP("[S10_InstallationsPenaltiesImposed][19][InfringementType]",Submission!$O:$O,Submission!$H:$N,""))</f>
        <v/>
      </c>
      <c r="D84" s="285"/>
      <c r="E84" s="105" t="str">
        <f>_xlfn.CONCAT(_xlfn.XLOOKUP("[S10_InstallationsPenaltiesImposed][19][ActualFines]",Submission!$O:$O,Submission!$H:$N,""))</f>
        <v/>
      </c>
      <c r="F84" s="105" t="str">
        <f>_xlfn.CONCAT(_xlfn.XLOOKUP("[S10_InstallationsPenaltiesImposed][19][ActualImprisonment]",Submission!$O:$O,Submission!$H:$N,""))</f>
        <v/>
      </c>
      <c r="G84" s="92" t="str">
        <f>_xlfn.CONCAT(_xlfn.XLOOKUP("[S10_InstallationsPenaltiesImposed][19][ACtualOtherPenalties]",Submission!$O:$O,Submission!$H:$N,""))</f>
        <v/>
      </c>
      <c r="H84" s="63" t="str">
        <f>_xlfn.CONCAT(_xlfn.XLOOKUP("[S10_InstallationsPenaltiesImposed][19][OngoingProceedings]",Submission!$O:$O,Submission!$H:$N,""))</f>
        <v/>
      </c>
      <c r="I84" s="89" t="str">
        <f>_xlfn.CONCAT(_xlfn.XLOOKUP("[S10_InstallationsPenaltiesImposed][19][PenaltyEnforcedWithinPeriod]",Submission!$O:$O,Submission!$H:$N,""))</f>
        <v/>
      </c>
    </row>
    <row r="85" spans="1:9" ht="41.4" hidden="1" customHeight="1" outlineLevel="1" x14ac:dyDescent="0.3">
      <c r="A85" s="13"/>
      <c r="C85" s="284" t="str">
        <f>_xlfn.CONCAT(_xlfn.XLOOKUP("[S10_InstallationsPenaltiesImposed][20][InfringementType]",Submission!$O:$O,Submission!$H:$N,""))</f>
        <v/>
      </c>
      <c r="D85" s="285"/>
      <c r="E85" s="105" t="str">
        <f>_xlfn.CONCAT(_xlfn.XLOOKUP("[S10_InstallationsPenaltiesImposed][20][ActualFines]",Submission!$O:$O,Submission!$H:$N,""))</f>
        <v/>
      </c>
      <c r="F85" s="105" t="str">
        <f>_xlfn.CONCAT(_xlfn.XLOOKUP("[S10_InstallationsPenaltiesImposed][20][ActualImprisonment]",Submission!$O:$O,Submission!$H:$N,""))</f>
        <v/>
      </c>
      <c r="G85" s="92" t="str">
        <f>_xlfn.CONCAT(_xlfn.XLOOKUP("[S10_InstallationsPenaltiesImposed][20][ACtualOtherPenalties]",Submission!$O:$O,Submission!$H:$N,""))</f>
        <v/>
      </c>
      <c r="H85" s="63" t="str">
        <f>_xlfn.CONCAT(_xlfn.XLOOKUP("[S10_InstallationsPenaltiesImposed][20][OngoingProceedings]",Submission!$O:$O,Submission!$H:$N,""))</f>
        <v/>
      </c>
      <c r="I85" s="89" t="str">
        <f>_xlfn.CONCAT(_xlfn.XLOOKUP("[S10_InstallationsPenaltiesImposed][20][PenaltyEnforcedWithinPeriod]",Submission!$O:$O,Submission!$H:$N,""))</f>
        <v/>
      </c>
    </row>
    <row r="86" spans="1:9" ht="41.4" hidden="1" customHeight="1" outlineLevel="1" x14ac:dyDescent="0.3">
      <c r="A86" s="13"/>
      <c r="C86" s="284" t="str">
        <f>_xlfn.CONCAT(_xlfn.XLOOKUP("[S10_InstallationsPenaltiesImposed][21][InfringementType]",Submission!$O:$O,Submission!$H:$N,""))</f>
        <v/>
      </c>
      <c r="D86" s="285"/>
      <c r="E86" s="105" t="str">
        <f>_xlfn.CONCAT(_xlfn.XLOOKUP("[S10_InstallationsPenaltiesImposed][21][ActualFines]",Submission!$O:$O,Submission!$H:$N,""))</f>
        <v/>
      </c>
      <c r="F86" s="105" t="str">
        <f>_xlfn.CONCAT(_xlfn.XLOOKUP("[S10_InstallationsPenaltiesImposed][21][ActualImprisonment]",Submission!$O:$O,Submission!$H:$N,""))</f>
        <v/>
      </c>
      <c r="G86" s="92" t="str">
        <f>_xlfn.CONCAT(_xlfn.XLOOKUP("[S10_InstallationsPenaltiesImposed][21][ACtualOtherPenalties]",Submission!$O:$O,Submission!$H:$N,""))</f>
        <v/>
      </c>
      <c r="H86" s="63" t="str">
        <f>_xlfn.CONCAT(_xlfn.XLOOKUP("[S10_InstallationsPenaltiesImposed][21][OngoingProceedings]",Submission!$O:$O,Submission!$H:$N,""))</f>
        <v/>
      </c>
      <c r="I86" s="89" t="str">
        <f>_xlfn.CONCAT(_xlfn.XLOOKUP("[S10_InstallationsPenaltiesImposed][21][PenaltyEnforcedWithinPeriod]",Submission!$O:$O,Submission!$H:$N,""))</f>
        <v/>
      </c>
    </row>
    <row r="87" spans="1:9" ht="41.4" hidden="1" customHeight="1" outlineLevel="1" x14ac:dyDescent="0.3">
      <c r="A87" s="13"/>
      <c r="C87" s="284" t="str">
        <f>_xlfn.CONCAT(_xlfn.XLOOKUP("[S10_InstallationsPenaltiesImposed][22][InfringementType]",Submission!$O:$O,Submission!$H:$N,""))</f>
        <v/>
      </c>
      <c r="D87" s="285"/>
      <c r="E87" s="105" t="str">
        <f>_xlfn.CONCAT(_xlfn.XLOOKUP("[S10_InstallationsPenaltiesImposed][22][ActualFines]",Submission!$O:$O,Submission!$H:$N,""))</f>
        <v/>
      </c>
      <c r="F87" s="105" t="str">
        <f>_xlfn.CONCAT(_xlfn.XLOOKUP("[S10_InstallationsPenaltiesImposed][22][ActualImprisonment]",Submission!$O:$O,Submission!$H:$N,""))</f>
        <v/>
      </c>
      <c r="G87" s="92" t="str">
        <f>_xlfn.CONCAT(_xlfn.XLOOKUP("[S10_InstallationsPenaltiesImposed][22][ACtualOtherPenalties]",Submission!$O:$O,Submission!$H:$N,""))</f>
        <v/>
      </c>
      <c r="H87" s="63" t="str">
        <f>_xlfn.CONCAT(_xlfn.XLOOKUP("[S10_InstallationsPenaltiesImposed][22][OngoingProceedings]",Submission!$O:$O,Submission!$H:$N,""))</f>
        <v/>
      </c>
      <c r="I87" s="89" t="str">
        <f>_xlfn.CONCAT(_xlfn.XLOOKUP("[S10_InstallationsPenaltiesImposed][22][PenaltyEnforcedWithinPeriod]",Submission!$O:$O,Submission!$H:$N,""))</f>
        <v/>
      </c>
    </row>
    <row r="88" spans="1:9" ht="15.9" customHeight="1" collapsed="1" x14ac:dyDescent="0.3">
      <c r="A88" s="13"/>
      <c r="B88" s="26" t="s">
        <v>1000</v>
      </c>
      <c r="C88" s="19"/>
    </row>
    <row r="89" spans="1:9" ht="15.9" customHeight="1" x14ac:dyDescent="0.3">
      <c r="A89" s="13"/>
      <c r="B89" s="16"/>
      <c r="C89" s="19"/>
    </row>
    <row r="90" spans="1:9" ht="15.6" customHeight="1" x14ac:dyDescent="0.3">
      <c r="B90" s="507" t="s">
        <v>1244</v>
      </c>
      <c r="C90" s="507"/>
      <c r="D90" s="507"/>
      <c r="E90" s="507"/>
      <c r="F90" s="507"/>
      <c r="G90" s="507"/>
      <c r="H90" s="508"/>
      <c r="I90" s="41" t="str">
        <f>_xlfn.CONCAT(_xlfn.XLOOKUP("[InstallationsPriorPenaltiesEnforced][0][InstallationsPriorPenaltiesEnforced]",Submission!$O:$O,Submission!$H:$N,""))</f>
        <v/>
      </c>
    </row>
    <row r="91" spans="1:9" ht="16.2" customHeight="1" x14ac:dyDescent="0.3">
      <c r="B91" s="293" t="s">
        <v>1245</v>
      </c>
      <c r="C91" s="294"/>
      <c r="D91" s="294"/>
      <c r="E91" s="294"/>
      <c r="F91" s="294"/>
      <c r="G91" s="294"/>
      <c r="H91" s="294"/>
      <c r="I91" s="294"/>
    </row>
    <row r="92" spans="1:9" x14ac:dyDescent="0.3">
      <c r="C92" s="444" t="s">
        <v>1224</v>
      </c>
      <c r="D92" s="445"/>
      <c r="E92" s="446"/>
      <c r="F92" s="444" t="s">
        <v>1246</v>
      </c>
      <c r="G92" s="446"/>
      <c r="H92" s="444" t="s">
        <v>1247</v>
      </c>
      <c r="I92" s="446"/>
    </row>
    <row r="93" spans="1:9" x14ac:dyDescent="0.3">
      <c r="C93" s="251" t="str">
        <f>_xlfn.CONCAT(_xlfn.XLOOKUP("[S10_InstallationsPriorPenaltiesEnforcedDetail][1][TypeInfringement]",Submission!$O:$O,Submission!$H:$N,""))</f>
        <v/>
      </c>
      <c r="D93" s="468"/>
      <c r="E93" s="252"/>
      <c r="F93" s="251" t="str">
        <f>_xlfn.CONCAT(_xlfn.XLOOKUP("[S10_InstallationsPriorPenaltiesEnforcedDetail][1][TypePenalty]",Submission!$O:$O,Submission!$H:$N,""))</f>
        <v/>
      </c>
      <c r="G93" s="252"/>
      <c r="H93" s="251" t="str">
        <f>_xlfn.CONCAT(_xlfn.XLOOKUP("[S10_InstallationsPriorPenaltiesEnforcedDetail][1][ReportinYear]",Submission!$O:$O,Submission!$H:$N,""))</f>
        <v/>
      </c>
      <c r="I93" s="252"/>
    </row>
    <row r="94" spans="1:9" x14ac:dyDescent="0.3">
      <c r="C94" s="251" t="str">
        <f>_xlfn.CONCAT(_xlfn.XLOOKUP("[S10_InstallationsPriorPenaltiesEnforcedDetail][2][TypeInfringement]",Submission!$O:$O,Submission!$H:$N,""))</f>
        <v/>
      </c>
      <c r="D94" s="468"/>
      <c r="E94" s="252"/>
      <c r="F94" s="251" t="str">
        <f>_xlfn.CONCAT(_xlfn.XLOOKUP("[S10_InstallationsPriorPenaltiesEnforcedDetail][2][TypePenalty]",Submission!$O:$O,Submission!$H:$N,""))</f>
        <v/>
      </c>
      <c r="G94" s="252"/>
      <c r="H94" s="251" t="str">
        <f>_xlfn.CONCAT(_xlfn.XLOOKUP("[S10_InstallationsPriorPenaltiesEnforcedDetail][2][ReportinYear]",Submission!$O:$O,Submission!$H:$N,""))</f>
        <v/>
      </c>
      <c r="I94" s="252"/>
    </row>
    <row r="95" spans="1:9" x14ac:dyDescent="0.3">
      <c r="C95" s="251" t="str">
        <f>_xlfn.CONCAT(_xlfn.XLOOKUP("[S10_InstallationsPriorPenaltiesEnforcedDetail][3][TypeInfringement]",Submission!$O:$O,Submission!$H:$N,""))</f>
        <v/>
      </c>
      <c r="D95" s="468"/>
      <c r="E95" s="252"/>
      <c r="F95" s="251" t="str">
        <f>_xlfn.CONCAT(_xlfn.XLOOKUP("[S10_InstallationsPriorPenaltiesEnforcedDetail][3][TypePenalty]",Submission!$O:$O,Submission!$H:$N,""))</f>
        <v/>
      </c>
      <c r="G95" s="252"/>
      <c r="H95" s="251" t="str">
        <f>_xlfn.CONCAT(_xlfn.XLOOKUP("[S10_InstallationsPriorPenaltiesEnforcedDetail][3][ReportinYear]",Submission!$O:$O,Submission!$H:$N,""))</f>
        <v/>
      </c>
      <c r="I95" s="252"/>
    </row>
    <row r="96" spans="1:9" x14ac:dyDescent="0.3">
      <c r="C96" s="251" t="str">
        <f>_xlfn.CONCAT(_xlfn.XLOOKUP("[S10_InstallationsPriorPenaltiesEnforcedDetail][4][TypeInfringement]",Submission!$O:$O,Submission!$H:$N,""))</f>
        <v/>
      </c>
      <c r="D96" s="468"/>
      <c r="E96" s="252"/>
      <c r="F96" s="251" t="str">
        <f>_xlfn.CONCAT(_xlfn.XLOOKUP("[S10_InstallationsPriorPenaltiesEnforcedDetail][4][TypePenalty]",Submission!$O:$O,Submission!$H:$N,""))</f>
        <v/>
      </c>
      <c r="G96" s="252"/>
      <c r="H96" s="251" t="str">
        <f>_xlfn.CONCAT(_xlfn.XLOOKUP("[S10_InstallationsPriorPenaltiesEnforcedDetail][4][ReportinYear]",Submission!$O:$O,Submission!$H:$N,""))</f>
        <v/>
      </c>
      <c r="I96" s="252"/>
    </row>
    <row r="97" spans="2:10" x14ac:dyDescent="0.3">
      <c r="C97" s="251" t="str">
        <f>_xlfn.CONCAT(_xlfn.XLOOKUP("[S10_InstallationsPriorPenaltiesEnforcedDetail][5][TypeInfringement]",Submission!$O:$O,Submission!$H:$N,""))</f>
        <v/>
      </c>
      <c r="D97" s="468"/>
      <c r="E97" s="252"/>
      <c r="F97" s="251" t="str">
        <f>_xlfn.CONCAT(_xlfn.XLOOKUP("[S10_InstallationsPriorPenaltiesEnforcedDetail][5][TypePenalty]",Submission!$O:$O,Submission!$H:$N,""))</f>
        <v/>
      </c>
      <c r="G97" s="252"/>
      <c r="H97" s="251" t="str">
        <f>_xlfn.CONCAT(_xlfn.XLOOKUP("[S10_InstallationsPriorPenaltiesEnforcedDetail][5][ReportinYear]",Submission!$O:$O,Submission!$H:$N,""))</f>
        <v/>
      </c>
      <c r="I97" s="252"/>
    </row>
    <row r="98" spans="2:10" hidden="1" outlineLevel="1" x14ac:dyDescent="0.3">
      <c r="C98" s="251" t="str">
        <f>_xlfn.CONCAT(_xlfn.XLOOKUP("[S10_InstallationsPriorPenaltiesEnforcedDetail][6][TypeInfringement]",Submission!$O:$O,Submission!$H:$N,""))</f>
        <v/>
      </c>
      <c r="D98" s="468"/>
      <c r="E98" s="252"/>
      <c r="F98" s="251" t="str">
        <f>_xlfn.CONCAT(_xlfn.XLOOKUP("[S10_InstallationsPriorPenaltiesEnforcedDetail][6][TypePenalty]",Submission!$O:$O,Submission!$H:$N,""))</f>
        <v/>
      </c>
      <c r="G98" s="252"/>
      <c r="H98" s="251" t="str">
        <f>_xlfn.CONCAT(_xlfn.XLOOKUP("[S10_InstallationsPriorPenaltiesEnforcedDetail][6][ReportinYear]",Submission!$O:$O,Submission!$H:$N,""))</f>
        <v/>
      </c>
      <c r="I98" s="252"/>
    </row>
    <row r="99" spans="2:10" hidden="1" outlineLevel="1" x14ac:dyDescent="0.3">
      <c r="C99" s="251" t="str">
        <f>_xlfn.CONCAT(_xlfn.XLOOKUP("[S10_InstallationsPriorPenaltiesEnforcedDetail][7][TypeInfringement]",Submission!$O:$O,Submission!$H:$N,""))</f>
        <v/>
      </c>
      <c r="D99" s="468"/>
      <c r="E99" s="252"/>
      <c r="F99" s="251" t="str">
        <f>_xlfn.CONCAT(_xlfn.XLOOKUP("[S10_InstallationsPriorPenaltiesEnforcedDetail][7][TypePenalty]",Submission!$O:$O,Submission!$H:$N,""))</f>
        <v/>
      </c>
      <c r="G99" s="252"/>
      <c r="H99" s="251" t="str">
        <f>_xlfn.CONCAT(_xlfn.XLOOKUP("[S10_InstallationsPriorPenaltiesEnforcedDetail][7][ReportinYear]",Submission!$O:$O,Submission!$H:$N,""))</f>
        <v/>
      </c>
      <c r="I99" s="252"/>
    </row>
    <row r="100" spans="2:10" hidden="1" outlineLevel="1" x14ac:dyDescent="0.3">
      <c r="C100" s="251" t="str">
        <f>_xlfn.CONCAT(_xlfn.XLOOKUP("[S10_InstallationsPriorPenaltiesEnforcedDetail][8][TypeInfringement]",Submission!$O:$O,Submission!$H:$N,""))</f>
        <v/>
      </c>
      <c r="D100" s="468"/>
      <c r="E100" s="252"/>
      <c r="F100" s="251" t="str">
        <f>_xlfn.CONCAT(_xlfn.XLOOKUP("[S10_InstallationsPriorPenaltiesEnforcedDetail][8][TypePenalty]",Submission!$O:$O,Submission!$H:$N,""))</f>
        <v/>
      </c>
      <c r="G100" s="252"/>
      <c r="H100" s="251" t="str">
        <f>_xlfn.CONCAT(_xlfn.XLOOKUP("[S10_InstallationsPriorPenaltiesEnforcedDetail][8][ReportinYear]",Submission!$O:$O,Submission!$H:$N,""))</f>
        <v/>
      </c>
      <c r="I100" s="252"/>
    </row>
    <row r="101" spans="2:10" hidden="1" outlineLevel="1" x14ac:dyDescent="0.3">
      <c r="C101" s="251" t="str">
        <f>_xlfn.CONCAT(_xlfn.XLOOKUP("[S10_InstallationsPriorPenaltiesEnforcedDetail][9][TypeInfringement]",Submission!$O:$O,Submission!$H:$N,""))</f>
        <v/>
      </c>
      <c r="D101" s="468"/>
      <c r="E101" s="252"/>
      <c r="F101" s="251" t="str">
        <f>_xlfn.CONCAT(_xlfn.XLOOKUP("[S10_InstallationsPriorPenaltiesEnforcedDetail][9][TypePenalty]",Submission!$O:$O,Submission!$H:$N,""))</f>
        <v/>
      </c>
      <c r="G101" s="252"/>
      <c r="H101" s="251" t="str">
        <f>_xlfn.CONCAT(_xlfn.XLOOKUP("[S10_InstallationsPriorPenaltiesEnforcedDetail][9][ReportinYear]",Submission!$O:$O,Submission!$H:$N,""))</f>
        <v/>
      </c>
      <c r="I101" s="252"/>
    </row>
    <row r="102" spans="2:10" hidden="1" outlineLevel="1" x14ac:dyDescent="0.3">
      <c r="C102" s="251" t="str">
        <f>_xlfn.CONCAT(_xlfn.XLOOKUP("[S10_InstallationsPriorPenaltiesEnforcedDetail][10][TypeInfringement]",Submission!$O:$O,Submission!$H:$N,""))</f>
        <v/>
      </c>
      <c r="D102" s="468"/>
      <c r="E102" s="252"/>
      <c r="F102" s="251" t="str">
        <f>_xlfn.CONCAT(_xlfn.XLOOKUP("[S10_InstallationsPriorPenaltiesEnforcedDetail][10][TypePenalty]",Submission!$O:$O,Submission!$H:$N,""))</f>
        <v/>
      </c>
      <c r="G102" s="252"/>
      <c r="H102" s="251" t="str">
        <f>_xlfn.CONCAT(_xlfn.XLOOKUP("[S10_InstallationsPriorPenaltiesEnforcedDetail][10][ReportinYear]",Submission!$O:$O,Submission!$H:$N,""))</f>
        <v/>
      </c>
      <c r="I102" s="252"/>
    </row>
    <row r="103" spans="2:10" hidden="1" outlineLevel="1" x14ac:dyDescent="0.3">
      <c r="C103" s="251" t="str">
        <f>_xlfn.CONCAT(_xlfn.XLOOKUP("[S10_InstallationsPriorPenaltiesEnforcedDetail][11][TypeInfringement]",Submission!$O:$O,Submission!$H:$N,""))</f>
        <v/>
      </c>
      <c r="D103" s="468"/>
      <c r="E103" s="252"/>
      <c r="F103" s="251" t="str">
        <f>_xlfn.CONCAT(_xlfn.XLOOKUP("[S10_InstallationsPriorPenaltiesEnforcedDetail][11][TypePenalty]",Submission!$O:$O,Submission!$H:$N,""))</f>
        <v/>
      </c>
      <c r="G103" s="252"/>
      <c r="H103" s="251" t="str">
        <f>_xlfn.CONCAT(_xlfn.XLOOKUP("[S10_InstallationsPriorPenaltiesEnforcedDetail][11][ReportinYear]",Submission!$O:$O,Submission!$H:$N,""))</f>
        <v/>
      </c>
      <c r="I103" s="252"/>
    </row>
    <row r="104" spans="2:10" hidden="1" outlineLevel="1" x14ac:dyDescent="0.3">
      <c r="C104" s="251" t="str">
        <f>_xlfn.CONCAT(_xlfn.XLOOKUP("[S10_InstallationsPriorPenaltiesEnforcedDetail][12][TypeInfringement]",Submission!$O:$O,Submission!$H:$N,""))</f>
        <v/>
      </c>
      <c r="D104" s="468"/>
      <c r="E104" s="252"/>
      <c r="F104" s="251" t="str">
        <f>_xlfn.CONCAT(_xlfn.XLOOKUP("[S10_InstallationsPriorPenaltiesEnforcedDetail][12][TypePenalty]",Submission!$O:$O,Submission!$H:$N,""))</f>
        <v/>
      </c>
      <c r="G104" s="252"/>
      <c r="H104" s="251" t="str">
        <f>_xlfn.CONCAT(_xlfn.XLOOKUP("[S10_InstallationsPriorPenaltiesEnforcedDetail][12][ReportinYear]",Submission!$O:$O,Submission!$H:$N,""))</f>
        <v/>
      </c>
      <c r="I104" s="252"/>
    </row>
    <row r="105" spans="2:10" hidden="1" outlineLevel="1" x14ac:dyDescent="0.3">
      <c r="C105" s="251" t="str">
        <f>_xlfn.CONCAT(_xlfn.XLOOKUP("[S10_InstallationsPriorPenaltiesEnforcedDetail][13][TypeInfringement]",Submission!$O:$O,Submission!$H:$N,""))</f>
        <v/>
      </c>
      <c r="D105" s="468"/>
      <c r="E105" s="252"/>
      <c r="F105" s="251" t="str">
        <f>_xlfn.CONCAT(_xlfn.XLOOKUP("[S10_InstallationsPriorPenaltiesEnforcedDetail][13][TypePenalty]",Submission!$O:$O,Submission!$H:$N,""))</f>
        <v/>
      </c>
      <c r="G105" s="252"/>
      <c r="H105" s="251" t="str">
        <f>_xlfn.CONCAT(_xlfn.XLOOKUP("[S10_InstallationsPriorPenaltiesEnforcedDetail][13][ReportinYear]",Submission!$O:$O,Submission!$H:$N,""))</f>
        <v/>
      </c>
      <c r="I105" s="252"/>
    </row>
    <row r="106" spans="2:10" hidden="1" outlineLevel="1" x14ac:dyDescent="0.3">
      <c r="C106" s="251" t="str">
        <f>_xlfn.CONCAT(_xlfn.XLOOKUP("[S10_InstallationsPriorPenaltiesEnforcedDetail][14][TypeInfringement]",Submission!$O:$O,Submission!$H:$N,""))</f>
        <v/>
      </c>
      <c r="D106" s="468"/>
      <c r="E106" s="252"/>
      <c r="F106" s="251" t="str">
        <f>_xlfn.CONCAT(_xlfn.XLOOKUP("[S10_InstallationsPriorPenaltiesEnforcedDetail][14][TypePenalty]",Submission!$O:$O,Submission!$H:$N,""))</f>
        <v/>
      </c>
      <c r="G106" s="252"/>
      <c r="H106" s="251" t="str">
        <f>_xlfn.CONCAT(_xlfn.XLOOKUP("[S10_InstallationsPriorPenaltiesEnforcedDetail][14][ReportinYear]",Submission!$O:$O,Submission!$H:$N,""))</f>
        <v/>
      </c>
      <c r="I106" s="252"/>
    </row>
    <row r="107" spans="2:10" hidden="1" outlineLevel="1" x14ac:dyDescent="0.3">
      <c r="C107" s="251" t="str">
        <f>_xlfn.CONCAT(_xlfn.XLOOKUP("[S10_InstallationsPriorPenaltiesEnforcedDetail][15][TypeInfringement]",Submission!$O:$O,Submission!$H:$N,""))</f>
        <v/>
      </c>
      <c r="D107" s="468"/>
      <c r="E107" s="252"/>
      <c r="F107" s="251" t="str">
        <f>_xlfn.CONCAT(_xlfn.XLOOKUP("[S10_InstallationsPriorPenaltiesEnforcedDetail][15][TypePenalty]",Submission!$O:$O,Submission!$H:$N,""))</f>
        <v/>
      </c>
      <c r="G107" s="252"/>
      <c r="H107" s="251" t="str">
        <f>_xlfn.CONCAT(_xlfn.XLOOKUP("[S10_InstallationsPriorPenaltiesEnforcedDetail][15][ReportinYear]",Submission!$O:$O,Submission!$H:$N,""))</f>
        <v/>
      </c>
      <c r="I107" s="252"/>
    </row>
    <row r="108" spans="2:10" hidden="1" outlineLevel="1" x14ac:dyDescent="0.3">
      <c r="C108" s="251" t="str">
        <f>_xlfn.CONCAT(_xlfn.XLOOKUP("[S10_InstallationsPriorPenaltiesEnforcedDetail][16][TypeInfringement]",Submission!$O:$O,Submission!$H:$N,""))</f>
        <v/>
      </c>
      <c r="D108" s="468"/>
      <c r="E108" s="252"/>
      <c r="F108" s="251" t="str">
        <f>_xlfn.CONCAT(_xlfn.XLOOKUP("[S10_InstallationsPriorPenaltiesEnforcedDetail][16][TypePenalty]",Submission!$O:$O,Submission!$H:$N,""))</f>
        <v/>
      </c>
      <c r="G108" s="252"/>
      <c r="H108" s="251" t="str">
        <f>_xlfn.CONCAT(_xlfn.XLOOKUP("[S10_InstallationsPriorPenaltiesEnforcedDetail][16][ReportinYear]",Submission!$O:$O,Submission!$H:$N,""))</f>
        <v/>
      </c>
      <c r="I108" s="252"/>
    </row>
    <row r="109" spans="2:10" hidden="1" outlineLevel="1" x14ac:dyDescent="0.3">
      <c r="C109" s="251" t="str">
        <f>_xlfn.CONCAT(_xlfn.XLOOKUP("[S10_InstallationsPriorPenaltiesEnforcedDetail][17][TypeInfringement]",Submission!$O:$O,Submission!$H:$N,""))</f>
        <v/>
      </c>
      <c r="D109" s="468"/>
      <c r="E109" s="252"/>
      <c r="F109" s="251" t="str">
        <f>_xlfn.CONCAT(_xlfn.XLOOKUP("[S10_InstallationsPriorPenaltiesEnforcedDetail][17][TypePenalty]",Submission!$O:$O,Submission!$H:$N,""))</f>
        <v/>
      </c>
      <c r="G109" s="252"/>
      <c r="H109" s="251" t="str">
        <f>_xlfn.CONCAT(_xlfn.XLOOKUP("[S10_InstallationsPriorPenaltiesEnforcedDetail][17][ReportinYear]",Submission!$O:$O,Submission!$H:$N,""))</f>
        <v/>
      </c>
      <c r="I109" s="252"/>
    </row>
    <row r="110" spans="2:10" collapsed="1" x14ac:dyDescent="0.3">
      <c r="B110" s="26" t="s">
        <v>1000</v>
      </c>
      <c r="C110" s="16"/>
      <c r="D110" s="19"/>
      <c r="E110" s="11"/>
      <c r="F110" s="11"/>
      <c r="G110" s="11"/>
      <c r="H110" s="11"/>
      <c r="I110" s="11"/>
    </row>
    <row r="111" spans="2:10" x14ac:dyDescent="0.3">
      <c r="C111" s="449" t="s">
        <v>1248</v>
      </c>
      <c r="D111" s="498"/>
      <c r="E111" s="498"/>
      <c r="F111" s="498"/>
      <c r="G111" s="498"/>
      <c r="H111" s="498"/>
      <c r="I111" s="498"/>
      <c r="J111" s="498"/>
    </row>
    <row r="112" spans="2:10" ht="15.9" customHeight="1" x14ac:dyDescent="0.3"/>
    <row r="113" spans="1:9" ht="32.1" customHeight="1" x14ac:dyDescent="0.3">
      <c r="A113" s="12" t="s">
        <v>582</v>
      </c>
      <c r="B113" s="271" t="s">
        <v>1301</v>
      </c>
      <c r="C113" s="272"/>
      <c r="D113" s="272"/>
      <c r="E113" s="272"/>
      <c r="F113" s="272"/>
      <c r="G113" s="272"/>
      <c r="H113" s="272"/>
      <c r="I113" s="272"/>
    </row>
    <row r="114" spans="1:9" ht="15.9" customHeight="1" x14ac:dyDescent="0.3">
      <c r="A114" s="12"/>
      <c r="B114" s="22"/>
      <c r="C114" s="303" t="s">
        <v>869</v>
      </c>
      <c r="D114" s="330"/>
      <c r="E114" s="309"/>
      <c r="F114" s="303" t="s">
        <v>1302</v>
      </c>
      <c r="G114" s="330"/>
      <c r="H114" s="330"/>
      <c r="I114" s="309"/>
    </row>
    <row r="115" spans="1:9" ht="15.9" customHeight="1" x14ac:dyDescent="0.3">
      <c r="A115" s="12"/>
      <c r="B115" s="23"/>
      <c r="C115" s="284" t="str">
        <f>_xlfn.CONCAT(_xlfn.XLOOKUP("[S10_InstallationPenalties][1][InstallationID]",Submission!$O:$O,Submission!$H:$N,""))</f>
        <v>214880</v>
      </c>
      <c r="D115" s="348"/>
      <c r="E115" s="285"/>
      <c r="F115" s="284" t="str">
        <f>_xlfn.CONCAT(_xlfn.XLOOKUP("[S10_InstallationPenalties][1][OperatorName]",Submission!$O:$O,Submission!$H:$N,""))</f>
        <v>EUROKAMEN d.o.o.</v>
      </c>
      <c r="G115" s="348"/>
      <c r="H115" s="348"/>
      <c r="I115" s="285"/>
    </row>
    <row r="116" spans="1:9" ht="15.9" customHeight="1" x14ac:dyDescent="0.3">
      <c r="A116" s="12"/>
      <c r="B116" s="23"/>
      <c r="C116" s="284" t="str">
        <f>_xlfn.CONCAT(_xlfn.XLOOKUP("[S10_InstallationPenalties][2][InstallationID]",Submission!$O:$O,Submission!$H:$N,""))</f>
        <v/>
      </c>
      <c r="D116" s="348"/>
      <c r="E116" s="285"/>
      <c r="F116" s="284" t="str">
        <f>_xlfn.CONCAT(_xlfn.XLOOKUP("[S10_InstallationPenalties][2][OperatorName]",Submission!$O:$O,Submission!$H:$N,""))</f>
        <v/>
      </c>
      <c r="G116" s="348"/>
      <c r="H116" s="348"/>
      <c r="I116" s="285"/>
    </row>
    <row r="117" spans="1:9" ht="15.9" hidden="1" customHeight="1" outlineLevel="1" x14ac:dyDescent="0.3">
      <c r="A117" s="12"/>
      <c r="B117" s="23"/>
      <c r="C117" s="284" t="str">
        <f>_xlfn.CONCAT(_xlfn.XLOOKUP("[S10_InstallationPenalties][3][InstallationID]",Submission!$O:$O,Submission!$H:$N,""))</f>
        <v/>
      </c>
      <c r="D117" s="348"/>
      <c r="E117" s="285"/>
      <c r="F117" s="284" t="str">
        <f>_xlfn.CONCAT(_xlfn.XLOOKUP("[S10_InstallationPenalties][3][OperatorName]",Submission!$O:$O,Submission!$H:$N,""))</f>
        <v/>
      </c>
      <c r="G117" s="348"/>
      <c r="H117" s="348"/>
      <c r="I117" s="285"/>
    </row>
    <row r="118" spans="1:9" ht="15.9" hidden="1" customHeight="1" outlineLevel="1" x14ac:dyDescent="0.3">
      <c r="A118" s="12"/>
      <c r="B118" s="23"/>
      <c r="C118" s="284" t="str">
        <f>_xlfn.CONCAT(_xlfn.XLOOKUP("[S10_InstallationPenalties][4][InstallationID]",Submission!$O:$O,Submission!$H:$N,""))</f>
        <v/>
      </c>
      <c r="D118" s="348"/>
      <c r="E118" s="285"/>
      <c r="F118" s="284" t="str">
        <f>_xlfn.CONCAT(_xlfn.XLOOKUP("[S10_InstallationPenalties][4][OperatorName]",Submission!$O:$O,Submission!$H:$N,""))</f>
        <v/>
      </c>
      <c r="G118" s="348"/>
      <c r="H118" s="348"/>
      <c r="I118" s="285"/>
    </row>
    <row r="119" spans="1:9" ht="15.9" hidden="1" customHeight="1" outlineLevel="1" x14ac:dyDescent="0.3">
      <c r="A119" s="12"/>
      <c r="B119" s="23"/>
      <c r="C119" s="284" t="str">
        <f>_xlfn.CONCAT(_xlfn.XLOOKUP("[S10_InstallationPenalties][5][InstallationID]",Submission!$O:$O,Submission!$H:$N,""))</f>
        <v/>
      </c>
      <c r="D119" s="348"/>
      <c r="E119" s="285"/>
      <c r="F119" s="284" t="str">
        <f>_xlfn.CONCAT(_xlfn.XLOOKUP("[S10_InstallationPenalties][5][OperatorName]",Submission!$O:$O,Submission!$H:$N,""))</f>
        <v/>
      </c>
      <c r="G119" s="348"/>
      <c r="H119" s="348"/>
      <c r="I119" s="285"/>
    </row>
    <row r="120" spans="1:9" ht="15.9" hidden="1" customHeight="1" outlineLevel="1" x14ac:dyDescent="0.3">
      <c r="A120" s="12"/>
      <c r="B120" s="23"/>
      <c r="C120" s="284" t="str">
        <f>_xlfn.CONCAT(_xlfn.XLOOKUP("[S10_InstallationPenalties][6][InstallationID]",Submission!$O:$O,Submission!$H:$N,""))</f>
        <v/>
      </c>
      <c r="D120" s="348"/>
      <c r="E120" s="285"/>
      <c r="F120" s="284" t="str">
        <f>_xlfn.CONCAT(_xlfn.XLOOKUP("[S10_InstallationPenalties][6][OperatorName]",Submission!$O:$O,Submission!$H:$N,""))</f>
        <v/>
      </c>
      <c r="G120" s="348"/>
      <c r="H120" s="348"/>
      <c r="I120" s="285"/>
    </row>
    <row r="121" spans="1:9" ht="15.9" hidden="1" customHeight="1" outlineLevel="1" x14ac:dyDescent="0.3">
      <c r="A121" s="12"/>
      <c r="B121" s="23"/>
      <c r="C121" s="284" t="str">
        <f>_xlfn.CONCAT(_xlfn.XLOOKUP("[S10_InstallationPenalties][7][InstallationID]",Submission!$O:$O,Submission!$H:$N,""))</f>
        <v/>
      </c>
      <c r="D121" s="348"/>
      <c r="E121" s="285"/>
      <c r="F121" s="284" t="str">
        <f>_xlfn.CONCAT(_xlfn.XLOOKUP("[S10_InstallationPenalties][7][OperatorName]",Submission!$O:$O,Submission!$H:$N,""))</f>
        <v/>
      </c>
      <c r="G121" s="348"/>
      <c r="H121" s="348"/>
      <c r="I121" s="285"/>
    </row>
    <row r="122" spans="1:9" ht="15.9" hidden="1" customHeight="1" outlineLevel="1" x14ac:dyDescent="0.3">
      <c r="A122" s="12"/>
      <c r="B122" s="23"/>
      <c r="C122" s="284" t="str">
        <f>_xlfn.CONCAT(_xlfn.XLOOKUP("[S10_InstallationPenalties][8][InstallationID]",Submission!$O:$O,Submission!$H:$N,""))</f>
        <v/>
      </c>
      <c r="D122" s="348"/>
      <c r="E122" s="285"/>
      <c r="F122" s="284" t="str">
        <f>_xlfn.CONCAT(_xlfn.XLOOKUP("[S10_InstallationPenalties][8][OperatorName]",Submission!$O:$O,Submission!$H:$N,""))</f>
        <v/>
      </c>
      <c r="G122" s="348"/>
      <c r="H122" s="348"/>
      <c r="I122" s="285"/>
    </row>
    <row r="123" spans="1:9" ht="15.9" hidden="1" customHeight="1" outlineLevel="1" x14ac:dyDescent="0.3">
      <c r="A123" s="12"/>
      <c r="B123" s="23"/>
      <c r="C123" s="284" t="str">
        <f>_xlfn.CONCAT(_xlfn.XLOOKUP("[S10_InstallationPenalties][9][InstallationID]",Submission!$O:$O,Submission!$H:$N,""))</f>
        <v/>
      </c>
      <c r="D123" s="348"/>
      <c r="E123" s="285"/>
      <c r="F123" s="284" t="str">
        <f>_xlfn.CONCAT(_xlfn.XLOOKUP("[S10_InstallationPenalties][9][OperatorName]",Submission!$O:$O,Submission!$H:$N,""))</f>
        <v/>
      </c>
      <c r="G123" s="348"/>
      <c r="H123" s="348"/>
      <c r="I123" s="285"/>
    </row>
    <row r="124" spans="1:9" ht="15.9" hidden="1" customHeight="1" outlineLevel="1" x14ac:dyDescent="0.3">
      <c r="A124" s="12"/>
      <c r="B124" s="23"/>
      <c r="C124" s="284" t="str">
        <f>_xlfn.CONCAT(_xlfn.XLOOKUP("[S10_InstallationPenalties][10][InstallationID]",Submission!$O:$O,Submission!$H:$N,""))</f>
        <v/>
      </c>
      <c r="D124" s="348"/>
      <c r="E124" s="285"/>
      <c r="F124" s="284" t="str">
        <f>_xlfn.CONCAT(_xlfn.XLOOKUP("[S10_InstallationPenalties][10][OperatorName]",Submission!$O:$O,Submission!$H:$N,""))</f>
        <v/>
      </c>
      <c r="G124" s="348"/>
      <c r="H124" s="348"/>
      <c r="I124" s="285"/>
    </row>
    <row r="125" spans="1:9" ht="15.9" hidden="1" customHeight="1" outlineLevel="1" x14ac:dyDescent="0.3">
      <c r="A125" s="12"/>
      <c r="B125" s="23"/>
      <c r="C125" s="284" t="str">
        <f>_xlfn.CONCAT(_xlfn.XLOOKUP("[S10_InstallationPenalties][11][InstallationID]",Submission!$O:$O,Submission!$H:$N,""))</f>
        <v/>
      </c>
      <c r="D125" s="348"/>
      <c r="E125" s="285"/>
      <c r="F125" s="284" t="str">
        <f>_xlfn.CONCAT(_xlfn.XLOOKUP("[S10_InstallationPenalties][11][OperatorName]",Submission!$O:$O,Submission!$H:$N,""))</f>
        <v/>
      </c>
      <c r="G125" s="348"/>
      <c r="H125" s="348"/>
      <c r="I125" s="285"/>
    </row>
    <row r="126" spans="1:9" ht="15.9" hidden="1" customHeight="1" outlineLevel="1" x14ac:dyDescent="0.3">
      <c r="A126" s="12"/>
      <c r="B126" s="23"/>
      <c r="C126" s="284" t="str">
        <f>_xlfn.CONCAT(_xlfn.XLOOKUP("[S10_InstallationPenalties][12][InstallationID]",Submission!$O:$O,Submission!$H:$N,""))</f>
        <v/>
      </c>
      <c r="D126" s="348"/>
      <c r="E126" s="285"/>
      <c r="F126" s="284" t="str">
        <f>_xlfn.CONCAT(_xlfn.XLOOKUP("[S10_InstallationPenalties][12][OperatorName]",Submission!$O:$O,Submission!$H:$N,""))</f>
        <v/>
      </c>
      <c r="G126" s="348"/>
      <c r="H126" s="348"/>
      <c r="I126" s="285"/>
    </row>
    <row r="127" spans="1:9" ht="15.9" customHeight="1" collapsed="1" x14ac:dyDescent="0.3">
      <c r="A127" s="13"/>
      <c r="B127" s="26" t="s">
        <v>1000</v>
      </c>
      <c r="C127" s="19"/>
    </row>
    <row r="128" spans="1:9" ht="15.9" customHeight="1" x14ac:dyDescent="0.3">
      <c r="A128" s="13"/>
      <c r="B128" s="16"/>
      <c r="C128" s="248" t="s">
        <v>1033</v>
      </c>
      <c r="D128" s="249"/>
      <c r="E128" s="249"/>
      <c r="F128" s="249"/>
      <c r="G128" s="249"/>
      <c r="H128" s="249"/>
      <c r="I128" s="249"/>
    </row>
    <row r="129" spans="1:9" ht="15.9" customHeight="1" x14ac:dyDescent="0.3">
      <c r="A129" s="13"/>
    </row>
    <row r="130" spans="1:9" s="7" customFormat="1" ht="18.899999999999999" customHeight="1" x14ac:dyDescent="0.35">
      <c r="A130" s="85" t="s">
        <v>1303</v>
      </c>
      <c r="B130" s="325" t="s">
        <v>97</v>
      </c>
      <c r="C130" s="325"/>
      <c r="D130" s="325"/>
      <c r="E130" s="325"/>
      <c r="F130" s="325"/>
      <c r="G130" s="325"/>
      <c r="H130" s="325"/>
      <c r="I130" s="326"/>
    </row>
    <row r="131" spans="1:9" ht="32.1" customHeight="1" x14ac:dyDescent="0.3">
      <c r="A131" s="12" t="s">
        <v>586</v>
      </c>
      <c r="B131" s="271" t="s">
        <v>1304</v>
      </c>
      <c r="C131" s="272"/>
      <c r="D131" s="272"/>
      <c r="E131" s="272"/>
      <c r="F131" s="272"/>
      <c r="G131" s="272"/>
      <c r="H131" s="272"/>
      <c r="I131" s="272"/>
    </row>
    <row r="132" spans="1:9" x14ac:dyDescent="0.3">
      <c r="A132" s="12"/>
      <c r="B132" s="23"/>
      <c r="C132" s="537" t="s">
        <v>1305</v>
      </c>
      <c r="D132" s="538"/>
      <c r="E132" s="538"/>
      <c r="F132" s="538"/>
      <c r="G132" s="539"/>
      <c r="H132" s="53" t="s">
        <v>709</v>
      </c>
      <c r="I132" s="53" t="s">
        <v>1306</v>
      </c>
    </row>
    <row r="133" spans="1:9" x14ac:dyDescent="0.3">
      <c r="A133" s="12"/>
      <c r="B133" s="23"/>
      <c r="C133" s="246" t="s">
        <v>1307</v>
      </c>
      <c r="D133" s="263"/>
      <c r="E133" s="263"/>
      <c r="F133" s="263"/>
      <c r="G133" s="264"/>
      <c r="H133" s="47" t="str">
        <f>_xlfn.CONCAT(_xlfn.XLOOKUP("[S10_AircraftComplianceMeasures][1][ComplianceMeasuresYesNo]",Submission!$O:$O,Submission!$H:$N,""))</f>
        <v>No</v>
      </c>
      <c r="I133" s="72" t="str">
        <f>_xlfn.CONCAT(_xlfn.XLOOKUP("[S10_AircraftComplianceMeasures][1][ComplianceMeasuresComment]",Submission!$O:$O,Submission!$H:$N,""))</f>
        <v/>
      </c>
    </row>
    <row r="134" spans="1:9" x14ac:dyDescent="0.3">
      <c r="A134" s="12"/>
      <c r="B134" s="23"/>
      <c r="C134" s="246" t="s">
        <v>1282</v>
      </c>
      <c r="D134" s="263"/>
      <c r="E134" s="263"/>
      <c r="F134" s="263"/>
      <c r="G134" s="264"/>
      <c r="H134" s="47" t="str">
        <f>_xlfn.CONCAT(_xlfn.XLOOKUP("[S10_AircraftComplianceMeasures][2][ComplianceMeasuresYesNo]",Submission!$O:$O,Submission!$H:$N,""))</f>
        <v/>
      </c>
      <c r="I134" s="72" t="str">
        <f>_xlfn.CONCAT(_xlfn.XLOOKUP("[S10_AircraftComplianceMeasures][2][ComplianceMeasuresComment]",Submission!$O:$O,Submission!$H:$N,""))</f>
        <v>no irregularities were found</v>
      </c>
    </row>
    <row r="135" spans="1:9" x14ac:dyDescent="0.3">
      <c r="A135" s="12"/>
      <c r="B135" s="23"/>
      <c r="C135" s="246" t="s">
        <v>1308</v>
      </c>
      <c r="D135" s="263"/>
      <c r="E135" s="263"/>
      <c r="F135" s="263"/>
      <c r="G135" s="264"/>
      <c r="H135" s="47" t="str">
        <f>_xlfn.CONCAT(_xlfn.XLOOKUP("[S10_AircraftComplianceMeasures][3][ComplianceMeasuresYesNo]",Submission!$O:$O,Submission!$H:$N,""))</f>
        <v>Yes</v>
      </c>
      <c r="I135" s="72" t="str">
        <f>_xlfn.CONCAT(_xlfn.XLOOKUP("[S10_AircraftComplianceMeasures][3][ComplianceMeasuresComment]",Submission!$O:$O,Submission!$H:$N,""))</f>
        <v>sending a notice as a reminder about the deadlines for performance of the aircraft operator's obligations and fines in case of non-performance</v>
      </c>
    </row>
    <row r="136" spans="1:9" x14ac:dyDescent="0.3">
      <c r="A136" s="12"/>
      <c r="B136" s="23"/>
      <c r="C136" s="246" t="s">
        <v>1309</v>
      </c>
      <c r="D136" s="263"/>
      <c r="E136" s="263"/>
      <c r="F136" s="263"/>
      <c r="G136" s="264"/>
      <c r="H136" s="47" t="str">
        <f>_xlfn.CONCAT(_xlfn.XLOOKUP("[S10_AircraftComplianceMeasures][4][ComplianceMeasuresYesNo]",Submission!$O:$O,Submission!$H:$N,""))</f>
        <v>No</v>
      </c>
      <c r="I136" s="72" t="str">
        <f>_xlfn.CONCAT(_xlfn.XLOOKUP("[S10_AircraftComplianceMeasures][4][ComplianceMeasuresComment]",Submission!$O:$O,Submission!$H:$N,""))</f>
        <v/>
      </c>
    </row>
    <row r="137" spans="1:9" x14ac:dyDescent="0.3">
      <c r="A137" s="12"/>
      <c r="B137" s="23"/>
      <c r="C137" s="246" t="s">
        <v>697</v>
      </c>
      <c r="D137" s="264"/>
      <c r="E137" s="284" t="str">
        <f>_xlfn.CONCAT(_xlfn.XLOOKUP("[S10_AircraftComplianceMeasures][5][ComplianceMeasuresOther]",Submission!$O:$O,Submission!$H:$N,""))</f>
        <v/>
      </c>
      <c r="F137" s="348"/>
      <c r="G137" s="285"/>
      <c r="H137" s="47" t="str">
        <f>_xlfn.CONCAT(_xlfn.XLOOKUP("[S10_AircraftComplianceMeasures][5][ComplianceMeasuresYesNo]",Submission!$O:$O,Submission!$H:$N,""))</f>
        <v/>
      </c>
      <c r="I137" s="72" t="str">
        <f>_xlfn.CONCAT(_xlfn.XLOOKUP("[S10_AircraftComplianceMeasures][5][ComplianceMeasuresComment]",Submission!$O:$O,Submission!$H:$N,""))</f>
        <v/>
      </c>
    </row>
    <row r="138" spans="1:9" hidden="1" outlineLevel="1" x14ac:dyDescent="0.3">
      <c r="A138" s="12"/>
      <c r="B138" s="23"/>
      <c r="C138" s="246" t="s">
        <v>1257</v>
      </c>
      <c r="D138" s="264"/>
      <c r="E138" s="284" t="str">
        <f>_xlfn.CONCAT(_xlfn.XLOOKUP("[S10_AircraftComplianceMeasures][6][ComplianceMeasuresOther]",Submission!$O:$O,Submission!$H:$N,""))</f>
        <v/>
      </c>
      <c r="F138" s="348"/>
      <c r="G138" s="285"/>
      <c r="H138" s="47" t="str">
        <f>_xlfn.CONCAT(_xlfn.XLOOKUP("[S10_AircraftComplianceMeasures][6][ComplianceMeasuresYesNo]",Submission!$O:$O,Submission!$H:$N,""))</f>
        <v/>
      </c>
      <c r="I138" s="72" t="str">
        <f>_xlfn.CONCAT(_xlfn.XLOOKUP("[S10_AircraftComplianceMeasures][6][ComplianceMeasuresComment]",Submission!$O:$O,Submission!$H:$N,""))</f>
        <v/>
      </c>
    </row>
    <row r="139" spans="1:9" hidden="1" outlineLevel="1" x14ac:dyDescent="0.3">
      <c r="A139" s="12"/>
      <c r="B139" s="23"/>
      <c r="C139" s="246" t="s">
        <v>1258</v>
      </c>
      <c r="D139" s="264"/>
      <c r="E139" s="284" t="str">
        <f>_xlfn.CONCAT(_xlfn.XLOOKUP("[S10_AircraftComplianceMeasures][7][ComplianceMeasuresOther]",Submission!$O:$O,Submission!$H:$N,""))</f>
        <v/>
      </c>
      <c r="F139" s="348"/>
      <c r="G139" s="285"/>
      <c r="H139" s="47" t="str">
        <f>_xlfn.CONCAT(_xlfn.XLOOKUP("[S10_AircraftComplianceMeasures][7][ComplianceMeasuresYesNo]",Submission!$O:$O,Submission!$H:$N,""))</f>
        <v/>
      </c>
      <c r="I139" s="72" t="str">
        <f>_xlfn.CONCAT(_xlfn.XLOOKUP("[S10_AircraftComplianceMeasures][7][ComplianceMeasuresComment]",Submission!$O:$O,Submission!$H:$N,""))</f>
        <v/>
      </c>
    </row>
    <row r="140" spans="1:9" hidden="1" outlineLevel="1" x14ac:dyDescent="0.3">
      <c r="A140" s="12"/>
      <c r="B140" s="23"/>
      <c r="C140" s="246" t="s">
        <v>1259</v>
      </c>
      <c r="D140" s="264"/>
      <c r="E140" s="284" t="str">
        <f>_xlfn.CONCAT(_xlfn.XLOOKUP("[S10_AircraftComplianceMeasures][8][ComplianceMeasuresOther]",Submission!$O:$O,Submission!$H:$N,""))</f>
        <v/>
      </c>
      <c r="F140" s="348"/>
      <c r="G140" s="285"/>
      <c r="H140" s="47" t="str">
        <f>_xlfn.CONCAT(_xlfn.XLOOKUP("[S10_AircraftComplianceMeasures][8][ComplianceMeasuresYesNo]",Submission!$O:$O,Submission!$H:$N,""))</f>
        <v/>
      </c>
      <c r="I140" s="72" t="str">
        <f>_xlfn.CONCAT(_xlfn.XLOOKUP("[S10_AircraftComplianceMeasures][8][ComplianceMeasuresComment]",Submission!$O:$O,Submission!$H:$N,""))</f>
        <v/>
      </c>
    </row>
    <row r="141" spans="1:9" ht="15.9" customHeight="1" collapsed="1" x14ac:dyDescent="0.3">
      <c r="B141" s="26" t="s">
        <v>1000</v>
      </c>
    </row>
    <row r="142" spans="1:9" ht="15.9" customHeight="1" x14ac:dyDescent="0.3"/>
    <row r="143" spans="1:9" ht="15.9" customHeight="1" x14ac:dyDescent="0.25">
      <c r="A143" s="12" t="s">
        <v>592</v>
      </c>
      <c r="B143" s="377" t="s">
        <v>1310</v>
      </c>
      <c r="C143" s="403"/>
      <c r="D143" s="403"/>
      <c r="E143" s="403"/>
      <c r="F143" s="403"/>
      <c r="G143" s="403"/>
      <c r="H143" s="403"/>
      <c r="I143" s="403"/>
    </row>
    <row r="144" spans="1:9" ht="33.6" customHeight="1" x14ac:dyDescent="0.3">
      <c r="A144" s="13"/>
      <c r="B144" s="293" t="s">
        <v>1286</v>
      </c>
      <c r="C144" s="294"/>
      <c r="D144" s="294"/>
      <c r="E144" s="294"/>
      <c r="F144" s="294"/>
      <c r="G144" s="294"/>
      <c r="H144" s="294"/>
      <c r="I144" s="294"/>
    </row>
    <row r="145" spans="1:9" x14ac:dyDescent="0.3">
      <c r="A145" s="13"/>
      <c r="C145" s="540" t="s">
        <v>1224</v>
      </c>
      <c r="D145" s="541"/>
      <c r="E145" s="524" t="s">
        <v>1225</v>
      </c>
      <c r="F145" s="524"/>
      <c r="G145" s="524" t="s">
        <v>1226</v>
      </c>
      <c r="H145" s="524"/>
      <c r="I145" s="527" t="s">
        <v>1227</v>
      </c>
    </row>
    <row r="146" spans="1:9" ht="15.9" customHeight="1" x14ac:dyDescent="0.3">
      <c r="A146" s="13"/>
      <c r="C146" s="542"/>
      <c r="D146" s="543"/>
      <c r="E146" s="43" t="s">
        <v>1311</v>
      </c>
      <c r="F146" s="43" t="s">
        <v>1229</v>
      </c>
      <c r="G146" s="43" t="s">
        <v>1228</v>
      </c>
      <c r="H146" s="43" t="s">
        <v>1229</v>
      </c>
      <c r="I146" s="528"/>
    </row>
    <row r="147" spans="1:9" ht="37.200000000000003" customHeight="1" x14ac:dyDescent="0.3">
      <c r="A147" s="13"/>
      <c r="C147" s="246" t="s">
        <v>1289</v>
      </c>
      <c r="D147" s="264"/>
      <c r="E147" s="105" t="str">
        <f>_xlfn.CONCAT(_xlfn.XLOOKUP("[S10_AircraftInfringementPenalties][1][MinFine]",Submission!$O:$O,Submission!$H:$N,""))</f>
        <v>13270</v>
      </c>
      <c r="F147" s="105" t="str">
        <f>_xlfn.CONCAT(_xlfn.XLOOKUP("[S10_AircraftInfringementPenalties][1][MaxFine]",Submission!$O:$O,Submission!$H:$N,""))</f>
        <v>66360</v>
      </c>
      <c r="G147" s="105" t="str">
        <f>_xlfn.CONCAT(_xlfn.XLOOKUP("[S10_AircraftInfringementPenalties][1][PrisonMin]",Submission!$O:$O,Submission!$H:$N,""))</f>
        <v/>
      </c>
      <c r="H147" s="105" t="str">
        <f>_xlfn.CONCAT(_xlfn.XLOOKUP("[S10_AircraftInfringementPenalties][1][PrisonMax]",Submission!$O:$O,Submission!$H:$N,""))</f>
        <v/>
      </c>
      <c r="I147" s="97" t="str">
        <f>_xlfn.CONCAT(_xlfn.XLOOKUP("[S10_AircraftInfringementPenalties][1][OtherPenalty]",Submission!$O:$O,Submission!$H:$N,""))</f>
        <v/>
      </c>
    </row>
    <row r="148" spans="1:9" ht="40.200000000000003" customHeight="1" x14ac:dyDescent="0.3">
      <c r="A148" s="13"/>
      <c r="C148" s="246" t="s">
        <v>1290</v>
      </c>
      <c r="D148" s="264"/>
      <c r="E148" s="105" t="str">
        <f>_xlfn.CONCAT(_xlfn.XLOOKUP("[S10_AircraftInfringementPenalties][2][MinFine]",Submission!$O:$O,Submission!$H:$N,""))</f>
        <v>0</v>
      </c>
      <c r="F148" s="105" t="str">
        <f>_xlfn.CONCAT(_xlfn.XLOOKUP("[S10_AircraftInfringementPenalties][2][MaxFine]",Submission!$O:$O,Submission!$H:$N,""))</f>
        <v>0</v>
      </c>
      <c r="G148" s="105" t="str">
        <f>_xlfn.CONCAT(_xlfn.XLOOKUP("[S10_AircraftInfringementPenalties][2][PrisonMin]",Submission!$O:$O,Submission!$H:$N,""))</f>
        <v/>
      </c>
      <c r="H148" s="105" t="str">
        <f>_xlfn.CONCAT(_xlfn.XLOOKUP("[S10_AircraftInfringementPenalties][2][PrisonMax]",Submission!$O:$O,Submission!$H:$N,""))</f>
        <v/>
      </c>
      <c r="I148" s="97" t="str">
        <f>_xlfn.CONCAT(_xlfn.XLOOKUP("[S10_AircraftInfringementPenalties][2][OtherPenalty]",Submission!$O:$O,Submission!$H:$N,""))</f>
        <v/>
      </c>
    </row>
    <row r="149" spans="1:9" ht="40.200000000000003" customHeight="1" x14ac:dyDescent="0.3">
      <c r="A149" s="13"/>
      <c r="C149" s="246" t="s">
        <v>1312</v>
      </c>
      <c r="D149" s="264"/>
      <c r="E149" s="105" t="str">
        <f>_xlfn.CONCAT(_xlfn.XLOOKUP("[S10_AircraftInfringementPenalties][3][MinFine]",Submission!$O:$O,Submission!$H:$N,""))</f>
        <v>0</v>
      </c>
      <c r="F149" s="105" t="str">
        <f>_xlfn.CONCAT(_xlfn.XLOOKUP("[S10_AircraftInfringementPenalties][3][MaxFine]",Submission!$O:$O,Submission!$H:$N,""))</f>
        <v>0</v>
      </c>
      <c r="G149" s="105" t="str">
        <f>_xlfn.CONCAT(_xlfn.XLOOKUP("[S10_AircraftInfringementPenalties][3][PrisonMin]",Submission!$O:$O,Submission!$H:$N,""))</f>
        <v/>
      </c>
      <c r="H149" s="105" t="str">
        <f>_xlfn.CONCAT(_xlfn.XLOOKUP("[S10_AircraftInfringementPenalties][3][PrisonMax]",Submission!$O:$O,Submission!$H:$N,""))</f>
        <v/>
      </c>
      <c r="I149" s="97" t="str">
        <f>_xlfn.CONCAT(_xlfn.XLOOKUP("[S10_AircraftInfringementPenalties][3][OtherPenalty]",Submission!$O:$O,Submission!$H:$N,""))</f>
        <v/>
      </c>
    </row>
    <row r="150" spans="1:9" ht="40.200000000000003" customHeight="1" x14ac:dyDescent="0.3">
      <c r="C150" s="246" t="s">
        <v>1293</v>
      </c>
      <c r="D150" s="264"/>
      <c r="E150" s="105" t="str">
        <f>_xlfn.CONCAT(_xlfn.XLOOKUP("[S10_AircraftInfringementPenalties][4][MinFine]",Submission!$O:$O,Submission!$H:$N,""))</f>
        <v>3980</v>
      </c>
      <c r="F150" s="105" t="str">
        <f>_xlfn.CONCAT(_xlfn.XLOOKUP("[S10_AircraftInfringementPenalties][4][MaxFine]",Submission!$O:$O,Submission!$H:$N,""))</f>
        <v>13270</v>
      </c>
      <c r="G150" s="105" t="str">
        <f>_xlfn.CONCAT(_xlfn.XLOOKUP("[S10_AircraftInfringementPenalties][4][PrisonMin]",Submission!$O:$O,Submission!$H:$N,""))</f>
        <v/>
      </c>
      <c r="H150" s="105" t="str">
        <f>_xlfn.CONCAT(_xlfn.XLOOKUP("[S10_AircraftInfringementPenalties][4][PrisonMax]",Submission!$O:$O,Submission!$H:$N,""))</f>
        <v/>
      </c>
      <c r="I150" s="97" t="str">
        <f>_xlfn.CONCAT(_xlfn.XLOOKUP("[S10_AircraftInfringementPenalties][4][OtherPenalty]",Submission!$O:$O,Submission!$H:$N,""))</f>
        <v/>
      </c>
    </row>
    <row r="151" spans="1:9" ht="37.200000000000003" customHeight="1" x14ac:dyDescent="0.3">
      <c r="C151" s="246" t="s">
        <v>1313</v>
      </c>
      <c r="D151" s="264"/>
      <c r="E151" s="105" t="str">
        <f>_xlfn.CONCAT(_xlfn.XLOOKUP("[S10_AircraftInfringementPenalties][5][MinFine]",Submission!$O:$O,Submission!$H:$N,""))</f>
        <v>0</v>
      </c>
      <c r="F151" s="105" t="str">
        <f>_xlfn.CONCAT(_xlfn.XLOOKUP("[S10_AircraftInfringementPenalties][5][MaxFine]",Submission!$O:$O,Submission!$H:$N,""))</f>
        <v>0</v>
      </c>
      <c r="G151" s="105" t="str">
        <f>_xlfn.CONCAT(_xlfn.XLOOKUP("[S10_AircraftInfringementPenalties][5][PrisonMin]",Submission!$O:$O,Submission!$H:$N,""))</f>
        <v/>
      </c>
      <c r="H151" s="105" t="str">
        <f>_xlfn.CONCAT(_xlfn.XLOOKUP("[S10_AircraftInfringementPenalties][5][PrisonMax]",Submission!$O:$O,Submission!$H:$N,""))</f>
        <v/>
      </c>
      <c r="I151" s="97" t="str">
        <f>_xlfn.CONCAT(_xlfn.XLOOKUP("[S10_AircraftInfringementPenalties][5][OtherPenalty]",Submission!$O:$O,Submission!$H:$N,""))</f>
        <v/>
      </c>
    </row>
    <row r="152" spans="1:9" ht="37.200000000000003" customHeight="1" x14ac:dyDescent="0.3">
      <c r="C152" s="246" t="s">
        <v>1294</v>
      </c>
      <c r="D152" s="264"/>
      <c r="E152" s="105" t="str">
        <f>_xlfn.CONCAT(_xlfn.XLOOKUP("[S10_AircraftInfringementPenalties][6][MinFine]",Submission!$O:$O,Submission!$H:$N,""))</f>
        <v>13270</v>
      </c>
      <c r="F152" s="105" t="str">
        <f>_xlfn.CONCAT(_xlfn.XLOOKUP("[S10_AircraftInfringementPenalties][6][MaxFine]",Submission!$O:$O,Submission!$H:$N,""))</f>
        <v>66360</v>
      </c>
      <c r="G152" s="105" t="str">
        <f>_xlfn.CONCAT(_xlfn.XLOOKUP("[S10_AircraftInfringementPenalties][6][PrisonMin]",Submission!$O:$O,Submission!$H:$N,""))</f>
        <v/>
      </c>
      <c r="H152" s="105" t="str">
        <f>_xlfn.CONCAT(_xlfn.XLOOKUP("[S10_AircraftInfringementPenalties][6][PrisonMax]",Submission!$O:$O,Submission!$H:$N,""))</f>
        <v/>
      </c>
      <c r="I152" s="97" t="str">
        <f>_xlfn.CONCAT(_xlfn.XLOOKUP("[S10_AircraftInfringementPenalties][6][OtherPenalty]",Submission!$O:$O,Submission!$H:$N,""))</f>
        <v/>
      </c>
    </row>
    <row r="153" spans="1:9" ht="37.200000000000003" customHeight="1" x14ac:dyDescent="0.3">
      <c r="C153" s="246" t="s">
        <v>1295</v>
      </c>
      <c r="D153" s="264"/>
      <c r="E153" s="105" t="str">
        <f>_xlfn.CONCAT(_xlfn.XLOOKUP("[S10_AircraftInfringementPenalties][7][MinFine]",Submission!$O:$O,Submission!$H:$N,""))</f>
        <v>0</v>
      </c>
      <c r="F153" s="105" t="str">
        <f>_xlfn.CONCAT(_xlfn.XLOOKUP("[S10_AircraftInfringementPenalties][7][MaxFine]",Submission!$O:$O,Submission!$H:$N,""))</f>
        <v>0</v>
      </c>
      <c r="G153" s="105" t="str">
        <f>_xlfn.CONCAT(_xlfn.XLOOKUP("[S10_AircraftInfringementPenalties][7][PrisonMin]",Submission!$O:$O,Submission!$H:$N,""))</f>
        <v/>
      </c>
      <c r="H153" s="105" t="str">
        <f>_xlfn.CONCAT(_xlfn.XLOOKUP("[S10_AircraftInfringementPenalties][7][PrisonMax]",Submission!$O:$O,Submission!$H:$N,""))</f>
        <v/>
      </c>
      <c r="I153" s="97" t="str">
        <f>_xlfn.CONCAT(_xlfn.XLOOKUP("[S10_AircraftInfringementPenalties][7][OtherPenalty]",Submission!$O:$O,Submission!$H:$N,""))</f>
        <v/>
      </c>
    </row>
    <row r="154" spans="1:9" ht="37.200000000000003" customHeight="1" x14ac:dyDescent="0.3">
      <c r="C154" s="246" t="s">
        <v>1296</v>
      </c>
      <c r="D154" s="264"/>
      <c r="E154" s="105" t="str">
        <f>_xlfn.CONCAT(_xlfn.XLOOKUP("[S10_AircraftInfringementPenalties][8][MinFine]",Submission!$O:$O,Submission!$H:$N,""))</f>
        <v>0</v>
      </c>
      <c r="F154" s="105" t="str">
        <f>_xlfn.CONCAT(_xlfn.XLOOKUP("[S10_AircraftInfringementPenalties][8][MaxFine]",Submission!$O:$O,Submission!$H:$N,""))</f>
        <v>0</v>
      </c>
      <c r="G154" s="105" t="str">
        <f>_xlfn.CONCAT(_xlfn.XLOOKUP("[S10_AircraftInfringementPenalties][8][PrisonMin]",Submission!$O:$O,Submission!$H:$N,""))</f>
        <v/>
      </c>
      <c r="H154" s="105" t="str">
        <f>_xlfn.CONCAT(_xlfn.XLOOKUP("[S10_AircraftInfringementPenalties][8][PrisonMax]",Submission!$O:$O,Submission!$H:$N,""))</f>
        <v/>
      </c>
      <c r="I154" s="97" t="str">
        <f>_xlfn.CONCAT(_xlfn.XLOOKUP("[S10_AircraftInfringementPenalties][8][OtherPenalty]",Submission!$O:$O,Submission!$H:$N,""))</f>
        <v/>
      </c>
    </row>
    <row r="155" spans="1:9" ht="37.200000000000003" customHeight="1" x14ac:dyDescent="0.3">
      <c r="C155" s="246" t="s">
        <v>1297</v>
      </c>
      <c r="D155" s="264"/>
      <c r="E155" s="105" t="str">
        <f>_xlfn.CONCAT(_xlfn.XLOOKUP("[S10_AircraftInfringementPenalties][9][MinFine]",Submission!$O:$O,Submission!$H:$N,""))</f>
        <v>0</v>
      </c>
      <c r="F155" s="105" t="str">
        <f>_xlfn.CONCAT(_xlfn.XLOOKUP("[S10_AircraftInfringementPenalties][9][MaxFine]",Submission!$O:$O,Submission!$H:$N,""))</f>
        <v>0</v>
      </c>
      <c r="G155" s="105" t="str">
        <f>_xlfn.CONCAT(_xlfn.XLOOKUP("[S10_AircraftInfringementPenalties][9][PrisonMin]",Submission!$O:$O,Submission!$H:$N,""))</f>
        <v/>
      </c>
      <c r="H155" s="105" t="str">
        <f>_xlfn.CONCAT(_xlfn.XLOOKUP("[S10_AircraftInfringementPenalties][9][PrisonMax]",Submission!$O:$O,Submission!$H:$N,""))</f>
        <v/>
      </c>
      <c r="I155" s="97" t="str">
        <f>_xlfn.CONCAT(_xlfn.XLOOKUP("[S10_AircraftInfringementPenalties][9][OtherPenalty]",Submission!$O:$O,Submission!$H:$N,""))</f>
        <v/>
      </c>
    </row>
    <row r="156" spans="1:9" ht="37.200000000000003" customHeight="1" x14ac:dyDescent="0.3">
      <c r="C156" s="246" t="s">
        <v>1314</v>
      </c>
      <c r="D156" s="264"/>
      <c r="E156" s="105" t="str">
        <f>_xlfn.CONCAT(_xlfn.XLOOKUP("[S10_AircraftInfringementPenalties][10][MinFine]",Submission!$O:$O,Submission!$H:$N,""))</f>
        <v>0</v>
      </c>
      <c r="F156" s="105" t="str">
        <f>_xlfn.CONCAT(_xlfn.XLOOKUP("[S10_AircraftInfringementPenalties][10][MaxFine]",Submission!$O:$O,Submission!$H:$N,""))</f>
        <v>0</v>
      </c>
      <c r="G156" s="105" t="str">
        <f>_xlfn.CONCAT(_xlfn.XLOOKUP("[S10_AircraftInfringementPenalties][10][PrisonMin]",Submission!$O:$O,Submission!$H:$N,""))</f>
        <v/>
      </c>
      <c r="H156" s="105" t="str">
        <f>_xlfn.CONCAT(_xlfn.XLOOKUP("[S10_AircraftInfringementPenalties][10][PrisonMax]",Submission!$O:$O,Submission!$H:$N,""))</f>
        <v/>
      </c>
      <c r="I156" s="97" t="str">
        <f>_xlfn.CONCAT(_xlfn.XLOOKUP("[S10_AircraftInfringementPenalties][10][OtherPenalty]",Submission!$O:$O,Submission!$H:$N,""))</f>
        <v/>
      </c>
    </row>
    <row r="157" spans="1:9" ht="40.950000000000003" customHeight="1" x14ac:dyDescent="0.3">
      <c r="C157" s="246" t="s">
        <v>1315</v>
      </c>
      <c r="D157" s="264"/>
      <c r="E157" s="105" t="str">
        <f>_xlfn.CONCAT(_xlfn.XLOOKUP("[S10_AircraftInfringementPenalties][11][MinFine]",Submission!$O:$O,Submission!$H:$N,""))</f>
        <v>0</v>
      </c>
      <c r="F157" s="105" t="str">
        <f>_xlfn.CONCAT(_xlfn.XLOOKUP("[S10_AircraftInfringementPenalties][11][MaxFine]",Submission!$O:$O,Submission!$H:$N,""))</f>
        <v>0</v>
      </c>
      <c r="G157" s="105" t="str">
        <f>_xlfn.CONCAT(_xlfn.XLOOKUP("[S10_AircraftInfringementPenalties][11][PrisonMin]",Submission!$O:$O,Submission!$H:$N,""))</f>
        <v/>
      </c>
      <c r="H157" s="105" t="str">
        <f>_xlfn.CONCAT(_xlfn.XLOOKUP("[S10_AircraftInfringementPenalties][11][PrisonMax]",Submission!$O:$O,Submission!$H:$N,""))</f>
        <v/>
      </c>
      <c r="I157" s="97" t="str">
        <f>_xlfn.CONCAT(_xlfn.XLOOKUP("[S10_AircraftInfringementPenalties][11][OtherPenalty]",Submission!$O:$O,Submission!$H:$N,""))</f>
        <v/>
      </c>
    </row>
    <row r="158" spans="1:9" ht="37.200000000000003" customHeight="1" x14ac:dyDescent="0.3">
      <c r="C158" s="93" t="s">
        <v>697</v>
      </c>
      <c r="D158" s="97" t="str">
        <f>_xlfn.CONCAT(_xlfn.XLOOKUP("[S10_AircraftInfringementPenalties][12][InfringementOther]",Submission!$O:$O,Submission!$H:$N,""))</f>
        <v/>
      </c>
      <c r="E158" s="105" t="str">
        <f>_xlfn.CONCAT(_xlfn.XLOOKUP("[S10_AircraftInfringementPenalties][12][MinFine]",Submission!$O:$O,Submission!$H:$N,""))</f>
        <v/>
      </c>
      <c r="F158" s="105" t="str">
        <f>_xlfn.CONCAT(_xlfn.XLOOKUP("[S10_AircraftInfringementPenalties][12][MaxFine]",Submission!$O:$O,Submission!$H:$N,""))</f>
        <v/>
      </c>
      <c r="G158" s="105" t="str">
        <f>_xlfn.CONCAT(_xlfn.XLOOKUP("[S10_AircraftInfringementPenalties][12][PrisonMin]",Submission!$O:$O,Submission!$H:$N,""))</f>
        <v/>
      </c>
      <c r="H158" s="105" t="str">
        <f>_xlfn.CONCAT(_xlfn.XLOOKUP("[S10_AircraftInfringementPenalties][12][PrisonMax]",Submission!$O:$O,Submission!$H:$N,""))</f>
        <v/>
      </c>
      <c r="I158" s="97" t="str">
        <f>_xlfn.CONCAT(_xlfn.XLOOKUP("[S10_AircraftInfringementPenalties][12][OtherPenalty]",Submission!$O:$O,Submission!$H:$N,""))</f>
        <v/>
      </c>
    </row>
    <row r="159" spans="1:9" ht="37.200000000000003" hidden="1" customHeight="1" outlineLevel="1" x14ac:dyDescent="0.3">
      <c r="C159" s="93" t="s">
        <v>1257</v>
      </c>
      <c r="D159" s="97" t="str">
        <f>_xlfn.CONCAT(_xlfn.XLOOKUP("[S10_AircraftInfringementPenalties][13][InfringementOther]",Submission!$O:$O,Submission!$H:$N,""))</f>
        <v/>
      </c>
      <c r="E159" s="105" t="str">
        <f>_xlfn.CONCAT(_xlfn.XLOOKUP("[S10_AircraftInfringementPenalties][13][MinFine]",Submission!$O:$O,Submission!$H:$N,""))</f>
        <v/>
      </c>
      <c r="F159" s="105" t="str">
        <f>_xlfn.CONCAT(_xlfn.XLOOKUP("[S10_AircraftInfringementPenalties][13][MaxFine]",Submission!$O:$O,Submission!$H:$N,""))</f>
        <v/>
      </c>
      <c r="G159" s="105" t="str">
        <f>_xlfn.CONCAT(_xlfn.XLOOKUP("[S10_AircraftInfringementPenalties][13][PrisonMin]",Submission!$O:$O,Submission!$H:$N,""))</f>
        <v/>
      </c>
      <c r="H159" s="105" t="str">
        <f>_xlfn.CONCAT(_xlfn.XLOOKUP("[S10_AircraftInfringementPenalties][13][PrisonMax]",Submission!$O:$O,Submission!$H:$N,""))</f>
        <v/>
      </c>
      <c r="I159" s="97" t="str">
        <f>_xlfn.CONCAT(_xlfn.XLOOKUP("[S10_AircraftInfringementPenalties][13][OtherPenalty]",Submission!$O:$O,Submission!$H:$N,""))</f>
        <v/>
      </c>
    </row>
    <row r="160" spans="1:9" ht="37.200000000000003" hidden="1" customHeight="1" outlineLevel="1" x14ac:dyDescent="0.3">
      <c r="C160" s="93" t="s">
        <v>1258</v>
      </c>
      <c r="D160" s="97" t="str">
        <f>_xlfn.CONCAT(_xlfn.XLOOKUP("[S10_AircraftInfringementPenalties][14][InfringementOther]",Submission!$O:$O,Submission!$H:$N,""))</f>
        <v/>
      </c>
      <c r="E160" s="105" t="str">
        <f>_xlfn.CONCAT(_xlfn.XLOOKUP("[S10_AircraftInfringementPenalties][14][MinFine]",Submission!$O:$O,Submission!$H:$N,""))</f>
        <v/>
      </c>
      <c r="F160" s="105" t="str">
        <f>_xlfn.CONCAT(_xlfn.XLOOKUP("[S10_AircraftInfringementPenalties][14][MaxFine]",Submission!$O:$O,Submission!$H:$N,""))</f>
        <v/>
      </c>
      <c r="G160" s="105" t="str">
        <f>_xlfn.CONCAT(_xlfn.XLOOKUP("[S10_AircraftInfringementPenalties][14][PrisonMin]",Submission!$O:$O,Submission!$H:$N,""))</f>
        <v/>
      </c>
      <c r="H160" s="105" t="str">
        <f>_xlfn.CONCAT(_xlfn.XLOOKUP("[S10_AircraftInfringementPenalties][14][PrisonMax]",Submission!$O:$O,Submission!$H:$N,""))</f>
        <v/>
      </c>
      <c r="I160" s="97" t="str">
        <f>_xlfn.CONCAT(_xlfn.XLOOKUP("[S10_AircraftInfringementPenalties][14][OtherPenalty]",Submission!$O:$O,Submission!$H:$N,""))</f>
        <v/>
      </c>
    </row>
    <row r="161" spans="1:9" ht="37.200000000000003" hidden="1" customHeight="1" outlineLevel="1" x14ac:dyDescent="0.3">
      <c r="C161" s="93" t="s">
        <v>1259</v>
      </c>
      <c r="D161" s="97" t="str">
        <f>_xlfn.CONCAT(_xlfn.XLOOKUP("[S10_AircraftInfringementPenalties][15][InfringementOther]",Submission!$O:$O,Submission!$H:$N,""))</f>
        <v/>
      </c>
      <c r="E161" s="105" t="str">
        <f>_xlfn.CONCAT(_xlfn.XLOOKUP("[S10_AircraftInfringementPenalties][15][MinFine]",Submission!$O:$O,Submission!$H:$N,""))</f>
        <v/>
      </c>
      <c r="F161" s="105" t="str">
        <f>_xlfn.CONCAT(_xlfn.XLOOKUP("[S10_AircraftInfringementPenalties][15][MaxFine]",Submission!$O:$O,Submission!$H:$N,""))</f>
        <v/>
      </c>
      <c r="G161" s="105" t="str">
        <f>_xlfn.CONCAT(_xlfn.XLOOKUP("[S10_AircraftInfringementPenalties][15][PrisonMin]",Submission!$O:$O,Submission!$H:$N,""))</f>
        <v/>
      </c>
      <c r="H161" s="105" t="str">
        <f>_xlfn.CONCAT(_xlfn.XLOOKUP("[S10_AircraftInfringementPenalties][15][PrisonMax]",Submission!$O:$O,Submission!$H:$N,""))</f>
        <v/>
      </c>
      <c r="I161" s="97" t="str">
        <f>_xlfn.CONCAT(_xlfn.XLOOKUP("[S10_AircraftInfringementPenalties][15][OtherPenalty]",Submission!$O:$O,Submission!$H:$N,""))</f>
        <v/>
      </c>
    </row>
    <row r="162" spans="1:9" ht="15.9" customHeight="1" collapsed="1" x14ac:dyDescent="0.3">
      <c r="B162" s="26" t="s">
        <v>1000</v>
      </c>
      <c r="C162" s="14"/>
      <c r="D162" s="14"/>
      <c r="E162" s="14"/>
      <c r="F162" s="14"/>
      <c r="G162" s="14"/>
      <c r="H162" s="14"/>
      <c r="I162" s="14"/>
    </row>
    <row r="163" spans="1:9" ht="15.9" customHeight="1" x14ac:dyDescent="0.3">
      <c r="B163" s="16"/>
      <c r="C163" s="14"/>
      <c r="D163" s="14"/>
      <c r="E163" s="14"/>
      <c r="F163" s="14"/>
      <c r="G163" s="14"/>
      <c r="H163" s="14"/>
      <c r="I163" s="14"/>
    </row>
    <row r="164" spans="1:9" ht="15.9" customHeight="1" x14ac:dyDescent="0.3">
      <c r="B164" s="293" t="s">
        <v>1298</v>
      </c>
      <c r="C164" s="294"/>
      <c r="D164" s="294"/>
      <c r="E164" s="294"/>
      <c r="F164" s="294"/>
      <c r="G164" s="294"/>
      <c r="H164" s="294"/>
      <c r="I164" s="294"/>
    </row>
    <row r="165" spans="1:9" ht="15.9" customHeight="1" x14ac:dyDescent="0.3">
      <c r="B165" s="18"/>
      <c r="C165" s="407" t="str">
        <f>_xlfn.CONCAT(_xlfn.XLOOKUP("[AircraftNationalLaw][0][AircraftNationalLaw]",Submission!$O:$O,Submission!$H:$N,""))</f>
        <v>Zakon o klimatskim promjenama i zaštiti ozonskog sloja - („Narodne novine“ broj 127/19) -  Law on Climate Change and Protection of the Ozone Layer (OG 127/2019)</v>
      </c>
      <c r="D165" s="407"/>
      <c r="E165" s="407"/>
      <c r="F165" s="407"/>
      <c r="G165" s="407"/>
      <c r="H165" s="407"/>
      <c r="I165" s="407"/>
    </row>
    <row r="166" spans="1:9" ht="15.9" customHeight="1" x14ac:dyDescent="0.3">
      <c r="B166" s="16"/>
      <c r="C166" s="14"/>
      <c r="D166" s="14"/>
      <c r="E166" s="14"/>
      <c r="F166" s="14"/>
      <c r="G166" s="14"/>
      <c r="H166" s="14"/>
      <c r="I166" s="14"/>
    </row>
    <row r="167" spans="1:9" ht="32.1" customHeight="1" x14ac:dyDescent="0.3">
      <c r="A167" s="12" t="s">
        <v>594</v>
      </c>
      <c r="B167" s="293" t="s">
        <v>1316</v>
      </c>
      <c r="C167" s="294"/>
      <c r="D167" s="294"/>
      <c r="E167" s="294"/>
      <c r="F167" s="294"/>
      <c r="G167" s="294"/>
      <c r="H167" s="294"/>
      <c r="I167" s="294"/>
    </row>
    <row r="168" spans="1:9" ht="15.9" customHeight="1" x14ac:dyDescent="0.3">
      <c r="A168" s="13"/>
      <c r="C168" s="464" t="s">
        <v>1317</v>
      </c>
      <c r="D168" s="464"/>
      <c r="E168" s="464"/>
      <c r="F168" s="464"/>
      <c r="G168" s="464"/>
      <c r="H168" s="464"/>
      <c r="I168" s="464"/>
    </row>
    <row r="169" spans="1:9" ht="25.5" customHeight="1" x14ac:dyDescent="0.3">
      <c r="A169" s="13"/>
      <c r="C169" s="501" t="s">
        <v>1224</v>
      </c>
      <c r="D169" s="544"/>
      <c r="E169" s="260" t="s">
        <v>1240</v>
      </c>
      <c r="F169" s="261"/>
      <c r="G169" s="262"/>
      <c r="H169" s="499" t="s">
        <v>1241</v>
      </c>
      <c r="I169" s="499" t="s">
        <v>1318</v>
      </c>
    </row>
    <row r="170" spans="1:9" ht="29.25" customHeight="1" x14ac:dyDescent="0.3">
      <c r="A170" s="13"/>
      <c r="C170" s="545"/>
      <c r="D170" s="546"/>
      <c r="E170" s="42" t="s">
        <v>1225</v>
      </c>
      <c r="F170" s="42" t="s">
        <v>1226</v>
      </c>
      <c r="G170" s="42" t="s">
        <v>1227</v>
      </c>
      <c r="H170" s="520"/>
      <c r="I170" s="520"/>
    </row>
    <row r="171" spans="1:9" ht="39.6" customHeight="1" x14ac:dyDescent="0.3">
      <c r="A171" s="13"/>
      <c r="C171" s="284" t="str">
        <f>_xlfn.CONCAT(_xlfn.XLOOKUP("[S10_AircraftPenaltiesImposed][1][InfringementType]",Submission!$O:$O,Submission!$H:$N,""))</f>
        <v/>
      </c>
      <c r="D171" s="285"/>
      <c r="E171" s="105" t="str">
        <f>_xlfn.CONCAT(_xlfn.XLOOKUP("[S10_AircraftPenaltiesImposed][1][ActualFines]",Submission!$O:$O,Submission!$H:$N,""))</f>
        <v/>
      </c>
      <c r="F171" s="105" t="str">
        <f>_xlfn.CONCAT(_xlfn.XLOOKUP("[S10_AircraftPenaltiesImposed][1][ActualImprisonment]",Submission!$O:$O,Submission!$H:$N,""))</f>
        <v/>
      </c>
      <c r="G171" s="72" t="str">
        <f>_xlfn.CONCAT(_xlfn.XLOOKUP("[S10_AircraftPenaltiesImposed][1][ACtualOtherPenalties]",Submission!$O:$O,Submission!$H:$N,""))</f>
        <v/>
      </c>
      <c r="H171" s="64" t="str">
        <f>_xlfn.CONCAT(_xlfn.XLOOKUP("[S10_AircraftPenaltiesImposed][1][OngoingProceedings]",Submission!$O:$O,Submission!$H:$N,""))</f>
        <v/>
      </c>
      <c r="I171" s="98" t="str">
        <f>_xlfn.CONCAT(_xlfn.XLOOKUP("[S10_AircraftPenaltiesImposed][1][PenaltyEnforcedWithinPeriod]",Submission!$O:$O,Submission!$H:$N,""))</f>
        <v/>
      </c>
    </row>
    <row r="172" spans="1:9" ht="39.6" customHeight="1" x14ac:dyDescent="0.3">
      <c r="A172" s="13"/>
      <c r="C172" s="284" t="str">
        <f>_xlfn.CONCAT(_xlfn.XLOOKUP("[S10_AircraftPenaltiesImposed][2][InfringementType]",Submission!$O:$O,Submission!$H:$N,""))</f>
        <v/>
      </c>
      <c r="D172" s="285"/>
      <c r="E172" s="105" t="str">
        <f>_xlfn.CONCAT(_xlfn.XLOOKUP("[S10_AircraftPenaltiesImposed][2][ActualFines]",Submission!$O:$O,Submission!$H:$N,""))</f>
        <v/>
      </c>
      <c r="F172" s="105" t="str">
        <f>_xlfn.CONCAT(_xlfn.XLOOKUP("[S10_AircraftPenaltiesImposed][2][ActualImprisonment]",Submission!$O:$O,Submission!$H:$N,""))</f>
        <v/>
      </c>
      <c r="G172" s="72" t="str">
        <f>_xlfn.CONCAT(_xlfn.XLOOKUP("[S10_AircraftPenaltiesImposed][2][ACtualOtherPenalties]",Submission!$O:$O,Submission!$H:$N,""))</f>
        <v/>
      </c>
      <c r="H172" s="64" t="str">
        <f>_xlfn.CONCAT(_xlfn.XLOOKUP("[S10_AircraftPenaltiesImposed][2][OngoingProceedings]",Submission!$O:$O,Submission!$H:$N,""))</f>
        <v/>
      </c>
      <c r="I172" s="98" t="str">
        <f>_xlfn.CONCAT(_xlfn.XLOOKUP("[S10_AircraftPenaltiesImposed][2][PenaltyEnforcedWithinPeriod]",Submission!$O:$O,Submission!$H:$N,""))</f>
        <v/>
      </c>
    </row>
    <row r="173" spans="1:9" ht="39.6" customHeight="1" x14ac:dyDescent="0.3">
      <c r="A173" s="13"/>
      <c r="C173" s="284" t="str">
        <f>_xlfn.CONCAT(_xlfn.XLOOKUP("[S10_AircraftPenaltiesImposed][3][InfringementType]",Submission!$O:$O,Submission!$H:$N,""))</f>
        <v/>
      </c>
      <c r="D173" s="285"/>
      <c r="E173" s="105" t="str">
        <f>_xlfn.CONCAT(_xlfn.XLOOKUP("[S10_AircraftPenaltiesImposed][3][ActualFines]",Submission!$O:$O,Submission!$H:$N,""))</f>
        <v/>
      </c>
      <c r="F173" s="105" t="str">
        <f>_xlfn.CONCAT(_xlfn.XLOOKUP("[S10_AircraftPenaltiesImposed][3][ActualImprisonment]",Submission!$O:$O,Submission!$H:$N,""))</f>
        <v/>
      </c>
      <c r="G173" s="72" t="str">
        <f>_xlfn.CONCAT(_xlfn.XLOOKUP("[S10_AircraftPenaltiesImposed][3][ACtualOtherPenalties]",Submission!$O:$O,Submission!$H:$N,""))</f>
        <v/>
      </c>
      <c r="H173" s="64" t="str">
        <f>_xlfn.CONCAT(_xlfn.XLOOKUP("[S10_AircraftPenaltiesImposed][3][OngoingProceedings]",Submission!$O:$O,Submission!$H:$N,""))</f>
        <v/>
      </c>
      <c r="I173" s="98" t="str">
        <f>_xlfn.CONCAT(_xlfn.XLOOKUP("[S10_AircraftPenaltiesImposed][3][PenaltyEnforcedWithinPeriod]",Submission!$O:$O,Submission!$H:$N,""))</f>
        <v/>
      </c>
    </row>
    <row r="174" spans="1:9" ht="39.6" hidden="1" customHeight="1" outlineLevel="1" x14ac:dyDescent="0.3">
      <c r="A174" s="13"/>
      <c r="C174" s="284" t="str">
        <f>_xlfn.CONCAT(_xlfn.XLOOKUP("[S10_AircraftPenaltiesImposed][4][InfringementType]",Submission!$O:$O,Submission!$H:$N,""))</f>
        <v/>
      </c>
      <c r="D174" s="285"/>
      <c r="E174" s="105" t="str">
        <f>_xlfn.CONCAT(_xlfn.XLOOKUP("[S10_AircraftPenaltiesImposed][4][ActualFines]",Submission!$O:$O,Submission!$H:$N,""))</f>
        <v/>
      </c>
      <c r="F174" s="105" t="str">
        <f>_xlfn.CONCAT(_xlfn.XLOOKUP("[S10_AircraftPenaltiesImposed][4][ActualImprisonment]",Submission!$O:$O,Submission!$H:$N,""))</f>
        <v/>
      </c>
      <c r="G174" s="72" t="str">
        <f>_xlfn.CONCAT(_xlfn.XLOOKUP("[S10_AircraftPenaltiesImposed][4][ACtualOtherPenalties]",Submission!$O:$O,Submission!$H:$N,""))</f>
        <v/>
      </c>
      <c r="H174" s="64" t="str">
        <f>_xlfn.CONCAT(_xlfn.XLOOKUP("[S10_AircraftPenaltiesImposed][4][OngoingProceedings]",Submission!$O:$O,Submission!$H:$N,""))</f>
        <v/>
      </c>
      <c r="I174" s="98" t="str">
        <f>_xlfn.CONCAT(_xlfn.XLOOKUP("[S10_AircraftPenaltiesImposed][4][PenaltyEnforcedWithinPeriod]",Submission!$O:$O,Submission!$H:$N,""))</f>
        <v/>
      </c>
    </row>
    <row r="175" spans="1:9" ht="39.6" hidden="1" customHeight="1" outlineLevel="1" x14ac:dyDescent="0.3">
      <c r="A175" s="13"/>
      <c r="C175" s="284" t="str">
        <f>_xlfn.CONCAT(_xlfn.XLOOKUP("[S10_AircraftPenaltiesImposed][5][InfringementType]",Submission!$O:$O,Submission!$H:$N,""))</f>
        <v/>
      </c>
      <c r="D175" s="285"/>
      <c r="E175" s="105" t="str">
        <f>_xlfn.CONCAT(_xlfn.XLOOKUP("[S10_AircraftPenaltiesImposed][5][ActualFines]",Submission!$O:$O,Submission!$H:$N,""))</f>
        <v/>
      </c>
      <c r="F175" s="105" t="str">
        <f>_xlfn.CONCAT(_xlfn.XLOOKUP("[S10_AircraftPenaltiesImposed][5][ActualImprisonment]",Submission!$O:$O,Submission!$H:$N,""))</f>
        <v/>
      </c>
      <c r="G175" s="72" t="str">
        <f>_xlfn.CONCAT(_xlfn.XLOOKUP("[S10_AircraftPenaltiesImposed][5][ACtualOtherPenalties]",Submission!$O:$O,Submission!$H:$N,""))</f>
        <v/>
      </c>
      <c r="H175" s="64" t="str">
        <f>_xlfn.CONCAT(_xlfn.XLOOKUP("[S10_AircraftPenaltiesImposed][5][OngoingProceedings]",Submission!$O:$O,Submission!$H:$N,""))</f>
        <v/>
      </c>
      <c r="I175" s="98" t="str">
        <f>_xlfn.CONCAT(_xlfn.XLOOKUP("[S10_AircraftPenaltiesImposed][5][PenaltyEnforcedWithinPeriod]",Submission!$O:$O,Submission!$H:$N,""))</f>
        <v/>
      </c>
    </row>
    <row r="176" spans="1:9" ht="39.6" hidden="1" customHeight="1" outlineLevel="1" x14ac:dyDescent="0.3">
      <c r="A176" s="13"/>
      <c r="C176" s="284" t="str">
        <f>_xlfn.CONCAT(_xlfn.XLOOKUP("[S10_AircraftPenaltiesImposed][6][InfringementType]",Submission!$O:$O,Submission!$H:$N,""))</f>
        <v/>
      </c>
      <c r="D176" s="285"/>
      <c r="E176" s="105" t="str">
        <f>_xlfn.CONCAT(_xlfn.XLOOKUP("[S10_AircraftPenaltiesImposed][6][ActualFines]",Submission!$O:$O,Submission!$H:$N,""))</f>
        <v/>
      </c>
      <c r="F176" s="105" t="str">
        <f>_xlfn.CONCAT(_xlfn.XLOOKUP("[S10_AircraftPenaltiesImposed][6][ActualImprisonment]",Submission!$O:$O,Submission!$H:$N,""))</f>
        <v/>
      </c>
      <c r="G176" s="72" t="str">
        <f>_xlfn.CONCAT(_xlfn.XLOOKUP("[S10_AircraftPenaltiesImposed][6][ACtualOtherPenalties]",Submission!$O:$O,Submission!$H:$N,""))</f>
        <v/>
      </c>
      <c r="H176" s="64" t="str">
        <f>_xlfn.CONCAT(_xlfn.XLOOKUP("[S10_AircraftPenaltiesImposed][6][OngoingProceedings]",Submission!$O:$O,Submission!$H:$N,""))</f>
        <v/>
      </c>
      <c r="I176" s="98" t="str">
        <f>_xlfn.CONCAT(_xlfn.XLOOKUP("[S10_AircraftPenaltiesImposed][6][PenaltyEnforcedWithinPeriod]",Submission!$O:$O,Submission!$H:$N,""))</f>
        <v/>
      </c>
    </row>
    <row r="177" spans="1:9" ht="39.6" hidden="1" customHeight="1" outlineLevel="1" x14ac:dyDescent="0.3">
      <c r="A177" s="13"/>
      <c r="C177" s="284" t="str">
        <f>_xlfn.CONCAT(_xlfn.XLOOKUP("[S10_AircraftPenaltiesImposed][7][InfringementType]",Submission!$O:$O,Submission!$H:$N,""))</f>
        <v/>
      </c>
      <c r="D177" s="285"/>
      <c r="E177" s="105" t="str">
        <f>_xlfn.CONCAT(_xlfn.XLOOKUP("[S10_AircraftPenaltiesImposed][7][ActualFines]",Submission!$O:$O,Submission!$H:$N,""))</f>
        <v/>
      </c>
      <c r="F177" s="105" t="str">
        <f>_xlfn.CONCAT(_xlfn.XLOOKUP("[S10_AircraftPenaltiesImposed][7][ActualImprisonment]",Submission!$O:$O,Submission!$H:$N,""))</f>
        <v/>
      </c>
      <c r="G177" s="72" t="str">
        <f>_xlfn.CONCAT(_xlfn.XLOOKUP("[S10_AircraftPenaltiesImposed][7][ACtualOtherPenalties]",Submission!$O:$O,Submission!$H:$N,""))</f>
        <v/>
      </c>
      <c r="H177" s="64" t="str">
        <f>_xlfn.CONCAT(_xlfn.XLOOKUP("[S10_AircraftPenaltiesImposed][7][OngoingProceedings]",Submission!$O:$O,Submission!$H:$N,""))</f>
        <v/>
      </c>
      <c r="I177" s="98" t="str">
        <f>_xlfn.CONCAT(_xlfn.XLOOKUP("[S10_AircraftPenaltiesImposed][7][PenaltyEnforcedWithinPeriod]",Submission!$O:$O,Submission!$H:$N,""))</f>
        <v/>
      </c>
    </row>
    <row r="178" spans="1:9" ht="39.6" hidden="1" customHeight="1" outlineLevel="1" x14ac:dyDescent="0.3">
      <c r="A178" s="13"/>
      <c r="C178" s="284" t="str">
        <f>_xlfn.CONCAT(_xlfn.XLOOKUP("[S10_AircraftPenaltiesImposed][8][InfringementType]",Submission!$O:$O,Submission!$H:$N,""))</f>
        <v/>
      </c>
      <c r="D178" s="285"/>
      <c r="E178" s="105" t="str">
        <f>_xlfn.CONCAT(_xlfn.XLOOKUP("[S10_AircraftPenaltiesImposed][8][ActualFines]",Submission!$O:$O,Submission!$H:$N,""))</f>
        <v/>
      </c>
      <c r="F178" s="105" t="str">
        <f>_xlfn.CONCAT(_xlfn.XLOOKUP("[S10_AircraftPenaltiesImposed][8][ActualImprisonment]",Submission!$O:$O,Submission!$H:$N,""))</f>
        <v/>
      </c>
      <c r="G178" s="72" t="str">
        <f>_xlfn.CONCAT(_xlfn.XLOOKUP("[S10_AircraftPenaltiesImposed][8][ACtualOtherPenalties]",Submission!$O:$O,Submission!$H:$N,""))</f>
        <v/>
      </c>
      <c r="H178" s="64" t="str">
        <f>_xlfn.CONCAT(_xlfn.XLOOKUP("[S10_AircraftPenaltiesImposed][8][OngoingProceedings]",Submission!$O:$O,Submission!$H:$N,""))</f>
        <v/>
      </c>
      <c r="I178" s="98" t="str">
        <f>_xlfn.CONCAT(_xlfn.XLOOKUP("[S10_AircraftPenaltiesImposed][8][PenaltyEnforcedWithinPeriod]",Submission!$O:$O,Submission!$H:$N,""))</f>
        <v/>
      </c>
    </row>
    <row r="179" spans="1:9" ht="39.6" hidden="1" customHeight="1" outlineLevel="1" x14ac:dyDescent="0.3">
      <c r="A179" s="13"/>
      <c r="C179" s="284" t="str">
        <f>_xlfn.CONCAT(_xlfn.XLOOKUP("[S10_AircraftPenaltiesImposed][9][InfringementType]",Submission!$O:$O,Submission!$H:$N,""))</f>
        <v/>
      </c>
      <c r="D179" s="285"/>
      <c r="E179" s="105" t="str">
        <f>_xlfn.CONCAT(_xlfn.XLOOKUP("[S10_AircraftPenaltiesImposed][9][ActualFines]",Submission!$O:$O,Submission!$H:$N,""))</f>
        <v/>
      </c>
      <c r="F179" s="105" t="str">
        <f>_xlfn.CONCAT(_xlfn.XLOOKUP("[S10_AircraftPenaltiesImposed][9][ActualImprisonment]",Submission!$O:$O,Submission!$H:$N,""))</f>
        <v/>
      </c>
      <c r="G179" s="72" t="str">
        <f>_xlfn.CONCAT(_xlfn.XLOOKUP("[S10_AircraftPenaltiesImposed][9][ACtualOtherPenalties]",Submission!$O:$O,Submission!$H:$N,""))</f>
        <v/>
      </c>
      <c r="H179" s="64" t="str">
        <f>_xlfn.CONCAT(_xlfn.XLOOKUP("[S10_AircraftPenaltiesImposed][9][OngoingProceedings]",Submission!$O:$O,Submission!$H:$N,""))</f>
        <v/>
      </c>
      <c r="I179" s="98" t="str">
        <f>_xlfn.CONCAT(_xlfn.XLOOKUP("[S10_AircraftPenaltiesImposed][9][PenaltyEnforcedWithinPeriod]",Submission!$O:$O,Submission!$H:$N,""))</f>
        <v/>
      </c>
    </row>
    <row r="180" spans="1:9" ht="39.6" hidden="1" customHeight="1" outlineLevel="1" x14ac:dyDescent="0.3">
      <c r="A180" s="13"/>
      <c r="C180" s="284" t="str">
        <f>_xlfn.CONCAT(_xlfn.XLOOKUP("[S10_AircraftPenaltiesImposed][10][InfringementType]",Submission!$O:$O,Submission!$H:$N,""))</f>
        <v/>
      </c>
      <c r="D180" s="285"/>
      <c r="E180" s="105" t="str">
        <f>_xlfn.CONCAT(_xlfn.XLOOKUP("[S10_AircraftPenaltiesImposed][10][ActualFines]",Submission!$O:$O,Submission!$H:$N,""))</f>
        <v/>
      </c>
      <c r="F180" s="105" t="str">
        <f>_xlfn.CONCAT(_xlfn.XLOOKUP("[S10_AircraftPenaltiesImposed][10][ActualImprisonment]",Submission!$O:$O,Submission!$H:$N,""))</f>
        <v/>
      </c>
      <c r="G180" s="72" t="str">
        <f>_xlfn.CONCAT(_xlfn.XLOOKUP("[S10_AircraftPenaltiesImposed][10][ACtualOtherPenalties]",Submission!$O:$O,Submission!$H:$N,""))</f>
        <v/>
      </c>
      <c r="H180" s="64" t="str">
        <f>_xlfn.CONCAT(_xlfn.XLOOKUP("[S10_AircraftPenaltiesImposed][10][OngoingProceedings]",Submission!$O:$O,Submission!$H:$N,""))</f>
        <v/>
      </c>
      <c r="I180" s="98" t="str">
        <f>_xlfn.CONCAT(_xlfn.XLOOKUP("[S10_AircraftPenaltiesImposed][10][PenaltyEnforcedWithinPeriod]",Submission!$O:$O,Submission!$H:$N,""))</f>
        <v/>
      </c>
    </row>
    <row r="181" spans="1:9" ht="39.6" hidden="1" customHeight="1" outlineLevel="1" x14ac:dyDescent="0.3">
      <c r="A181" s="13"/>
      <c r="C181" s="284" t="str">
        <f>_xlfn.CONCAT(_xlfn.XLOOKUP("[S10_AircraftPenaltiesImposed][11][InfringementType]",Submission!$O:$O,Submission!$H:$N,""))</f>
        <v/>
      </c>
      <c r="D181" s="285"/>
      <c r="E181" s="105" t="str">
        <f>_xlfn.CONCAT(_xlfn.XLOOKUP("[S10_AircraftPenaltiesImposed][11][ActualFines]",Submission!$O:$O,Submission!$H:$N,""))</f>
        <v/>
      </c>
      <c r="F181" s="105" t="str">
        <f>_xlfn.CONCAT(_xlfn.XLOOKUP("[S10_AircraftPenaltiesImposed][11][ActualImprisonment]",Submission!$O:$O,Submission!$H:$N,""))</f>
        <v/>
      </c>
      <c r="G181" s="72" t="str">
        <f>_xlfn.CONCAT(_xlfn.XLOOKUP("[S10_AircraftPenaltiesImposed][11][ACtualOtherPenalties]",Submission!$O:$O,Submission!$H:$N,""))</f>
        <v/>
      </c>
      <c r="H181" s="64" t="str">
        <f>_xlfn.CONCAT(_xlfn.XLOOKUP("[S10_AircraftPenaltiesImposed][11][OngoingProceedings]",Submission!$O:$O,Submission!$H:$N,""))</f>
        <v/>
      </c>
      <c r="I181" s="98" t="str">
        <f>_xlfn.CONCAT(_xlfn.XLOOKUP("[S10_AircraftPenaltiesImposed][11][PenaltyEnforcedWithinPeriod]",Submission!$O:$O,Submission!$H:$N,""))</f>
        <v/>
      </c>
    </row>
    <row r="182" spans="1:9" ht="39.6" hidden="1" customHeight="1" outlineLevel="1" x14ac:dyDescent="0.3">
      <c r="A182" s="13"/>
      <c r="C182" s="284" t="str">
        <f>_xlfn.CONCAT(_xlfn.XLOOKUP("[S10_AircraftPenaltiesImposed][12][InfringementType]",Submission!$O:$O,Submission!$H:$N,""))</f>
        <v/>
      </c>
      <c r="D182" s="285"/>
      <c r="E182" s="105" t="str">
        <f>_xlfn.CONCAT(_xlfn.XLOOKUP("[S10_AircraftPenaltiesImposed][12][ActualFines]",Submission!$O:$O,Submission!$H:$N,""))</f>
        <v/>
      </c>
      <c r="F182" s="105" t="str">
        <f>_xlfn.CONCAT(_xlfn.XLOOKUP("[S10_AircraftPenaltiesImposed][12][ActualImprisonment]",Submission!$O:$O,Submission!$H:$N,""))</f>
        <v/>
      </c>
      <c r="G182" s="72" t="str">
        <f>_xlfn.CONCAT(_xlfn.XLOOKUP("[S10_AircraftPenaltiesImposed][12][ACtualOtherPenalties]",Submission!$O:$O,Submission!$H:$N,""))</f>
        <v/>
      </c>
      <c r="H182" s="64" t="str">
        <f>_xlfn.CONCAT(_xlfn.XLOOKUP("[S10_AircraftPenaltiesImposed][12][OngoingProceedings]",Submission!$O:$O,Submission!$H:$N,""))</f>
        <v/>
      </c>
      <c r="I182" s="98" t="str">
        <f>_xlfn.CONCAT(_xlfn.XLOOKUP("[S10_AircraftPenaltiesImposed][12][PenaltyEnforcedWithinPeriod]",Submission!$O:$O,Submission!$H:$N,""))</f>
        <v/>
      </c>
    </row>
    <row r="183" spans="1:9" ht="39.6" hidden="1" customHeight="1" outlineLevel="1" x14ac:dyDescent="0.3">
      <c r="A183" s="13"/>
      <c r="C183" s="284" t="str">
        <f>_xlfn.CONCAT(_xlfn.XLOOKUP("[S10_AircraftPenaltiesImposed][13][InfringementType]",Submission!$O:$O,Submission!$H:$N,""))</f>
        <v/>
      </c>
      <c r="D183" s="285"/>
      <c r="E183" s="105" t="str">
        <f>_xlfn.CONCAT(_xlfn.XLOOKUP("[S10_AircraftPenaltiesImposed][13][ActualFines]",Submission!$O:$O,Submission!$H:$N,""))</f>
        <v/>
      </c>
      <c r="F183" s="105" t="str">
        <f>_xlfn.CONCAT(_xlfn.XLOOKUP("[S10_AircraftPenaltiesImposed][13][ActualImprisonment]",Submission!$O:$O,Submission!$H:$N,""))</f>
        <v/>
      </c>
      <c r="G183" s="72" t="str">
        <f>_xlfn.CONCAT(_xlfn.XLOOKUP("[S10_AircraftPenaltiesImposed][13][ACtualOtherPenalties]",Submission!$O:$O,Submission!$H:$N,""))</f>
        <v/>
      </c>
      <c r="H183" s="64" t="str">
        <f>_xlfn.CONCAT(_xlfn.XLOOKUP("[S10_AircraftPenaltiesImposed][13][OngoingProceedings]",Submission!$O:$O,Submission!$H:$N,""))</f>
        <v/>
      </c>
      <c r="I183" s="98" t="str">
        <f>_xlfn.CONCAT(_xlfn.XLOOKUP("[S10_AircraftPenaltiesImposed][13][PenaltyEnforcedWithinPeriod]",Submission!$O:$O,Submission!$H:$N,""))</f>
        <v/>
      </c>
    </row>
    <row r="184" spans="1:9" ht="15.9" customHeight="1" collapsed="1" x14ac:dyDescent="0.3">
      <c r="A184" s="13"/>
      <c r="B184" s="26" t="s">
        <v>1000</v>
      </c>
      <c r="C184" s="19"/>
    </row>
    <row r="185" spans="1:9" ht="15.9" customHeight="1" x14ac:dyDescent="0.3">
      <c r="A185" s="13"/>
      <c r="B185" s="16"/>
      <c r="C185" s="19"/>
    </row>
    <row r="186" spans="1:9" ht="15.6" customHeight="1" x14ac:dyDescent="0.3">
      <c r="B186" s="507" t="s">
        <v>1244</v>
      </c>
      <c r="C186" s="507"/>
      <c r="D186" s="507"/>
      <c r="E186" s="507"/>
      <c r="F186" s="507"/>
      <c r="G186" s="507"/>
      <c r="H186" s="508"/>
      <c r="I186" s="41" t="str">
        <f>_xlfn.CONCAT(_xlfn.XLOOKUP("[AircraftPriorPenaltiesEnforced][0][AircraftPriorPenaltiesEnforced]",Submission!$O:$O,Submission!$H:$N,""))</f>
        <v/>
      </c>
    </row>
    <row r="187" spans="1:9" ht="16.2" customHeight="1" x14ac:dyDescent="0.3">
      <c r="B187" s="293" t="s">
        <v>1245</v>
      </c>
      <c r="C187" s="294"/>
      <c r="D187" s="294"/>
      <c r="E187" s="294"/>
      <c r="F187" s="294"/>
      <c r="G187" s="294"/>
      <c r="H187" s="294"/>
      <c r="I187" s="294"/>
    </row>
    <row r="188" spans="1:9" x14ac:dyDescent="0.3">
      <c r="C188" s="444" t="s">
        <v>1224</v>
      </c>
      <c r="D188" s="445"/>
      <c r="E188" s="446"/>
      <c r="F188" s="444" t="s">
        <v>1246</v>
      </c>
      <c r="G188" s="446"/>
      <c r="H188" s="444" t="s">
        <v>1247</v>
      </c>
      <c r="I188" s="446"/>
    </row>
    <row r="189" spans="1:9" x14ac:dyDescent="0.3">
      <c r="C189" s="534" t="str">
        <f>_xlfn.CONCAT(_xlfn.XLOOKUP("[S10_AircraftPriorPenaltiesEnforcedDetail][1][TypeInfringement]",Submission!$O:$O,Submission!$H:$N,""))</f>
        <v/>
      </c>
      <c r="D189" s="536"/>
      <c r="E189" s="535"/>
      <c r="F189" s="532" t="str">
        <f>_xlfn.CONCAT(_xlfn.XLOOKUP("[S10_AircraftPriorPenaltiesEnforcedDetail][1][TypePenalty]",Submission!$O:$O,Submission!$H:$N,""))</f>
        <v/>
      </c>
      <c r="G189" s="533"/>
      <c r="H189" s="534" t="str">
        <f>_xlfn.CONCAT(_xlfn.XLOOKUP("[S10_AircraftPriorPenaltiesEnforcedDetail][1][ReportinYear]",Submission!$O:$O,Submission!$H:$N,""))</f>
        <v/>
      </c>
      <c r="I189" s="535"/>
    </row>
    <row r="190" spans="1:9" x14ac:dyDescent="0.3">
      <c r="C190" s="534" t="str">
        <f>_xlfn.CONCAT(_xlfn.XLOOKUP("[S10_AircraftPriorPenaltiesEnforcedDetail][2][TypeInfringement]",Submission!$O:$O,Submission!$H:$N,""))</f>
        <v/>
      </c>
      <c r="D190" s="536"/>
      <c r="E190" s="535"/>
      <c r="F190" s="532" t="str">
        <f>_xlfn.CONCAT(_xlfn.XLOOKUP("[S10_AircraftPriorPenaltiesEnforcedDetail][2][TypePenalty]",Submission!$O:$O,Submission!$H:$N,""))</f>
        <v/>
      </c>
      <c r="G190" s="533"/>
      <c r="H190" s="534" t="str">
        <f>_xlfn.CONCAT(_xlfn.XLOOKUP("[S10_AircraftPriorPenaltiesEnforcedDetail][2][ReportinYear]",Submission!$O:$O,Submission!$H:$N,""))</f>
        <v/>
      </c>
      <c r="I190" s="535"/>
    </row>
    <row r="191" spans="1:9" hidden="1" outlineLevel="1" x14ac:dyDescent="0.3">
      <c r="C191" s="534" t="str">
        <f>_xlfn.CONCAT(_xlfn.XLOOKUP("[S10_AircraftPriorPenaltiesEnforcedDetail][3][TypeInfringement]",Submission!$O:$O,Submission!$H:$N,""))</f>
        <v/>
      </c>
      <c r="D191" s="536"/>
      <c r="E191" s="535"/>
      <c r="F191" s="532" t="str">
        <f>_xlfn.CONCAT(_xlfn.XLOOKUP("[S10_AircraftPriorPenaltiesEnforcedDetail][3][TypePenalty]",Submission!$O:$O,Submission!$H:$N,""))</f>
        <v/>
      </c>
      <c r="G191" s="533"/>
      <c r="H191" s="534" t="str">
        <f>_xlfn.CONCAT(_xlfn.XLOOKUP("[S10_AircraftPriorPenaltiesEnforcedDetail][3][ReportinYear]",Submission!$O:$O,Submission!$H:$N,""))</f>
        <v/>
      </c>
      <c r="I191" s="535"/>
    </row>
    <row r="192" spans="1:9" hidden="1" outlineLevel="1" x14ac:dyDescent="0.3">
      <c r="C192" s="534" t="str">
        <f>_xlfn.CONCAT(_xlfn.XLOOKUP("[S10_AircraftPriorPenaltiesEnforcedDetail][4][TypeInfringement]",Submission!$O:$O,Submission!$H:$N,""))</f>
        <v/>
      </c>
      <c r="D192" s="536"/>
      <c r="E192" s="535"/>
      <c r="F192" s="532" t="str">
        <f>_xlfn.CONCAT(_xlfn.XLOOKUP("[S10_AircraftPriorPenaltiesEnforcedDetail][4][TypePenalty]",Submission!$O:$O,Submission!$H:$N,""))</f>
        <v/>
      </c>
      <c r="G192" s="533"/>
      <c r="H192" s="534" t="str">
        <f>_xlfn.CONCAT(_xlfn.XLOOKUP("[S10_AircraftPriorPenaltiesEnforcedDetail][4][ReportinYear]",Submission!$O:$O,Submission!$H:$N,""))</f>
        <v/>
      </c>
      <c r="I192" s="535"/>
    </row>
    <row r="193" spans="1:10" hidden="1" outlineLevel="1" x14ac:dyDescent="0.3">
      <c r="C193" s="534" t="str">
        <f>_xlfn.CONCAT(_xlfn.XLOOKUP("[S10_AircraftPriorPenaltiesEnforcedDetail][5][TypeInfringement]",Submission!$O:$O,Submission!$H:$N,""))</f>
        <v/>
      </c>
      <c r="D193" s="536"/>
      <c r="E193" s="535"/>
      <c r="F193" s="532" t="str">
        <f>_xlfn.CONCAT(_xlfn.XLOOKUP("[S10_AircraftPriorPenaltiesEnforcedDetail][5][TypePenalty]",Submission!$O:$O,Submission!$H:$N,""))</f>
        <v/>
      </c>
      <c r="G193" s="533"/>
      <c r="H193" s="534" t="str">
        <f>_xlfn.CONCAT(_xlfn.XLOOKUP("[S10_AircraftPriorPenaltiesEnforcedDetail][5][ReportinYear]",Submission!$O:$O,Submission!$H:$N,""))</f>
        <v/>
      </c>
      <c r="I193" s="535"/>
    </row>
    <row r="194" spans="1:10" hidden="1" outlineLevel="1" x14ac:dyDescent="0.3">
      <c r="C194" s="534" t="str">
        <f>_xlfn.CONCAT(_xlfn.XLOOKUP("[S10_AircraftPriorPenaltiesEnforcedDetail][6][TypeInfringement]",Submission!$O:$O,Submission!$H:$N,""))</f>
        <v/>
      </c>
      <c r="D194" s="536"/>
      <c r="E194" s="535"/>
      <c r="F194" s="532" t="str">
        <f>_xlfn.CONCAT(_xlfn.XLOOKUP("[S10_AircraftPriorPenaltiesEnforcedDetail][6][TypePenalty]",Submission!$O:$O,Submission!$H:$N,""))</f>
        <v/>
      </c>
      <c r="G194" s="533"/>
      <c r="H194" s="534" t="str">
        <f>_xlfn.CONCAT(_xlfn.XLOOKUP("[S10_AircraftPriorPenaltiesEnforcedDetail][6][ReportinYear]",Submission!$O:$O,Submission!$H:$N,""))</f>
        <v/>
      </c>
      <c r="I194" s="535"/>
    </row>
    <row r="195" spans="1:10" hidden="1" outlineLevel="1" x14ac:dyDescent="0.3">
      <c r="C195" s="534" t="str">
        <f>_xlfn.CONCAT(_xlfn.XLOOKUP("[S10_AircraftPriorPenaltiesEnforcedDetail][7][TypeInfringement]",Submission!$O:$O,Submission!$H:$N,""))</f>
        <v/>
      </c>
      <c r="D195" s="536"/>
      <c r="E195" s="535"/>
      <c r="F195" s="532" t="str">
        <f>_xlfn.CONCAT(_xlfn.XLOOKUP("[S10_AircraftPriorPenaltiesEnforcedDetail][7][TypePenalty]",Submission!$O:$O,Submission!$H:$N,""))</f>
        <v/>
      </c>
      <c r="G195" s="533"/>
      <c r="H195" s="534" t="str">
        <f>_xlfn.CONCAT(_xlfn.XLOOKUP("[S10_AircraftPriorPenaltiesEnforcedDetail][7][ReportinYear]",Submission!$O:$O,Submission!$H:$N,""))</f>
        <v/>
      </c>
      <c r="I195" s="535"/>
    </row>
    <row r="196" spans="1:10" hidden="1" outlineLevel="1" x14ac:dyDescent="0.3">
      <c r="C196" s="534" t="str">
        <f>_xlfn.CONCAT(_xlfn.XLOOKUP("[S10_AircraftPriorPenaltiesEnforcedDetail][8][TypeInfringement]",Submission!$O:$O,Submission!$H:$N,""))</f>
        <v/>
      </c>
      <c r="D196" s="536"/>
      <c r="E196" s="535"/>
      <c r="F196" s="532" t="str">
        <f>_xlfn.CONCAT(_xlfn.XLOOKUP("[S10_AircraftPriorPenaltiesEnforcedDetail][8][TypePenalty]",Submission!$O:$O,Submission!$H:$N,""))</f>
        <v/>
      </c>
      <c r="G196" s="533"/>
      <c r="H196" s="534" t="str">
        <f>_xlfn.CONCAT(_xlfn.XLOOKUP("[S10_AircraftPriorPenaltiesEnforcedDetail][8][ReportinYear]",Submission!$O:$O,Submission!$H:$N,""))</f>
        <v/>
      </c>
      <c r="I196" s="535"/>
    </row>
    <row r="197" spans="1:10" collapsed="1" x14ac:dyDescent="0.3">
      <c r="B197" s="26" t="s">
        <v>1000</v>
      </c>
      <c r="C197" s="16"/>
      <c r="D197" s="19"/>
      <c r="E197" s="11"/>
      <c r="F197" s="11"/>
      <c r="G197" s="11"/>
      <c r="H197" s="11"/>
      <c r="I197" s="11"/>
    </row>
    <row r="198" spans="1:10" x14ac:dyDescent="0.3">
      <c r="C198" s="449" t="s">
        <v>1248</v>
      </c>
      <c r="D198" s="498"/>
      <c r="E198" s="498"/>
      <c r="F198" s="498"/>
      <c r="G198" s="498"/>
      <c r="H198" s="498"/>
      <c r="I198" s="498"/>
      <c r="J198" s="498"/>
    </row>
    <row r="199" spans="1:10" ht="15.9" customHeight="1" x14ac:dyDescent="0.3">
      <c r="A199" s="13"/>
      <c r="B199" s="16"/>
      <c r="C199" s="20"/>
      <c r="D199" s="20"/>
      <c r="E199" s="20"/>
      <c r="F199" s="20"/>
      <c r="G199" s="20"/>
      <c r="H199" s="20"/>
      <c r="I199" s="20"/>
    </row>
    <row r="200" spans="1:10" ht="32.1" customHeight="1" x14ac:dyDescent="0.3">
      <c r="A200" s="12" t="s">
        <v>598</v>
      </c>
      <c r="B200" s="293" t="s">
        <v>1319</v>
      </c>
      <c r="C200" s="293"/>
      <c r="D200" s="293"/>
      <c r="E200" s="293"/>
      <c r="F200" s="293"/>
      <c r="G200" s="293"/>
      <c r="H200" s="293"/>
      <c r="I200" s="293"/>
    </row>
    <row r="201" spans="1:10" ht="15.9" customHeight="1" x14ac:dyDescent="0.3">
      <c r="A201" s="12"/>
      <c r="B201" s="22"/>
      <c r="C201" s="303" t="s">
        <v>1082</v>
      </c>
      <c r="D201" s="304"/>
      <c r="E201" s="305"/>
      <c r="F201" s="303" t="s">
        <v>1320</v>
      </c>
      <c r="G201" s="304"/>
      <c r="H201" s="304"/>
      <c r="I201" s="305"/>
    </row>
    <row r="202" spans="1:10" ht="15.9" customHeight="1" x14ac:dyDescent="0.3">
      <c r="A202" s="12"/>
      <c r="B202" s="23"/>
      <c r="C202" s="521" t="str">
        <f>_xlfn.CONCAT(_xlfn.XLOOKUP("[S10_AircraftPenalties][1][AircraftID]",Submission!$O:$O,Submission!$H:$N,""))</f>
        <v/>
      </c>
      <c r="D202" s="522"/>
      <c r="E202" s="523"/>
      <c r="F202" s="521" t="str">
        <f>_xlfn.CONCAT(_xlfn.XLOOKUP("[S10_AircraftPenalties][1][OperatorName]",Submission!$O:$O,Submission!$H:$N,""))</f>
        <v/>
      </c>
      <c r="G202" s="522"/>
      <c r="H202" s="522"/>
      <c r="I202" s="523"/>
    </row>
    <row r="203" spans="1:10" ht="15.9" customHeight="1" x14ac:dyDescent="0.3">
      <c r="A203" s="12"/>
      <c r="B203" s="23"/>
      <c r="C203" s="521" t="str">
        <f>_xlfn.CONCAT(_xlfn.XLOOKUP("[S10_AircraftPenalties][2][AircraftID]",Submission!$O:$O,Submission!$H:$N,""))</f>
        <v/>
      </c>
      <c r="D203" s="522"/>
      <c r="E203" s="523"/>
      <c r="F203" s="521" t="str">
        <f>_xlfn.CONCAT(_xlfn.XLOOKUP("[S10_AircraftPenalties][2][OperatorName]",Submission!$O:$O,Submission!$H:$N,""))</f>
        <v/>
      </c>
      <c r="G203" s="522"/>
      <c r="H203" s="522"/>
      <c r="I203" s="523"/>
    </row>
    <row r="204" spans="1:10" ht="15.9" hidden="1" customHeight="1" outlineLevel="1" x14ac:dyDescent="0.3">
      <c r="A204" s="12"/>
      <c r="B204" s="23"/>
      <c r="C204" s="521" t="str">
        <f>_xlfn.CONCAT(_xlfn.XLOOKUP("[S10_AircraftPenalties][3][AircraftID]",Submission!$O:$O,Submission!$H:$N,""))</f>
        <v/>
      </c>
      <c r="D204" s="522"/>
      <c r="E204" s="523"/>
      <c r="F204" s="521" t="str">
        <f>_xlfn.CONCAT(_xlfn.XLOOKUP("[S10_AircraftPenalties][3][OperatorName]",Submission!$O:$O,Submission!$H:$N,""))</f>
        <v/>
      </c>
      <c r="G204" s="522"/>
      <c r="H204" s="522"/>
      <c r="I204" s="523"/>
    </row>
    <row r="205" spans="1:10" ht="15.9" hidden="1" customHeight="1" outlineLevel="1" x14ac:dyDescent="0.3">
      <c r="A205" s="12"/>
      <c r="B205" s="23"/>
      <c r="C205" s="521" t="str">
        <f>_xlfn.CONCAT(_xlfn.XLOOKUP("[S10_AircraftPenalties][4][AircraftID]",Submission!$O:$O,Submission!$H:$N,""))</f>
        <v/>
      </c>
      <c r="D205" s="522"/>
      <c r="E205" s="523"/>
      <c r="F205" s="521" t="str">
        <f>_xlfn.CONCAT(_xlfn.XLOOKUP("[S10_AircraftPenalties][4][OperatorName]",Submission!$O:$O,Submission!$H:$N,""))</f>
        <v/>
      </c>
      <c r="G205" s="522"/>
      <c r="H205" s="522"/>
      <c r="I205" s="523"/>
    </row>
    <row r="206" spans="1:10" ht="15.9" hidden="1" customHeight="1" outlineLevel="1" x14ac:dyDescent="0.3">
      <c r="A206" s="12"/>
      <c r="B206" s="23"/>
      <c r="C206" s="521" t="str">
        <f>_xlfn.CONCAT(_xlfn.XLOOKUP("[S10_AircraftPenalties][5][AircraftID]",Submission!$O:$O,Submission!$H:$N,""))</f>
        <v/>
      </c>
      <c r="D206" s="522"/>
      <c r="E206" s="523"/>
      <c r="F206" s="521" t="str">
        <f>_xlfn.CONCAT(_xlfn.XLOOKUP("[S10_AircraftPenalties][5][OperatorName]",Submission!$O:$O,Submission!$H:$N,""))</f>
        <v/>
      </c>
      <c r="G206" s="522"/>
      <c r="H206" s="522"/>
      <c r="I206" s="523"/>
    </row>
    <row r="207" spans="1:10" ht="15.9" hidden="1" customHeight="1" outlineLevel="1" x14ac:dyDescent="0.3">
      <c r="A207" s="12"/>
      <c r="B207" s="23"/>
      <c r="C207" s="521" t="str">
        <f>_xlfn.CONCAT(_xlfn.XLOOKUP("[S10_AircraftPenalties][6][AircraftID]",Submission!$O:$O,Submission!$H:$N,""))</f>
        <v/>
      </c>
      <c r="D207" s="522"/>
      <c r="E207" s="523"/>
      <c r="F207" s="521" t="str">
        <f>_xlfn.CONCAT(_xlfn.XLOOKUP("[S10_AircraftPenalties][6][OperatorName]",Submission!$O:$O,Submission!$H:$N,""))</f>
        <v/>
      </c>
      <c r="G207" s="522"/>
      <c r="H207" s="522"/>
      <c r="I207" s="523"/>
    </row>
    <row r="208" spans="1:10" ht="15.9" hidden="1" customHeight="1" outlineLevel="1" x14ac:dyDescent="0.3">
      <c r="A208" s="12"/>
      <c r="B208" s="23"/>
      <c r="C208" s="521" t="str">
        <f>_xlfn.CONCAT(_xlfn.XLOOKUP("[S10_AircraftPenalties][7][AircraftID]",Submission!$O:$O,Submission!$H:$N,""))</f>
        <v/>
      </c>
      <c r="D208" s="522"/>
      <c r="E208" s="523"/>
      <c r="F208" s="521" t="str">
        <f>_xlfn.CONCAT(_xlfn.XLOOKUP("[S10_AircraftPenalties][7][OperatorName]",Submission!$O:$O,Submission!$H:$N,""))</f>
        <v/>
      </c>
      <c r="G208" s="522"/>
      <c r="H208" s="522"/>
      <c r="I208" s="523"/>
    </row>
    <row r="209" spans="1:9" ht="15.9" hidden="1" customHeight="1" outlineLevel="1" x14ac:dyDescent="0.3">
      <c r="A209" s="12"/>
      <c r="B209" s="23"/>
      <c r="C209" s="521" t="str">
        <f>_xlfn.CONCAT(_xlfn.XLOOKUP("[S10_AircraftPenalties][8][AircraftID]",Submission!$O:$O,Submission!$H:$N,""))</f>
        <v/>
      </c>
      <c r="D209" s="522"/>
      <c r="E209" s="523"/>
      <c r="F209" s="521" t="str">
        <f>_xlfn.CONCAT(_xlfn.XLOOKUP("[S10_AircraftPenalties][8][OperatorName]",Submission!$O:$O,Submission!$H:$N,""))</f>
        <v/>
      </c>
      <c r="G209" s="522"/>
      <c r="H209" s="522"/>
      <c r="I209" s="523"/>
    </row>
    <row r="210" spans="1:9" ht="15.9" hidden="1" customHeight="1" outlineLevel="1" x14ac:dyDescent="0.3">
      <c r="A210" s="12"/>
      <c r="B210" s="23"/>
      <c r="C210" s="521" t="str">
        <f>_xlfn.CONCAT(_xlfn.XLOOKUP("[S10_AircraftPenalties][9][AircraftID]",Submission!$O:$O,Submission!$H:$N,""))</f>
        <v/>
      </c>
      <c r="D210" s="522"/>
      <c r="E210" s="523"/>
      <c r="F210" s="521" t="str">
        <f>_xlfn.CONCAT(_xlfn.XLOOKUP("[S10_AircraftPenalties][9][OperatorName]",Submission!$O:$O,Submission!$H:$N,""))</f>
        <v/>
      </c>
      <c r="G210" s="522"/>
      <c r="H210" s="522"/>
      <c r="I210" s="523"/>
    </row>
    <row r="211" spans="1:9" ht="15.9" hidden="1" customHeight="1" outlineLevel="1" x14ac:dyDescent="0.3">
      <c r="A211" s="12"/>
      <c r="B211" s="23"/>
      <c r="C211" s="521" t="str">
        <f>_xlfn.CONCAT(_xlfn.XLOOKUP("[S10_AircraftPenalties][10][AircraftID]",Submission!$O:$O,Submission!$H:$N,""))</f>
        <v/>
      </c>
      <c r="D211" s="522"/>
      <c r="E211" s="523"/>
      <c r="F211" s="521" t="str">
        <f>_xlfn.CONCAT(_xlfn.XLOOKUP("[S10_AircraftPenalties][10][OperatorName]",Submission!$O:$O,Submission!$H:$N,""))</f>
        <v/>
      </c>
      <c r="G211" s="522"/>
      <c r="H211" s="522"/>
      <c r="I211" s="523"/>
    </row>
    <row r="212" spans="1:9" ht="15.9" hidden="1" customHeight="1" outlineLevel="1" x14ac:dyDescent="0.3">
      <c r="A212" s="12"/>
      <c r="B212" s="23"/>
      <c r="C212" s="521" t="str">
        <f>_xlfn.CONCAT(_xlfn.XLOOKUP("[S10_AircraftPenalties][11][AircraftID]",Submission!$O:$O,Submission!$H:$N,""))</f>
        <v/>
      </c>
      <c r="D212" s="522"/>
      <c r="E212" s="523"/>
      <c r="F212" s="521" t="str">
        <f>_xlfn.CONCAT(_xlfn.XLOOKUP("[S10_AircraftPenalties][11][OperatorName]",Submission!$O:$O,Submission!$H:$N,""))</f>
        <v/>
      </c>
      <c r="G212" s="522"/>
      <c r="H212" s="522"/>
      <c r="I212" s="523"/>
    </row>
    <row r="213" spans="1:9" ht="15.9" hidden="1" customHeight="1" outlineLevel="1" x14ac:dyDescent="0.3">
      <c r="A213" s="12"/>
      <c r="B213" s="23"/>
      <c r="C213" s="521" t="str">
        <f>_xlfn.CONCAT(_xlfn.XLOOKUP("[S10_AircraftPenalties][12][AircraftID]",Submission!$O:$O,Submission!$H:$N,""))</f>
        <v/>
      </c>
      <c r="D213" s="522"/>
      <c r="E213" s="523"/>
      <c r="F213" s="521" t="str">
        <f>_xlfn.CONCAT(_xlfn.XLOOKUP("[S10_AircraftPenalties][12][OperatorName]",Submission!$O:$O,Submission!$H:$N,""))</f>
        <v/>
      </c>
      <c r="G213" s="522"/>
      <c r="H213" s="522"/>
      <c r="I213" s="523"/>
    </row>
    <row r="214" spans="1:9" ht="15.9" customHeight="1" collapsed="1" x14ac:dyDescent="0.3">
      <c r="A214" s="13"/>
      <c r="B214" s="26" t="s">
        <v>1000</v>
      </c>
      <c r="C214" s="19"/>
    </row>
    <row r="215" spans="1:9" ht="15.9" customHeight="1" x14ac:dyDescent="0.3">
      <c r="A215" s="13"/>
      <c r="B215" s="16"/>
      <c r="C215" s="248" t="s">
        <v>1087</v>
      </c>
      <c r="D215" s="249"/>
      <c r="E215" s="249"/>
      <c r="F215" s="249"/>
      <c r="G215" s="249"/>
      <c r="H215" s="249"/>
      <c r="I215" s="249"/>
    </row>
    <row r="216" spans="1:9" ht="15.9" customHeight="1" x14ac:dyDescent="0.3">
      <c r="A216" s="13"/>
      <c r="B216" s="16"/>
      <c r="C216" s="20"/>
      <c r="D216" s="24"/>
      <c r="E216" s="24"/>
      <c r="F216" s="24"/>
      <c r="G216" s="24"/>
      <c r="H216" s="24"/>
      <c r="I216" s="24"/>
    </row>
    <row r="217" spans="1:9" ht="15.9" customHeight="1" x14ac:dyDescent="0.25">
      <c r="A217" s="12" t="s">
        <v>602</v>
      </c>
      <c r="B217" s="377" t="s">
        <v>1321</v>
      </c>
      <c r="C217" s="403"/>
      <c r="D217" s="403"/>
      <c r="E217" s="403"/>
      <c r="F217" s="403"/>
      <c r="G217" s="403"/>
      <c r="H217" s="403"/>
      <c r="I217" s="403"/>
    </row>
    <row r="218" spans="1:9" ht="32.1" customHeight="1" x14ac:dyDescent="0.3">
      <c r="A218" s="13"/>
      <c r="B218" s="293" t="s">
        <v>1322</v>
      </c>
      <c r="C218" s="294"/>
      <c r="D218" s="294"/>
      <c r="E218" s="294"/>
      <c r="F218" s="294"/>
      <c r="G218" s="294"/>
      <c r="H218" s="294"/>
      <c r="I218" s="294"/>
    </row>
    <row r="219" spans="1:9" ht="31.95" customHeight="1" x14ac:dyDescent="0.3">
      <c r="C219" s="529" t="str">
        <f>_xlfn.CONCAT(_xlfn.XLOOKUP("[OperatingBanRequestMeasures][0][OperatingBanRequestMeasures]",Submission!$O:$O,Submission!$H:$N,""))</f>
        <v/>
      </c>
      <c r="D219" s="530"/>
      <c r="E219" s="530"/>
      <c r="F219" s="530"/>
      <c r="G219" s="530"/>
      <c r="H219" s="530"/>
      <c r="I219" s="531"/>
    </row>
  </sheetData>
  <mergeCells count="263">
    <mergeCell ref="C12:D12"/>
    <mergeCell ref="E12:G12"/>
    <mergeCell ref="C11:D11"/>
    <mergeCell ref="E11:G11"/>
    <mergeCell ref="B90:H90"/>
    <mergeCell ref="B91:I91"/>
    <mergeCell ref="C87:D87"/>
    <mergeCell ref="B62:I62"/>
    <mergeCell ref="C64:D65"/>
    <mergeCell ref="C63:I63"/>
    <mergeCell ref="C26:D26"/>
    <mergeCell ref="C81:D81"/>
    <mergeCell ref="C83:D83"/>
    <mergeCell ref="C84:D84"/>
    <mergeCell ref="C86:D86"/>
    <mergeCell ref="C24:D24"/>
    <mergeCell ref="C25:D25"/>
    <mergeCell ref="B59:I59"/>
    <mergeCell ref="C60:I60"/>
    <mergeCell ref="C27:D27"/>
    <mergeCell ref="C28:D28"/>
    <mergeCell ref="C29:D29"/>
    <mergeCell ref="C78:D78"/>
    <mergeCell ref="C79:D79"/>
    <mergeCell ref="C13:D13"/>
    <mergeCell ref="E13:G13"/>
    <mergeCell ref="C66:D66"/>
    <mergeCell ref="C67:D67"/>
    <mergeCell ref="C68:D68"/>
    <mergeCell ref="C69:D69"/>
    <mergeCell ref="C70:D70"/>
    <mergeCell ref="C102:E102"/>
    <mergeCell ref="F102:G102"/>
    <mergeCell ref="C85:D85"/>
    <mergeCell ref="C98:E98"/>
    <mergeCell ref="F98:G98"/>
    <mergeCell ref="C101:E101"/>
    <mergeCell ref="F101:G101"/>
    <mergeCell ref="C82:D82"/>
    <mergeCell ref="C76:D76"/>
    <mergeCell ref="C77:D77"/>
    <mergeCell ref="C80:D80"/>
    <mergeCell ref="C71:D71"/>
    <mergeCell ref="C72:D72"/>
    <mergeCell ref="C73:D73"/>
    <mergeCell ref="C74:D74"/>
    <mergeCell ref="C75:D75"/>
    <mergeCell ref="C92:E92"/>
    <mergeCell ref="C153:D153"/>
    <mergeCell ref="C155:D155"/>
    <mergeCell ref="C154:D154"/>
    <mergeCell ref="C156:D156"/>
    <mergeCell ref="B164:I164"/>
    <mergeCell ref="C165:I165"/>
    <mergeCell ref="B186:H186"/>
    <mergeCell ref="I145:I146"/>
    <mergeCell ref="C133:G133"/>
    <mergeCell ref="C134:G134"/>
    <mergeCell ref="B167:I167"/>
    <mergeCell ref="C178:D178"/>
    <mergeCell ref="C172:D172"/>
    <mergeCell ref="C171:D171"/>
    <mergeCell ref="C140:D140"/>
    <mergeCell ref="E140:G140"/>
    <mergeCell ref="C138:D138"/>
    <mergeCell ref="E138:G138"/>
    <mergeCell ref="C139:D139"/>
    <mergeCell ref="E139:G139"/>
    <mergeCell ref="C168:I168"/>
    <mergeCell ref="C169:D170"/>
    <mergeCell ref="E169:G169"/>
    <mergeCell ref="H169:H170"/>
    <mergeCell ref="B130:I130"/>
    <mergeCell ref="C132:G132"/>
    <mergeCell ref="C128:I128"/>
    <mergeCell ref="F114:I114"/>
    <mergeCell ref="F126:I126"/>
    <mergeCell ref="C114:E114"/>
    <mergeCell ref="C126:E126"/>
    <mergeCell ref="C213:E213"/>
    <mergeCell ref="F213:I213"/>
    <mergeCell ref="C194:E194"/>
    <mergeCell ref="C195:E195"/>
    <mergeCell ref="C196:E196"/>
    <mergeCell ref="C151:D151"/>
    <mergeCell ref="C136:G136"/>
    <mergeCell ref="C145:D146"/>
    <mergeCell ref="E145:F145"/>
    <mergeCell ref="G145:H145"/>
    <mergeCell ref="B143:I143"/>
    <mergeCell ref="E137:G137"/>
    <mergeCell ref="C137:D137"/>
    <mergeCell ref="B187:I187"/>
    <mergeCell ref="C188:E188"/>
    <mergeCell ref="F188:G188"/>
    <mergeCell ref="H188:I188"/>
    <mergeCell ref="F201:I201"/>
    <mergeCell ref="F189:G189"/>
    <mergeCell ref="F190:G190"/>
    <mergeCell ref="F194:G194"/>
    <mergeCell ref="F195:G195"/>
    <mergeCell ref="F196:G196"/>
    <mergeCell ref="C198:J198"/>
    <mergeCell ref="H189:I189"/>
    <mergeCell ref="H190:I190"/>
    <mergeCell ref="H194:I194"/>
    <mergeCell ref="H195:I195"/>
    <mergeCell ref="H196:I196"/>
    <mergeCell ref="C189:E189"/>
    <mergeCell ref="C190:E190"/>
    <mergeCell ref="F191:G191"/>
    <mergeCell ref="H191:I191"/>
    <mergeCell ref="C192:E192"/>
    <mergeCell ref="F192:G192"/>
    <mergeCell ref="H192:I192"/>
    <mergeCell ref="C193:E193"/>
    <mergeCell ref="F193:G193"/>
    <mergeCell ref="H193:I193"/>
    <mergeCell ref="C191:E191"/>
    <mergeCell ref="B218:I218"/>
    <mergeCell ref="C219:I219"/>
    <mergeCell ref="B113:I113"/>
    <mergeCell ref="B131:I131"/>
    <mergeCell ref="B144:I144"/>
    <mergeCell ref="B200:I200"/>
    <mergeCell ref="C180:D180"/>
    <mergeCell ref="C181:D181"/>
    <mergeCell ref="C182:D182"/>
    <mergeCell ref="C183:D183"/>
    <mergeCell ref="C173:D173"/>
    <mergeCell ref="C174:D174"/>
    <mergeCell ref="C175:D175"/>
    <mergeCell ref="C177:D177"/>
    <mergeCell ref="C179:D179"/>
    <mergeCell ref="C152:D152"/>
    <mergeCell ref="C157:D157"/>
    <mergeCell ref="C147:D147"/>
    <mergeCell ref="C148:D148"/>
    <mergeCell ref="C149:D149"/>
    <mergeCell ref="C150:D150"/>
    <mergeCell ref="C135:G135"/>
    <mergeCell ref="C215:I215"/>
    <mergeCell ref="B217:I217"/>
    <mergeCell ref="B3:I3"/>
    <mergeCell ref="E19:F19"/>
    <mergeCell ref="G19:H19"/>
    <mergeCell ref="E64:G64"/>
    <mergeCell ref="H64:H65"/>
    <mergeCell ref="I64:I65"/>
    <mergeCell ref="C7:G7"/>
    <mergeCell ref="C8:G8"/>
    <mergeCell ref="C9:G9"/>
    <mergeCell ref="C10:G10"/>
    <mergeCell ref="B5:I5"/>
    <mergeCell ref="B18:I18"/>
    <mergeCell ref="B4:I4"/>
    <mergeCell ref="C6:G6"/>
    <mergeCell ref="C31:D31"/>
    <mergeCell ref="I19:I20"/>
    <mergeCell ref="B17:I17"/>
    <mergeCell ref="C14:D14"/>
    <mergeCell ref="C19:D20"/>
    <mergeCell ref="C21:D21"/>
    <mergeCell ref="C22:D22"/>
    <mergeCell ref="C23:D23"/>
    <mergeCell ref="E14:G14"/>
    <mergeCell ref="C30:D30"/>
    <mergeCell ref="F92:G92"/>
    <mergeCell ref="H92:I92"/>
    <mergeCell ref="C96:E96"/>
    <mergeCell ref="F96:G96"/>
    <mergeCell ref="H96:I96"/>
    <mergeCell ref="C97:E97"/>
    <mergeCell ref="F97:G97"/>
    <mergeCell ref="H97:I97"/>
    <mergeCell ref="H101:I101"/>
    <mergeCell ref="C93:E93"/>
    <mergeCell ref="F93:G93"/>
    <mergeCell ref="H93:I93"/>
    <mergeCell ref="C94:E94"/>
    <mergeCell ref="F94:G94"/>
    <mergeCell ref="H94:I94"/>
    <mergeCell ref="C95:E95"/>
    <mergeCell ref="F95:G95"/>
    <mergeCell ref="H95:I95"/>
    <mergeCell ref="H98:I98"/>
    <mergeCell ref="C99:E99"/>
    <mergeCell ref="F99:G99"/>
    <mergeCell ref="H99:I99"/>
    <mergeCell ref="C100:E100"/>
    <mergeCell ref="F100:G100"/>
    <mergeCell ref="H100:I100"/>
    <mergeCell ref="H102:I102"/>
    <mergeCell ref="C111:J111"/>
    <mergeCell ref="F103:G103"/>
    <mergeCell ref="F106:G106"/>
    <mergeCell ref="F107:G107"/>
    <mergeCell ref="F108:G108"/>
    <mergeCell ref="F109:G109"/>
    <mergeCell ref="C103:E103"/>
    <mergeCell ref="C106:E106"/>
    <mergeCell ref="C107:E107"/>
    <mergeCell ref="C108:E108"/>
    <mergeCell ref="C109:E109"/>
    <mergeCell ref="H103:I103"/>
    <mergeCell ref="H106:I106"/>
    <mergeCell ref="H107:I107"/>
    <mergeCell ref="H108:I108"/>
    <mergeCell ref="H109:I109"/>
    <mergeCell ref="C104:E104"/>
    <mergeCell ref="F104:G104"/>
    <mergeCell ref="H104:I104"/>
    <mergeCell ref="C105:E105"/>
    <mergeCell ref="F105:G105"/>
    <mergeCell ref="H105:I105"/>
    <mergeCell ref="F203:I203"/>
    <mergeCell ref="C115:E115"/>
    <mergeCell ref="F115:I115"/>
    <mergeCell ref="C116:E116"/>
    <mergeCell ref="F116:I116"/>
    <mergeCell ref="C117:E117"/>
    <mergeCell ref="F117:I117"/>
    <mergeCell ref="C118:E118"/>
    <mergeCell ref="F118:I118"/>
    <mergeCell ref="C125:E125"/>
    <mergeCell ref="F125:I125"/>
    <mergeCell ref="C123:E123"/>
    <mergeCell ref="F123:I123"/>
    <mergeCell ref="C124:E124"/>
    <mergeCell ref="F124:I124"/>
    <mergeCell ref="C119:E119"/>
    <mergeCell ref="F119:I119"/>
    <mergeCell ref="C120:E120"/>
    <mergeCell ref="F120:I120"/>
    <mergeCell ref="C121:E121"/>
    <mergeCell ref="F121:I121"/>
    <mergeCell ref="C122:E122"/>
    <mergeCell ref="F122:I122"/>
    <mergeCell ref="C201:E201"/>
    <mergeCell ref="A1:I1"/>
    <mergeCell ref="I169:I170"/>
    <mergeCell ref="C204:E204"/>
    <mergeCell ref="F204:I204"/>
    <mergeCell ref="C205:E205"/>
    <mergeCell ref="F205:I205"/>
    <mergeCell ref="C176:D176"/>
    <mergeCell ref="C212:E212"/>
    <mergeCell ref="F212:I212"/>
    <mergeCell ref="C210:E210"/>
    <mergeCell ref="F210:I210"/>
    <mergeCell ref="C211:E211"/>
    <mergeCell ref="F211:I211"/>
    <mergeCell ref="C206:E206"/>
    <mergeCell ref="F206:I206"/>
    <mergeCell ref="C207:E207"/>
    <mergeCell ref="F207:I207"/>
    <mergeCell ref="C208:E208"/>
    <mergeCell ref="F208:I208"/>
    <mergeCell ref="C209:E209"/>
    <mergeCell ref="F209:I209"/>
    <mergeCell ref="C202:E202"/>
    <mergeCell ref="F202:I202"/>
    <mergeCell ref="C203:E203"/>
  </mergeCells>
  <phoneticPr fontId="56" type="noConversion"/>
  <dataValidations count="5">
    <dataValidation type="list" allowBlank="1" showInputMessage="1" showErrorMessage="1" sqref="I186 I90 H7:H14 H66:I87 H133:H140 H171:I183" xr:uid="{00000000-0002-0000-0E00-000000000000}">
      <formula1>Yes_No</formula1>
    </dataValidation>
    <dataValidation type="list" allowBlank="1" showInputMessage="1" showErrorMessage="1" sqref="F93:G109 F189:G196" xr:uid="{00000000-0002-0000-0E00-000001000000}">
      <formula1>Penalty_type</formula1>
    </dataValidation>
    <dataValidation type="list" allowBlank="1" showInputMessage="1" showErrorMessage="1" sqref="C174:D183" xr:uid="{00000000-0002-0000-0E00-000002000000}">
      <formula1>_10.7a_col1</formula1>
    </dataValidation>
    <dataValidation type="decimal" operator="greaterThanOrEqual" allowBlank="1" showInputMessage="1" showErrorMessage="1" error="Please type a number greater or equal to zero" sqref="E66:F87 E147:H161 E171:F183" xr:uid="{27AD2E80-91D4-414E-BECA-6425B14641ED}">
      <formula1>0</formula1>
    </dataValidation>
    <dataValidation type="decimal" operator="greaterThanOrEqual" allowBlank="1" showInputMessage="1" showErrorMessage="1" sqref="E21:H56" xr:uid="{6BBE8FD8-C275-4017-8860-FA9776F907F9}">
      <formula1>0</formula1>
    </dataValidation>
  </dataValidations>
  <pageMargins left="0.7" right="0.7" top="0.75" bottom="0.75" header="0.3" footer="0.3"/>
  <pageSetup paperSize="9" orientation="portrait" horizontalDpi="4294967293" verticalDpi="4294967293"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E00-000003000000}">
          <x14:formula1>
            <xm:f>OFFSET('Lists and version log'!$AK$3,0,0,'Lists and version log'!$AK$2)</xm:f>
          </x14:formula1>
          <xm:sqref>C66:D87</xm:sqref>
        </x14:dataValidation>
        <x14:dataValidation type="list" allowBlank="1" showInputMessage="1" showErrorMessage="1" xr:uid="{86DA5974-3A87-48EC-B0F4-F8931067738A}">
          <x14:formula1>
            <xm:f>OFFSET('Lists and version log'!$AL$3,0,0,'Lists and version log'!$AL$2)</xm:f>
          </x14:formula1>
          <xm:sqref>C172:D173 C171:D171</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K24"/>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11" s="7" customFormat="1" ht="19.95" customHeight="1" x14ac:dyDescent="0.3">
      <c r="A1" s="193" t="s">
        <v>1792</v>
      </c>
      <c r="B1" s="193"/>
      <c r="C1" s="193"/>
      <c r="D1" s="193"/>
      <c r="E1" s="193"/>
      <c r="F1" s="193"/>
      <c r="G1" s="193"/>
      <c r="H1" s="193"/>
      <c r="I1" s="193"/>
    </row>
    <row r="2" spans="1:11" s="7" customFormat="1" ht="4.95" customHeight="1" x14ac:dyDescent="0.3">
      <c r="A2" s="8"/>
    </row>
    <row r="3" spans="1:11" s="11" customFormat="1" ht="18.899999999999999" customHeight="1" x14ac:dyDescent="0.35">
      <c r="A3" s="62">
        <v>11</v>
      </c>
      <c r="B3" s="553" t="s">
        <v>607</v>
      </c>
      <c r="C3" s="553"/>
      <c r="D3" s="553"/>
      <c r="E3" s="553"/>
      <c r="F3" s="553"/>
      <c r="G3" s="553"/>
      <c r="H3" s="553"/>
      <c r="I3" s="553"/>
    </row>
    <row r="4" spans="1:11" ht="15.9" customHeight="1" x14ac:dyDescent="0.3">
      <c r="A4" s="8"/>
      <c r="B4" s="269" t="s">
        <v>1323</v>
      </c>
      <c r="C4" s="270"/>
      <c r="D4" s="270"/>
      <c r="E4" s="270"/>
      <c r="F4" s="270"/>
      <c r="G4" s="270"/>
      <c r="H4" s="270"/>
      <c r="I4" s="270"/>
    </row>
    <row r="5" spans="1:11" ht="15.9" customHeight="1" x14ac:dyDescent="0.3">
      <c r="A5" s="12" t="s">
        <v>608</v>
      </c>
      <c r="B5" s="293" t="s">
        <v>1324</v>
      </c>
      <c r="C5" s="294"/>
      <c r="D5" s="294"/>
      <c r="E5" s="294"/>
      <c r="F5" s="294"/>
      <c r="G5" s="294"/>
      <c r="H5" s="294"/>
      <c r="I5" s="294"/>
    </row>
    <row r="6" spans="1:11" ht="48" customHeight="1" x14ac:dyDescent="0.3">
      <c r="C6" s="284" t="str">
        <f>_xlfn.CONCAT(_xlfn.XLOOKUP("[LegalNatureOfEmissionAllowance][0][LegalNatureOfEmissionAllowance]",Submission!$O:$O,Submission!$H:$N,""))</f>
        <v>The emission unit is a financial instrument in accordance with the Capital Market Act (Official Gazette No. 65/18, 17/20, 83/21)</v>
      </c>
      <c r="D6" s="349"/>
      <c r="E6" s="349"/>
      <c r="F6" s="349"/>
      <c r="G6" s="349"/>
      <c r="H6" s="349"/>
      <c r="I6" s="282"/>
    </row>
    <row r="7" spans="1:11" ht="22.2" customHeight="1" x14ac:dyDescent="0.3">
      <c r="D7" s="11"/>
    </row>
    <row r="8" spans="1:11" ht="15.9" customHeight="1" x14ac:dyDescent="0.3">
      <c r="A8" s="12" t="s">
        <v>613</v>
      </c>
      <c r="B8" s="293" t="s">
        <v>1325</v>
      </c>
      <c r="C8" s="294"/>
      <c r="D8" s="294"/>
      <c r="E8" s="294"/>
      <c r="F8" s="294"/>
      <c r="G8" s="294"/>
      <c r="H8" s="294"/>
      <c r="I8" s="294"/>
    </row>
    <row r="9" spans="1:11" ht="48" customHeight="1" x14ac:dyDescent="0.3">
      <c r="C9" s="284" t="str">
        <f>_xlfn.CONCAT(_xlfn.XLOOKUP("[AccountingTreatmentOfEmissionAllowances][0][AccountingTreatmentOfEmissionAllowances]",Submission!$O:$O,Submission!$H:$N,""))</f>
        <v>The emission unit is treated as a commodity in stock.</v>
      </c>
      <c r="D9" s="348"/>
      <c r="E9" s="348"/>
      <c r="F9" s="348"/>
      <c r="G9" s="348"/>
      <c r="H9" s="348"/>
      <c r="I9" s="285"/>
    </row>
    <row r="10" spans="1:11" ht="24.6" customHeight="1" x14ac:dyDescent="0.3">
      <c r="D10" s="11"/>
    </row>
    <row r="11" spans="1:11" ht="18" customHeight="1" x14ac:dyDescent="0.3">
      <c r="A11" s="12" t="s">
        <v>616</v>
      </c>
      <c r="B11" s="293" t="s">
        <v>1326</v>
      </c>
      <c r="C11" s="294"/>
      <c r="D11" s="294"/>
      <c r="E11" s="294"/>
      <c r="F11" s="294"/>
      <c r="G11" s="294"/>
      <c r="H11" s="295"/>
      <c r="I11" s="41" t="str">
        <f>_xlfn.CONCAT(_xlfn.XLOOKUP("[VATdueEmissionAllowancesIssuance][0][VATdueEmissionAllowancesIssuance]",Submission!$O:$O,Submission!$H:$N,""))</f>
        <v>Yes</v>
      </c>
    </row>
    <row r="12" spans="1:11" ht="7.5" customHeight="1" x14ac:dyDescent="0.3">
      <c r="A12" s="12"/>
      <c r="B12" s="18"/>
      <c r="C12" s="31"/>
      <c r="D12" s="31"/>
      <c r="E12" s="31"/>
      <c r="F12" s="31"/>
      <c r="G12" s="31"/>
      <c r="H12" s="31"/>
      <c r="I12" s="31"/>
      <c r="J12" s="31"/>
      <c r="K12" s="31"/>
    </row>
    <row r="13" spans="1:11" ht="18" customHeight="1" x14ac:dyDescent="0.3">
      <c r="A13" s="12"/>
      <c r="B13" s="293" t="s">
        <v>1327</v>
      </c>
      <c r="C13" s="294"/>
      <c r="D13" s="294"/>
      <c r="E13" s="294"/>
      <c r="F13" s="294"/>
      <c r="G13" s="294"/>
      <c r="H13" s="295"/>
      <c r="I13" s="41" t="str">
        <f>_xlfn.CONCAT(_xlfn.XLOOKUP("[ReverseChargeMechanismEmissionAllowances][0][ReverseChargeMechanismEmissionAllowances]",Submission!$O:$O,Submission!$H:$N,""))</f>
        <v>Yes</v>
      </c>
    </row>
    <row r="14" spans="1:11" ht="31.2" customHeight="1" x14ac:dyDescent="0.3"/>
    <row r="15" spans="1:11" ht="18" customHeight="1" x14ac:dyDescent="0.3">
      <c r="A15" s="12" t="s">
        <v>620</v>
      </c>
      <c r="B15" s="293" t="s">
        <v>1328</v>
      </c>
      <c r="C15" s="294"/>
      <c r="D15" s="294"/>
      <c r="E15" s="294"/>
      <c r="F15" s="294"/>
      <c r="G15" s="294"/>
      <c r="H15" s="295"/>
      <c r="I15" s="41" t="str">
        <f>_xlfn.CONCAT(_xlfn.XLOOKUP("[EmissionAllowancesTaxed][0][EmissionAllowancesTaxed]",Submission!$O:$O,Submission!$H:$N,""))</f>
        <v>Yes</v>
      </c>
    </row>
    <row r="16" spans="1:11" ht="18" customHeight="1" x14ac:dyDescent="0.3">
      <c r="A16" s="13"/>
      <c r="B16" s="293" t="s">
        <v>1329</v>
      </c>
      <c r="C16" s="294"/>
      <c r="D16" s="294"/>
      <c r="E16" s="294"/>
      <c r="F16" s="294"/>
      <c r="G16" s="294"/>
      <c r="H16" s="294"/>
      <c r="I16" s="294"/>
    </row>
    <row r="17" spans="2:9" ht="15.9" customHeight="1" x14ac:dyDescent="0.3">
      <c r="C17" s="315" t="s">
        <v>1330</v>
      </c>
      <c r="D17" s="379"/>
      <c r="E17" s="379"/>
      <c r="F17" s="336"/>
      <c r="G17" s="315" t="s">
        <v>1331</v>
      </c>
      <c r="H17" s="379"/>
      <c r="I17" s="336"/>
    </row>
    <row r="18" spans="2:9" ht="15.9" customHeight="1" x14ac:dyDescent="0.3">
      <c r="C18" s="284" t="str">
        <f>_xlfn.CONCAT(_xlfn.XLOOKUP("[S11_TypeOfTaxRatesApplied][1][TypeOfTax]",Submission!$O:$O,Submission!$H:$N,""))</f>
        <v>VAT</v>
      </c>
      <c r="D18" s="348"/>
      <c r="E18" s="348"/>
      <c r="F18" s="285"/>
      <c r="G18" s="284" t="str">
        <f>_xlfn.CONCAT(_xlfn.XLOOKUP("[S11_TypeOfTaxRatesApplied][1][TaxRateApplied]",Submission!$O:$O,Submission!$H:$N,""))</f>
        <v>25</v>
      </c>
      <c r="H18" s="348"/>
      <c r="I18" s="285"/>
    </row>
    <row r="19" spans="2:9" ht="15.9" customHeight="1" x14ac:dyDescent="0.3">
      <c r="C19" s="284" t="str">
        <f>_xlfn.CONCAT(_xlfn.XLOOKUP("[S11_TypeOfTaxRatesApplied][2][TypeOfTax]",Submission!$O:$O,Submission!$H:$N,""))</f>
        <v/>
      </c>
      <c r="D19" s="348"/>
      <c r="E19" s="348"/>
      <c r="F19" s="285"/>
      <c r="G19" s="284" t="str">
        <f>_xlfn.CONCAT(_xlfn.XLOOKUP("[S11_TypeOfTaxRatesApplied][2][TaxRateApplied]",Submission!$O:$O,Submission!$H:$N,""))</f>
        <v/>
      </c>
      <c r="H19" s="348"/>
      <c r="I19" s="285"/>
    </row>
    <row r="20" spans="2:9" ht="15.9" hidden="1" customHeight="1" outlineLevel="1" x14ac:dyDescent="0.3">
      <c r="C20" s="284" t="str">
        <f>_xlfn.CONCAT(_xlfn.XLOOKUP("[S11_TypeOfTaxRatesApplied][3][TypeOfTax]",Submission!$O:$O,Submission!$H:$N,""))</f>
        <v/>
      </c>
      <c r="D20" s="348"/>
      <c r="E20" s="348"/>
      <c r="F20" s="285"/>
      <c r="G20" s="284" t="str">
        <f>_xlfn.CONCAT(_xlfn.XLOOKUP("[S11_TypeOfTaxRatesApplied][3][TaxRateApplied]",Submission!$O:$O,Submission!$H:$N,""))</f>
        <v/>
      </c>
      <c r="H20" s="348"/>
      <c r="I20" s="285"/>
    </row>
    <row r="21" spans="2:9" ht="15.9" hidden="1" customHeight="1" outlineLevel="1" x14ac:dyDescent="0.3">
      <c r="C21" s="284" t="str">
        <f>_xlfn.CONCAT(_xlfn.XLOOKUP("[S11_TypeOfTaxRatesApplied][4][TypeOfTax]",Submission!$O:$O,Submission!$H:$N,""))</f>
        <v/>
      </c>
      <c r="D21" s="348"/>
      <c r="E21" s="348"/>
      <c r="F21" s="285"/>
      <c r="G21" s="284" t="str">
        <f>_xlfn.CONCAT(_xlfn.XLOOKUP("[S11_TypeOfTaxRatesApplied][4][TaxRateApplied]",Submission!$O:$O,Submission!$H:$N,""))</f>
        <v/>
      </c>
      <c r="H21" s="348"/>
      <c r="I21" s="285"/>
    </row>
    <row r="22" spans="2:9" ht="15.9" hidden="1" customHeight="1" outlineLevel="1" x14ac:dyDescent="0.3">
      <c r="C22" s="284" t="str">
        <f>_xlfn.CONCAT(_xlfn.XLOOKUP("[S11_TypeOfTaxRatesApplied][5][TypeOfTax]",Submission!$O:$O,Submission!$H:$N,""))</f>
        <v/>
      </c>
      <c r="D22" s="348"/>
      <c r="E22" s="348"/>
      <c r="F22" s="285"/>
      <c r="G22" s="284" t="str">
        <f>_xlfn.CONCAT(_xlfn.XLOOKUP("[S11_TypeOfTaxRatesApplied][5][TaxRateApplied]",Submission!$O:$O,Submission!$H:$N,""))</f>
        <v/>
      </c>
      <c r="H22" s="348"/>
      <c r="I22" s="285"/>
    </row>
    <row r="23" spans="2:9" ht="15.9" hidden="1" customHeight="1" outlineLevel="1" x14ac:dyDescent="0.3">
      <c r="C23" s="284" t="str">
        <f>_xlfn.CONCAT(_xlfn.XLOOKUP("[S11_TypeOfTaxRatesApplied][6][TypeOfTax]",Submission!$O:$O,Submission!$H:$N,""))</f>
        <v/>
      </c>
      <c r="D23" s="348"/>
      <c r="E23" s="348"/>
      <c r="F23" s="285"/>
      <c r="G23" s="284" t="str">
        <f>_xlfn.CONCAT(_xlfn.XLOOKUP("[S11_TypeOfTaxRatesApplied][6][TaxRateApplied]",Submission!$O:$O,Submission!$H:$N,""))</f>
        <v/>
      </c>
      <c r="H23" s="348"/>
      <c r="I23" s="285"/>
    </row>
    <row r="24" spans="2:9" collapsed="1" x14ac:dyDescent="0.3">
      <c r="B24" s="26" t="s">
        <v>1000</v>
      </c>
    </row>
  </sheetData>
  <mergeCells count="25">
    <mergeCell ref="B3:I3"/>
    <mergeCell ref="B4:I4"/>
    <mergeCell ref="B5:I5"/>
    <mergeCell ref="C6:I6"/>
    <mergeCell ref="C20:F20"/>
    <mergeCell ref="G20:I20"/>
    <mergeCell ref="G18:I18"/>
    <mergeCell ref="C19:F19"/>
    <mergeCell ref="G19:I19"/>
    <mergeCell ref="C21:F21"/>
    <mergeCell ref="G21:I21"/>
    <mergeCell ref="B8:I8"/>
    <mergeCell ref="A1:I1"/>
    <mergeCell ref="C23:F23"/>
    <mergeCell ref="G23:I23"/>
    <mergeCell ref="C9:I9"/>
    <mergeCell ref="B11:H11"/>
    <mergeCell ref="B13:H13"/>
    <mergeCell ref="B15:H15"/>
    <mergeCell ref="B16:I16"/>
    <mergeCell ref="C17:F17"/>
    <mergeCell ref="G17:I17"/>
    <mergeCell ref="C22:F22"/>
    <mergeCell ref="G22:I22"/>
    <mergeCell ref="C18:F18"/>
  </mergeCells>
  <dataValidations count="1">
    <dataValidation type="list" allowBlank="1" showInputMessage="1" showErrorMessage="1" sqref="I15 I11 I13" xr:uid="{00000000-0002-0000-0F00-000000000000}">
      <formula1>Yes_No</formula1>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3"/>
  <dimension ref="A1:I31"/>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11" customFormat="1" ht="18.899999999999999" customHeight="1" x14ac:dyDescent="0.35">
      <c r="A3" s="62">
        <v>12</v>
      </c>
      <c r="B3" s="327" t="s">
        <v>624</v>
      </c>
      <c r="C3" s="327"/>
      <c r="D3" s="327"/>
      <c r="E3" s="327"/>
      <c r="F3" s="327"/>
      <c r="G3" s="327"/>
      <c r="H3" s="327"/>
      <c r="I3" s="327"/>
    </row>
    <row r="4" spans="1:9" ht="15.9" customHeight="1" x14ac:dyDescent="0.3">
      <c r="A4" s="12" t="s">
        <v>625</v>
      </c>
      <c r="B4" s="269" t="s">
        <v>1332</v>
      </c>
      <c r="C4" s="270"/>
      <c r="D4" s="270"/>
      <c r="E4" s="270"/>
      <c r="F4" s="270"/>
      <c r="G4" s="270"/>
      <c r="H4" s="270"/>
      <c r="I4" s="270"/>
    </row>
    <row r="5" spans="1:9" ht="18.600000000000001" customHeight="1" x14ac:dyDescent="0.3">
      <c r="B5" s="293" t="s">
        <v>1333</v>
      </c>
      <c r="C5" s="294"/>
      <c r="D5" s="294"/>
      <c r="E5" s="294"/>
      <c r="F5" s="294"/>
      <c r="G5" s="294"/>
      <c r="H5" s="294"/>
      <c r="I5" s="294"/>
    </row>
    <row r="6" spans="1:9" ht="15.9" customHeight="1" x14ac:dyDescent="0.3">
      <c r="C6" s="303" t="s">
        <v>1334</v>
      </c>
      <c r="D6" s="330"/>
      <c r="E6" s="330"/>
      <c r="F6" s="309"/>
      <c r="G6" s="303" t="s">
        <v>1335</v>
      </c>
      <c r="H6" s="330"/>
      <c r="I6" s="309"/>
    </row>
    <row r="7" spans="1:9" ht="45" customHeight="1" x14ac:dyDescent="0.3">
      <c r="C7" s="246" t="s">
        <v>1336</v>
      </c>
      <c r="D7" s="283"/>
      <c r="E7" s="283"/>
      <c r="F7" s="239"/>
      <c r="G7" s="284" t="str">
        <f>_xlfn.CONCAT(_xlfn.XLOOKUP("[S12_FraudFreeAllocationOfAllowances][1][DetailsOfProceduresInNationalLaw]",Submission!$O:$O,Submission!$H:$N,""))</f>
        <v>There are no special mechanisms. Fraud is punishable under the Capital Market Act (Official Gazette No. 65/18, 17/20, 83/21)</v>
      </c>
      <c r="H7" s="348"/>
      <c r="I7" s="285"/>
    </row>
    <row r="8" spans="1:9" ht="45" customHeight="1" x14ac:dyDescent="0.3">
      <c r="C8" s="246" t="s">
        <v>1337</v>
      </c>
      <c r="D8" s="283"/>
      <c r="E8" s="283"/>
      <c r="F8" s="239"/>
      <c r="G8" s="284" t="str">
        <f>_xlfn.CONCAT(_xlfn.XLOOKUP("[S12_FraudFreeAllocationOfAllowances][2][DetailsOfProceduresInNationalLaw]",Submission!$O:$O,Submission!$H:$N,""))</f>
        <v>Yes</v>
      </c>
      <c r="H8" s="348"/>
      <c r="I8" s="285"/>
    </row>
    <row r="9" spans="1:9" ht="45" customHeight="1" x14ac:dyDescent="0.3">
      <c r="C9" s="246" t="s">
        <v>1338</v>
      </c>
      <c r="D9" s="283"/>
      <c r="E9" s="283"/>
      <c r="F9" s="239"/>
      <c r="G9" s="284" t="str">
        <f>_xlfn.CONCAT(_xlfn.XLOOKUP("[S12_FraudFreeAllocationOfAllowances][3][DetailsOfProceduresInNationalLaw]",Submission!$O:$O,Submission!$H:$N,""))</f>
        <v>Ministry of Finance</v>
      </c>
      <c r="H9" s="348"/>
      <c r="I9" s="285"/>
    </row>
    <row r="10" spans="1:9" ht="45" customHeight="1" x14ac:dyDescent="0.3">
      <c r="C10" s="246" t="s">
        <v>1339</v>
      </c>
      <c r="D10" s="283"/>
      <c r="E10" s="283"/>
      <c r="F10" s="239"/>
      <c r="G10" s="284" t="str">
        <f>_xlfn.CONCAT(_xlfn.XLOOKUP("[S12_FraudFreeAllocationOfAllowances][4][DetailsOfProceduresInNationalLaw]",Submission!$O:$O,Submission!$H:$N,""))</f>
        <v>Yes</v>
      </c>
      <c r="H10" s="348"/>
      <c r="I10" s="285"/>
    </row>
    <row r="11" spans="1:9" ht="45" customHeight="1" x14ac:dyDescent="0.3">
      <c r="C11" s="246" t="s">
        <v>1340</v>
      </c>
      <c r="D11" s="283"/>
      <c r="E11" s="283"/>
      <c r="F11" s="239"/>
      <c r="G11" s="284" t="str">
        <f>_xlfn.CONCAT(_xlfn.XLOOKUP("[S12_FraudFreeAllocationOfAllowances][5][DetailsOfProceduresInNationalLaw]",Submission!$O:$O,Submission!$H:$N,""))</f>
        <v>Yes</v>
      </c>
      <c r="H11" s="348"/>
      <c r="I11" s="285"/>
    </row>
    <row r="12" spans="1:9" ht="45" customHeight="1" x14ac:dyDescent="0.3">
      <c r="C12" s="246" t="s">
        <v>1341</v>
      </c>
      <c r="D12" s="283"/>
      <c r="E12" s="283"/>
      <c r="F12" s="239"/>
      <c r="G12" s="284" t="str">
        <f>_xlfn.CONCAT(_xlfn.XLOOKUP("[S12_FraudFreeAllocationOfAllowances][6][DetailsOfProceduresInNationalLaw]",Submission!$O:$O,Submission!$H:$N,""))</f>
        <v>prison sentence of 6 months to 8 years</v>
      </c>
      <c r="H12" s="348"/>
      <c r="I12" s="285"/>
    </row>
    <row r="13" spans="1:9" ht="15.9" customHeight="1" x14ac:dyDescent="0.3">
      <c r="D13" s="11"/>
    </row>
    <row r="14" spans="1:9" ht="15.9" customHeight="1" x14ac:dyDescent="0.3">
      <c r="A14" s="12" t="s">
        <v>633</v>
      </c>
      <c r="B14" s="555" t="s">
        <v>1342</v>
      </c>
      <c r="C14" s="556"/>
      <c r="D14" s="556"/>
      <c r="E14" s="556"/>
      <c r="F14" s="556"/>
      <c r="G14" s="556"/>
      <c r="H14" s="556"/>
      <c r="I14" s="556"/>
    </row>
    <row r="15" spans="1:9" ht="32.1" customHeight="1" x14ac:dyDescent="0.3">
      <c r="B15" s="293" t="s">
        <v>1343</v>
      </c>
      <c r="C15" s="294"/>
      <c r="D15" s="294"/>
      <c r="E15" s="294"/>
      <c r="F15" s="294"/>
      <c r="G15" s="294"/>
      <c r="H15" s="294"/>
      <c r="I15" s="294"/>
    </row>
    <row r="16" spans="1:9" ht="15.9" customHeight="1" x14ac:dyDescent="0.3">
      <c r="C16" s="303" t="s">
        <v>1344</v>
      </c>
      <c r="D16" s="330"/>
      <c r="E16" s="330"/>
      <c r="F16" s="309"/>
      <c r="G16" s="303" t="s">
        <v>1345</v>
      </c>
      <c r="H16" s="330"/>
      <c r="I16" s="309"/>
    </row>
    <row r="17" spans="1:9" ht="42.6" customHeight="1" x14ac:dyDescent="0.3">
      <c r="C17" s="246" t="s">
        <v>1346</v>
      </c>
      <c r="D17" s="283"/>
      <c r="E17" s="283"/>
      <c r="F17" s="239"/>
      <c r="G17" s="284" t="str">
        <f>_xlfn.CONCAT(_xlfn.XLOOKUP("[S12_CompetentAuthoritiesAwareOfFraud][1][DetailsOfArrangementsAndProcedures]",Submission!$O:$O,Submission!$H:$N,""))</f>
        <v>Yes. There have been no such cases so far.</v>
      </c>
      <c r="H17" s="348"/>
      <c r="I17" s="285"/>
    </row>
    <row r="18" spans="1:9" ht="40.200000000000003" customHeight="1" x14ac:dyDescent="0.3">
      <c r="C18" s="246" t="s">
        <v>1347</v>
      </c>
      <c r="D18" s="283"/>
      <c r="E18" s="283"/>
      <c r="F18" s="239"/>
      <c r="G18" s="284" t="str">
        <f>_xlfn.CONCAT(_xlfn.XLOOKUP("[S12_CompetentAuthoritiesAwareOfFraud][2][DetailsOfArrangementsAndProcedures]",Submission!$O:$O,Submission!$H:$N,""))</f>
        <v>Yes. There have been no such cases so far.</v>
      </c>
      <c r="H18" s="348"/>
      <c r="I18" s="285"/>
    </row>
    <row r="19" spans="1:9" ht="40.200000000000003" customHeight="1" x14ac:dyDescent="0.3">
      <c r="C19" s="246" t="s">
        <v>1348</v>
      </c>
      <c r="D19" s="283"/>
      <c r="E19" s="283"/>
      <c r="F19" s="239"/>
      <c r="G19" s="284" t="str">
        <f>_xlfn.CONCAT(_xlfn.XLOOKUP("[S12_CompetentAuthoritiesAwareOfFraud][3][DetailsOfArrangementsAndProcedures]",Submission!$O:$O,Submission!$H:$N,""))</f>
        <v>Yes. There have been no such cases so far.</v>
      </c>
      <c r="H19" s="348"/>
      <c r="I19" s="285"/>
    </row>
    <row r="20" spans="1:9" ht="40.200000000000003" customHeight="1" x14ac:dyDescent="0.3">
      <c r="C20" s="246" t="s">
        <v>1349</v>
      </c>
      <c r="D20" s="283"/>
      <c r="E20" s="283"/>
      <c r="F20" s="239"/>
      <c r="G20" s="284" t="str">
        <f>_xlfn.CONCAT(_xlfn.XLOOKUP("[S12_CompetentAuthoritiesAwareOfFraud][4][DetailsOfArrangementsAndProcedures]",Submission!$O:$O,Submission!$H:$N,""))</f>
        <v>Yes. There have been no such cases so far.</v>
      </c>
      <c r="H20" s="348"/>
      <c r="I20" s="285"/>
    </row>
    <row r="21" spans="1:9" ht="15.9" customHeight="1" x14ac:dyDescent="0.3">
      <c r="D21" s="11"/>
    </row>
    <row r="22" spans="1:9" ht="32.1" customHeight="1" x14ac:dyDescent="0.3">
      <c r="A22" s="12" t="s">
        <v>637</v>
      </c>
      <c r="B22" s="293" t="s">
        <v>1350</v>
      </c>
      <c r="C22" s="294"/>
      <c r="D22" s="294"/>
      <c r="E22" s="294"/>
      <c r="F22" s="294"/>
      <c r="G22" s="294"/>
      <c r="H22" s="294"/>
      <c r="I22" s="294"/>
    </row>
    <row r="23" spans="1:9" ht="17.399999999999999" customHeight="1" x14ac:dyDescent="0.3">
      <c r="B23" s="15" t="s">
        <v>8</v>
      </c>
      <c r="C23" s="362" t="s">
        <v>1351</v>
      </c>
      <c r="D23" s="272"/>
      <c r="E23" s="272"/>
      <c r="F23" s="272"/>
      <c r="G23" s="272"/>
      <c r="H23" s="272"/>
      <c r="I23" s="272"/>
    </row>
    <row r="24" spans="1:9" ht="17.399999999999999" customHeight="1" x14ac:dyDescent="0.3">
      <c r="B24" s="15" t="s">
        <v>8</v>
      </c>
      <c r="C24" s="362" t="s">
        <v>1352</v>
      </c>
      <c r="D24" s="272"/>
      <c r="E24" s="272"/>
      <c r="F24" s="272"/>
      <c r="G24" s="272"/>
      <c r="H24" s="272"/>
      <c r="I24" s="272"/>
    </row>
    <row r="25" spans="1:9" ht="17.399999999999999" customHeight="1" x14ac:dyDescent="0.3">
      <c r="B25" s="15" t="s">
        <v>8</v>
      </c>
      <c r="C25" s="362" t="s">
        <v>1353</v>
      </c>
      <c r="D25" s="272"/>
      <c r="E25" s="272"/>
      <c r="F25" s="272"/>
      <c r="G25" s="272"/>
      <c r="H25" s="272"/>
      <c r="I25" s="272"/>
    </row>
    <row r="26" spans="1:9" ht="17.399999999999999" customHeight="1" x14ac:dyDescent="0.3">
      <c r="B26" s="15" t="s">
        <v>8</v>
      </c>
      <c r="C26" s="363" t="s">
        <v>1354</v>
      </c>
      <c r="D26" s="554"/>
      <c r="E26" s="554"/>
      <c r="F26" s="554"/>
      <c r="G26" s="554"/>
      <c r="H26" s="554"/>
      <c r="I26" s="554"/>
    </row>
    <row r="27" spans="1:9" ht="15.9" customHeight="1" x14ac:dyDescent="0.3">
      <c r="C27" s="315" t="s">
        <v>1355</v>
      </c>
      <c r="D27" s="379"/>
      <c r="E27" s="379"/>
      <c r="F27" s="379"/>
      <c r="G27" s="336"/>
      <c r="H27" s="315" t="s">
        <v>726</v>
      </c>
      <c r="I27" s="336"/>
    </row>
    <row r="28" spans="1:9" ht="20.399999999999999" customHeight="1" x14ac:dyDescent="0.3">
      <c r="C28" s="246" t="s">
        <v>1356</v>
      </c>
      <c r="D28" s="283"/>
      <c r="E28" s="283"/>
      <c r="F28" s="283"/>
      <c r="G28" s="239"/>
      <c r="H28" s="341" t="str">
        <f>_xlfn.CONCAT(_xlfn.XLOOKUP("[S12_InformationOnFraudActivities][1][NumberOfActivities]",Submission!$O:$O,Submission!$H:$N,""))</f>
        <v>0</v>
      </c>
      <c r="I28" s="342"/>
    </row>
    <row r="29" spans="1:9" ht="20.399999999999999" customHeight="1" x14ac:dyDescent="0.3">
      <c r="C29" s="246" t="s">
        <v>1357</v>
      </c>
      <c r="D29" s="283"/>
      <c r="E29" s="283"/>
      <c r="F29" s="283"/>
      <c r="G29" s="239"/>
      <c r="H29" s="341" t="str">
        <f>_xlfn.CONCAT(_xlfn.XLOOKUP("[S12_InformationOnFraudActivities][2][NumberOfActivities]",Submission!$O:$O,Submission!$H:$N,""))</f>
        <v>0</v>
      </c>
      <c r="I29" s="342"/>
    </row>
    <row r="30" spans="1:9" ht="20.399999999999999" customHeight="1" x14ac:dyDescent="0.3">
      <c r="C30" s="246" t="s">
        <v>1358</v>
      </c>
      <c r="D30" s="283"/>
      <c r="E30" s="283"/>
      <c r="F30" s="283"/>
      <c r="G30" s="239"/>
      <c r="H30" s="341" t="str">
        <f>_xlfn.CONCAT(_xlfn.XLOOKUP("[S12_InformationOnFraudActivities][3][NumberOfActivities]",Submission!$O:$O,Submission!$H:$N,""))</f>
        <v>0</v>
      </c>
      <c r="I30" s="342"/>
    </row>
    <row r="31" spans="1:9" ht="20.399999999999999" customHeight="1" x14ac:dyDescent="0.3">
      <c r="C31" s="246" t="s">
        <v>1359</v>
      </c>
      <c r="D31" s="283"/>
      <c r="E31" s="283"/>
      <c r="F31" s="283"/>
      <c r="G31" s="239"/>
      <c r="H31" s="341" t="str">
        <f>_xlfn.CONCAT(_xlfn.XLOOKUP("[S12_InformationOnFraudActivities][4][NumberOfActivities]",Submission!$O:$O,Submission!$H:$N,""))</f>
        <v>0</v>
      </c>
      <c r="I31" s="342"/>
    </row>
  </sheetData>
  <mergeCells count="45">
    <mergeCell ref="B3:I3"/>
    <mergeCell ref="B4:I4"/>
    <mergeCell ref="B5:I5"/>
    <mergeCell ref="C6:F6"/>
    <mergeCell ref="G6:I6"/>
    <mergeCell ref="C7:F7"/>
    <mergeCell ref="G7:I7"/>
    <mergeCell ref="C8:F8"/>
    <mergeCell ref="G8:I8"/>
    <mergeCell ref="C9:F9"/>
    <mergeCell ref="G9:I9"/>
    <mergeCell ref="C10:F10"/>
    <mergeCell ref="G10:I10"/>
    <mergeCell ref="C11:F11"/>
    <mergeCell ref="G11:I11"/>
    <mergeCell ref="C12:F12"/>
    <mergeCell ref="G12:I12"/>
    <mergeCell ref="C26:I26"/>
    <mergeCell ref="B14:I14"/>
    <mergeCell ref="B15:I15"/>
    <mergeCell ref="C16:F16"/>
    <mergeCell ref="G16:I16"/>
    <mergeCell ref="C17:F17"/>
    <mergeCell ref="G17:I17"/>
    <mergeCell ref="G20:I20"/>
    <mergeCell ref="B22:I22"/>
    <mergeCell ref="C23:I23"/>
    <mergeCell ref="C24:I24"/>
    <mergeCell ref="C25:I25"/>
    <mergeCell ref="A1:I1"/>
    <mergeCell ref="C31:G31"/>
    <mergeCell ref="H31:I31"/>
    <mergeCell ref="C28:G28"/>
    <mergeCell ref="H28:I28"/>
    <mergeCell ref="C29:G29"/>
    <mergeCell ref="H29:I29"/>
    <mergeCell ref="C30:G30"/>
    <mergeCell ref="H30:I30"/>
    <mergeCell ref="C27:G27"/>
    <mergeCell ref="H27:I27"/>
    <mergeCell ref="C18:F18"/>
    <mergeCell ref="G18:I18"/>
    <mergeCell ref="C19:F19"/>
    <mergeCell ref="G19:I19"/>
    <mergeCell ref="C20:F20"/>
  </mergeCells>
  <dataValidations count="1">
    <dataValidation type="whole" operator="greaterThanOrEqual" allowBlank="1" showInputMessage="1" showErrorMessage="1" error="Please type a whole number greater or equal to zero" sqref="H28:I31" xr:uid="{3D4DFACC-468B-450F-9C5A-9216216E9CEC}">
      <formula1>0</formula1>
    </dataValidation>
  </dataValidation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4"/>
  <dimension ref="A1:K96"/>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3" width="21.109375" style="13" customWidth="1"/>
    <col min="4" max="4" width="19" style="13" customWidth="1"/>
    <col min="5" max="8" width="23.6640625" style="13" customWidth="1"/>
    <col min="9" max="9" width="31" style="13" customWidth="1"/>
    <col min="10" max="10" width="9.109375" style="13"/>
    <col min="11" max="11" width="9.44140625" style="13" customWidth="1"/>
    <col min="12"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11" customFormat="1" ht="18.899999999999999" customHeight="1" x14ac:dyDescent="0.35">
      <c r="A3" s="62">
        <v>13</v>
      </c>
      <c r="B3" s="327" t="s">
        <v>641</v>
      </c>
      <c r="C3" s="327"/>
      <c r="D3" s="327"/>
      <c r="E3" s="327"/>
      <c r="F3" s="327"/>
      <c r="G3" s="327"/>
      <c r="H3" s="327"/>
      <c r="I3" s="327"/>
    </row>
    <row r="4" spans="1:9" ht="24.6" customHeight="1" x14ac:dyDescent="0.3">
      <c r="A4" s="12" t="s">
        <v>642</v>
      </c>
      <c r="B4" s="560" t="s">
        <v>1360</v>
      </c>
      <c r="C4" s="561"/>
      <c r="D4" s="561"/>
      <c r="E4" s="561"/>
      <c r="F4" s="561"/>
      <c r="G4" s="561"/>
      <c r="H4" s="561"/>
      <c r="I4" s="561"/>
    </row>
    <row r="5" spans="1:9" ht="15.9" customHeight="1" collapsed="1" x14ac:dyDescent="0.3">
      <c r="C5" s="120" t="s">
        <v>1361</v>
      </c>
    </row>
    <row r="6" spans="1:9" ht="15.9" customHeight="1" x14ac:dyDescent="0.3">
      <c r="C6" s="46" t="s">
        <v>1362</v>
      </c>
      <c r="D6" s="45" t="s">
        <v>1363</v>
      </c>
      <c r="E6" s="45" t="s">
        <v>1364</v>
      </c>
      <c r="F6" s="141"/>
      <c r="G6" s="141"/>
      <c r="H6" s="141"/>
      <c r="I6" s="148"/>
    </row>
    <row r="7" spans="1:9" ht="27" customHeight="1" x14ac:dyDescent="0.3">
      <c r="C7" s="96" t="s">
        <v>145</v>
      </c>
      <c r="D7" s="160"/>
      <c r="E7" s="348" t="str">
        <f>_xlfn.CONCAT(_xlfn.XLOOKUP("[S13_AnyOtherIssues][1][OtherInformationOrIssues]",Submission!$O:$O,Submission!$H:$N,""))</f>
        <v/>
      </c>
      <c r="F7" s="348"/>
      <c r="G7" s="348"/>
      <c r="H7" s="348"/>
      <c r="I7" s="285"/>
    </row>
    <row r="8" spans="1:9" ht="27" customHeight="1" x14ac:dyDescent="0.3">
      <c r="C8" s="96" t="s">
        <v>1365</v>
      </c>
      <c r="D8" s="160"/>
      <c r="E8" s="348" t="str">
        <f>_xlfn.CONCAT(_xlfn.XLOOKUP("[S13_AnyOtherIssues][2][OtherInformationOrIssues]",Submission!$O:$O,Submission!$H:$N,""))</f>
        <v/>
      </c>
      <c r="F8" s="348"/>
      <c r="G8" s="348"/>
      <c r="H8" s="348"/>
      <c r="I8" s="285"/>
    </row>
    <row r="9" spans="1:9" ht="27" customHeight="1" x14ac:dyDescent="0.3">
      <c r="C9" s="557" t="s">
        <v>1366</v>
      </c>
      <c r="D9" s="161" t="str">
        <f>_xlfn.CONCAT(_xlfn.XLOOKUP("[S13_AnyOtherIssues][3][QuestionnaireSubQuestion]",Submission!$O:$O,Submission!$H:$N,""))</f>
        <v/>
      </c>
      <c r="E9" s="348" t="str">
        <f>_xlfn.CONCAT(_xlfn.XLOOKUP("[S13_AnyOtherIssues][3][OtherInformationOrIssues]",Submission!$O:$O,Submission!$H:$N,""))</f>
        <v/>
      </c>
      <c r="F9" s="348"/>
      <c r="G9" s="348"/>
      <c r="H9" s="348"/>
      <c r="I9" s="285"/>
    </row>
    <row r="10" spans="1:9" ht="27" customHeight="1" x14ac:dyDescent="0.3">
      <c r="C10" s="558"/>
      <c r="D10" s="161" t="str">
        <f>_xlfn.CONCAT(_xlfn.XLOOKUP("[S13_AnyOtherIssues][4][QuestionnaireSubQuestion]",Submission!$O:$O,Submission!$H:$N,""))</f>
        <v/>
      </c>
      <c r="E10" s="348" t="str">
        <f>_xlfn.CONCAT(_xlfn.XLOOKUP("[S13_AnyOtherIssues][4][OtherInformationOrIssues]",Submission!$O:$O,Submission!$H:$N,""))</f>
        <v/>
      </c>
      <c r="F10" s="348"/>
      <c r="G10" s="348"/>
      <c r="H10" s="348"/>
      <c r="I10" s="285"/>
    </row>
    <row r="11" spans="1:9" ht="27" hidden="1" customHeight="1" outlineLevel="1" x14ac:dyDescent="0.3">
      <c r="C11" s="558"/>
      <c r="D11" s="161" t="str">
        <f>_xlfn.CONCAT(_xlfn.XLOOKUP("[S13_AnyOtherIssues][5][QuestionnaireSubQuestion]",Submission!$O:$O,Submission!$H:$N,""))</f>
        <v/>
      </c>
      <c r="E11" s="348" t="str">
        <f>_xlfn.CONCAT(_xlfn.XLOOKUP("[S13_AnyOtherIssues][5][OtherInformationOrIssues]",Submission!$O:$O,Submission!$H:$N,""))</f>
        <v/>
      </c>
      <c r="F11" s="348"/>
      <c r="G11" s="348"/>
      <c r="H11" s="348"/>
      <c r="I11" s="285"/>
    </row>
    <row r="12" spans="1:9" ht="27" hidden="1" customHeight="1" outlineLevel="1" x14ac:dyDescent="0.3">
      <c r="C12" s="559"/>
      <c r="D12" s="161" t="str">
        <f>_xlfn.CONCAT(_xlfn.XLOOKUP("[S13_AnyOtherIssues][6][QuestionnaireSubQuestion]",Submission!$O:$O,Submission!$H:$N,""))</f>
        <v/>
      </c>
      <c r="E12" s="348" t="str">
        <f>_xlfn.CONCAT(_xlfn.XLOOKUP("[S13_AnyOtherIssues][6][OtherInformationOrIssues]",Submission!$O:$O,Submission!$H:$N,""))</f>
        <v/>
      </c>
      <c r="F12" s="348"/>
      <c r="G12" s="348"/>
      <c r="H12" s="348"/>
      <c r="I12" s="285"/>
    </row>
    <row r="13" spans="1:9" ht="27" customHeight="1" collapsed="1" x14ac:dyDescent="0.3">
      <c r="C13" s="557" t="s">
        <v>1367</v>
      </c>
      <c r="D13" s="161" t="str">
        <f>_xlfn.CONCAT(_xlfn.XLOOKUP("[S13_AnyOtherIssues][7][QuestionnaireSubQuestion]",Submission!$O:$O,Submission!$H:$N,""))</f>
        <v/>
      </c>
      <c r="E13" s="348" t="str">
        <f>_xlfn.CONCAT(_xlfn.XLOOKUP("[S13_AnyOtherIssues][7][OtherInformationOrIssues]",Submission!$O:$O,Submission!$H:$N,""))</f>
        <v/>
      </c>
      <c r="F13" s="348"/>
      <c r="G13" s="348"/>
      <c r="H13" s="348"/>
      <c r="I13" s="285"/>
    </row>
    <row r="14" spans="1:9" ht="27" customHeight="1" x14ac:dyDescent="0.3">
      <c r="C14" s="558"/>
      <c r="D14" s="161" t="str">
        <f>_xlfn.CONCAT(_xlfn.XLOOKUP("[S13_AnyOtherIssues][8][QuestionnaireSubQuestion]",Submission!$O:$O,Submission!$H:$N,""))</f>
        <v/>
      </c>
      <c r="E14" s="348" t="str">
        <f>_xlfn.CONCAT(_xlfn.XLOOKUP("[S13_AnyOtherIssues][8][OtherInformationOrIssues]",Submission!$O:$O,Submission!$H:$N,""))</f>
        <v/>
      </c>
      <c r="F14" s="348"/>
      <c r="G14" s="348"/>
      <c r="H14" s="348"/>
      <c r="I14" s="285"/>
    </row>
    <row r="15" spans="1:9" ht="27" hidden="1" customHeight="1" outlineLevel="1" x14ac:dyDescent="0.3">
      <c r="C15" s="559"/>
      <c r="D15" s="161" t="str">
        <f>_xlfn.CONCAT(_xlfn.XLOOKUP("[S13_AnyOtherIssues][9][QuestionnaireSubQuestion]",Submission!$O:$O,Submission!$H:$N,""))</f>
        <v/>
      </c>
      <c r="E15" s="348" t="str">
        <f>_xlfn.CONCAT(_xlfn.XLOOKUP("[S13_AnyOtherIssues][9][OtherInformationOrIssues]",Submission!$O:$O,Submission!$H:$N,""))</f>
        <v/>
      </c>
      <c r="F15" s="348"/>
      <c r="G15" s="348"/>
      <c r="H15" s="348"/>
      <c r="I15" s="285"/>
    </row>
    <row r="16" spans="1:9" ht="27" customHeight="1" collapsed="1" x14ac:dyDescent="0.3">
      <c r="C16" s="557" t="s">
        <v>1368</v>
      </c>
      <c r="D16" s="161" t="str">
        <f>_xlfn.CONCAT(_xlfn.XLOOKUP("[S13_AnyOtherIssues][10][QuestionnaireSubQuestion]",Submission!$O:$O,Submission!$H:$N,""))</f>
        <v/>
      </c>
      <c r="E16" s="348" t="str">
        <f>_xlfn.CONCAT(_xlfn.XLOOKUP("[S13_AnyOtherIssues][10][OtherInformationOrIssues]",Submission!$O:$O,Submission!$H:$N,""))</f>
        <v/>
      </c>
      <c r="F16" s="348"/>
      <c r="G16" s="348"/>
      <c r="H16" s="348"/>
      <c r="I16" s="285"/>
    </row>
    <row r="17" spans="3:11" ht="27" customHeight="1" x14ac:dyDescent="0.3">
      <c r="C17" s="559"/>
      <c r="D17" s="161" t="str">
        <f>_xlfn.CONCAT(_xlfn.XLOOKUP("[S13_AnyOtherIssues][11][QuestionnaireSubQuestion]",Submission!$O:$O,Submission!$H:$N,""))</f>
        <v/>
      </c>
      <c r="E17" s="348" t="str">
        <f>_xlfn.CONCAT(_xlfn.XLOOKUP("[S13_AnyOtherIssues][11][OtherInformationOrIssues]",Submission!$O:$O,Submission!$H:$N,""))</f>
        <v/>
      </c>
      <c r="F17" s="348"/>
      <c r="G17" s="348"/>
      <c r="H17" s="348"/>
      <c r="I17" s="285"/>
    </row>
    <row r="18" spans="3:11" ht="27" customHeight="1" x14ac:dyDescent="0.3">
      <c r="C18" s="557" t="s">
        <v>1369</v>
      </c>
      <c r="D18" s="161" t="str">
        <f>_xlfn.CONCAT(_xlfn.XLOOKUP("[S13_AnyOtherIssues][12][QuestionnaireSubQuestion]",Submission!$O:$O,Submission!$H:$N,""))</f>
        <v>Question 5.6</v>
      </c>
      <c r="E18" s="348" t="str">
        <f>_xlfn.CONCAT(_xlfn.XLOOKUP("[S13_AnyOtherIssues][12][OtherInformationOrIssues]",Submission!$O:$O,Submission!$H:$N,""))</f>
        <v>Template doesn`t allow to enter zero "0". The cells where sholud be enter "0" have been left empty.</v>
      </c>
      <c r="F18" s="348"/>
      <c r="G18" s="348"/>
      <c r="H18" s="348"/>
      <c r="I18" s="285"/>
      <c r="K18" s="186"/>
    </row>
    <row r="19" spans="3:11" ht="27" customHeight="1" x14ac:dyDescent="0.3">
      <c r="C19" s="558"/>
      <c r="D19" s="161" t="str">
        <f>_xlfn.CONCAT(_xlfn.XLOOKUP("[S13_AnyOtherIssues][13][QuestionnaireSubQuestion]",Submission!$O:$O,Submission!$H:$N,""))</f>
        <v>Question 5.22</v>
      </c>
      <c r="E19" s="348" t="str">
        <f>_xlfn.CONCAT(_xlfn.XLOOKUP("[S13_AnyOtherIssues][13][OtherInformationOrIssues]",Submission!$O:$O,Submission!$H:$N,""))</f>
        <v>Template doesn`t allow to enter zero "0". The cells where sholud be enter "0" have been left empty.</v>
      </c>
      <c r="F19" s="348"/>
      <c r="G19" s="348"/>
      <c r="H19" s="348"/>
      <c r="I19" s="285"/>
    </row>
    <row r="20" spans="3:11" ht="27" hidden="1" customHeight="1" outlineLevel="1" x14ac:dyDescent="0.3">
      <c r="C20" s="558"/>
      <c r="D20" s="161" t="str">
        <f>_xlfn.CONCAT(_xlfn.XLOOKUP("[S13_AnyOtherIssues][14][QuestionnaireSubQuestion]",Submission!$O:$O,Submission!$H:$N,""))</f>
        <v/>
      </c>
      <c r="E20" s="348" t="str">
        <f>_xlfn.CONCAT(_xlfn.XLOOKUP("[S13_AnyOtherIssues][14][OtherInformationOrIssues]",Submission!$O:$O,Submission!$H:$N,""))</f>
        <v/>
      </c>
      <c r="F20" s="348"/>
      <c r="G20" s="348"/>
      <c r="H20" s="348"/>
      <c r="I20" s="285"/>
    </row>
    <row r="21" spans="3:11" ht="27" hidden="1" customHeight="1" outlineLevel="1" x14ac:dyDescent="0.3">
      <c r="C21" s="558"/>
      <c r="D21" s="161" t="str">
        <f>_xlfn.CONCAT(_xlfn.XLOOKUP("[S13_AnyOtherIssues][15][QuestionnaireSubQuestion]",Submission!$O:$O,Submission!$H:$N,""))</f>
        <v/>
      </c>
      <c r="E21" s="348" t="str">
        <f>_xlfn.CONCAT(_xlfn.XLOOKUP("[S13_AnyOtherIssues][15][OtherInformationOrIssues]",Submission!$O:$O,Submission!$H:$N,""))</f>
        <v/>
      </c>
      <c r="F21" s="348"/>
      <c r="G21" s="348"/>
      <c r="H21" s="348"/>
      <c r="I21" s="285"/>
    </row>
    <row r="22" spans="3:11" ht="27" hidden="1" customHeight="1" outlineLevel="1" x14ac:dyDescent="0.3">
      <c r="C22" s="558"/>
      <c r="D22" s="161" t="str">
        <f>_xlfn.CONCAT(_xlfn.XLOOKUP("[S13_AnyOtherIssues][16][QuestionnaireSubQuestion]",Submission!$O:$O,Submission!$H:$N,""))</f>
        <v/>
      </c>
      <c r="E22" s="348" t="str">
        <f>_xlfn.CONCAT(_xlfn.XLOOKUP("[S13_AnyOtherIssues][16][OtherInformationOrIssues]",Submission!$O:$O,Submission!$H:$N,""))</f>
        <v/>
      </c>
      <c r="F22" s="348"/>
      <c r="G22" s="348"/>
      <c r="H22" s="348"/>
      <c r="I22" s="285"/>
    </row>
    <row r="23" spans="3:11" ht="27" hidden="1" customHeight="1" outlineLevel="1" x14ac:dyDescent="0.3">
      <c r="C23" s="558"/>
      <c r="D23" s="161" t="str">
        <f>_xlfn.CONCAT(_xlfn.XLOOKUP("[S13_AnyOtherIssues][17][QuestionnaireSubQuestion]",Submission!$O:$O,Submission!$H:$N,""))</f>
        <v/>
      </c>
      <c r="E23" s="348" t="str">
        <f>_xlfn.CONCAT(_xlfn.XLOOKUP("[S13_AnyOtherIssues][17][OtherInformationOrIssues]",Submission!$O:$O,Submission!$H:$N,""))</f>
        <v/>
      </c>
      <c r="F23" s="348"/>
      <c r="G23" s="348"/>
      <c r="H23" s="348"/>
      <c r="I23" s="285"/>
    </row>
    <row r="24" spans="3:11" ht="27" hidden="1" customHeight="1" outlineLevel="1" x14ac:dyDescent="0.3">
      <c r="C24" s="558"/>
      <c r="D24" s="161" t="str">
        <f>_xlfn.CONCAT(_xlfn.XLOOKUP("[S13_AnyOtherIssues][18][QuestionnaireSubQuestion]",Submission!$O:$O,Submission!$H:$N,""))</f>
        <v/>
      </c>
      <c r="E24" s="348" t="str">
        <f>_xlfn.CONCAT(_xlfn.XLOOKUP("[S13_AnyOtherIssues][18][OtherInformationOrIssues]",Submission!$O:$O,Submission!$H:$N,""))</f>
        <v/>
      </c>
      <c r="F24" s="348"/>
      <c r="G24" s="348"/>
      <c r="H24" s="348"/>
      <c r="I24" s="285"/>
    </row>
    <row r="25" spans="3:11" ht="27" hidden="1" customHeight="1" outlineLevel="1" x14ac:dyDescent="0.3">
      <c r="C25" s="558"/>
      <c r="D25" s="161" t="str">
        <f>_xlfn.CONCAT(_xlfn.XLOOKUP("[S13_AnyOtherIssues][19][QuestionnaireSubQuestion]",Submission!$O:$O,Submission!$H:$N,""))</f>
        <v/>
      </c>
      <c r="E25" s="348" t="str">
        <f>_xlfn.CONCAT(_xlfn.XLOOKUP("[S13_AnyOtherIssues][19][OtherInformationOrIssues]",Submission!$O:$O,Submission!$H:$N,""))</f>
        <v/>
      </c>
      <c r="F25" s="348"/>
      <c r="G25" s="348"/>
      <c r="H25" s="348"/>
      <c r="I25" s="285"/>
    </row>
    <row r="26" spans="3:11" ht="27" hidden="1" customHeight="1" outlineLevel="1" x14ac:dyDescent="0.3">
      <c r="C26" s="558"/>
      <c r="D26" s="161" t="str">
        <f>_xlfn.CONCAT(_xlfn.XLOOKUP("[S13_AnyOtherIssues][20][QuestionnaireSubQuestion]",Submission!$O:$O,Submission!$H:$N,""))</f>
        <v/>
      </c>
      <c r="E26" s="348" t="str">
        <f>_xlfn.CONCAT(_xlfn.XLOOKUP("[S13_AnyOtherIssues][20][OtherInformationOrIssues]",Submission!$O:$O,Submission!$H:$N,""))</f>
        <v/>
      </c>
      <c r="F26" s="348"/>
      <c r="G26" s="348"/>
      <c r="H26" s="348"/>
      <c r="I26" s="285"/>
    </row>
    <row r="27" spans="3:11" ht="27" hidden="1" customHeight="1" outlineLevel="1" x14ac:dyDescent="0.3">
      <c r="C27" s="558"/>
      <c r="D27" s="161" t="str">
        <f>_xlfn.CONCAT(_xlfn.XLOOKUP("[S13_AnyOtherIssues][21][QuestionnaireSubQuestion]",Submission!$O:$O,Submission!$H:$N,""))</f>
        <v/>
      </c>
      <c r="E27" s="348" t="str">
        <f>_xlfn.CONCAT(_xlfn.XLOOKUP("[S13_AnyOtherIssues][21][OtherInformationOrIssues]",Submission!$O:$O,Submission!$H:$N,""))</f>
        <v/>
      </c>
      <c r="F27" s="348"/>
      <c r="G27" s="348"/>
      <c r="H27" s="348"/>
      <c r="I27" s="285"/>
    </row>
    <row r="28" spans="3:11" ht="27" hidden="1" customHeight="1" outlineLevel="1" x14ac:dyDescent="0.3">
      <c r="C28" s="558"/>
      <c r="D28" s="161" t="str">
        <f>_xlfn.CONCAT(_xlfn.XLOOKUP("[S13_AnyOtherIssues][22][QuestionnaireSubQuestion]",Submission!$O:$O,Submission!$H:$N,""))</f>
        <v/>
      </c>
      <c r="E28" s="348" t="str">
        <f>_xlfn.CONCAT(_xlfn.XLOOKUP("[S13_AnyOtherIssues][22][OtherInformationOrIssues]",Submission!$O:$O,Submission!$H:$N,""))</f>
        <v/>
      </c>
      <c r="F28" s="348"/>
      <c r="G28" s="348"/>
      <c r="H28" s="348"/>
      <c r="I28" s="285"/>
    </row>
    <row r="29" spans="3:11" ht="27" hidden="1" customHeight="1" outlineLevel="1" x14ac:dyDescent="0.3">
      <c r="C29" s="558"/>
      <c r="D29" s="161" t="str">
        <f>_xlfn.CONCAT(_xlfn.XLOOKUP("[S13_AnyOtherIssues][23][QuestionnaireSubQuestion]",Submission!$O:$O,Submission!$H:$N,""))</f>
        <v/>
      </c>
      <c r="E29" s="348" t="str">
        <f>_xlfn.CONCAT(_xlfn.XLOOKUP("[S13_AnyOtherIssues][23][OtherInformationOrIssues]",Submission!$O:$O,Submission!$H:$N,""))</f>
        <v/>
      </c>
      <c r="F29" s="348"/>
      <c r="G29" s="348"/>
      <c r="H29" s="348"/>
      <c r="I29" s="285"/>
    </row>
    <row r="30" spans="3:11" ht="27" hidden="1" customHeight="1" outlineLevel="1" x14ac:dyDescent="0.3">
      <c r="C30" s="558"/>
      <c r="D30" s="161" t="str">
        <f>_xlfn.CONCAT(_xlfn.XLOOKUP("[S13_AnyOtherIssues][24][QuestionnaireSubQuestion]",Submission!$O:$O,Submission!$H:$N,""))</f>
        <v/>
      </c>
      <c r="E30" s="348" t="str">
        <f>_xlfn.CONCAT(_xlfn.XLOOKUP("[S13_AnyOtherIssues][24][OtherInformationOrIssues]",Submission!$O:$O,Submission!$H:$N,""))</f>
        <v/>
      </c>
      <c r="F30" s="348"/>
      <c r="G30" s="348"/>
      <c r="H30" s="348"/>
      <c r="I30" s="285"/>
    </row>
    <row r="31" spans="3:11" ht="27" hidden="1" customHeight="1" outlineLevel="1" x14ac:dyDescent="0.3">
      <c r="C31" s="558"/>
      <c r="D31" s="161" t="str">
        <f>_xlfn.CONCAT(_xlfn.XLOOKUP("[S13_AnyOtherIssues][25][QuestionnaireSubQuestion]",Submission!$O:$O,Submission!$H:$N,""))</f>
        <v/>
      </c>
      <c r="E31" s="348" t="str">
        <f>_xlfn.CONCAT(_xlfn.XLOOKUP("[S13_AnyOtherIssues][25][OtherInformationOrIssues]",Submission!$O:$O,Submission!$H:$N,""))</f>
        <v/>
      </c>
      <c r="F31" s="348"/>
      <c r="G31" s="348"/>
      <c r="H31" s="348"/>
      <c r="I31" s="285"/>
    </row>
    <row r="32" spans="3:11" ht="27" hidden="1" customHeight="1" outlineLevel="1" x14ac:dyDescent="0.3">
      <c r="C32" s="558"/>
      <c r="D32" s="161" t="str">
        <f>_xlfn.CONCAT(_xlfn.XLOOKUP("[S13_AnyOtherIssues][26][QuestionnaireSubQuestion]",Submission!$O:$O,Submission!$H:$N,""))</f>
        <v/>
      </c>
      <c r="E32" s="348" t="str">
        <f>_xlfn.CONCAT(_xlfn.XLOOKUP("[S13_AnyOtherIssues][26][OtherInformationOrIssues]",Submission!$O:$O,Submission!$H:$N,""))</f>
        <v/>
      </c>
      <c r="F32" s="348"/>
      <c r="G32" s="348"/>
      <c r="H32" s="348"/>
      <c r="I32" s="285"/>
    </row>
    <row r="33" spans="3:9" ht="27" hidden="1" customHeight="1" outlineLevel="1" x14ac:dyDescent="0.3">
      <c r="C33" s="558"/>
      <c r="D33" s="161" t="str">
        <f>_xlfn.CONCAT(_xlfn.XLOOKUP("[S13_AnyOtherIssues][27][QuestionnaireSubQuestion]",Submission!$O:$O,Submission!$H:$N,""))</f>
        <v/>
      </c>
      <c r="E33" s="348" t="str">
        <f>_xlfn.CONCAT(_xlfn.XLOOKUP("[S13_AnyOtherIssues][27][OtherInformationOrIssues]",Submission!$O:$O,Submission!$H:$N,""))</f>
        <v/>
      </c>
      <c r="F33" s="348"/>
      <c r="G33" s="348"/>
      <c r="H33" s="348"/>
      <c r="I33" s="285"/>
    </row>
    <row r="34" spans="3:9" ht="27" hidden="1" customHeight="1" outlineLevel="1" x14ac:dyDescent="0.3">
      <c r="C34" s="558"/>
      <c r="D34" s="161" t="str">
        <f>_xlfn.CONCAT(_xlfn.XLOOKUP("[S13_AnyOtherIssues][28][QuestionnaireSubQuestion]",Submission!$O:$O,Submission!$H:$N,""))</f>
        <v/>
      </c>
      <c r="E34" s="348" t="str">
        <f>_xlfn.CONCAT(_xlfn.XLOOKUP("[S13_AnyOtherIssues][28][OtherInformationOrIssues]",Submission!$O:$O,Submission!$H:$N,""))</f>
        <v/>
      </c>
      <c r="F34" s="348"/>
      <c r="G34" s="348"/>
      <c r="H34" s="348"/>
      <c r="I34" s="285"/>
    </row>
    <row r="35" spans="3:9" ht="27" hidden="1" customHeight="1" outlineLevel="1" x14ac:dyDescent="0.3">
      <c r="C35" s="558"/>
      <c r="D35" s="161" t="str">
        <f>_xlfn.CONCAT(_xlfn.XLOOKUP("[S13_AnyOtherIssues][29][QuestionnaireSubQuestion]",Submission!$O:$O,Submission!$H:$N,""))</f>
        <v/>
      </c>
      <c r="E35" s="348" t="str">
        <f>_xlfn.CONCAT(_xlfn.XLOOKUP("[S13_AnyOtherIssues][29][OtherInformationOrIssues]",Submission!$O:$O,Submission!$H:$N,""))</f>
        <v/>
      </c>
      <c r="F35" s="348"/>
      <c r="G35" s="348"/>
      <c r="H35" s="348"/>
      <c r="I35" s="285"/>
    </row>
    <row r="36" spans="3:9" ht="27" hidden="1" customHeight="1" outlineLevel="1" x14ac:dyDescent="0.3">
      <c r="C36" s="558"/>
      <c r="D36" s="161" t="str">
        <f>_xlfn.CONCAT(_xlfn.XLOOKUP("[S13_AnyOtherIssues][30][QuestionnaireSubQuestion]",Submission!$O:$O,Submission!$H:$N,""))</f>
        <v/>
      </c>
      <c r="E36" s="348" t="str">
        <f>_xlfn.CONCAT(_xlfn.XLOOKUP("[S13_AnyOtherIssues][30][OtherInformationOrIssues]",Submission!$O:$O,Submission!$H:$N,""))</f>
        <v/>
      </c>
      <c r="F36" s="348"/>
      <c r="G36" s="348"/>
      <c r="H36" s="348"/>
      <c r="I36" s="285"/>
    </row>
    <row r="37" spans="3:9" ht="27" hidden="1" customHeight="1" outlineLevel="1" x14ac:dyDescent="0.3">
      <c r="C37" s="558"/>
      <c r="D37" s="161" t="str">
        <f>_xlfn.CONCAT(_xlfn.XLOOKUP("[S13_AnyOtherIssues][31][QuestionnaireSubQuestion]",Submission!$O:$O,Submission!$H:$N,""))</f>
        <v/>
      </c>
      <c r="E37" s="348" t="str">
        <f>_xlfn.CONCAT(_xlfn.XLOOKUP("[S13_AnyOtherIssues][31][OtherInformationOrIssues]",Submission!$O:$O,Submission!$H:$N,""))</f>
        <v/>
      </c>
      <c r="F37" s="348"/>
      <c r="G37" s="348"/>
      <c r="H37" s="348"/>
      <c r="I37" s="285"/>
    </row>
    <row r="38" spans="3:9" ht="27" hidden="1" customHeight="1" outlineLevel="1" x14ac:dyDescent="0.3">
      <c r="C38" s="558"/>
      <c r="D38" s="161" t="str">
        <f>_xlfn.CONCAT(_xlfn.XLOOKUP("[S13_AnyOtherIssues][32][QuestionnaireSubQuestion]",Submission!$O:$O,Submission!$H:$N,""))</f>
        <v/>
      </c>
      <c r="E38" s="348" t="str">
        <f>_xlfn.CONCAT(_xlfn.XLOOKUP("[S13_AnyOtherIssues][32][OtherInformationOrIssues]",Submission!$O:$O,Submission!$H:$N,""))</f>
        <v/>
      </c>
      <c r="F38" s="348"/>
      <c r="G38" s="348"/>
      <c r="H38" s="348"/>
      <c r="I38" s="285"/>
    </row>
    <row r="39" spans="3:9" ht="27" hidden="1" customHeight="1" outlineLevel="1" x14ac:dyDescent="0.3">
      <c r="C39" s="558"/>
      <c r="D39" s="161" t="str">
        <f>_xlfn.CONCAT(_xlfn.XLOOKUP("[S13_AnyOtherIssues][33][QuestionnaireSubQuestion]",Submission!$O:$O,Submission!$H:$N,""))</f>
        <v/>
      </c>
      <c r="E39" s="348" t="str">
        <f>_xlfn.CONCAT(_xlfn.XLOOKUP("[S13_AnyOtherIssues][33][OtherInformationOrIssues]",Submission!$O:$O,Submission!$H:$N,""))</f>
        <v/>
      </c>
      <c r="F39" s="348"/>
      <c r="G39" s="348"/>
      <c r="H39" s="348"/>
      <c r="I39" s="285"/>
    </row>
    <row r="40" spans="3:9" ht="27" hidden="1" customHeight="1" outlineLevel="1" x14ac:dyDescent="0.3">
      <c r="C40" s="559"/>
      <c r="D40" s="161" t="str">
        <f>_xlfn.CONCAT(_xlfn.XLOOKUP("[S13_AnyOtherIssues][34][QuestionnaireSubQuestion]",Submission!$O:$O,Submission!$H:$N,""))</f>
        <v/>
      </c>
      <c r="E40" s="348" t="str">
        <f>_xlfn.CONCAT(_xlfn.XLOOKUP("[S13_AnyOtherIssues][34][OtherInformationOrIssues]",Submission!$O:$O,Submission!$H:$N,""))</f>
        <v/>
      </c>
      <c r="F40" s="348"/>
      <c r="G40" s="348"/>
      <c r="H40" s="348"/>
      <c r="I40" s="285"/>
    </row>
    <row r="41" spans="3:9" ht="27" customHeight="1" collapsed="1" x14ac:dyDescent="0.3">
      <c r="C41" s="557" t="s">
        <v>1370</v>
      </c>
      <c r="D41" s="161" t="str">
        <f>_xlfn.CONCAT(_xlfn.XLOOKUP("[S13_AnyOtherIssues][35][QuestionnaireSubQuestion]",Submission!$O:$O,Submission!$H:$N,""))</f>
        <v/>
      </c>
      <c r="E41" s="348" t="str">
        <f>_xlfn.CONCAT(_xlfn.XLOOKUP("[S13_AnyOtherIssues][35][OtherInformationOrIssues]",Submission!$O:$O,Submission!$H:$N,""))</f>
        <v/>
      </c>
      <c r="F41" s="348"/>
      <c r="G41" s="348"/>
      <c r="H41" s="348"/>
      <c r="I41" s="285"/>
    </row>
    <row r="42" spans="3:9" ht="27" customHeight="1" x14ac:dyDescent="0.3">
      <c r="C42" s="558"/>
      <c r="D42" s="161" t="str">
        <f>_xlfn.CONCAT(_xlfn.XLOOKUP("[S13_AnyOtherIssues][36][QuestionnaireSubQuestion]",Submission!$O:$O,Submission!$H:$N,""))</f>
        <v/>
      </c>
      <c r="E42" s="348" t="str">
        <f>_xlfn.CONCAT(_xlfn.XLOOKUP("[S13_AnyOtherIssues][36][OtherInformationOrIssues]",Submission!$O:$O,Submission!$H:$N,""))</f>
        <v/>
      </c>
      <c r="F42" s="348"/>
      <c r="G42" s="348"/>
      <c r="H42" s="348"/>
      <c r="I42" s="285"/>
    </row>
    <row r="43" spans="3:9" ht="27" hidden="1" customHeight="1" outlineLevel="1" x14ac:dyDescent="0.3">
      <c r="C43" s="558"/>
      <c r="D43" s="161" t="str">
        <f>_xlfn.CONCAT(_xlfn.XLOOKUP("[S13_AnyOtherIssues][37][QuestionnaireSubQuestion]",Submission!$O:$O,Submission!$H:$N,""))</f>
        <v/>
      </c>
      <c r="E43" s="348" t="str">
        <f>_xlfn.CONCAT(_xlfn.XLOOKUP("[S13_AnyOtherIssues][37][OtherInformationOrIssues]",Submission!$O:$O,Submission!$H:$N,""))</f>
        <v/>
      </c>
      <c r="F43" s="348"/>
      <c r="G43" s="348"/>
      <c r="H43" s="348"/>
      <c r="I43" s="285"/>
    </row>
    <row r="44" spans="3:9" ht="27" hidden="1" customHeight="1" outlineLevel="1" x14ac:dyDescent="0.3">
      <c r="C44" s="558"/>
      <c r="D44" s="161" t="str">
        <f>_xlfn.CONCAT(_xlfn.XLOOKUP("[S13_AnyOtherIssues][38][QuestionnaireSubQuestion]",Submission!$O:$O,Submission!$H:$N,""))</f>
        <v/>
      </c>
      <c r="E44" s="348" t="str">
        <f>_xlfn.CONCAT(_xlfn.XLOOKUP("[S13_AnyOtherIssues][38][OtherInformationOrIssues]",Submission!$O:$O,Submission!$H:$N,""))</f>
        <v/>
      </c>
      <c r="F44" s="348"/>
      <c r="G44" s="348"/>
      <c r="H44" s="348"/>
      <c r="I44" s="285"/>
    </row>
    <row r="45" spans="3:9" ht="27" hidden="1" customHeight="1" outlineLevel="1" x14ac:dyDescent="0.3">
      <c r="C45" s="558"/>
      <c r="D45" s="161" t="str">
        <f>_xlfn.CONCAT(_xlfn.XLOOKUP("[S13_AnyOtherIssues][39][QuestionnaireSubQuestion]",Submission!$O:$O,Submission!$H:$N,""))</f>
        <v/>
      </c>
      <c r="E45" s="348" t="str">
        <f>_xlfn.CONCAT(_xlfn.XLOOKUP("[S13_AnyOtherIssues][39][OtherInformationOrIssues]",Submission!$O:$O,Submission!$H:$N,""))</f>
        <v/>
      </c>
      <c r="F45" s="348"/>
      <c r="G45" s="348"/>
      <c r="H45" s="348"/>
      <c r="I45" s="285"/>
    </row>
    <row r="46" spans="3:9" ht="27" hidden="1" customHeight="1" outlineLevel="1" x14ac:dyDescent="0.3">
      <c r="C46" s="558"/>
      <c r="D46" s="161" t="str">
        <f>_xlfn.CONCAT(_xlfn.XLOOKUP("[S13_AnyOtherIssues][40][QuestionnaireSubQuestion]",Submission!$O:$O,Submission!$H:$N,""))</f>
        <v/>
      </c>
      <c r="E46" s="348" t="str">
        <f>_xlfn.CONCAT(_xlfn.XLOOKUP("[S13_AnyOtherIssues][40][OtherInformationOrIssues]",Submission!$O:$O,Submission!$H:$N,""))</f>
        <v/>
      </c>
      <c r="F46" s="348"/>
      <c r="G46" s="348"/>
      <c r="H46" s="348"/>
      <c r="I46" s="285"/>
    </row>
    <row r="47" spans="3:9" ht="27" hidden="1" customHeight="1" outlineLevel="1" x14ac:dyDescent="0.3">
      <c r="C47" s="558"/>
      <c r="D47" s="161" t="str">
        <f>_xlfn.CONCAT(_xlfn.XLOOKUP("[S13_AnyOtherIssues][41][QuestionnaireSubQuestion]",Submission!$O:$O,Submission!$H:$N,""))</f>
        <v/>
      </c>
      <c r="E47" s="348" t="str">
        <f>_xlfn.CONCAT(_xlfn.XLOOKUP("[S13_AnyOtherIssues][41][OtherInformationOrIssues]",Submission!$O:$O,Submission!$H:$N,""))</f>
        <v/>
      </c>
      <c r="F47" s="348"/>
      <c r="G47" s="348"/>
      <c r="H47" s="348"/>
      <c r="I47" s="285"/>
    </row>
    <row r="48" spans="3:9" ht="27" hidden="1" customHeight="1" outlineLevel="1" x14ac:dyDescent="0.3">
      <c r="C48" s="558"/>
      <c r="D48" s="161" t="str">
        <f>_xlfn.CONCAT(_xlfn.XLOOKUP("[S13_AnyOtherIssues][42][QuestionnaireSubQuestion]",Submission!$O:$O,Submission!$H:$N,""))</f>
        <v/>
      </c>
      <c r="E48" s="348" t="str">
        <f>_xlfn.CONCAT(_xlfn.XLOOKUP("[S13_AnyOtherIssues][42][OtherInformationOrIssues]",Submission!$O:$O,Submission!$H:$N,""))</f>
        <v/>
      </c>
      <c r="F48" s="348"/>
      <c r="G48" s="348"/>
      <c r="H48" s="348"/>
      <c r="I48" s="285"/>
    </row>
    <row r="49" spans="3:9" ht="27" hidden="1" customHeight="1" outlineLevel="1" x14ac:dyDescent="0.3">
      <c r="C49" s="558"/>
      <c r="D49" s="161" t="str">
        <f>_xlfn.CONCAT(_xlfn.XLOOKUP("[S13_AnyOtherIssues][43][QuestionnaireSubQuestion]",Submission!$O:$O,Submission!$H:$N,""))</f>
        <v/>
      </c>
      <c r="E49" s="348" t="str">
        <f>_xlfn.CONCAT(_xlfn.XLOOKUP("[S13_AnyOtherIssues][43][OtherInformationOrIssues]",Submission!$O:$O,Submission!$H:$N,""))</f>
        <v/>
      </c>
      <c r="F49" s="348"/>
      <c r="G49" s="348"/>
      <c r="H49" s="348"/>
      <c r="I49" s="285"/>
    </row>
    <row r="50" spans="3:9" ht="27" hidden="1" customHeight="1" outlineLevel="1" x14ac:dyDescent="0.3">
      <c r="C50" s="558"/>
      <c r="D50" s="161" t="str">
        <f>_xlfn.CONCAT(_xlfn.XLOOKUP("[S13_AnyOtherIssues][44][QuestionnaireSubQuestion]",Submission!$O:$O,Submission!$H:$N,""))</f>
        <v/>
      </c>
      <c r="E50" s="348" t="str">
        <f>_xlfn.CONCAT(_xlfn.XLOOKUP("[S13_AnyOtherIssues][44][OtherInformationOrIssues]",Submission!$O:$O,Submission!$H:$N,""))</f>
        <v/>
      </c>
      <c r="F50" s="348"/>
      <c r="G50" s="348"/>
      <c r="H50" s="348"/>
      <c r="I50" s="285"/>
    </row>
    <row r="51" spans="3:9" ht="27" hidden="1" customHeight="1" outlineLevel="1" x14ac:dyDescent="0.3">
      <c r="C51" s="558"/>
      <c r="D51" s="161" t="str">
        <f>_xlfn.CONCAT(_xlfn.XLOOKUP("[S13_AnyOtherIssues][45][QuestionnaireSubQuestion]",Submission!$O:$O,Submission!$H:$N,""))</f>
        <v/>
      </c>
      <c r="E51" s="348" t="str">
        <f>_xlfn.CONCAT(_xlfn.XLOOKUP("[S13_AnyOtherIssues][45][OtherInformationOrIssues]",Submission!$O:$O,Submission!$H:$N,""))</f>
        <v/>
      </c>
      <c r="F51" s="348"/>
      <c r="G51" s="348"/>
      <c r="H51" s="348"/>
      <c r="I51" s="285"/>
    </row>
    <row r="52" spans="3:9" ht="27" hidden="1" customHeight="1" outlineLevel="1" x14ac:dyDescent="0.3">
      <c r="C52" s="559"/>
      <c r="D52" s="161" t="str">
        <f>_xlfn.CONCAT(_xlfn.XLOOKUP("[S13_AnyOtherIssues][46][QuestionnaireSubQuestion]",Submission!$O:$O,Submission!$H:$N,""))</f>
        <v/>
      </c>
      <c r="E52" s="348" t="str">
        <f>_xlfn.CONCAT(_xlfn.XLOOKUP("[S13_AnyOtherIssues][46][OtherInformationOrIssues]",Submission!$O:$O,Submission!$H:$N,""))</f>
        <v/>
      </c>
      <c r="F52" s="348"/>
      <c r="G52" s="348"/>
      <c r="H52" s="348"/>
      <c r="I52" s="285"/>
    </row>
    <row r="53" spans="3:9" ht="27" customHeight="1" collapsed="1" x14ac:dyDescent="0.3">
      <c r="C53" s="557" t="s">
        <v>1371</v>
      </c>
      <c r="D53" s="161" t="str">
        <f>_xlfn.CONCAT(_xlfn.XLOOKUP("[S13_AnyOtherIssues][47][QuestionnaireSubQuestion]",Submission!$O:$O,Submission!$H:$N,""))</f>
        <v/>
      </c>
      <c r="E53" s="348" t="str">
        <f>_xlfn.CONCAT(_xlfn.XLOOKUP("[S13_AnyOtherIssues][47][OtherInformationOrIssues]",Submission!$O:$O,Submission!$H:$N,""))</f>
        <v/>
      </c>
      <c r="F53" s="348"/>
      <c r="G53" s="348"/>
      <c r="H53" s="348"/>
      <c r="I53" s="285"/>
    </row>
    <row r="54" spans="3:9" ht="27" customHeight="1" x14ac:dyDescent="0.3">
      <c r="C54" s="558"/>
      <c r="D54" s="161" t="str">
        <f>_xlfn.CONCAT(_xlfn.XLOOKUP("[S13_AnyOtherIssues][48][QuestionnaireSubQuestion]",Submission!$O:$O,Submission!$H:$N,""))</f>
        <v/>
      </c>
      <c r="E54" s="348" t="str">
        <f>_xlfn.CONCAT(_xlfn.XLOOKUP("[S13_AnyOtherIssues][48][OtherInformationOrIssues]",Submission!$O:$O,Submission!$H:$N,""))</f>
        <v/>
      </c>
      <c r="F54" s="348"/>
      <c r="G54" s="348"/>
      <c r="H54" s="348"/>
      <c r="I54" s="285"/>
    </row>
    <row r="55" spans="3:9" ht="27" hidden="1" customHeight="1" outlineLevel="1" x14ac:dyDescent="0.3">
      <c r="C55" s="559"/>
      <c r="D55" s="161" t="str">
        <f>_xlfn.CONCAT(_xlfn.XLOOKUP("[S13_AnyOtherIssues][49][QuestionnaireSubQuestion]",Submission!$O:$O,Submission!$H:$N,""))</f>
        <v/>
      </c>
      <c r="E55" s="348" t="str">
        <f>_xlfn.CONCAT(_xlfn.XLOOKUP("[S13_AnyOtherIssues][49][OtherInformationOrIssues]",Submission!$O:$O,Submission!$H:$N,""))</f>
        <v/>
      </c>
      <c r="F55" s="348"/>
      <c r="G55" s="348"/>
      <c r="H55" s="348"/>
      <c r="I55" s="285"/>
    </row>
    <row r="56" spans="3:9" ht="27" customHeight="1" collapsed="1" x14ac:dyDescent="0.3">
      <c r="C56" s="557" t="s">
        <v>1372</v>
      </c>
      <c r="D56" s="161" t="str">
        <f>_xlfn.CONCAT(_xlfn.XLOOKUP("[S13_AnyOtherIssues][50][QuestionnaireSubQuestion]",Submission!$O:$O,Submission!$H:$N,""))</f>
        <v>Question 8.5</v>
      </c>
      <c r="E56" s="348" t="str">
        <f>_xlfn.CONCAT(_xlfn.XLOOKUP("[S13_AnyOtherIssues][50][OtherInformationOrIssues]",Submission!$O:$O,Submission!$H:$N,""))</f>
        <v>The second part of the question is not very clear, if this concerns complete rejection of application of Article 6(1) or concerns CA rejection for adjustment of free allocation. We have answered that there were 2 cases of CA rejection for adjustment of free allocation.</v>
      </c>
      <c r="F56" s="348"/>
      <c r="G56" s="348"/>
      <c r="H56" s="348"/>
      <c r="I56" s="285"/>
    </row>
    <row r="57" spans="3:9" ht="27" customHeight="1" x14ac:dyDescent="0.3">
      <c r="C57" s="558"/>
      <c r="D57" s="161" t="str">
        <f>_xlfn.CONCAT(_xlfn.XLOOKUP("[S13_AnyOtherIssues][51][QuestionnaireSubQuestion]",Submission!$O:$O,Submission!$H:$N,""))</f>
        <v/>
      </c>
      <c r="E57" s="348" t="str">
        <f>_xlfn.CONCAT(_xlfn.XLOOKUP("[S13_AnyOtherIssues][51][OtherInformationOrIssues]",Submission!$O:$O,Submission!$H:$N,""))</f>
        <v/>
      </c>
      <c r="F57" s="348"/>
      <c r="G57" s="348"/>
      <c r="H57" s="348"/>
      <c r="I57" s="285"/>
    </row>
    <row r="58" spans="3:9" ht="27" hidden="1" customHeight="1" outlineLevel="1" x14ac:dyDescent="0.3">
      <c r="C58" s="558"/>
      <c r="D58" s="161" t="str">
        <f>_xlfn.CONCAT(_xlfn.XLOOKUP("[S13_AnyOtherIssues][52][QuestionnaireSubQuestion]",Submission!$O:$O,Submission!$H:$N,""))</f>
        <v/>
      </c>
      <c r="E58" s="348" t="str">
        <f>_xlfn.CONCAT(_xlfn.XLOOKUP("[S13_AnyOtherIssues][52][OtherInformationOrIssues]",Submission!$O:$O,Submission!$H:$N,""))</f>
        <v/>
      </c>
      <c r="F58" s="348"/>
      <c r="G58" s="348"/>
      <c r="H58" s="348"/>
      <c r="I58" s="285"/>
    </row>
    <row r="59" spans="3:9" ht="27" hidden="1" customHeight="1" outlineLevel="1" x14ac:dyDescent="0.3">
      <c r="C59" s="558"/>
      <c r="D59" s="161" t="str">
        <f>_xlfn.CONCAT(_xlfn.XLOOKUP("[S13_AnyOtherIssues][53][QuestionnaireSubQuestion]",Submission!$O:$O,Submission!$H:$N,""))</f>
        <v/>
      </c>
      <c r="E59" s="348" t="str">
        <f>_xlfn.CONCAT(_xlfn.XLOOKUP("[S13_AnyOtherIssues][53][OtherInformationOrIssues]",Submission!$O:$O,Submission!$H:$N,""))</f>
        <v/>
      </c>
      <c r="F59" s="348"/>
      <c r="G59" s="348"/>
      <c r="H59" s="348"/>
      <c r="I59" s="285"/>
    </row>
    <row r="60" spans="3:9" ht="27" hidden="1" customHeight="1" outlineLevel="1" x14ac:dyDescent="0.3">
      <c r="C60" s="558"/>
      <c r="D60" s="161" t="str">
        <f>_xlfn.CONCAT(_xlfn.XLOOKUP("[S13_AnyOtherIssues][54][QuestionnaireSubQuestion]",Submission!$O:$O,Submission!$H:$N,""))</f>
        <v/>
      </c>
      <c r="E60" s="348" t="str">
        <f>_xlfn.CONCAT(_xlfn.XLOOKUP("[S13_AnyOtherIssues][54][OtherInformationOrIssues]",Submission!$O:$O,Submission!$H:$N,""))</f>
        <v/>
      </c>
      <c r="F60" s="348"/>
      <c r="G60" s="348"/>
      <c r="H60" s="348"/>
      <c r="I60" s="285"/>
    </row>
    <row r="61" spans="3:9" ht="27" hidden="1" customHeight="1" outlineLevel="1" x14ac:dyDescent="0.3">
      <c r="C61" s="558"/>
      <c r="D61" s="161" t="str">
        <f>_xlfn.CONCAT(_xlfn.XLOOKUP("[S13_AnyOtherIssues][55][QuestionnaireSubQuestion]",Submission!$O:$O,Submission!$H:$N,""))</f>
        <v/>
      </c>
      <c r="E61" s="348" t="str">
        <f>_xlfn.CONCAT(_xlfn.XLOOKUP("[S13_AnyOtherIssues][55][OtherInformationOrIssues]",Submission!$O:$O,Submission!$H:$N,""))</f>
        <v/>
      </c>
      <c r="F61" s="348"/>
      <c r="G61" s="348"/>
      <c r="H61" s="348"/>
      <c r="I61" s="285"/>
    </row>
    <row r="62" spans="3:9" ht="27" hidden="1" customHeight="1" outlineLevel="1" x14ac:dyDescent="0.3">
      <c r="C62" s="558"/>
      <c r="D62" s="161" t="str">
        <f>_xlfn.CONCAT(_xlfn.XLOOKUP("[S13_AnyOtherIssues][56][QuestionnaireSubQuestion]",Submission!$O:$O,Submission!$H:$N,""))</f>
        <v/>
      </c>
      <c r="E62" s="348" t="str">
        <f>_xlfn.CONCAT(_xlfn.XLOOKUP("[S13_AnyOtherIssues][56][OtherInformationOrIssues]",Submission!$O:$O,Submission!$H:$N,""))</f>
        <v/>
      </c>
      <c r="F62" s="348"/>
      <c r="G62" s="348"/>
      <c r="H62" s="348"/>
      <c r="I62" s="285"/>
    </row>
    <row r="63" spans="3:9" ht="27" hidden="1" customHeight="1" outlineLevel="1" x14ac:dyDescent="0.3">
      <c r="C63" s="558"/>
      <c r="D63" s="161" t="str">
        <f>_xlfn.CONCAT(_xlfn.XLOOKUP("[S13_AnyOtherIssues][57][QuestionnaireSubQuestion]",Submission!$O:$O,Submission!$H:$N,""))</f>
        <v/>
      </c>
      <c r="E63" s="348" t="str">
        <f>_xlfn.CONCAT(_xlfn.XLOOKUP("[S13_AnyOtherIssues][57][OtherInformationOrIssues]",Submission!$O:$O,Submission!$H:$N,""))</f>
        <v/>
      </c>
      <c r="F63" s="348"/>
      <c r="G63" s="348"/>
      <c r="H63" s="348"/>
      <c r="I63" s="285"/>
    </row>
    <row r="64" spans="3:9" ht="27" hidden="1" customHeight="1" outlineLevel="1" x14ac:dyDescent="0.3">
      <c r="C64" s="558"/>
      <c r="D64" s="161" t="str">
        <f>_xlfn.CONCAT(_xlfn.XLOOKUP("[S13_AnyOtherIssues][58][QuestionnaireSubQuestion]",Submission!$O:$O,Submission!$H:$N,""))</f>
        <v/>
      </c>
      <c r="E64" s="348" t="str">
        <f>_xlfn.CONCAT(_xlfn.XLOOKUP("[S13_AnyOtherIssues][58][OtherInformationOrIssues]",Submission!$O:$O,Submission!$H:$N,""))</f>
        <v/>
      </c>
      <c r="F64" s="348"/>
      <c r="G64" s="348"/>
      <c r="H64" s="348"/>
      <c r="I64" s="285"/>
    </row>
    <row r="65" spans="3:9" ht="27" hidden="1" customHeight="1" outlineLevel="1" x14ac:dyDescent="0.3">
      <c r="C65" s="558"/>
      <c r="D65" s="161" t="str">
        <f>_xlfn.CONCAT(_xlfn.XLOOKUP("[S13_AnyOtherIssues][59][QuestionnaireSubQuestion]",Submission!$O:$O,Submission!$H:$N,""))</f>
        <v/>
      </c>
      <c r="E65" s="348" t="str">
        <f>_xlfn.CONCAT(_xlfn.XLOOKUP("[S13_AnyOtherIssues][59][OtherInformationOrIssues]",Submission!$O:$O,Submission!$H:$N,""))</f>
        <v/>
      </c>
      <c r="F65" s="348"/>
      <c r="G65" s="348"/>
      <c r="H65" s="348"/>
      <c r="I65" s="285"/>
    </row>
    <row r="66" spans="3:9" ht="27" hidden="1" customHeight="1" outlineLevel="1" x14ac:dyDescent="0.3">
      <c r="C66" s="558"/>
      <c r="D66" s="161" t="str">
        <f>_xlfn.CONCAT(_xlfn.XLOOKUP("[S13_AnyOtherIssues][60][QuestionnaireSubQuestion]",Submission!$O:$O,Submission!$H:$N,""))</f>
        <v/>
      </c>
      <c r="E66" s="348" t="str">
        <f>_xlfn.CONCAT(_xlfn.XLOOKUP("[S13_AnyOtherIssues][60][OtherInformationOrIssues]",Submission!$O:$O,Submission!$H:$N,""))</f>
        <v/>
      </c>
      <c r="F66" s="348"/>
      <c r="G66" s="348"/>
      <c r="H66" s="348"/>
      <c r="I66" s="285"/>
    </row>
    <row r="67" spans="3:9" ht="27" hidden="1" customHeight="1" outlineLevel="1" x14ac:dyDescent="0.3">
      <c r="C67" s="558"/>
      <c r="D67" s="161" t="str">
        <f>_xlfn.CONCAT(_xlfn.XLOOKUP("[S13_AnyOtherIssues][61][QuestionnaireSubQuestion]",Submission!$O:$O,Submission!$H:$N,""))</f>
        <v/>
      </c>
      <c r="E67" s="348" t="str">
        <f>_xlfn.CONCAT(_xlfn.XLOOKUP("[S13_AnyOtherIssues][61][OtherInformationOrIssues]",Submission!$O:$O,Submission!$H:$N,""))</f>
        <v/>
      </c>
      <c r="F67" s="348"/>
      <c r="G67" s="348"/>
      <c r="H67" s="348"/>
      <c r="I67" s="285"/>
    </row>
    <row r="68" spans="3:9" ht="27" hidden="1" customHeight="1" outlineLevel="1" x14ac:dyDescent="0.3">
      <c r="C68" s="558"/>
      <c r="D68" s="161" t="str">
        <f>_xlfn.CONCAT(_xlfn.XLOOKUP("[S13_AnyOtherIssues][62][QuestionnaireSubQuestion]",Submission!$O:$O,Submission!$H:$N,""))</f>
        <v/>
      </c>
      <c r="E68" s="348" t="str">
        <f>_xlfn.CONCAT(_xlfn.XLOOKUP("[S13_AnyOtherIssues][62][OtherInformationOrIssues]",Submission!$O:$O,Submission!$H:$N,""))</f>
        <v/>
      </c>
      <c r="F68" s="348"/>
      <c r="G68" s="348"/>
      <c r="H68" s="348"/>
      <c r="I68" s="285"/>
    </row>
    <row r="69" spans="3:9" ht="27" hidden="1" customHeight="1" outlineLevel="1" x14ac:dyDescent="0.3">
      <c r="C69" s="558"/>
      <c r="D69" s="161" t="str">
        <f>_xlfn.CONCAT(_xlfn.XLOOKUP("[S13_AnyOtherIssues][63][QuestionnaireSubQuestion]",Submission!$O:$O,Submission!$H:$N,""))</f>
        <v/>
      </c>
      <c r="E69" s="348" t="str">
        <f>_xlfn.CONCAT(_xlfn.XLOOKUP("[S13_AnyOtherIssues][63][OtherInformationOrIssues]",Submission!$O:$O,Submission!$H:$N,""))</f>
        <v/>
      </c>
      <c r="F69" s="348"/>
      <c r="G69" s="348"/>
      <c r="H69" s="348"/>
      <c r="I69" s="285"/>
    </row>
    <row r="70" spans="3:9" ht="27" hidden="1" customHeight="1" outlineLevel="1" x14ac:dyDescent="0.3">
      <c r="C70" s="558"/>
      <c r="D70" s="161" t="str">
        <f>_xlfn.CONCAT(_xlfn.XLOOKUP("[S13_AnyOtherIssues][64][QuestionnaireSubQuestion]",Submission!$O:$O,Submission!$H:$N,""))</f>
        <v/>
      </c>
      <c r="E70" s="348" t="str">
        <f>_xlfn.CONCAT(_xlfn.XLOOKUP("[S13_AnyOtherIssues][64][OtherInformationOrIssues]",Submission!$O:$O,Submission!$H:$N,""))</f>
        <v/>
      </c>
      <c r="F70" s="348"/>
      <c r="G70" s="348"/>
      <c r="H70" s="348"/>
      <c r="I70" s="285"/>
    </row>
    <row r="71" spans="3:9" ht="27" hidden="1" customHeight="1" outlineLevel="1" x14ac:dyDescent="0.3">
      <c r="C71" s="558"/>
      <c r="D71" s="161" t="str">
        <f>_xlfn.CONCAT(_xlfn.XLOOKUP("[S13_AnyOtherIssues][65][QuestionnaireSubQuestion]",Submission!$O:$O,Submission!$H:$N,""))</f>
        <v/>
      </c>
      <c r="E71" s="348" t="str">
        <f>_xlfn.CONCAT(_xlfn.XLOOKUP("[S13_AnyOtherIssues][65][OtherInformationOrIssues]",Submission!$O:$O,Submission!$H:$N,""))</f>
        <v/>
      </c>
      <c r="F71" s="348"/>
      <c r="G71" s="348"/>
      <c r="H71" s="348"/>
      <c r="I71" s="285"/>
    </row>
    <row r="72" spans="3:9" ht="27" hidden="1" customHeight="1" outlineLevel="1" x14ac:dyDescent="0.3">
      <c r="C72" s="558"/>
      <c r="D72" s="161" t="str">
        <f>_xlfn.CONCAT(_xlfn.XLOOKUP("[S13_AnyOtherIssues][66][QuestionnaireSubQuestion]",Submission!$O:$O,Submission!$H:$N,""))</f>
        <v/>
      </c>
      <c r="E72" s="348" t="str">
        <f>_xlfn.CONCAT(_xlfn.XLOOKUP("[S13_AnyOtherIssues][66][OtherInformationOrIssues]",Submission!$O:$O,Submission!$H:$N,""))</f>
        <v/>
      </c>
      <c r="F72" s="348"/>
      <c r="G72" s="348"/>
      <c r="H72" s="348"/>
      <c r="I72" s="285"/>
    </row>
    <row r="73" spans="3:9" ht="27" hidden="1" customHeight="1" outlineLevel="1" x14ac:dyDescent="0.3">
      <c r="C73" s="559"/>
      <c r="D73" s="161" t="str">
        <f>_xlfn.CONCAT(_xlfn.XLOOKUP("[S13_AnyOtherIssues][67][QuestionnaireSubQuestion]",Submission!$O:$O,Submission!$H:$N,""))</f>
        <v/>
      </c>
      <c r="E73" s="348" t="str">
        <f>_xlfn.CONCAT(_xlfn.XLOOKUP("[S13_AnyOtherIssues][67][OtherInformationOrIssues]",Submission!$O:$O,Submission!$H:$N,""))</f>
        <v/>
      </c>
      <c r="F73" s="348"/>
      <c r="G73" s="348"/>
      <c r="H73" s="348"/>
      <c r="I73" s="285"/>
    </row>
    <row r="74" spans="3:9" ht="27" customHeight="1" collapsed="1" x14ac:dyDescent="0.3">
      <c r="C74" s="557" t="s">
        <v>1373</v>
      </c>
      <c r="D74" s="161" t="str">
        <f>_xlfn.CONCAT(_xlfn.XLOOKUP("[S13_AnyOtherIssues][68][QuestionnaireSubQuestion]",Submission!$O:$O,Submission!$H:$N,""))</f>
        <v/>
      </c>
      <c r="E74" s="348" t="str">
        <f>_xlfn.CONCAT(_xlfn.XLOOKUP("[S13_AnyOtherIssues][68][OtherInformationOrIssues]",Submission!$O:$O,Submission!$H:$N,""))</f>
        <v/>
      </c>
      <c r="F74" s="348"/>
      <c r="G74" s="348"/>
      <c r="H74" s="348"/>
      <c r="I74" s="285"/>
    </row>
    <row r="75" spans="3:9" ht="27" customHeight="1" x14ac:dyDescent="0.3">
      <c r="C75" s="558"/>
      <c r="D75" s="161" t="str">
        <f>_xlfn.CONCAT(_xlfn.XLOOKUP("[S13_AnyOtherIssues][69][QuestionnaireSubQuestion]",Submission!$O:$O,Submission!$H:$N,""))</f>
        <v/>
      </c>
      <c r="E75" s="348" t="str">
        <f>_xlfn.CONCAT(_xlfn.XLOOKUP("[S13_AnyOtherIssues][69][OtherInformationOrIssues]",Submission!$O:$O,Submission!$H:$N,""))</f>
        <v/>
      </c>
      <c r="F75" s="348"/>
      <c r="G75" s="348"/>
      <c r="H75" s="348"/>
      <c r="I75" s="285"/>
    </row>
    <row r="76" spans="3:9" ht="27" hidden="1" customHeight="1" outlineLevel="1" x14ac:dyDescent="0.3">
      <c r="C76" s="559"/>
      <c r="D76" s="161" t="str">
        <f>_xlfn.CONCAT(_xlfn.XLOOKUP("[S13_AnyOtherIssues][70][QuestionnaireSubQuestion]",Submission!$O:$O,Submission!$H:$N,""))</f>
        <v/>
      </c>
      <c r="E76" s="348" t="str">
        <f>_xlfn.CONCAT(_xlfn.XLOOKUP("[S13_AnyOtherIssues][70][OtherInformationOrIssues]",Submission!$O:$O,Submission!$H:$N,""))</f>
        <v/>
      </c>
      <c r="F76" s="348"/>
      <c r="G76" s="348"/>
      <c r="H76" s="348"/>
      <c r="I76" s="285"/>
    </row>
    <row r="77" spans="3:9" ht="27" customHeight="1" collapsed="1" x14ac:dyDescent="0.3">
      <c r="C77" s="557" t="s">
        <v>1374</v>
      </c>
      <c r="D77" s="161" t="str">
        <f>_xlfn.CONCAT(_xlfn.XLOOKUP("[S13_AnyOtherIssues][71][QuestionnaireSubQuestion]",Submission!$O:$O,Submission!$H:$N,""))</f>
        <v/>
      </c>
      <c r="E77" s="348" t="str">
        <f>_xlfn.CONCAT(_xlfn.XLOOKUP("[S13_AnyOtherIssues][71][OtherInformationOrIssues]",Submission!$O:$O,Submission!$H:$N,""))</f>
        <v/>
      </c>
      <c r="F77" s="348"/>
      <c r="G77" s="348"/>
      <c r="H77" s="348"/>
      <c r="I77" s="285"/>
    </row>
    <row r="78" spans="3:9" ht="27" customHeight="1" x14ac:dyDescent="0.3">
      <c r="C78" s="558"/>
      <c r="D78" s="161" t="str">
        <f>_xlfn.CONCAT(_xlfn.XLOOKUP("[S13_AnyOtherIssues][72][QuestionnaireSubQuestion]",Submission!$O:$O,Submission!$H:$N,""))</f>
        <v/>
      </c>
      <c r="E78" s="348" t="str">
        <f>_xlfn.CONCAT(_xlfn.XLOOKUP("[S13_AnyOtherIssues][72][OtherInformationOrIssues]",Submission!$O:$O,Submission!$H:$N,""))</f>
        <v/>
      </c>
      <c r="F78" s="348"/>
      <c r="G78" s="348"/>
      <c r="H78" s="348"/>
      <c r="I78" s="285"/>
    </row>
    <row r="79" spans="3:9" ht="27" hidden="1" customHeight="1" outlineLevel="1" x14ac:dyDescent="0.3">
      <c r="C79" s="558"/>
      <c r="D79" s="161" t="str">
        <f>_xlfn.CONCAT(_xlfn.XLOOKUP("[S13_AnyOtherIssues][73][QuestionnaireSubQuestion]",Submission!$O:$O,Submission!$H:$N,""))</f>
        <v/>
      </c>
      <c r="E79" s="348" t="str">
        <f>_xlfn.CONCAT(_xlfn.XLOOKUP("[S13_AnyOtherIssues][73][OtherInformationOrIssues]",Submission!$O:$O,Submission!$H:$N,""))</f>
        <v/>
      </c>
      <c r="F79" s="348"/>
      <c r="G79" s="348"/>
      <c r="H79" s="348"/>
      <c r="I79" s="285"/>
    </row>
    <row r="80" spans="3:9" ht="27" hidden="1" customHeight="1" outlineLevel="1" x14ac:dyDescent="0.3">
      <c r="C80" s="558"/>
      <c r="D80" s="161" t="str">
        <f>_xlfn.CONCAT(_xlfn.XLOOKUP("[S13_AnyOtherIssues][74][QuestionnaireSubQuestion]",Submission!$O:$O,Submission!$H:$N,""))</f>
        <v/>
      </c>
      <c r="E80" s="348" t="str">
        <f>_xlfn.CONCAT(_xlfn.XLOOKUP("[S13_AnyOtherIssues][74][OtherInformationOrIssues]",Submission!$O:$O,Submission!$H:$N,""))</f>
        <v/>
      </c>
      <c r="F80" s="348"/>
      <c r="G80" s="348"/>
      <c r="H80" s="348"/>
      <c r="I80" s="285"/>
    </row>
    <row r="81" spans="1:9" ht="27" hidden="1" customHeight="1" outlineLevel="1" x14ac:dyDescent="0.3">
      <c r="C81" s="558"/>
      <c r="D81" s="161" t="str">
        <f>_xlfn.CONCAT(_xlfn.XLOOKUP("[S13_AnyOtherIssues][75][QuestionnaireSubQuestion]",Submission!$O:$O,Submission!$H:$N,""))</f>
        <v/>
      </c>
      <c r="E81" s="348" t="str">
        <f>_xlfn.CONCAT(_xlfn.XLOOKUP("[S13_AnyOtherIssues][75][OtherInformationOrIssues]",Submission!$O:$O,Submission!$H:$N,""))</f>
        <v/>
      </c>
      <c r="F81" s="348"/>
      <c r="G81" s="348"/>
      <c r="H81" s="348"/>
      <c r="I81" s="285"/>
    </row>
    <row r="82" spans="1:9" ht="27" hidden="1" customHeight="1" outlineLevel="1" x14ac:dyDescent="0.3">
      <c r="C82" s="558"/>
      <c r="D82" s="161" t="str">
        <f>_xlfn.CONCAT(_xlfn.XLOOKUP("[S13_AnyOtherIssues][76][QuestionnaireSubQuestion]",Submission!$O:$O,Submission!$H:$N,""))</f>
        <v/>
      </c>
      <c r="E82" s="348" t="str">
        <f>_xlfn.CONCAT(_xlfn.XLOOKUP("[S13_AnyOtherIssues][76][OtherInformationOrIssues]",Submission!$O:$O,Submission!$H:$N,""))</f>
        <v/>
      </c>
      <c r="F82" s="348"/>
      <c r="G82" s="348"/>
      <c r="H82" s="348"/>
      <c r="I82" s="285"/>
    </row>
    <row r="83" spans="1:9" ht="27" hidden="1" customHeight="1" outlineLevel="1" x14ac:dyDescent="0.3">
      <c r="C83" s="558"/>
      <c r="D83" s="161" t="str">
        <f>_xlfn.CONCAT(_xlfn.XLOOKUP("[S13_AnyOtherIssues][77][QuestionnaireSubQuestion]",Submission!$O:$O,Submission!$H:$N,""))</f>
        <v/>
      </c>
      <c r="E83" s="348" t="str">
        <f>_xlfn.CONCAT(_xlfn.XLOOKUP("[S13_AnyOtherIssues][77][OtherInformationOrIssues]",Submission!$O:$O,Submission!$H:$N,""))</f>
        <v/>
      </c>
      <c r="F83" s="348"/>
      <c r="G83" s="348"/>
      <c r="H83" s="348"/>
      <c r="I83" s="285"/>
    </row>
    <row r="84" spans="1:9" ht="27" hidden="1" customHeight="1" outlineLevel="1" x14ac:dyDescent="0.3">
      <c r="C84" s="558"/>
      <c r="D84" s="161" t="str">
        <f>_xlfn.CONCAT(_xlfn.XLOOKUP("[S13_AnyOtherIssues][78][QuestionnaireSubQuestion]",Submission!$O:$O,Submission!$H:$N,""))</f>
        <v/>
      </c>
      <c r="E84" s="348" t="str">
        <f>_xlfn.CONCAT(_xlfn.XLOOKUP("[S13_AnyOtherIssues][78][OtherInformationOrIssues]",Submission!$O:$O,Submission!$H:$N,""))</f>
        <v/>
      </c>
      <c r="F84" s="348"/>
      <c r="G84" s="348"/>
      <c r="H84" s="348"/>
      <c r="I84" s="285"/>
    </row>
    <row r="85" spans="1:9" ht="27" hidden="1" customHeight="1" outlineLevel="1" x14ac:dyDescent="0.3">
      <c r="C85" s="559"/>
      <c r="D85" s="161" t="str">
        <f>_xlfn.CONCAT(_xlfn.XLOOKUP("[S13_AnyOtherIssues][79][QuestionnaireSubQuestion]",Submission!$O:$O,Submission!$H:$N,""))</f>
        <v/>
      </c>
      <c r="E85" s="348" t="str">
        <f>_xlfn.CONCAT(_xlfn.XLOOKUP("[S13_AnyOtherIssues][79][OtherInformationOrIssues]",Submission!$O:$O,Submission!$H:$N,""))</f>
        <v/>
      </c>
      <c r="F85" s="348"/>
      <c r="G85" s="348"/>
      <c r="H85" s="348"/>
      <c r="I85" s="285"/>
    </row>
    <row r="86" spans="1:9" ht="27" customHeight="1" collapsed="1" x14ac:dyDescent="0.3">
      <c r="C86" s="557" t="s">
        <v>1375</v>
      </c>
      <c r="D86" s="161" t="str">
        <f>_xlfn.CONCAT(_xlfn.XLOOKUP("[S13_AnyOtherIssues][80][QuestionnaireSubQuestion]",Submission!$O:$O,Submission!$H:$N,""))</f>
        <v/>
      </c>
      <c r="E86" s="348" t="str">
        <f>_xlfn.CONCAT(_xlfn.XLOOKUP("[S13_AnyOtherIssues][80][OtherInformationOrIssues]",Submission!$O:$O,Submission!$H:$N,""))</f>
        <v/>
      </c>
      <c r="F86" s="348"/>
      <c r="G86" s="348"/>
      <c r="H86" s="348"/>
      <c r="I86" s="285"/>
    </row>
    <row r="87" spans="1:9" ht="27" customHeight="1" x14ac:dyDescent="0.3">
      <c r="C87" s="558"/>
      <c r="D87" s="161" t="str">
        <f>_xlfn.CONCAT(_xlfn.XLOOKUP("[S13_AnyOtherIssues][81][QuestionnaireSubQuestion]",Submission!$O:$O,Submission!$H:$N,""))</f>
        <v/>
      </c>
      <c r="E87" s="348" t="str">
        <f>_xlfn.CONCAT(_xlfn.XLOOKUP("[S13_AnyOtherIssues][81][OtherInformationOrIssues]",Submission!$O:$O,Submission!$H:$N,""))</f>
        <v/>
      </c>
      <c r="F87" s="348"/>
      <c r="G87" s="348"/>
      <c r="H87" s="348"/>
      <c r="I87" s="285"/>
    </row>
    <row r="88" spans="1:9" ht="27" hidden="1" customHeight="1" outlineLevel="1" x14ac:dyDescent="0.3">
      <c r="C88" s="558"/>
      <c r="D88" s="161" t="str">
        <f>_xlfn.CONCAT(_xlfn.XLOOKUP("[S13_AnyOtherIssues][82][QuestionnaireSubQuestion]",Submission!$O:$O,Submission!$H:$N,""))</f>
        <v/>
      </c>
      <c r="E88" s="348" t="str">
        <f>_xlfn.CONCAT(_xlfn.XLOOKUP("[S13_AnyOtherIssues][82][OtherInformationOrIssues]",Submission!$O:$O,Submission!$H:$N,""))</f>
        <v/>
      </c>
      <c r="F88" s="348"/>
      <c r="G88" s="348"/>
      <c r="H88" s="348"/>
      <c r="I88" s="285"/>
    </row>
    <row r="89" spans="1:9" ht="27" hidden="1" customHeight="1" outlineLevel="1" x14ac:dyDescent="0.3">
      <c r="C89" s="559"/>
      <c r="D89" s="161" t="str">
        <f>_xlfn.CONCAT(_xlfn.XLOOKUP("[S13_AnyOtherIssues][83][QuestionnaireSubQuestion]",Submission!$O:$O,Submission!$H:$N,""))</f>
        <v/>
      </c>
      <c r="E89" s="348" t="str">
        <f>_xlfn.CONCAT(_xlfn.XLOOKUP("[S13_AnyOtherIssues][83][OtherInformationOrIssues]",Submission!$O:$O,Submission!$H:$N,""))</f>
        <v/>
      </c>
      <c r="F89" s="348"/>
      <c r="G89" s="348"/>
      <c r="H89" s="348"/>
      <c r="I89" s="285"/>
    </row>
    <row r="90" spans="1:9" ht="27" customHeight="1" collapsed="1" x14ac:dyDescent="0.3">
      <c r="C90" s="354" t="s">
        <v>1376</v>
      </c>
      <c r="D90" s="161" t="str">
        <f>_xlfn.CONCAT(_xlfn.XLOOKUP("[S13_AnyOtherIssues][84][QuestionnaireSubQuestion]",Submission!$O:$O,Submission!$H:$N,""))</f>
        <v/>
      </c>
      <c r="E90" s="348" t="str">
        <f>_xlfn.CONCAT(_xlfn.XLOOKUP("[S13_AnyOtherIssues][84][OtherInformationOrIssues]",Submission!$O:$O,Submission!$H:$N,""))</f>
        <v/>
      </c>
      <c r="F90" s="348"/>
      <c r="G90" s="348"/>
      <c r="H90" s="348"/>
      <c r="I90" s="285"/>
    </row>
    <row r="91" spans="1:9" ht="27" customHeight="1" x14ac:dyDescent="0.3">
      <c r="C91" s="354"/>
      <c r="D91" s="161" t="str">
        <f>_xlfn.CONCAT(_xlfn.XLOOKUP("[S13_AnyOtherIssues][85][QuestionnaireSubQuestion]",Submission!$O:$O,Submission!$H:$N,""))</f>
        <v/>
      </c>
      <c r="E91" s="348" t="str">
        <f>_xlfn.CONCAT(_xlfn.XLOOKUP("[S13_AnyOtherIssues][85][OtherInformationOrIssues]",Submission!$O:$O,Submission!$H:$N,""))</f>
        <v/>
      </c>
      <c r="F91" s="348"/>
      <c r="G91" s="348"/>
      <c r="H91" s="348"/>
      <c r="I91" s="285"/>
    </row>
    <row r="92" spans="1:9" ht="27" hidden="1" customHeight="1" outlineLevel="1" x14ac:dyDescent="0.3">
      <c r="C92" s="354"/>
      <c r="D92" s="161" t="str">
        <f>_xlfn.CONCAT(_xlfn.XLOOKUP("[S13_AnyOtherIssues][86][QuestionnaireSubQuestion]",Submission!$O:$O,Submission!$H:$N,""))</f>
        <v/>
      </c>
      <c r="E92" s="349" t="str">
        <f>_xlfn.CONCAT(_xlfn.XLOOKUP("[S13_AnyOtherIssues][86][OtherInformationOrIssues]",Submission!$O:$O,Submission!$H:$N,""))</f>
        <v/>
      </c>
      <c r="F92" s="349"/>
      <c r="G92" s="349"/>
      <c r="H92" s="349"/>
      <c r="I92" s="282"/>
    </row>
    <row r="93" spans="1:9" ht="15.9" customHeight="1" collapsed="1" x14ac:dyDescent="0.3">
      <c r="C93" s="162" t="s">
        <v>1361</v>
      </c>
    </row>
    <row r="94" spans="1:9" ht="15.9" customHeight="1" x14ac:dyDescent="0.3"/>
    <row r="95" spans="1:9" ht="15.9" customHeight="1" x14ac:dyDescent="0.3">
      <c r="A95" s="12" t="s">
        <v>648</v>
      </c>
      <c r="B95" s="293" t="s">
        <v>1377</v>
      </c>
      <c r="C95" s="294"/>
      <c r="D95" s="294"/>
      <c r="E95" s="294"/>
      <c r="F95" s="294"/>
      <c r="G95" s="294"/>
      <c r="H95" s="295"/>
      <c r="I95" s="41" t="str">
        <f>_xlfn.CONCAT(_xlfn.XLOOKUP("[QuestionnaireFilledConfirmation][0][QuestionnaireFilledConfirmation]",Submission!$O:$O,Submission!$H:$N,""))</f>
        <v>Yes</v>
      </c>
    </row>
    <row r="96" spans="1:9" ht="15.9" customHeight="1" x14ac:dyDescent="0.3">
      <c r="A96" s="13"/>
      <c r="B96" s="293" t="s">
        <v>1378</v>
      </c>
      <c r="C96" s="294"/>
      <c r="D96" s="294"/>
      <c r="E96" s="294"/>
      <c r="F96" s="294"/>
      <c r="G96" s="294"/>
      <c r="H96" s="294"/>
      <c r="I96" s="294"/>
    </row>
  </sheetData>
  <mergeCells count="102">
    <mergeCell ref="B96:I96"/>
    <mergeCell ref="B95:H95"/>
    <mergeCell ref="B3:I3"/>
    <mergeCell ref="B4:I4"/>
    <mergeCell ref="E7:I7"/>
    <mergeCell ref="E32:I32"/>
    <mergeCell ref="E33:I33"/>
    <mergeCell ref="E34:I34"/>
    <mergeCell ref="E35:I35"/>
    <mergeCell ref="E36:I36"/>
    <mergeCell ref="E8:I8"/>
    <mergeCell ref="E9:I9"/>
    <mergeCell ref="E10:I10"/>
    <mergeCell ref="E11:I11"/>
    <mergeCell ref="E12:I12"/>
    <mergeCell ref="E13:I13"/>
    <mergeCell ref="E14:I14"/>
    <mergeCell ref="E15:I15"/>
    <mergeCell ref="E16:I16"/>
    <mergeCell ref="E17:I17"/>
    <mergeCell ref="E18:I18"/>
    <mergeCell ref="E19:I19"/>
    <mergeCell ref="E20:I20"/>
    <mergeCell ref="E21:I21"/>
    <mergeCell ref="E27:I27"/>
    <mergeCell ref="E28:I28"/>
    <mergeCell ref="E29:I29"/>
    <mergeCell ref="E30:I30"/>
    <mergeCell ref="E31:I31"/>
    <mergeCell ref="E22:I22"/>
    <mergeCell ref="E23:I23"/>
    <mergeCell ref="E24:I24"/>
    <mergeCell ref="E25:I25"/>
    <mergeCell ref="E26:I26"/>
    <mergeCell ref="E47:I47"/>
    <mergeCell ref="E48:I48"/>
    <mergeCell ref="E49:I49"/>
    <mergeCell ref="E50:I50"/>
    <mergeCell ref="E51:I51"/>
    <mergeCell ref="E46:I46"/>
    <mergeCell ref="E37:I37"/>
    <mergeCell ref="E38:I38"/>
    <mergeCell ref="E39:I39"/>
    <mergeCell ref="E40:I40"/>
    <mergeCell ref="E41:I41"/>
    <mergeCell ref="E42:I42"/>
    <mergeCell ref="E43:I43"/>
    <mergeCell ref="E44:I44"/>
    <mergeCell ref="E45:I45"/>
    <mergeCell ref="E57:I57"/>
    <mergeCell ref="E58:I58"/>
    <mergeCell ref="E59:I59"/>
    <mergeCell ref="E60:I60"/>
    <mergeCell ref="E61:I61"/>
    <mergeCell ref="E52:I52"/>
    <mergeCell ref="E53:I53"/>
    <mergeCell ref="E54:I54"/>
    <mergeCell ref="E55:I55"/>
    <mergeCell ref="E56:I56"/>
    <mergeCell ref="E67:I67"/>
    <mergeCell ref="E68:I68"/>
    <mergeCell ref="E69:I69"/>
    <mergeCell ref="E70:I70"/>
    <mergeCell ref="E71:I71"/>
    <mergeCell ref="E62:I62"/>
    <mergeCell ref="E63:I63"/>
    <mergeCell ref="E64:I64"/>
    <mergeCell ref="E65:I65"/>
    <mergeCell ref="E66:I66"/>
    <mergeCell ref="E78:I78"/>
    <mergeCell ref="E79:I79"/>
    <mergeCell ref="E80:I80"/>
    <mergeCell ref="E81:I81"/>
    <mergeCell ref="E72:I72"/>
    <mergeCell ref="E73:I73"/>
    <mergeCell ref="E74:I74"/>
    <mergeCell ref="E75:I75"/>
    <mergeCell ref="E76:I76"/>
    <mergeCell ref="A1:I1"/>
    <mergeCell ref="E92:I92"/>
    <mergeCell ref="C9:C12"/>
    <mergeCell ref="C13:C15"/>
    <mergeCell ref="C16:C17"/>
    <mergeCell ref="C18:C40"/>
    <mergeCell ref="C41:C52"/>
    <mergeCell ref="C53:C55"/>
    <mergeCell ref="C56:C73"/>
    <mergeCell ref="C74:C76"/>
    <mergeCell ref="C77:C85"/>
    <mergeCell ref="C86:C89"/>
    <mergeCell ref="C90:C92"/>
    <mergeCell ref="E87:I87"/>
    <mergeCell ref="E88:I88"/>
    <mergeCell ref="E89:I89"/>
    <mergeCell ref="E90:I90"/>
    <mergeCell ref="E91:I91"/>
    <mergeCell ref="E82:I82"/>
    <mergeCell ref="E83:I83"/>
    <mergeCell ref="E84:I84"/>
    <mergeCell ref="E85:I85"/>
    <mergeCell ref="E86:I86"/>
    <mergeCell ref="E77:I77"/>
  </mergeCells>
  <dataValidations count="1">
    <dataValidation type="list" allowBlank="1" showInputMessage="1" showErrorMessage="1" sqref="I95" xr:uid="{00000000-0002-0000-1100-000000000000}">
      <formula1>Yes_No</formula1>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11">
        <x14:dataValidation type="list" allowBlank="1" showInputMessage="1" showErrorMessage="1" xr:uid="{28F42236-8B6A-4193-B8B3-320AB7F5C9B0}">
          <x14:formula1>
            <xm:f>'Lists and version log'!$AM$2:$AM$6</xm:f>
          </x14:formula1>
          <xm:sqref>D9:D12</xm:sqref>
        </x14:dataValidation>
        <x14:dataValidation type="list" allowBlank="1" showInputMessage="1" showErrorMessage="1" xr:uid="{E7743A9F-8689-4220-A799-2049512C01DF}">
          <x14:formula1>
            <xm:f>'Lists and version log'!$AM$7:$AM$10</xm:f>
          </x14:formula1>
          <xm:sqref>D13:D15</xm:sqref>
        </x14:dataValidation>
        <x14:dataValidation type="list" allowBlank="1" showInputMessage="1" showErrorMessage="1" xr:uid="{D2734B9C-5DA6-44E1-96F5-36D28242DA0D}">
          <x14:formula1>
            <xm:f>'Lists and version log'!$AM$11:$AM$13</xm:f>
          </x14:formula1>
          <xm:sqref>D16:D17</xm:sqref>
        </x14:dataValidation>
        <x14:dataValidation type="list" allowBlank="1" showInputMessage="1" showErrorMessage="1" xr:uid="{52719293-5506-4C92-951B-F910B0EB4305}">
          <x14:formula1>
            <xm:f>'Lists and version log'!$AM$14:$AM$37</xm:f>
          </x14:formula1>
          <xm:sqref>D18:D40</xm:sqref>
        </x14:dataValidation>
        <x14:dataValidation type="list" allowBlank="1" showInputMessage="1" showErrorMessage="1" xr:uid="{3E5C258C-7C93-4A2D-9484-78D69E7650A6}">
          <x14:formula1>
            <xm:f>'Lists and version log'!$AM$38:$AM$50</xm:f>
          </x14:formula1>
          <xm:sqref>D41:D52</xm:sqref>
        </x14:dataValidation>
        <x14:dataValidation type="list" allowBlank="1" showInputMessage="1" showErrorMessage="1" xr:uid="{8150E91F-48B7-4AB5-9415-5259F0BF5625}">
          <x14:formula1>
            <xm:f>'Lists and version log'!$AM$51:$AM$54</xm:f>
          </x14:formula1>
          <xm:sqref>D53:D55</xm:sqref>
        </x14:dataValidation>
        <x14:dataValidation type="list" allowBlank="1" showInputMessage="1" showErrorMessage="1" xr:uid="{0962F69B-0B0D-43FF-B5C7-ED41C8FE8BEE}">
          <x14:formula1>
            <xm:f>'Lists and version log'!$AM$55:$AM$73</xm:f>
          </x14:formula1>
          <xm:sqref>D56:D73</xm:sqref>
        </x14:dataValidation>
        <x14:dataValidation type="list" allowBlank="1" showInputMessage="1" showErrorMessage="1" xr:uid="{677C7050-7222-4A82-8345-D40701867397}">
          <x14:formula1>
            <xm:f>'Lists and version log'!$AM$74:$AM$77</xm:f>
          </x14:formula1>
          <xm:sqref>D74:D76</xm:sqref>
        </x14:dataValidation>
        <x14:dataValidation type="list" allowBlank="1" showInputMessage="1" showErrorMessage="1" xr:uid="{21F3BFEC-925A-4F11-8FDE-F6DEBE251628}">
          <x14:formula1>
            <xm:f>'Lists and version log'!$AM$78:$AM$87</xm:f>
          </x14:formula1>
          <xm:sqref>D77:D85</xm:sqref>
        </x14:dataValidation>
        <x14:dataValidation type="list" allowBlank="1" showInputMessage="1" showErrorMessage="1" xr:uid="{4CAD5A17-A551-4E42-8E6A-29E4CD89D3CC}">
          <x14:formula1>
            <xm:f>'Lists and version log'!$AM$88:$AM$92</xm:f>
          </x14:formula1>
          <xm:sqref>D86:D89</xm:sqref>
        </x14:dataValidation>
        <x14:dataValidation type="list" allowBlank="1" showInputMessage="1" showErrorMessage="1" xr:uid="{F9723F2B-095E-4F19-B60D-19C1CD6B56AB}">
          <x14:formula1>
            <xm:f>'Lists and version log'!$AM$93:$AM$96</xm:f>
          </x14:formula1>
          <xm:sqref>D90:D92</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5"/>
  <dimension ref="A1:AV96"/>
  <sheetViews>
    <sheetView topLeftCell="H1" zoomScale="90" zoomScaleNormal="90" workbookViewId="0">
      <pane ySplit="1" topLeftCell="A2" activePane="bottomLeft" state="frozen"/>
      <selection sqref="A1:XFD1048576"/>
      <selection pane="bottomLeft" activeCell="I22" sqref="I22"/>
    </sheetView>
  </sheetViews>
  <sheetFormatPr defaultColWidth="13.109375" defaultRowHeight="14.4" x14ac:dyDescent="0.3"/>
  <cols>
    <col min="1" max="2" width="25.88671875" customWidth="1"/>
    <col min="3" max="3" width="73.44140625" customWidth="1"/>
    <col min="4" max="4" width="32" customWidth="1"/>
    <col min="5" max="5" width="48.6640625" customWidth="1"/>
    <col min="6" max="6" width="18.6640625" customWidth="1"/>
    <col min="7" max="7" width="48.6640625" customWidth="1"/>
    <col min="8" max="8" width="35.6640625" customWidth="1"/>
    <col min="9" max="9" width="68.6640625" customWidth="1"/>
    <col min="10" max="10" width="58" bestFit="1" customWidth="1"/>
    <col min="11" max="11" width="59.6640625" customWidth="1"/>
    <col min="12" max="12" width="51.109375" bestFit="1" customWidth="1"/>
    <col min="13" max="13" width="38.33203125" customWidth="1"/>
    <col min="14" max="14" width="29.88671875" customWidth="1"/>
    <col min="15" max="17" width="25.88671875" customWidth="1"/>
    <col min="18" max="18" width="51.44140625" customWidth="1"/>
    <col min="19" max="19" width="25.88671875" customWidth="1"/>
    <col min="20" max="20" width="47.44140625" bestFit="1" customWidth="1"/>
    <col min="21" max="21" width="25.88671875" customWidth="1"/>
    <col min="22" max="22" width="69" customWidth="1"/>
    <col min="23" max="23" width="26" customWidth="1"/>
    <col min="24" max="36" width="25.88671875" customWidth="1"/>
    <col min="37" max="37" width="70.44140625" customWidth="1"/>
    <col min="38" max="38" width="73.5546875" customWidth="1"/>
    <col min="39" max="39" width="23.33203125" customWidth="1"/>
    <col min="42" max="42" width="14.5546875" customWidth="1"/>
    <col min="43" max="43" width="86.88671875" customWidth="1"/>
    <col min="46" max="46" width="16.109375" customWidth="1"/>
    <col min="47" max="47" width="24.44140625" customWidth="1"/>
    <col min="48" max="48" width="16.44140625" customWidth="1"/>
  </cols>
  <sheetData>
    <row r="1" spans="1:48" x14ac:dyDescent="0.3">
      <c r="A1" s="4" t="s">
        <v>709</v>
      </c>
      <c r="B1" s="4" t="s">
        <v>1379</v>
      </c>
      <c r="C1" s="4" t="s">
        <v>1380</v>
      </c>
      <c r="D1" s="4" t="s">
        <v>1381</v>
      </c>
      <c r="E1" s="4" t="s">
        <v>1382</v>
      </c>
      <c r="F1" s="6" t="s">
        <v>1383</v>
      </c>
      <c r="G1" s="4" t="s">
        <v>1384</v>
      </c>
      <c r="H1" s="4" t="s">
        <v>1385</v>
      </c>
      <c r="I1" s="4" t="s">
        <v>1386</v>
      </c>
      <c r="J1" s="4" t="s">
        <v>1387</v>
      </c>
      <c r="K1" s="4" t="s">
        <v>1388</v>
      </c>
      <c r="L1" s="4" t="s">
        <v>1389</v>
      </c>
      <c r="M1" s="4" t="s">
        <v>1390</v>
      </c>
      <c r="N1" s="4" t="s">
        <v>1391</v>
      </c>
      <c r="O1" s="4" t="s">
        <v>1392</v>
      </c>
      <c r="P1" s="4" t="s">
        <v>1393</v>
      </c>
      <c r="Q1" s="4" t="s">
        <v>1394</v>
      </c>
      <c r="R1" s="4" t="s">
        <v>1395</v>
      </c>
      <c r="S1" s="4" t="s">
        <v>1396</v>
      </c>
      <c r="T1" s="4" t="s">
        <v>1397</v>
      </c>
      <c r="U1" s="4" t="s">
        <v>1398</v>
      </c>
      <c r="V1" s="4" t="s">
        <v>1399</v>
      </c>
      <c r="W1" s="4" t="s">
        <v>1400</v>
      </c>
      <c r="X1" s="4" t="s">
        <v>1401</v>
      </c>
      <c r="Y1" s="4" t="s">
        <v>1402</v>
      </c>
      <c r="Z1" s="4" t="s">
        <v>1403</v>
      </c>
      <c r="AA1" s="4" t="s">
        <v>1404</v>
      </c>
      <c r="AB1" s="4" t="s">
        <v>1405</v>
      </c>
      <c r="AC1" s="4" t="s">
        <v>1406</v>
      </c>
      <c r="AD1" s="4" t="s">
        <v>1407</v>
      </c>
      <c r="AE1" s="4" t="s">
        <v>1408</v>
      </c>
      <c r="AF1" s="4" t="s">
        <v>1409</v>
      </c>
      <c r="AG1" s="4" t="s">
        <v>1410</v>
      </c>
      <c r="AH1" s="4" t="s">
        <v>1411</v>
      </c>
      <c r="AI1" s="4" t="s">
        <v>1412</v>
      </c>
      <c r="AJ1" s="6" t="s">
        <v>1413</v>
      </c>
      <c r="AK1" s="6" t="s">
        <v>1414</v>
      </c>
      <c r="AL1" s="6" t="s">
        <v>1415</v>
      </c>
      <c r="AM1" s="4" t="s">
        <v>1416</v>
      </c>
      <c r="AP1" s="150" t="s">
        <v>1776</v>
      </c>
      <c r="AQ1" s="151"/>
      <c r="AR1" s="151"/>
      <c r="AT1" s="150" t="s">
        <v>1770</v>
      </c>
      <c r="AU1" s="151"/>
      <c r="AV1" s="151"/>
    </row>
    <row r="2" spans="1:48" x14ac:dyDescent="0.3">
      <c r="A2" t="s">
        <v>1</v>
      </c>
      <c r="B2" t="s">
        <v>1</v>
      </c>
      <c r="C2" t="s">
        <v>1</v>
      </c>
      <c r="D2" t="s">
        <v>1</v>
      </c>
      <c r="E2" t="s">
        <v>1</v>
      </c>
      <c r="F2">
        <f>IFERROR(MATCH(0,$F$3:$F$26,0)-1,0)</f>
        <v>23</v>
      </c>
      <c r="G2" t="s">
        <v>1</v>
      </c>
      <c r="H2" t="s">
        <v>1</v>
      </c>
      <c r="I2" t="s">
        <v>1</v>
      </c>
      <c r="J2" t="s">
        <v>1</v>
      </c>
      <c r="K2" t="s">
        <v>1</v>
      </c>
      <c r="L2" t="s">
        <v>1</v>
      </c>
      <c r="M2" t="s">
        <v>1</v>
      </c>
      <c r="N2" t="s">
        <v>1</v>
      </c>
      <c r="O2" t="s">
        <v>1</v>
      </c>
      <c r="P2" t="s">
        <v>1</v>
      </c>
      <c r="Q2" t="s">
        <v>1</v>
      </c>
      <c r="R2" t="s">
        <v>1</v>
      </c>
      <c r="S2" t="s">
        <v>1</v>
      </c>
      <c r="T2" t="s">
        <v>1</v>
      </c>
      <c r="U2" t="s">
        <v>1</v>
      </c>
      <c r="V2" t="s">
        <v>1</v>
      </c>
      <c r="W2" t="s">
        <v>1</v>
      </c>
      <c r="X2" t="s">
        <v>1</v>
      </c>
      <c r="Y2" t="s">
        <v>1</v>
      </c>
      <c r="Z2" t="s">
        <v>1</v>
      </c>
      <c r="AA2" t="s">
        <v>1</v>
      </c>
      <c r="AB2" t="s">
        <v>1</v>
      </c>
      <c r="AC2" t="s">
        <v>1</v>
      </c>
      <c r="AD2" t="s">
        <v>1</v>
      </c>
      <c r="AE2" t="s">
        <v>1</v>
      </c>
      <c r="AF2" t="s">
        <v>1</v>
      </c>
      <c r="AG2" t="s">
        <v>1</v>
      </c>
      <c r="AH2" t="s">
        <v>1</v>
      </c>
      <c r="AI2" t="s">
        <v>1</v>
      </c>
      <c r="AJ2">
        <f>IFERROR(MATCH("",$AJ$3:$AJ$12,0)-1,0)</f>
        <v>5</v>
      </c>
      <c r="AK2">
        <f>IFERROR(MATCH("",$AK$3:$AK$40,0)-1,0)</f>
        <v>12</v>
      </c>
      <c r="AL2">
        <f>IFERROR(MATCH("",$AL$3:$AL$19,0)-1,0)</f>
        <v>12</v>
      </c>
      <c r="AM2" t="s">
        <v>1</v>
      </c>
      <c r="AP2" s="151" t="s">
        <v>1777</v>
      </c>
      <c r="AQ2" s="151" t="str" cm="1">
        <f t="array" ref="AQ2">LOOKUP(2,1/(AP:AP&lt;&gt;""),AP:AP)</f>
        <v>v2.0</v>
      </c>
      <c r="AR2" s="152" cm="1">
        <f t="array" ref="AR2">LOOKUP(2,1/(AR:AR&lt;&gt;""),AR:AR)</f>
        <v>45049</v>
      </c>
      <c r="AT2" s="151" t="s">
        <v>1771</v>
      </c>
      <c r="AU2" s="151" t="str" cm="1">
        <f t="array" ref="AU2">LOOKUP(2,1/(AT:AT&lt;&gt;""),AT:AT)</f>
        <v>v2</v>
      </c>
      <c r="AV2" s="152" cm="1">
        <f t="array" ref="AV2">LOOKUP(2,1/(AV:AV&lt;&gt;""),AV:AV)</f>
        <v>45041</v>
      </c>
    </row>
    <row r="3" spans="1:48" x14ac:dyDescent="0.3">
      <c r="A3" t="s">
        <v>1419</v>
      </c>
      <c r="B3" t="s">
        <v>1419</v>
      </c>
      <c r="C3" t="s">
        <v>1420</v>
      </c>
      <c r="D3" t="s">
        <v>1421</v>
      </c>
      <c r="E3" t="s">
        <v>1422</v>
      </c>
      <c r="F3" t="s">
        <v>1</v>
      </c>
      <c r="G3" t="s">
        <v>1423</v>
      </c>
      <c r="H3" t="s">
        <v>1424</v>
      </c>
      <c r="I3" s="164" t="s">
        <v>1425</v>
      </c>
      <c r="J3" t="s">
        <v>1426</v>
      </c>
      <c r="K3" t="s">
        <v>1427</v>
      </c>
      <c r="L3" t="s">
        <v>1428</v>
      </c>
      <c r="M3" t="s">
        <v>1429</v>
      </c>
      <c r="N3" t="s">
        <v>1430</v>
      </c>
      <c r="O3" t="s">
        <v>1431</v>
      </c>
      <c r="P3" t="s">
        <v>1428</v>
      </c>
      <c r="Q3" t="s">
        <v>1432</v>
      </c>
      <c r="R3" t="s">
        <v>1433</v>
      </c>
      <c r="S3" t="s">
        <v>1434</v>
      </c>
      <c r="T3" t="s">
        <v>1435</v>
      </c>
      <c r="U3" t="s">
        <v>1435</v>
      </c>
      <c r="V3" t="s">
        <v>1436</v>
      </c>
      <c r="W3" t="s">
        <v>1437</v>
      </c>
      <c r="X3" t="s">
        <v>1438</v>
      </c>
      <c r="Y3" t="s">
        <v>1439</v>
      </c>
      <c r="Z3" t="s">
        <v>1440</v>
      </c>
      <c r="AA3" t="s">
        <v>1441</v>
      </c>
      <c r="AB3" t="s">
        <v>1442</v>
      </c>
      <c r="AC3" t="s">
        <v>1437</v>
      </c>
      <c r="AD3" t="s">
        <v>1443</v>
      </c>
      <c r="AE3" t="s">
        <v>1439</v>
      </c>
      <c r="AF3" t="s">
        <v>1440</v>
      </c>
      <c r="AG3" t="s">
        <v>1439</v>
      </c>
      <c r="AH3" t="s">
        <v>1439</v>
      </c>
      <c r="AI3" t="s">
        <v>1442</v>
      </c>
      <c r="AJ3" t="s">
        <v>1</v>
      </c>
      <c r="AK3" t="s">
        <v>1</v>
      </c>
      <c r="AL3" t="s">
        <v>1</v>
      </c>
      <c r="AM3" t="s">
        <v>1444</v>
      </c>
      <c r="AP3" s="150"/>
      <c r="AQ3" s="151"/>
      <c r="AR3" s="151"/>
      <c r="AT3" s="150"/>
      <c r="AU3" s="151"/>
      <c r="AV3" s="151"/>
    </row>
    <row r="4" spans="1:48" ht="14.4" customHeight="1" x14ac:dyDescent="0.3">
      <c r="A4" t="s">
        <v>1447</v>
      </c>
      <c r="B4" t="s">
        <v>1447</v>
      </c>
      <c r="C4" t="s">
        <v>1448</v>
      </c>
      <c r="D4" t="s">
        <v>1449</v>
      </c>
      <c r="E4" t="s">
        <v>1450</v>
      </c>
      <c r="F4" t="str">
        <f>'Q 2'!D7</f>
        <v>MINGOR</v>
      </c>
      <c r="G4" t="s">
        <v>1451</v>
      </c>
      <c r="H4" t="s">
        <v>1452</v>
      </c>
      <c r="I4" t="s">
        <v>1453</v>
      </c>
      <c r="J4" t="s">
        <v>1454</v>
      </c>
      <c r="K4" t="s">
        <v>1455</v>
      </c>
      <c r="L4" t="s">
        <v>1456</v>
      </c>
      <c r="M4" t="s">
        <v>1457</v>
      </c>
      <c r="N4" t="s">
        <v>1458</v>
      </c>
      <c r="O4" t="s">
        <v>1459</v>
      </c>
      <c r="P4" t="s">
        <v>1456</v>
      </c>
      <c r="Q4" t="s">
        <v>1460</v>
      </c>
      <c r="R4" t="s">
        <v>1461</v>
      </c>
      <c r="S4" t="s">
        <v>1462</v>
      </c>
      <c r="T4" t="s">
        <v>1463</v>
      </c>
      <c r="U4" t="s">
        <v>1464</v>
      </c>
      <c r="V4" t="s">
        <v>1465</v>
      </c>
      <c r="W4" t="s">
        <v>1039</v>
      </c>
      <c r="X4" t="s">
        <v>1466</v>
      </c>
      <c r="Y4" t="s">
        <v>1467</v>
      </c>
      <c r="Z4" t="s">
        <v>1468</v>
      </c>
      <c r="AA4" t="s">
        <v>1469</v>
      </c>
      <c r="AB4" t="s">
        <v>1470</v>
      </c>
      <c r="AC4" t="s">
        <v>1091</v>
      </c>
      <c r="AD4" t="s">
        <v>1471</v>
      </c>
      <c r="AE4" t="s">
        <v>1467</v>
      </c>
      <c r="AF4" t="s">
        <v>1472</v>
      </c>
      <c r="AG4" t="s">
        <v>1467</v>
      </c>
      <c r="AH4" t="s">
        <v>1467</v>
      </c>
      <c r="AI4" t="s">
        <v>1473</v>
      </c>
      <c r="AJ4" t="s">
        <v>1230</v>
      </c>
      <c r="AK4" t="s">
        <v>1287</v>
      </c>
      <c r="AL4" t="s">
        <v>1289</v>
      </c>
      <c r="AM4" t="s">
        <v>1474</v>
      </c>
      <c r="AP4" s="150" t="s">
        <v>1417</v>
      </c>
      <c r="AQ4" s="150" t="s">
        <v>1306</v>
      </c>
      <c r="AR4" s="150" t="s">
        <v>1418</v>
      </c>
      <c r="AT4" s="150" t="s">
        <v>1417</v>
      </c>
      <c r="AU4" s="150" t="s">
        <v>1306</v>
      </c>
      <c r="AV4" s="150" t="s">
        <v>1418</v>
      </c>
    </row>
    <row r="5" spans="1:48" ht="15.9" customHeight="1" x14ac:dyDescent="0.3">
      <c r="A5" t="s">
        <v>1756</v>
      </c>
      <c r="B5" t="s">
        <v>1477</v>
      </c>
      <c r="C5" t="s">
        <v>1478</v>
      </c>
      <c r="D5" t="s">
        <v>1227</v>
      </c>
      <c r="E5" s="61" t="s">
        <v>1479</v>
      </c>
      <c r="F5" t="str">
        <f>'Q 2'!D8</f>
        <v>DIRH</v>
      </c>
      <c r="G5" s="61" t="s">
        <v>1480</v>
      </c>
      <c r="I5" t="s">
        <v>1481</v>
      </c>
      <c r="J5" t="s">
        <v>1482</v>
      </c>
      <c r="K5" t="s">
        <v>1483</v>
      </c>
      <c r="L5" t="s">
        <v>1484</v>
      </c>
      <c r="M5" t="s">
        <v>1485</v>
      </c>
      <c r="O5" t="s">
        <v>1486</v>
      </c>
      <c r="P5" t="s">
        <v>1484</v>
      </c>
      <c r="Q5" t="s">
        <v>1487</v>
      </c>
      <c r="R5" t="s">
        <v>1488</v>
      </c>
      <c r="S5" t="s">
        <v>1489</v>
      </c>
      <c r="T5" s="1"/>
      <c r="U5" s="1"/>
      <c r="V5" t="s">
        <v>1490</v>
      </c>
      <c r="W5" t="s">
        <v>1040</v>
      </c>
      <c r="X5" t="s">
        <v>1491</v>
      </c>
      <c r="Y5" t="s">
        <v>1492</v>
      </c>
      <c r="Z5" t="s">
        <v>1493</v>
      </c>
      <c r="AA5" t="s">
        <v>1494</v>
      </c>
      <c r="AC5" t="s">
        <v>1040</v>
      </c>
      <c r="AD5" t="s">
        <v>1491</v>
      </c>
      <c r="AE5" t="s">
        <v>1492</v>
      </c>
      <c r="AF5" t="s">
        <v>1495</v>
      </c>
      <c r="AG5" t="s">
        <v>1496</v>
      </c>
      <c r="AH5" t="s">
        <v>1497</v>
      </c>
      <c r="AJ5" t="s">
        <v>1498</v>
      </c>
      <c r="AK5" t="s">
        <v>1288</v>
      </c>
      <c r="AL5" t="s">
        <v>1290</v>
      </c>
      <c r="AM5" t="s">
        <v>1499</v>
      </c>
      <c r="AP5" s="151" t="s">
        <v>1445</v>
      </c>
      <c r="AQ5" s="151" t="s">
        <v>1446</v>
      </c>
      <c r="AR5" s="152">
        <v>44647</v>
      </c>
      <c r="AT5" s="151" t="s">
        <v>1772</v>
      </c>
      <c r="AU5" s="151" t="s">
        <v>1773</v>
      </c>
      <c r="AV5" s="163">
        <v>44728</v>
      </c>
    </row>
    <row r="6" spans="1:48" ht="15.9" customHeight="1" x14ac:dyDescent="0.3">
      <c r="B6" t="s">
        <v>1756</v>
      </c>
      <c r="C6" t="s">
        <v>1502</v>
      </c>
      <c r="E6" t="s">
        <v>1227</v>
      </c>
      <c r="F6" t="str">
        <f>'Q 2'!D9</f>
        <v>FZOEU</v>
      </c>
      <c r="I6" t="s">
        <v>1503</v>
      </c>
      <c r="J6" t="s">
        <v>1504</v>
      </c>
      <c r="K6" t="s">
        <v>1505</v>
      </c>
      <c r="L6" t="s">
        <v>1506</v>
      </c>
      <c r="M6" t="s">
        <v>1507</v>
      </c>
      <c r="O6" s="5" t="s">
        <v>1508</v>
      </c>
      <c r="P6" t="s">
        <v>1506</v>
      </c>
      <c r="S6" t="s">
        <v>1509</v>
      </c>
      <c r="V6" t="s">
        <v>1510</v>
      </c>
      <c r="W6" t="s">
        <v>1041</v>
      </c>
      <c r="X6" t="s">
        <v>1511</v>
      </c>
      <c r="Y6" t="s">
        <v>1512</v>
      </c>
      <c r="Z6" t="s">
        <v>1513</v>
      </c>
      <c r="AA6" t="s">
        <v>1514</v>
      </c>
      <c r="AC6" t="s">
        <v>1041</v>
      </c>
      <c r="AD6" t="s">
        <v>1511</v>
      </c>
      <c r="AE6" t="s">
        <v>1512</v>
      </c>
      <c r="AF6" t="s">
        <v>1513</v>
      </c>
      <c r="AG6" t="s">
        <v>1512</v>
      </c>
      <c r="AH6" t="s">
        <v>1512</v>
      </c>
      <c r="AJ6" t="s">
        <v>1232</v>
      </c>
      <c r="AK6" t="s">
        <v>1289</v>
      </c>
      <c r="AL6" t="s">
        <v>1312</v>
      </c>
      <c r="AM6" t="s">
        <v>1515</v>
      </c>
      <c r="AP6" s="151" t="s">
        <v>1475</v>
      </c>
      <c r="AQ6" s="151" t="s">
        <v>1476</v>
      </c>
      <c r="AR6" s="152">
        <v>44684</v>
      </c>
      <c r="AT6" s="151" t="s">
        <v>1774</v>
      </c>
      <c r="AU6" s="151" t="s">
        <v>1775</v>
      </c>
      <c r="AV6" s="152">
        <v>45041</v>
      </c>
    </row>
    <row r="7" spans="1:48" ht="14.4" customHeight="1" x14ac:dyDescent="0.3">
      <c r="C7" t="s">
        <v>1518</v>
      </c>
      <c r="F7" t="str">
        <f>'Q 2'!D10</f>
        <v/>
      </c>
      <c r="I7" s="164" t="s">
        <v>1519</v>
      </c>
      <c r="J7" t="s">
        <v>1520</v>
      </c>
      <c r="L7" t="s">
        <v>1521</v>
      </c>
      <c r="M7" t="s">
        <v>1522</v>
      </c>
      <c r="P7" t="s">
        <v>1521</v>
      </c>
      <c r="V7" t="s">
        <v>1523</v>
      </c>
      <c r="W7" t="s">
        <v>1524</v>
      </c>
      <c r="X7" t="s">
        <v>1525</v>
      </c>
      <c r="Z7" t="s">
        <v>1234</v>
      </c>
      <c r="AA7" t="s">
        <v>1526</v>
      </c>
      <c r="AC7" t="s">
        <v>1524</v>
      </c>
      <c r="AD7" t="s">
        <v>1527</v>
      </c>
      <c r="AF7" t="s">
        <v>1527</v>
      </c>
      <c r="AJ7" t="s">
        <v>1233</v>
      </c>
      <c r="AK7" t="s">
        <v>1290</v>
      </c>
      <c r="AL7" t="s">
        <v>1293</v>
      </c>
      <c r="AM7" t="s">
        <v>1</v>
      </c>
      <c r="AP7" s="151" t="s">
        <v>1500</v>
      </c>
      <c r="AQ7" s="151" t="s">
        <v>1501</v>
      </c>
      <c r="AR7" s="152">
        <v>44706</v>
      </c>
    </row>
    <row r="8" spans="1:48" x14ac:dyDescent="0.3">
      <c r="C8" t="s">
        <v>1530</v>
      </c>
      <c r="F8" t="str">
        <f>'Q 2'!D11</f>
        <v/>
      </c>
      <c r="I8" t="s">
        <v>1531</v>
      </c>
      <c r="J8" t="s">
        <v>1532</v>
      </c>
      <c r="L8" t="s">
        <v>1533</v>
      </c>
      <c r="M8" t="s">
        <v>1534</v>
      </c>
      <c r="P8" t="s">
        <v>1533</v>
      </c>
      <c r="V8" t="s">
        <v>1535</v>
      </c>
      <c r="W8" t="s">
        <v>1536</v>
      </c>
      <c r="AC8" t="s">
        <v>1536</v>
      </c>
      <c r="AJ8" t="str">
        <f>'Q 8'!D287</f>
        <v/>
      </c>
      <c r="AK8" t="s">
        <v>1291</v>
      </c>
      <c r="AL8" t="s">
        <v>1313</v>
      </c>
      <c r="AM8" t="s">
        <v>1537</v>
      </c>
      <c r="AP8" s="151" t="s">
        <v>1516</v>
      </c>
      <c r="AQ8" s="151" t="s">
        <v>1517</v>
      </c>
      <c r="AR8" s="152">
        <v>44711</v>
      </c>
    </row>
    <row r="9" spans="1:48" ht="14.4" customHeight="1" x14ac:dyDescent="0.3">
      <c r="C9" t="s">
        <v>1540</v>
      </c>
      <c r="F9" t="str">
        <f>'Q 2'!D12</f>
        <v/>
      </c>
      <c r="I9" t="s">
        <v>1541</v>
      </c>
      <c r="J9" t="s">
        <v>1542</v>
      </c>
      <c r="L9" t="s">
        <v>1543</v>
      </c>
      <c r="M9" t="s">
        <v>1544</v>
      </c>
      <c r="P9" t="s">
        <v>1543</v>
      </c>
      <c r="V9" t="s">
        <v>1545</v>
      </c>
      <c r="AJ9" t="str">
        <f>'Q 8'!D288</f>
        <v/>
      </c>
      <c r="AK9" t="s">
        <v>1292</v>
      </c>
      <c r="AL9" t="s">
        <v>1294</v>
      </c>
      <c r="AM9" t="s">
        <v>1546</v>
      </c>
      <c r="AP9" s="153" t="s">
        <v>1528</v>
      </c>
      <c r="AQ9" s="153" t="s">
        <v>1529</v>
      </c>
      <c r="AR9" s="163">
        <v>44720</v>
      </c>
    </row>
    <row r="10" spans="1:48" ht="14.4" customHeight="1" x14ac:dyDescent="0.3">
      <c r="C10" t="s">
        <v>1549</v>
      </c>
      <c r="F10" t="str">
        <f>'Q 2'!D13</f>
        <v/>
      </c>
      <c r="I10" t="s">
        <v>1550</v>
      </c>
      <c r="J10" s="88" t="s">
        <v>1551</v>
      </c>
      <c r="L10" t="s">
        <v>1552</v>
      </c>
      <c r="P10" t="s">
        <v>1552</v>
      </c>
      <c r="V10" t="s">
        <v>1553</v>
      </c>
      <c r="AJ10" t="str">
        <f>'Q 8'!D289</f>
        <v/>
      </c>
      <c r="AK10" t="s">
        <v>1293</v>
      </c>
      <c r="AL10" t="s">
        <v>1295</v>
      </c>
      <c r="AM10" t="s">
        <v>1554</v>
      </c>
      <c r="AP10" s="153" t="s">
        <v>1538</v>
      </c>
      <c r="AQ10" s="153" t="s">
        <v>1539</v>
      </c>
      <c r="AR10" s="163">
        <v>44720</v>
      </c>
    </row>
    <row r="11" spans="1:48" ht="14.4" customHeight="1" x14ac:dyDescent="0.3">
      <c r="C11" t="s">
        <v>1557</v>
      </c>
      <c r="F11" t="str">
        <f>'Q 2'!D14</f>
        <v/>
      </c>
      <c r="I11" t="s">
        <v>1558</v>
      </c>
      <c r="J11" s="88" t="s">
        <v>1559</v>
      </c>
      <c r="L11" t="s">
        <v>1560</v>
      </c>
      <c r="V11" t="s">
        <v>1561</v>
      </c>
      <c r="AJ11" t="str">
        <f>'Q 8'!D290</f>
        <v/>
      </c>
      <c r="AK11" t="s">
        <v>1294</v>
      </c>
      <c r="AL11" t="s">
        <v>1296</v>
      </c>
      <c r="AM11" t="s">
        <v>1</v>
      </c>
      <c r="AP11" s="153" t="s">
        <v>1547</v>
      </c>
      <c r="AQ11" s="153" t="s">
        <v>1548</v>
      </c>
      <c r="AR11" s="163">
        <v>44721</v>
      </c>
    </row>
    <row r="12" spans="1:48" ht="14.4" customHeight="1" x14ac:dyDescent="0.3">
      <c r="C12" t="s">
        <v>1562</v>
      </c>
      <c r="F12" t="str">
        <f>'Q 2'!D15</f>
        <v/>
      </c>
      <c r="I12" t="s">
        <v>1563</v>
      </c>
      <c r="J12" s="164" t="s">
        <v>1564</v>
      </c>
      <c r="L12" t="s">
        <v>1565</v>
      </c>
      <c r="P12" t="s">
        <v>1560</v>
      </c>
      <c r="V12" t="s">
        <v>1566</v>
      </c>
      <c r="AJ12">
        <v>0</v>
      </c>
      <c r="AK12" t="s">
        <v>1295</v>
      </c>
      <c r="AL12" t="s">
        <v>1297</v>
      </c>
      <c r="AM12" t="s">
        <v>1567</v>
      </c>
      <c r="AP12" s="153" t="s">
        <v>1555</v>
      </c>
      <c r="AQ12" s="153" t="s">
        <v>1556</v>
      </c>
      <c r="AR12" s="163">
        <v>44726</v>
      </c>
    </row>
    <row r="13" spans="1:48" ht="14.4" customHeight="1" x14ac:dyDescent="0.3">
      <c r="C13" t="s">
        <v>1568</v>
      </c>
      <c r="F13" t="str">
        <f>'Q 2'!D16</f>
        <v/>
      </c>
      <c r="I13" t="s">
        <v>1569</v>
      </c>
      <c r="J13" s="164" t="s">
        <v>1570</v>
      </c>
      <c r="P13" t="s">
        <v>1565</v>
      </c>
      <c r="V13" t="s">
        <v>1571</v>
      </c>
      <c r="AK13" t="s">
        <v>1296</v>
      </c>
      <c r="AL13" t="s">
        <v>1314</v>
      </c>
      <c r="AM13" t="s">
        <v>1572</v>
      </c>
      <c r="AP13" s="153" t="s">
        <v>1738</v>
      </c>
      <c r="AQ13" s="153" t="s">
        <v>1739</v>
      </c>
      <c r="AR13" s="163">
        <v>44727</v>
      </c>
    </row>
    <row r="14" spans="1:48" ht="14.4" customHeight="1" x14ac:dyDescent="0.3">
      <c r="C14" t="s">
        <v>1573</v>
      </c>
      <c r="F14" t="str">
        <f>'Q 2'!D17</f>
        <v/>
      </c>
      <c r="I14" s="164" t="s">
        <v>1574</v>
      </c>
      <c r="J14" s="164" t="s">
        <v>1575</v>
      </c>
      <c r="V14" t="s">
        <v>1576</v>
      </c>
      <c r="AK14" t="s">
        <v>1297</v>
      </c>
      <c r="AL14" t="s">
        <v>1315</v>
      </c>
      <c r="AM14" t="s">
        <v>1</v>
      </c>
      <c r="AP14" s="153" t="s">
        <v>1750</v>
      </c>
      <c r="AQ14" s="153" t="s">
        <v>1751</v>
      </c>
      <c r="AR14" s="163">
        <v>44728</v>
      </c>
    </row>
    <row r="15" spans="1:48" x14ac:dyDescent="0.3">
      <c r="C15" t="s">
        <v>1577</v>
      </c>
      <c r="F15" t="str">
        <f>'Q 2'!D18</f>
        <v/>
      </c>
      <c r="I15" s="164" t="s">
        <v>1578</v>
      </c>
      <c r="J15" s="164" t="s">
        <v>1579</v>
      </c>
      <c r="V15" t="s">
        <v>1580</v>
      </c>
      <c r="AK15" t="str">
        <f>'Q 10'!D32</f>
        <v/>
      </c>
      <c r="AL15" t="str">
        <f>'Q 10'!D158</f>
        <v/>
      </c>
      <c r="AM15" t="s">
        <v>1581</v>
      </c>
      <c r="AN15" s="56"/>
      <c r="AP15" s="153" t="s">
        <v>1753</v>
      </c>
      <c r="AQ15" s="153" t="s">
        <v>1778</v>
      </c>
      <c r="AR15" s="163">
        <v>44735</v>
      </c>
    </row>
    <row r="16" spans="1:48" x14ac:dyDescent="0.3">
      <c r="C16" t="s">
        <v>1582</v>
      </c>
      <c r="F16" t="str">
        <f>'Q 2'!D19</f>
        <v/>
      </c>
      <c r="I16" s="164" t="s">
        <v>1583</v>
      </c>
      <c r="J16" s="164" t="s">
        <v>1584</v>
      </c>
      <c r="V16" t="s">
        <v>1585</v>
      </c>
      <c r="AC16" s="60"/>
      <c r="AD16" s="56"/>
      <c r="AE16" s="56"/>
      <c r="AF16" s="56"/>
      <c r="AG16" s="56"/>
      <c r="AH16" s="56"/>
      <c r="AI16" s="56"/>
      <c r="AK16" t="str">
        <f>'Q 10'!D33</f>
        <v/>
      </c>
      <c r="AL16" t="str">
        <f>'Q 10'!D159</f>
        <v/>
      </c>
      <c r="AM16" t="s">
        <v>1586</v>
      </c>
      <c r="AP16" s="153" t="s">
        <v>1754</v>
      </c>
      <c r="AQ16" s="153" t="s">
        <v>1779</v>
      </c>
      <c r="AR16" s="163">
        <v>44739</v>
      </c>
    </row>
    <row r="17" spans="3:44" x14ac:dyDescent="0.3">
      <c r="C17" t="s">
        <v>1587</v>
      </c>
      <c r="F17" t="str">
        <f>'Q 2'!D20</f>
        <v/>
      </c>
      <c r="I17" s="164" t="s">
        <v>1588</v>
      </c>
      <c r="J17" t="s">
        <v>1589</v>
      </c>
      <c r="V17" t="s">
        <v>1590</v>
      </c>
      <c r="AJ17" s="56"/>
      <c r="AK17" t="str">
        <f>'Q 10'!D34</f>
        <v/>
      </c>
      <c r="AL17" t="str">
        <f>'Q 10'!D160</f>
        <v/>
      </c>
      <c r="AM17" t="s">
        <v>1591</v>
      </c>
      <c r="AP17" s="151" t="s">
        <v>1764</v>
      </c>
      <c r="AQ17" s="151" t="s">
        <v>1765</v>
      </c>
      <c r="AR17" s="152">
        <v>45049</v>
      </c>
    </row>
    <row r="18" spans="3:44" ht="14.4" customHeight="1" x14ac:dyDescent="0.3">
      <c r="C18" t="s">
        <v>1592</v>
      </c>
      <c r="F18" t="str">
        <f>'Q 2'!D21</f>
        <v/>
      </c>
      <c r="I18" t="s">
        <v>1593</v>
      </c>
      <c r="J18" t="s">
        <v>1594</v>
      </c>
      <c r="V18" t="s">
        <v>1595</v>
      </c>
      <c r="AK18" t="str">
        <f>'Q 10'!D35</f>
        <v/>
      </c>
      <c r="AL18" t="str">
        <f>'Q 10'!D161</f>
        <v/>
      </c>
      <c r="AM18" t="s">
        <v>1596</v>
      </c>
    </row>
    <row r="19" spans="3:44" ht="14.4" customHeight="1" x14ac:dyDescent="0.3">
      <c r="C19" t="s">
        <v>1597</v>
      </c>
      <c r="F19" t="str">
        <f>'Q 2'!D22</f>
        <v/>
      </c>
      <c r="I19" t="s">
        <v>1598</v>
      </c>
      <c r="J19" t="s">
        <v>1599</v>
      </c>
      <c r="V19" t="s">
        <v>1600</v>
      </c>
      <c r="AK19" t="str">
        <f>'Q 10'!D36</f>
        <v/>
      </c>
      <c r="AL19">
        <v>0</v>
      </c>
      <c r="AM19" t="s">
        <v>1601</v>
      </c>
    </row>
    <row r="20" spans="3:44" ht="14.4" customHeight="1" x14ac:dyDescent="0.3">
      <c r="C20" t="s">
        <v>1602</v>
      </c>
      <c r="F20" t="str">
        <f>'Q 2'!D23</f>
        <v/>
      </c>
      <c r="I20" t="s">
        <v>1603</v>
      </c>
      <c r="J20" s="88" t="s">
        <v>1604</v>
      </c>
      <c r="V20" t="s">
        <v>1605</v>
      </c>
      <c r="AK20" t="str">
        <f>'Q 10'!D37</f>
        <v/>
      </c>
      <c r="AM20" t="s">
        <v>1606</v>
      </c>
    </row>
    <row r="21" spans="3:44" ht="14.4" customHeight="1" x14ac:dyDescent="0.3">
      <c r="C21" t="s">
        <v>1607</v>
      </c>
      <c r="F21" t="str">
        <f>'Q 2'!D24</f>
        <v/>
      </c>
      <c r="I21" t="s">
        <v>1608</v>
      </c>
      <c r="J21" s="88" t="s">
        <v>1609</v>
      </c>
      <c r="V21" t="s">
        <v>1610</v>
      </c>
      <c r="AK21" t="str">
        <f>'Q 10'!D38</f>
        <v/>
      </c>
      <c r="AM21" t="s">
        <v>1611</v>
      </c>
    </row>
    <row r="22" spans="3:44" ht="14.4" customHeight="1" x14ac:dyDescent="0.3">
      <c r="C22" t="s">
        <v>1612</v>
      </c>
      <c r="F22" t="str">
        <f>'Q 2'!D25</f>
        <v/>
      </c>
      <c r="I22" t="s">
        <v>1613</v>
      </c>
      <c r="J22" s="164" t="s">
        <v>1614</v>
      </c>
      <c r="V22" t="s">
        <v>1615</v>
      </c>
      <c r="AK22" t="str">
        <f>'Q 10'!D39</f>
        <v/>
      </c>
      <c r="AM22" t="s">
        <v>1616</v>
      </c>
    </row>
    <row r="23" spans="3:44" ht="14.4" customHeight="1" x14ac:dyDescent="0.3">
      <c r="C23" t="s">
        <v>1617</v>
      </c>
      <c r="F23" t="str">
        <f>'Q 2'!D26</f>
        <v/>
      </c>
      <c r="I23" t="s">
        <v>1618</v>
      </c>
      <c r="J23" s="164" t="s">
        <v>1619</v>
      </c>
      <c r="V23" t="s">
        <v>1620</v>
      </c>
      <c r="AK23" t="str">
        <f>'Q 10'!D40</f>
        <v/>
      </c>
      <c r="AM23" t="s">
        <v>1621</v>
      </c>
    </row>
    <row r="24" spans="3:44" x14ac:dyDescent="0.3">
      <c r="C24" t="s">
        <v>1622</v>
      </c>
      <c r="F24" t="str">
        <f>'Q 2'!D27</f>
        <v/>
      </c>
      <c r="I24" t="s">
        <v>1623</v>
      </c>
      <c r="J24" s="88" t="s">
        <v>1624</v>
      </c>
      <c r="V24" t="s">
        <v>1625</v>
      </c>
      <c r="AK24" t="str">
        <f>'Q 10'!D41</f>
        <v/>
      </c>
      <c r="AM24" t="s">
        <v>1581</v>
      </c>
    </row>
    <row r="25" spans="3:44" x14ac:dyDescent="0.3">
      <c r="C25" t="s">
        <v>1626</v>
      </c>
      <c r="F25" t="str">
        <f>'Q 2'!D28</f>
        <v/>
      </c>
      <c r="I25" t="s">
        <v>1627</v>
      </c>
      <c r="J25" s="88" t="s">
        <v>1628</v>
      </c>
      <c r="V25" t="s">
        <v>1629</v>
      </c>
      <c r="AK25" t="str">
        <f>'Q 10'!D42</f>
        <v/>
      </c>
      <c r="AM25" t="s">
        <v>1630</v>
      </c>
    </row>
    <row r="26" spans="3:44" x14ac:dyDescent="0.3">
      <c r="C26" t="s">
        <v>1631</v>
      </c>
      <c r="F26">
        <v>0</v>
      </c>
      <c r="I26" t="s">
        <v>1632</v>
      </c>
      <c r="J26" s="88" t="s">
        <v>1780</v>
      </c>
      <c r="V26" t="s">
        <v>1634</v>
      </c>
      <c r="AK26" t="str">
        <f>'Q 10'!D43</f>
        <v/>
      </c>
      <c r="AM26" t="s">
        <v>1635</v>
      </c>
    </row>
    <row r="27" spans="3:44" x14ac:dyDescent="0.3">
      <c r="C27" t="s">
        <v>1636</v>
      </c>
      <c r="I27" t="s">
        <v>1637</v>
      </c>
      <c r="J27" t="s">
        <v>1633</v>
      </c>
      <c r="V27" t="s">
        <v>1639</v>
      </c>
      <c r="AK27" t="str">
        <f>'Q 10'!D44</f>
        <v/>
      </c>
      <c r="AM27" t="s">
        <v>1640</v>
      </c>
    </row>
    <row r="28" spans="3:44" ht="14.4" customHeight="1" x14ac:dyDescent="0.3">
      <c r="C28" t="s">
        <v>1641</v>
      </c>
      <c r="I28" s="88" t="s">
        <v>1642</v>
      </c>
      <c r="J28" t="s">
        <v>1638</v>
      </c>
      <c r="V28" t="s">
        <v>1644</v>
      </c>
      <c r="AK28" t="str">
        <f>'Q 10'!D45</f>
        <v/>
      </c>
      <c r="AM28" t="s">
        <v>1645</v>
      </c>
    </row>
    <row r="29" spans="3:44" ht="14.4" customHeight="1" x14ac:dyDescent="0.3">
      <c r="C29" t="s">
        <v>1646</v>
      </c>
      <c r="I29" t="s">
        <v>1647</v>
      </c>
      <c r="J29" t="s">
        <v>1643</v>
      </c>
      <c r="V29" t="s">
        <v>1649</v>
      </c>
      <c r="AK29" t="str">
        <f>'Q 10'!D46</f>
        <v/>
      </c>
      <c r="AM29" t="s">
        <v>1650</v>
      </c>
    </row>
    <row r="30" spans="3:44" ht="14.4" customHeight="1" x14ac:dyDescent="0.3">
      <c r="C30" t="s">
        <v>1651</v>
      </c>
      <c r="I30" s="164" t="s">
        <v>1652</v>
      </c>
      <c r="J30" t="s">
        <v>1648</v>
      </c>
      <c r="V30" t="s">
        <v>1654</v>
      </c>
      <c r="AK30" t="str">
        <f>'Q 10'!D47</f>
        <v/>
      </c>
      <c r="AM30" t="s">
        <v>1655</v>
      </c>
    </row>
    <row r="31" spans="3:44" ht="14.4" customHeight="1" x14ac:dyDescent="0.3">
      <c r="C31" t="s">
        <v>1656</v>
      </c>
      <c r="I31" s="164" t="s">
        <v>1657</v>
      </c>
      <c r="J31" t="s">
        <v>1653</v>
      </c>
      <c r="V31" t="s">
        <v>1659</v>
      </c>
      <c r="AK31" t="str">
        <f>'Q 10'!D48</f>
        <v/>
      </c>
      <c r="AM31" t="s">
        <v>1660</v>
      </c>
    </row>
    <row r="32" spans="3:44" ht="14.4" customHeight="1" x14ac:dyDescent="0.3">
      <c r="I32" s="164" t="s">
        <v>1661</v>
      </c>
      <c r="J32" t="s">
        <v>1658</v>
      </c>
      <c r="V32" t="s">
        <v>1663</v>
      </c>
      <c r="AK32" t="str">
        <f>'Q 10'!D49</f>
        <v/>
      </c>
      <c r="AM32" t="s">
        <v>1664</v>
      </c>
    </row>
    <row r="33" spans="10:39" ht="14.4" customHeight="1" x14ac:dyDescent="0.3">
      <c r="J33" t="s">
        <v>1662</v>
      </c>
      <c r="V33" t="s">
        <v>1666</v>
      </c>
      <c r="AK33" t="str">
        <f>'Q 10'!D50</f>
        <v/>
      </c>
      <c r="AM33" t="s">
        <v>1667</v>
      </c>
    </row>
    <row r="34" spans="10:39" ht="14.4" customHeight="1" x14ac:dyDescent="0.3">
      <c r="J34" t="s">
        <v>1665</v>
      </c>
      <c r="V34" t="s">
        <v>1669</v>
      </c>
      <c r="AK34" t="str">
        <f>'Q 10'!D51</f>
        <v/>
      </c>
      <c r="AM34" t="s">
        <v>1670</v>
      </c>
    </row>
    <row r="35" spans="10:39" ht="14.4" customHeight="1" x14ac:dyDescent="0.3">
      <c r="J35" t="s">
        <v>1668</v>
      </c>
      <c r="AK35" t="str">
        <f>'Q 10'!D52</f>
        <v/>
      </c>
      <c r="AM35" t="s">
        <v>1672</v>
      </c>
    </row>
    <row r="36" spans="10:39" ht="14.4" customHeight="1" x14ac:dyDescent="0.3">
      <c r="J36" t="s">
        <v>1671</v>
      </c>
      <c r="AK36" t="str">
        <f>'Q 10'!D53</f>
        <v/>
      </c>
      <c r="AM36" t="s">
        <v>1673</v>
      </c>
    </row>
    <row r="37" spans="10:39" x14ac:dyDescent="0.3">
      <c r="J37" t="s">
        <v>1781</v>
      </c>
      <c r="AK37" t="str">
        <f>'Q 10'!D54</f>
        <v/>
      </c>
      <c r="AM37" t="s">
        <v>1675</v>
      </c>
    </row>
    <row r="38" spans="10:39" x14ac:dyDescent="0.3">
      <c r="J38" t="s">
        <v>1674</v>
      </c>
      <c r="AK38" t="str">
        <f>'Q 10'!D55</f>
        <v/>
      </c>
      <c r="AM38" t="s">
        <v>1</v>
      </c>
    </row>
    <row r="39" spans="10:39" x14ac:dyDescent="0.3">
      <c r="J39" t="s">
        <v>1676</v>
      </c>
      <c r="AK39" t="str">
        <f>'Q 10'!D56</f>
        <v/>
      </c>
      <c r="AM39" t="s">
        <v>1677</v>
      </c>
    </row>
    <row r="40" spans="10:39" x14ac:dyDescent="0.3">
      <c r="AK40">
        <v>0</v>
      </c>
      <c r="AM40" t="s">
        <v>1678</v>
      </c>
    </row>
    <row r="41" spans="10:39" x14ac:dyDescent="0.3">
      <c r="AM41" t="s">
        <v>1679</v>
      </c>
    </row>
    <row r="42" spans="10:39" x14ac:dyDescent="0.3">
      <c r="AM42" t="s">
        <v>1680</v>
      </c>
    </row>
    <row r="43" spans="10:39" x14ac:dyDescent="0.3">
      <c r="AM43" t="s">
        <v>1681</v>
      </c>
    </row>
    <row r="44" spans="10:39" x14ac:dyDescent="0.3">
      <c r="AM44" t="s">
        <v>1682</v>
      </c>
    </row>
    <row r="45" spans="10:39" x14ac:dyDescent="0.3">
      <c r="AM45" t="s">
        <v>1683</v>
      </c>
    </row>
    <row r="46" spans="10:39" x14ac:dyDescent="0.3">
      <c r="AM46" t="s">
        <v>1684</v>
      </c>
    </row>
    <row r="47" spans="10:39" x14ac:dyDescent="0.3">
      <c r="AM47" t="s">
        <v>1685</v>
      </c>
    </row>
    <row r="48" spans="10:39" x14ac:dyDescent="0.3">
      <c r="AM48" t="s">
        <v>1677</v>
      </c>
    </row>
    <row r="49" spans="39:39" x14ac:dyDescent="0.3">
      <c r="AM49" t="s">
        <v>1686</v>
      </c>
    </row>
    <row r="50" spans="39:39" x14ac:dyDescent="0.3">
      <c r="AM50" t="s">
        <v>1687</v>
      </c>
    </row>
    <row r="51" spans="39:39" x14ac:dyDescent="0.3">
      <c r="AM51" t="s">
        <v>1</v>
      </c>
    </row>
    <row r="52" spans="39:39" x14ac:dyDescent="0.3">
      <c r="AM52" t="s">
        <v>1688</v>
      </c>
    </row>
    <row r="53" spans="39:39" x14ac:dyDescent="0.3">
      <c r="AM53" t="s">
        <v>1689</v>
      </c>
    </row>
    <row r="54" spans="39:39" x14ac:dyDescent="0.3">
      <c r="AM54" t="s">
        <v>1690</v>
      </c>
    </row>
    <row r="55" spans="39:39" x14ac:dyDescent="0.3">
      <c r="AM55" t="s">
        <v>1</v>
      </c>
    </row>
    <row r="56" spans="39:39" x14ac:dyDescent="0.3">
      <c r="AM56" t="s">
        <v>1691</v>
      </c>
    </row>
    <row r="57" spans="39:39" x14ac:dyDescent="0.3">
      <c r="AM57" t="s">
        <v>1692</v>
      </c>
    </row>
    <row r="58" spans="39:39" x14ac:dyDescent="0.3">
      <c r="AM58" t="s">
        <v>1693</v>
      </c>
    </row>
    <row r="59" spans="39:39" x14ac:dyDescent="0.3">
      <c r="AM59" t="s">
        <v>1694</v>
      </c>
    </row>
    <row r="60" spans="39:39" x14ac:dyDescent="0.3">
      <c r="AM60" t="s">
        <v>1695</v>
      </c>
    </row>
    <row r="61" spans="39:39" x14ac:dyDescent="0.3">
      <c r="AM61" t="s">
        <v>1696</v>
      </c>
    </row>
    <row r="62" spans="39:39" x14ac:dyDescent="0.3">
      <c r="AM62" t="s">
        <v>1697</v>
      </c>
    </row>
    <row r="63" spans="39:39" x14ac:dyDescent="0.3">
      <c r="AM63" t="s">
        <v>1698</v>
      </c>
    </row>
    <row r="64" spans="39:39" x14ac:dyDescent="0.3">
      <c r="AM64" t="s">
        <v>1699</v>
      </c>
    </row>
    <row r="65" spans="39:39" x14ac:dyDescent="0.3">
      <c r="AM65" t="s">
        <v>1691</v>
      </c>
    </row>
    <row r="66" spans="39:39" x14ac:dyDescent="0.3">
      <c r="AM66" t="s">
        <v>1700</v>
      </c>
    </row>
    <row r="67" spans="39:39" x14ac:dyDescent="0.3">
      <c r="AM67" t="s">
        <v>1701</v>
      </c>
    </row>
    <row r="68" spans="39:39" x14ac:dyDescent="0.3">
      <c r="AM68" t="s">
        <v>1702</v>
      </c>
    </row>
    <row r="69" spans="39:39" x14ac:dyDescent="0.3">
      <c r="AM69" t="s">
        <v>1703</v>
      </c>
    </row>
    <row r="70" spans="39:39" x14ac:dyDescent="0.3">
      <c r="AM70" t="s">
        <v>1704</v>
      </c>
    </row>
    <row r="71" spans="39:39" x14ac:dyDescent="0.3">
      <c r="AM71" t="s">
        <v>1705</v>
      </c>
    </row>
    <row r="72" spans="39:39" x14ac:dyDescent="0.3">
      <c r="AM72" t="s">
        <v>1706</v>
      </c>
    </row>
    <row r="73" spans="39:39" x14ac:dyDescent="0.3">
      <c r="AM73" t="s">
        <v>1707</v>
      </c>
    </row>
    <row r="74" spans="39:39" x14ac:dyDescent="0.3">
      <c r="AM74" t="s">
        <v>1</v>
      </c>
    </row>
    <row r="75" spans="39:39" x14ac:dyDescent="0.3">
      <c r="AM75" t="s">
        <v>1708</v>
      </c>
    </row>
    <row r="76" spans="39:39" x14ac:dyDescent="0.3">
      <c r="AM76" t="s">
        <v>1709</v>
      </c>
    </row>
    <row r="77" spans="39:39" x14ac:dyDescent="0.3">
      <c r="AM77" t="s">
        <v>1710</v>
      </c>
    </row>
    <row r="78" spans="39:39" x14ac:dyDescent="0.3">
      <c r="AM78" t="s">
        <v>1</v>
      </c>
    </row>
    <row r="79" spans="39:39" x14ac:dyDescent="0.3">
      <c r="AM79" t="s">
        <v>1711</v>
      </c>
    </row>
    <row r="80" spans="39:39" x14ac:dyDescent="0.3">
      <c r="AM80" t="s">
        <v>1712</v>
      </c>
    </row>
    <row r="81" spans="39:39" x14ac:dyDescent="0.3">
      <c r="AM81" t="s">
        <v>1713</v>
      </c>
    </row>
    <row r="82" spans="39:39" x14ac:dyDescent="0.3">
      <c r="AM82" t="s">
        <v>1714</v>
      </c>
    </row>
    <row r="83" spans="39:39" x14ac:dyDescent="0.3">
      <c r="AM83" t="s">
        <v>1715</v>
      </c>
    </row>
    <row r="84" spans="39:39" x14ac:dyDescent="0.3">
      <c r="AM84" t="s">
        <v>1716</v>
      </c>
    </row>
    <row r="85" spans="39:39" x14ac:dyDescent="0.3">
      <c r="AM85" t="s">
        <v>1717</v>
      </c>
    </row>
    <row r="86" spans="39:39" x14ac:dyDescent="0.3">
      <c r="AM86" t="s">
        <v>1718</v>
      </c>
    </row>
    <row r="87" spans="39:39" x14ac:dyDescent="0.3">
      <c r="AM87" t="s">
        <v>1719</v>
      </c>
    </row>
    <row r="88" spans="39:39" x14ac:dyDescent="0.3">
      <c r="AM88" t="s">
        <v>1</v>
      </c>
    </row>
    <row r="89" spans="39:39" x14ac:dyDescent="0.3">
      <c r="AM89" t="s">
        <v>1720</v>
      </c>
    </row>
    <row r="90" spans="39:39" x14ac:dyDescent="0.3">
      <c r="AM90" t="s">
        <v>1721</v>
      </c>
    </row>
    <row r="91" spans="39:39" x14ac:dyDescent="0.3">
      <c r="AM91" t="s">
        <v>1722</v>
      </c>
    </row>
    <row r="92" spans="39:39" x14ac:dyDescent="0.3">
      <c r="AM92" t="s">
        <v>1723</v>
      </c>
    </row>
    <row r="93" spans="39:39" x14ac:dyDescent="0.3">
      <c r="AM93" t="s">
        <v>1</v>
      </c>
    </row>
    <row r="94" spans="39:39" x14ac:dyDescent="0.3">
      <c r="AM94" t="s">
        <v>1724</v>
      </c>
    </row>
    <row r="95" spans="39:39" x14ac:dyDescent="0.3">
      <c r="AM95" t="s">
        <v>1725</v>
      </c>
    </row>
    <row r="96" spans="39:39" x14ac:dyDescent="0.3">
      <c r="AM96" t="s">
        <v>1726</v>
      </c>
    </row>
  </sheetData>
  <phoneticPr fontId="56" type="noConversion"/>
  <pageMargins left="0.7" right="0.7" top="0.75" bottom="0.75" header="0.3" footer="0.3"/>
  <pageSetup paperSize="9" orientation="portrait" horizontalDpi="4294967293" vertic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6F3F88-11C7-4793-9E40-79FB0D727005}">
  <dimension ref="A1:I32"/>
  <sheetViews>
    <sheetView showGridLines="0" zoomScaleNormal="100" workbookViewId="0">
      <selection activeCell="B25" sqref="B25"/>
    </sheetView>
  </sheetViews>
  <sheetFormatPr defaultColWidth="9.109375" defaultRowHeight="13.8" x14ac:dyDescent="0.3"/>
  <cols>
    <col min="1" max="1" width="7.6640625" style="109" customWidth="1"/>
    <col min="2" max="2" width="17.5546875" style="109" customWidth="1"/>
    <col min="3" max="3" width="21.5546875" style="109" customWidth="1"/>
    <col min="4" max="4" width="17.5546875" style="109" customWidth="1"/>
    <col min="5" max="5" width="13.6640625" style="109" customWidth="1"/>
    <col min="6" max="9" width="17.5546875" style="109" customWidth="1"/>
    <col min="10" max="246" width="9.109375" style="109"/>
    <col min="247" max="247" width="31.109375" style="109" customWidth="1"/>
    <col min="248" max="248" width="63" style="109" customWidth="1"/>
    <col min="249" max="502" width="9.109375" style="109"/>
    <col min="503" max="503" width="31.109375" style="109" customWidth="1"/>
    <col min="504" max="504" width="63" style="109" customWidth="1"/>
    <col min="505" max="758" width="9.109375" style="109"/>
    <col min="759" max="759" width="31.109375" style="109" customWidth="1"/>
    <col min="760" max="760" width="63" style="109" customWidth="1"/>
    <col min="761" max="1014" width="9.109375" style="109"/>
    <col min="1015" max="1015" width="31.109375" style="109" customWidth="1"/>
    <col min="1016" max="1016" width="63" style="109" customWidth="1"/>
    <col min="1017" max="1270" width="9.109375" style="109"/>
    <col min="1271" max="1271" width="31.109375" style="109" customWidth="1"/>
    <col min="1272" max="1272" width="63" style="109" customWidth="1"/>
    <col min="1273" max="1526" width="9.109375" style="109"/>
    <col min="1527" max="1527" width="31.109375" style="109" customWidth="1"/>
    <col min="1528" max="1528" width="63" style="109" customWidth="1"/>
    <col min="1529" max="1782" width="9.109375" style="109"/>
    <col min="1783" max="1783" width="31.109375" style="109" customWidth="1"/>
    <col min="1784" max="1784" width="63" style="109" customWidth="1"/>
    <col min="1785" max="2038" width="9.109375" style="109"/>
    <col min="2039" max="2039" width="31.109375" style="109" customWidth="1"/>
    <col min="2040" max="2040" width="63" style="109" customWidth="1"/>
    <col min="2041" max="2294" width="9.109375" style="109"/>
    <col min="2295" max="2295" width="31.109375" style="109" customWidth="1"/>
    <col min="2296" max="2296" width="63" style="109" customWidth="1"/>
    <col min="2297" max="2550" width="9.109375" style="109"/>
    <col min="2551" max="2551" width="31.109375" style="109" customWidth="1"/>
    <col min="2552" max="2552" width="63" style="109" customWidth="1"/>
    <col min="2553" max="2806" width="9.109375" style="109"/>
    <col min="2807" max="2807" width="31.109375" style="109" customWidth="1"/>
    <col min="2808" max="2808" width="63" style="109" customWidth="1"/>
    <col min="2809" max="3062" width="9.109375" style="109"/>
    <col min="3063" max="3063" width="31.109375" style="109" customWidth="1"/>
    <col min="3064" max="3064" width="63" style="109" customWidth="1"/>
    <col min="3065" max="3318" width="9.109375" style="109"/>
    <col min="3319" max="3319" width="31.109375" style="109" customWidth="1"/>
    <col min="3320" max="3320" width="63" style="109" customWidth="1"/>
    <col min="3321" max="3574" width="9.109375" style="109"/>
    <col min="3575" max="3575" width="31.109375" style="109" customWidth="1"/>
    <col min="3576" max="3576" width="63" style="109" customWidth="1"/>
    <col min="3577" max="3830" width="9.109375" style="109"/>
    <col min="3831" max="3831" width="31.109375" style="109" customWidth="1"/>
    <col min="3832" max="3832" width="63" style="109" customWidth="1"/>
    <col min="3833" max="4086" width="9.109375" style="109"/>
    <col min="4087" max="4087" width="31.109375" style="109" customWidth="1"/>
    <col min="4088" max="4088" width="63" style="109" customWidth="1"/>
    <col min="4089" max="4342" width="9.109375" style="109"/>
    <col min="4343" max="4343" width="31.109375" style="109" customWidth="1"/>
    <col min="4344" max="4344" width="63" style="109" customWidth="1"/>
    <col min="4345" max="4598" width="9.109375" style="109"/>
    <col min="4599" max="4599" width="31.109375" style="109" customWidth="1"/>
    <col min="4600" max="4600" width="63" style="109" customWidth="1"/>
    <col min="4601" max="4854" width="9.109375" style="109"/>
    <col min="4855" max="4855" width="31.109375" style="109" customWidth="1"/>
    <col min="4856" max="4856" width="63" style="109" customWidth="1"/>
    <col min="4857" max="5110" width="9.109375" style="109"/>
    <col min="5111" max="5111" width="31.109375" style="109" customWidth="1"/>
    <col min="5112" max="5112" width="63" style="109" customWidth="1"/>
    <col min="5113" max="5366" width="9.109375" style="109"/>
    <col min="5367" max="5367" width="31.109375" style="109" customWidth="1"/>
    <col min="5368" max="5368" width="63" style="109" customWidth="1"/>
    <col min="5369" max="5622" width="9.109375" style="109"/>
    <col min="5623" max="5623" width="31.109375" style="109" customWidth="1"/>
    <col min="5624" max="5624" width="63" style="109" customWidth="1"/>
    <col min="5625" max="5878" width="9.109375" style="109"/>
    <col min="5879" max="5879" width="31.109375" style="109" customWidth="1"/>
    <col min="5880" max="5880" width="63" style="109" customWidth="1"/>
    <col min="5881" max="6134" width="9.109375" style="109"/>
    <col min="6135" max="6135" width="31.109375" style="109" customWidth="1"/>
    <col min="6136" max="6136" width="63" style="109" customWidth="1"/>
    <col min="6137" max="6390" width="9.109375" style="109"/>
    <col min="6391" max="6391" width="31.109375" style="109" customWidth="1"/>
    <col min="6392" max="6392" width="63" style="109" customWidth="1"/>
    <col min="6393" max="6646" width="9.109375" style="109"/>
    <col min="6647" max="6647" width="31.109375" style="109" customWidth="1"/>
    <col min="6648" max="6648" width="63" style="109" customWidth="1"/>
    <col min="6649" max="6902" width="9.109375" style="109"/>
    <col min="6903" max="6903" width="31.109375" style="109" customWidth="1"/>
    <col min="6904" max="6904" width="63" style="109" customWidth="1"/>
    <col min="6905" max="7158" width="9.109375" style="109"/>
    <col min="7159" max="7159" width="31.109375" style="109" customWidth="1"/>
    <col min="7160" max="7160" width="63" style="109" customWidth="1"/>
    <col min="7161" max="7414" width="9.109375" style="109"/>
    <col min="7415" max="7415" width="31.109375" style="109" customWidth="1"/>
    <col min="7416" max="7416" width="63" style="109" customWidth="1"/>
    <col min="7417" max="7670" width="9.109375" style="109"/>
    <col min="7671" max="7671" width="31.109375" style="109" customWidth="1"/>
    <col min="7672" max="7672" width="63" style="109" customWidth="1"/>
    <col min="7673" max="7926" width="9.109375" style="109"/>
    <col min="7927" max="7927" width="31.109375" style="109" customWidth="1"/>
    <col min="7928" max="7928" width="63" style="109" customWidth="1"/>
    <col min="7929" max="8182" width="9.109375" style="109"/>
    <col min="8183" max="8183" width="31.109375" style="109" customWidth="1"/>
    <col min="8184" max="8184" width="63" style="109" customWidth="1"/>
    <col min="8185" max="8438" width="9.109375" style="109"/>
    <col min="8439" max="8439" width="31.109375" style="109" customWidth="1"/>
    <col min="8440" max="8440" width="63" style="109" customWidth="1"/>
    <col min="8441" max="8694" width="9.109375" style="109"/>
    <col min="8695" max="8695" width="31.109375" style="109" customWidth="1"/>
    <col min="8696" max="8696" width="63" style="109" customWidth="1"/>
    <col min="8697" max="8950" width="9.109375" style="109"/>
    <col min="8951" max="8951" width="31.109375" style="109" customWidth="1"/>
    <col min="8952" max="8952" width="63" style="109" customWidth="1"/>
    <col min="8953" max="9206" width="9.109375" style="109"/>
    <col min="9207" max="9207" width="31.109375" style="109" customWidth="1"/>
    <col min="9208" max="9208" width="63" style="109" customWidth="1"/>
    <col min="9209" max="9462" width="9.109375" style="109"/>
    <col min="9463" max="9463" width="31.109375" style="109" customWidth="1"/>
    <col min="9464" max="9464" width="63" style="109" customWidth="1"/>
    <col min="9465" max="9718" width="9.109375" style="109"/>
    <col min="9719" max="9719" width="31.109375" style="109" customWidth="1"/>
    <col min="9720" max="9720" width="63" style="109" customWidth="1"/>
    <col min="9721" max="9974" width="9.109375" style="109"/>
    <col min="9975" max="9975" width="31.109375" style="109" customWidth="1"/>
    <col min="9976" max="9976" width="63" style="109" customWidth="1"/>
    <col min="9977" max="10230" width="9.109375" style="109"/>
    <col min="10231" max="10231" width="31.109375" style="109" customWidth="1"/>
    <col min="10232" max="10232" width="63" style="109" customWidth="1"/>
    <col min="10233" max="10486" width="9.109375" style="109"/>
    <col min="10487" max="10487" width="31.109375" style="109" customWidth="1"/>
    <col min="10488" max="10488" width="63" style="109" customWidth="1"/>
    <col min="10489" max="10742" width="9.109375" style="109"/>
    <col min="10743" max="10743" width="31.109375" style="109" customWidth="1"/>
    <col min="10744" max="10744" width="63" style="109" customWidth="1"/>
    <col min="10745" max="10998" width="9.109375" style="109"/>
    <col min="10999" max="10999" width="31.109375" style="109" customWidth="1"/>
    <col min="11000" max="11000" width="63" style="109" customWidth="1"/>
    <col min="11001" max="11254" width="9.109375" style="109"/>
    <col min="11255" max="11255" width="31.109375" style="109" customWidth="1"/>
    <col min="11256" max="11256" width="63" style="109" customWidth="1"/>
    <col min="11257" max="11510" width="9.109375" style="109"/>
    <col min="11511" max="11511" width="31.109375" style="109" customWidth="1"/>
    <col min="11512" max="11512" width="63" style="109" customWidth="1"/>
    <col min="11513" max="11766" width="9.109375" style="109"/>
    <col min="11767" max="11767" width="31.109375" style="109" customWidth="1"/>
    <col min="11768" max="11768" width="63" style="109" customWidth="1"/>
    <col min="11769" max="12022" width="9.109375" style="109"/>
    <col min="12023" max="12023" width="31.109375" style="109" customWidth="1"/>
    <col min="12024" max="12024" width="63" style="109" customWidth="1"/>
    <col min="12025" max="12278" width="9.109375" style="109"/>
    <col min="12279" max="12279" width="31.109375" style="109" customWidth="1"/>
    <col min="12280" max="12280" width="63" style="109" customWidth="1"/>
    <col min="12281" max="12534" width="9.109375" style="109"/>
    <col min="12535" max="12535" width="31.109375" style="109" customWidth="1"/>
    <col min="12536" max="12536" width="63" style="109" customWidth="1"/>
    <col min="12537" max="12790" width="9.109375" style="109"/>
    <col min="12791" max="12791" width="31.109375" style="109" customWidth="1"/>
    <col min="12792" max="12792" width="63" style="109" customWidth="1"/>
    <col min="12793" max="13046" width="9.109375" style="109"/>
    <col min="13047" max="13047" width="31.109375" style="109" customWidth="1"/>
    <col min="13048" max="13048" width="63" style="109" customWidth="1"/>
    <col min="13049" max="13302" width="9.109375" style="109"/>
    <col min="13303" max="13303" width="31.109375" style="109" customWidth="1"/>
    <col min="13304" max="13304" width="63" style="109" customWidth="1"/>
    <col min="13305" max="13558" width="9.109375" style="109"/>
    <col min="13559" max="13559" width="31.109375" style="109" customWidth="1"/>
    <col min="13560" max="13560" width="63" style="109" customWidth="1"/>
    <col min="13561" max="13814" width="9.109375" style="109"/>
    <col min="13815" max="13815" width="31.109375" style="109" customWidth="1"/>
    <col min="13816" max="13816" width="63" style="109" customWidth="1"/>
    <col min="13817" max="14070" width="9.109375" style="109"/>
    <col min="14071" max="14071" width="31.109375" style="109" customWidth="1"/>
    <col min="14072" max="14072" width="63" style="109" customWidth="1"/>
    <col min="14073" max="14326" width="9.109375" style="109"/>
    <col min="14327" max="14327" width="31.109375" style="109" customWidth="1"/>
    <col min="14328" max="14328" width="63" style="109" customWidth="1"/>
    <col min="14329" max="14582" width="9.109375" style="109"/>
    <col min="14583" max="14583" width="31.109375" style="109" customWidth="1"/>
    <col min="14584" max="14584" width="63" style="109" customWidth="1"/>
    <col min="14585" max="14838" width="9.109375" style="109"/>
    <col min="14839" max="14839" width="31.109375" style="109" customWidth="1"/>
    <col min="14840" max="14840" width="63" style="109" customWidth="1"/>
    <col min="14841" max="15094" width="9.109375" style="109"/>
    <col min="15095" max="15095" width="31.109375" style="109" customWidth="1"/>
    <col min="15096" max="15096" width="63" style="109" customWidth="1"/>
    <col min="15097" max="15350" width="9.109375" style="109"/>
    <col min="15351" max="15351" width="31.109375" style="109" customWidth="1"/>
    <col min="15352" max="15352" width="63" style="109" customWidth="1"/>
    <col min="15353" max="15606" width="9.109375" style="109"/>
    <col min="15607" max="15607" width="31.109375" style="109" customWidth="1"/>
    <col min="15608" max="15608" width="63" style="109" customWidth="1"/>
    <col min="15609" max="15862" width="9.109375" style="109"/>
    <col min="15863" max="15863" width="31.109375" style="109" customWidth="1"/>
    <col min="15864" max="15864" width="63" style="109" customWidth="1"/>
    <col min="15865" max="16118" width="9.109375" style="109"/>
    <col min="16119" max="16119" width="31.109375" style="109" customWidth="1"/>
    <col min="16120" max="16120" width="63" style="109" customWidth="1"/>
    <col min="16121" max="16384" width="9.109375" style="109"/>
  </cols>
  <sheetData>
    <row r="1" spans="1:9" s="100" customFormat="1" ht="21" x14ac:dyDescent="0.3">
      <c r="A1" s="193" t="s">
        <v>1790</v>
      </c>
      <c r="B1" s="193"/>
      <c r="C1" s="193"/>
      <c r="D1" s="193"/>
      <c r="E1" s="193"/>
      <c r="F1" s="193"/>
      <c r="G1" s="193"/>
      <c r="H1" s="193"/>
      <c r="I1" s="193"/>
    </row>
    <row r="2" spans="1:9" s="100" customFormat="1" ht="6.6" customHeight="1" x14ac:dyDescent="0.35">
      <c r="A2" s="194"/>
      <c r="B2" s="194"/>
      <c r="C2" s="194"/>
      <c r="D2" s="194"/>
      <c r="E2" s="194"/>
      <c r="F2" s="194"/>
      <c r="G2" s="194"/>
      <c r="H2" s="194"/>
      <c r="I2" s="194"/>
    </row>
    <row r="3" spans="1:9" s="2" customFormat="1" ht="16.95" customHeight="1" x14ac:dyDescent="0.35">
      <c r="A3" s="101"/>
      <c r="B3" s="195" t="s">
        <v>0</v>
      </c>
      <c r="C3" s="196"/>
      <c r="D3" s="196"/>
      <c r="E3" s="196"/>
      <c r="F3" s="196"/>
      <c r="G3" s="196"/>
      <c r="H3" s="196"/>
      <c r="I3" s="196"/>
    </row>
    <row r="4" spans="1:9" ht="12.9" customHeight="1" x14ac:dyDescent="0.3">
      <c r="B4" s="143"/>
      <c r="C4" s="111"/>
      <c r="E4" s="110"/>
      <c r="F4" s="112"/>
      <c r="G4" s="112"/>
      <c r="H4" s="112"/>
      <c r="I4" s="112"/>
    </row>
    <row r="5" spans="1:9" ht="12.9" customHeight="1" x14ac:dyDescent="0.3">
      <c r="A5" s="113"/>
      <c r="B5" s="190" t="s">
        <v>1791</v>
      </c>
      <c r="C5" s="111"/>
      <c r="E5" s="110"/>
      <c r="F5" s="112"/>
      <c r="G5" s="112"/>
      <c r="H5" s="112"/>
      <c r="I5" s="112"/>
    </row>
    <row r="6" spans="1:9" ht="15" customHeight="1" x14ac:dyDescent="0.3">
      <c r="C6" s="199" t="s">
        <v>1783</v>
      </c>
      <c r="D6" s="199"/>
      <c r="E6" s="199"/>
      <c r="F6" s="191" t="s">
        <v>1784</v>
      </c>
      <c r="G6" s="56"/>
      <c r="H6" s="56"/>
      <c r="I6" s="56"/>
    </row>
    <row r="7" spans="1:9" ht="16.95" customHeight="1" x14ac:dyDescent="0.3">
      <c r="C7" s="197" t="s">
        <v>1782</v>
      </c>
      <c r="D7" s="198"/>
      <c r="E7" s="198"/>
      <c r="F7" s="198"/>
      <c r="G7" s="198"/>
      <c r="H7" s="198"/>
      <c r="I7" s="198"/>
    </row>
    <row r="8" spans="1:9" ht="12.9" customHeight="1" x14ac:dyDescent="0.3"/>
    <row r="9" spans="1:9" ht="12.9" customHeight="1" x14ac:dyDescent="0.3">
      <c r="B9" s="190" t="s">
        <v>1785</v>
      </c>
      <c r="C9" s="111"/>
      <c r="E9" s="110"/>
      <c r="F9" s="112"/>
      <c r="G9" s="112"/>
      <c r="H9" s="112"/>
      <c r="I9" s="112"/>
    </row>
    <row r="10" spans="1:9" ht="12.9" customHeight="1" x14ac:dyDescent="0.3">
      <c r="C10" s="197" t="s">
        <v>1786</v>
      </c>
      <c r="D10" s="198"/>
      <c r="E10" s="198"/>
      <c r="F10" s="198"/>
      <c r="G10" s="198"/>
      <c r="H10" s="198"/>
      <c r="I10" s="198"/>
    </row>
    <row r="11" spans="1:9" ht="18.899999999999999" customHeight="1" x14ac:dyDescent="0.3"/>
    <row r="12" spans="1:9" ht="15.9" customHeight="1" x14ac:dyDescent="0.3">
      <c r="B12" s="190" t="s">
        <v>1789</v>
      </c>
      <c r="D12" s="192" t="s">
        <v>1767</v>
      </c>
    </row>
    <row r="13" spans="1:9" ht="15.9" customHeight="1" x14ac:dyDescent="0.3">
      <c r="B13" s="190"/>
      <c r="D13" s="192"/>
    </row>
    <row r="14" spans="1:9" ht="15" customHeight="1" x14ac:dyDescent="0.3"/>
    <row r="15" spans="1:9" ht="13.8" customHeight="1" x14ac:dyDescent="0.3">
      <c r="B15" s="187" t="s">
        <v>1787</v>
      </c>
      <c r="C15" s="188" t="s">
        <v>1788</v>
      </c>
    </row>
    <row r="16" spans="1:9" ht="13.8" customHeight="1" x14ac:dyDescent="0.3">
      <c r="B16" s="187" t="s">
        <v>1768</v>
      </c>
      <c r="C16" s="189">
        <v>45076</v>
      </c>
    </row>
    <row r="17" spans="2:3" ht="13.8" customHeight="1" x14ac:dyDescent="0.3">
      <c r="B17" s="187" t="s">
        <v>1769</v>
      </c>
      <c r="C17" s="188" t="s">
        <v>1755</v>
      </c>
    </row>
    <row r="18" spans="2:3" ht="25.95" customHeight="1" x14ac:dyDescent="0.3"/>
    <row r="19" spans="2:3" ht="24" customHeight="1" x14ac:dyDescent="0.3"/>
    <row r="20" spans="2:3" ht="12.9" customHeight="1" x14ac:dyDescent="0.3"/>
    <row r="21" spans="2:3" ht="24.9" customHeight="1" x14ac:dyDescent="0.3"/>
    <row r="22" spans="2:3" ht="24.9" customHeight="1" x14ac:dyDescent="0.3"/>
    <row r="23" spans="2:3" ht="19.2" customHeight="1" x14ac:dyDescent="0.3"/>
    <row r="24" spans="2:3" ht="20.399999999999999" customHeight="1" x14ac:dyDescent="0.3"/>
    <row r="25" spans="2:3" ht="16.95" customHeight="1" x14ac:dyDescent="0.3"/>
    <row r="26" spans="2:3" ht="13.2" customHeight="1" x14ac:dyDescent="0.3"/>
    <row r="27" spans="2:3" ht="20.399999999999999" customHeight="1" x14ac:dyDescent="0.3"/>
    <row r="28" spans="2:3" ht="20.399999999999999" customHeight="1" x14ac:dyDescent="0.3"/>
    <row r="29" spans="2:3" ht="18" customHeight="1" x14ac:dyDescent="0.3"/>
    <row r="31" spans="2:3" ht="12" customHeight="1" x14ac:dyDescent="0.3"/>
    <row r="32" spans="2:3" ht="12.6" customHeight="1" x14ac:dyDescent="0.3"/>
  </sheetData>
  <mergeCells count="6">
    <mergeCell ref="A1:I1"/>
    <mergeCell ref="A2:I2"/>
    <mergeCell ref="B3:I3"/>
    <mergeCell ref="C7:I7"/>
    <mergeCell ref="C10:I10"/>
    <mergeCell ref="C6:E6"/>
  </mergeCells>
  <dataValidations count="1">
    <dataValidation type="list" allowBlank="1" showInputMessage="1" showErrorMessage="1" sqref="B7" xr:uid="{F9816542-2263-4E81-A0B1-48A9786F5EDB}">
      <formula1>Yes_No</formula1>
    </dataValidation>
  </dataValidations>
  <hyperlinks>
    <hyperlink ref="F6" r:id="rId1" xr:uid="{4F411B6A-B84E-4AB1-B4C1-13DC50AEF476}"/>
    <hyperlink ref="D12" r:id="rId2" xr:uid="{70820F1C-4B46-4F66-9089-3EF3D95FE1B9}"/>
  </hyperlinks>
  <pageMargins left="0.74803149606299213" right="0.74803149606299213" top="0.35433070866141736" bottom="0.78740157480314965" header="0.23622047244094491" footer="0.47244094488188981"/>
  <pageSetup paperSize="8" scale="79" orientation="portrait" r:id="rId3"/>
  <headerFooter>
    <oddFooter>&amp;L&amp;F/
&amp;A&amp;C&amp;P/&amp;N&amp;RPrinted : &amp;D/&amp;T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BA35B7-9E4C-4B46-9619-3EB5A63ACB0D}">
  <sheetPr codeName="Sheet6"/>
  <dimension ref="A1:I963"/>
  <sheetViews>
    <sheetView showGridLines="0" workbookViewId="0">
      <selection activeCell="A3" sqref="A3"/>
    </sheetView>
  </sheetViews>
  <sheetFormatPr defaultColWidth="9.109375" defaultRowHeight="13.8" x14ac:dyDescent="0.3"/>
  <cols>
    <col min="1" max="1" width="6" style="102" customWidth="1"/>
    <col min="2" max="2" width="6.44140625" style="166" customWidth="1"/>
    <col min="3" max="3" width="22.88671875" style="166" customWidth="1"/>
    <col min="4" max="4" width="30.5546875" style="166" customWidth="1"/>
    <col min="5" max="5" width="19.88671875" style="166" customWidth="1"/>
    <col min="6" max="6" width="22.88671875" style="166" customWidth="1"/>
    <col min="7" max="7" width="19.88671875" style="166" customWidth="1"/>
    <col min="8" max="9" width="22.88671875" style="166" customWidth="1"/>
    <col min="10" max="16384" width="9.109375" style="2"/>
  </cols>
  <sheetData>
    <row r="1" spans="1:9" s="100" customFormat="1" ht="21" x14ac:dyDescent="0.3">
      <c r="A1" s="193" t="s">
        <v>1752</v>
      </c>
      <c r="B1" s="193"/>
      <c r="C1" s="193"/>
      <c r="D1" s="193"/>
      <c r="E1" s="193"/>
      <c r="F1" s="193"/>
      <c r="G1" s="193"/>
      <c r="H1" s="193"/>
      <c r="I1" s="193"/>
    </row>
    <row r="2" spans="1:9" s="100" customFormat="1" ht="21.75" customHeight="1" x14ac:dyDescent="0.3">
      <c r="A2" s="236" t="s">
        <v>3</v>
      </c>
      <c r="B2" s="236"/>
      <c r="C2" s="236"/>
      <c r="D2" s="236"/>
      <c r="E2" s="236"/>
      <c r="F2" s="236"/>
      <c r="G2" s="236"/>
      <c r="H2" s="236"/>
      <c r="I2" s="236"/>
    </row>
    <row r="3" spans="1:9" ht="18.899999999999999" customHeight="1" x14ac:dyDescent="0.35">
      <c r="A3" s="174" t="s">
        <v>4</v>
      </c>
      <c r="B3" s="195" t="s">
        <v>5</v>
      </c>
      <c r="C3" s="196"/>
      <c r="D3" s="196"/>
      <c r="E3" s="196"/>
      <c r="F3" s="196"/>
      <c r="G3" s="196"/>
      <c r="H3" s="196"/>
      <c r="I3" s="196"/>
    </row>
    <row r="4" spans="1:9" ht="15" customHeight="1" x14ac:dyDescent="0.3">
      <c r="A4" s="56"/>
      <c r="B4" s="231" t="s">
        <v>6</v>
      </c>
      <c r="C4" s="232"/>
      <c r="D4" s="232"/>
      <c r="E4" s="232"/>
      <c r="F4" s="232"/>
      <c r="G4" s="232"/>
      <c r="H4" s="232"/>
      <c r="I4" s="232"/>
    </row>
    <row r="5" spans="1:9" ht="15" customHeight="1" x14ac:dyDescent="0.3">
      <c r="A5" s="60"/>
      <c r="B5" s="233" t="s">
        <v>7</v>
      </c>
      <c r="C5" s="232"/>
      <c r="D5" s="232"/>
      <c r="E5" s="232"/>
      <c r="F5" s="232"/>
      <c r="G5" s="232"/>
      <c r="H5" s="232"/>
      <c r="I5" s="232"/>
    </row>
    <row r="6" spans="1:9" ht="15" customHeight="1" x14ac:dyDescent="0.3">
      <c r="A6" s="170"/>
      <c r="B6" s="234"/>
      <c r="C6" s="235"/>
      <c r="D6" s="235"/>
      <c r="E6" s="235"/>
      <c r="F6" s="235"/>
      <c r="G6" s="235"/>
      <c r="H6" s="235"/>
      <c r="I6" s="235"/>
    </row>
    <row r="7" spans="1:9" ht="15" customHeight="1" x14ac:dyDescent="0.3">
      <c r="A7" s="60"/>
      <c r="B7" s="231" t="s">
        <v>0</v>
      </c>
      <c r="C7" s="232"/>
      <c r="D7" s="232"/>
      <c r="E7" s="232"/>
      <c r="F7" s="232"/>
      <c r="G7" s="232"/>
      <c r="H7" s="232"/>
      <c r="I7" s="232"/>
    </row>
    <row r="8" spans="1:9" ht="15" customHeight="1" x14ac:dyDescent="0.3">
      <c r="A8" s="2"/>
      <c r="B8" s="166" t="s">
        <v>8</v>
      </c>
      <c r="C8" s="233" t="s">
        <v>9</v>
      </c>
      <c r="D8" s="232"/>
      <c r="E8" s="232"/>
      <c r="F8" s="232"/>
      <c r="G8" s="232"/>
      <c r="H8" s="232"/>
      <c r="I8" s="232"/>
    </row>
    <row r="9" spans="1:9" ht="15" customHeight="1" x14ac:dyDescent="0.3">
      <c r="A9" s="170"/>
      <c r="B9" s="234"/>
      <c r="C9" s="235"/>
      <c r="D9" s="235"/>
      <c r="E9" s="235"/>
      <c r="F9" s="235"/>
      <c r="G9" s="235"/>
      <c r="H9" s="235"/>
      <c r="I9" s="235"/>
    </row>
    <row r="10" spans="1:9" ht="18.899999999999999" customHeight="1" x14ac:dyDescent="0.35">
      <c r="A10" s="142" t="s">
        <v>10</v>
      </c>
      <c r="B10" s="195" t="s">
        <v>11</v>
      </c>
      <c r="C10" s="196"/>
      <c r="D10" s="196"/>
      <c r="E10" s="196"/>
      <c r="F10" s="196"/>
      <c r="G10" s="196"/>
      <c r="H10" s="196"/>
      <c r="I10" s="196"/>
    </row>
    <row r="11" spans="1:9" ht="26.1" customHeight="1" x14ac:dyDescent="0.3">
      <c r="A11" s="3" t="s">
        <v>12</v>
      </c>
      <c r="B11" s="203" t="s">
        <v>13</v>
      </c>
      <c r="C11" s="198"/>
      <c r="D11" s="198"/>
      <c r="E11" s="198"/>
      <c r="F11" s="198"/>
      <c r="G11" s="198"/>
      <c r="H11" s="198"/>
      <c r="I11" s="198"/>
    </row>
    <row r="12" spans="1:9" ht="15" customHeight="1" x14ac:dyDescent="0.3">
      <c r="A12" s="60"/>
      <c r="B12" s="204" t="s">
        <v>6</v>
      </c>
      <c r="C12" s="198"/>
      <c r="D12" s="198"/>
      <c r="E12" s="198"/>
      <c r="F12" s="198"/>
      <c r="G12" s="198"/>
      <c r="H12" s="198"/>
      <c r="I12" s="198"/>
    </row>
    <row r="13" spans="1:9" ht="26.1" customHeight="1" x14ac:dyDescent="0.3">
      <c r="A13" s="60"/>
      <c r="B13" s="200" t="s">
        <v>14</v>
      </c>
      <c r="C13" s="198"/>
      <c r="D13" s="198"/>
      <c r="E13" s="198"/>
      <c r="F13" s="198"/>
      <c r="G13" s="198"/>
      <c r="H13" s="198"/>
      <c r="I13" s="198"/>
    </row>
    <row r="14" spans="1:9" ht="11.1" customHeight="1" x14ac:dyDescent="0.3">
      <c r="C14" s="171"/>
      <c r="D14" s="165"/>
      <c r="E14" s="165"/>
      <c r="F14" s="165"/>
      <c r="G14" s="165"/>
      <c r="H14" s="165"/>
      <c r="I14" s="165"/>
    </row>
    <row r="15" spans="1:9" ht="15" customHeight="1" x14ac:dyDescent="0.3">
      <c r="A15" s="60"/>
      <c r="B15" s="204" t="s">
        <v>0</v>
      </c>
      <c r="C15" s="198"/>
      <c r="D15" s="198"/>
      <c r="E15" s="198"/>
      <c r="F15" s="198"/>
      <c r="G15" s="198"/>
      <c r="H15" s="198"/>
      <c r="I15" s="198"/>
    </row>
    <row r="16" spans="1:9" ht="15" customHeight="1" x14ac:dyDescent="0.3">
      <c r="B16" s="166" t="s">
        <v>8</v>
      </c>
      <c r="C16" s="200" t="s">
        <v>15</v>
      </c>
      <c r="D16" s="198"/>
      <c r="E16" s="198"/>
      <c r="F16" s="198"/>
      <c r="G16" s="198"/>
      <c r="H16" s="198"/>
      <c r="I16" s="198"/>
    </row>
    <row r="17" spans="1:9" ht="15.6" customHeight="1" x14ac:dyDescent="0.3">
      <c r="B17" s="166" t="s">
        <v>8</v>
      </c>
      <c r="C17" s="200" t="s">
        <v>16</v>
      </c>
      <c r="D17" s="198"/>
      <c r="E17" s="198"/>
      <c r="F17" s="198"/>
      <c r="G17" s="198"/>
      <c r="H17" s="198"/>
      <c r="I17" s="198"/>
    </row>
    <row r="18" spans="1:9" ht="38.4" customHeight="1" x14ac:dyDescent="0.3">
      <c r="A18" s="170"/>
      <c r="B18" s="166" t="s">
        <v>8</v>
      </c>
      <c r="C18" s="200" t="s">
        <v>17</v>
      </c>
      <c r="D18" s="198"/>
      <c r="E18" s="198"/>
      <c r="F18" s="198"/>
      <c r="G18" s="198"/>
      <c r="H18" s="198"/>
      <c r="I18" s="198"/>
    </row>
    <row r="19" spans="1:9" ht="15" customHeight="1" x14ac:dyDescent="0.3">
      <c r="A19" s="3" t="s">
        <v>18</v>
      </c>
      <c r="B19" s="203" t="s">
        <v>19</v>
      </c>
      <c r="C19" s="198"/>
      <c r="D19" s="198"/>
      <c r="E19" s="198"/>
      <c r="F19" s="198"/>
      <c r="G19" s="198"/>
      <c r="H19" s="198"/>
      <c r="I19" s="198"/>
    </row>
    <row r="20" spans="1:9" ht="15" customHeight="1" x14ac:dyDescent="0.3">
      <c r="A20" s="60"/>
      <c r="B20" s="204" t="s">
        <v>6</v>
      </c>
      <c r="C20" s="198"/>
      <c r="D20" s="198"/>
      <c r="E20" s="198"/>
      <c r="F20" s="198"/>
      <c r="G20" s="198"/>
      <c r="H20" s="198"/>
      <c r="I20" s="198"/>
    </row>
    <row r="21" spans="1:9" ht="51.6" customHeight="1" x14ac:dyDescent="0.3">
      <c r="A21" s="60"/>
      <c r="B21" s="200" t="s">
        <v>20</v>
      </c>
      <c r="C21" s="198"/>
      <c r="D21" s="198"/>
      <c r="E21" s="198"/>
      <c r="F21" s="198"/>
      <c r="G21" s="198"/>
      <c r="H21" s="198"/>
      <c r="I21" s="198"/>
    </row>
    <row r="22" spans="1:9" ht="31.5" customHeight="1" x14ac:dyDescent="0.3">
      <c r="B22" s="166" t="s">
        <v>21</v>
      </c>
      <c r="C22" s="207" t="s">
        <v>22</v>
      </c>
      <c r="D22" s="208"/>
      <c r="E22" s="208"/>
      <c r="F22" s="208"/>
      <c r="G22" s="208"/>
      <c r="H22" s="208"/>
      <c r="I22" s="208"/>
    </row>
    <row r="23" spans="1:9" ht="29.1" customHeight="1" x14ac:dyDescent="0.3">
      <c r="B23" s="166" t="s">
        <v>23</v>
      </c>
      <c r="C23" s="207" t="s">
        <v>24</v>
      </c>
      <c r="D23" s="208"/>
      <c r="E23" s="208"/>
      <c r="F23" s="208"/>
      <c r="G23" s="208"/>
      <c r="H23" s="208"/>
      <c r="I23" s="208"/>
    </row>
    <row r="24" spans="1:9" ht="31.5" customHeight="1" x14ac:dyDescent="0.3">
      <c r="B24" s="166" t="s">
        <v>25</v>
      </c>
      <c r="C24" s="207" t="s">
        <v>26</v>
      </c>
      <c r="D24" s="208"/>
      <c r="E24" s="208"/>
      <c r="F24" s="208"/>
      <c r="G24" s="208"/>
      <c r="H24" s="208"/>
      <c r="I24" s="208"/>
    </row>
    <row r="25" spans="1:9" ht="30" customHeight="1" x14ac:dyDescent="0.3">
      <c r="B25" s="166" t="s">
        <v>27</v>
      </c>
      <c r="C25" s="207" t="s">
        <v>28</v>
      </c>
      <c r="D25" s="208"/>
      <c r="E25" s="208"/>
      <c r="F25" s="208"/>
      <c r="G25" s="208"/>
      <c r="H25" s="208"/>
      <c r="I25" s="208"/>
    </row>
    <row r="26" spans="1:9" ht="29.1" customHeight="1" x14ac:dyDescent="0.3">
      <c r="B26" s="166" t="s">
        <v>29</v>
      </c>
      <c r="C26" s="207" t="s">
        <v>30</v>
      </c>
      <c r="D26" s="208"/>
      <c r="E26" s="208"/>
      <c r="F26" s="208"/>
      <c r="G26" s="208"/>
      <c r="H26" s="208"/>
      <c r="I26" s="208"/>
    </row>
    <row r="27" spans="1:9" ht="33" customHeight="1" x14ac:dyDescent="0.3">
      <c r="A27" s="170"/>
      <c r="B27" s="182" t="s">
        <v>31</v>
      </c>
      <c r="C27" s="207" t="s">
        <v>32</v>
      </c>
      <c r="D27" s="208"/>
      <c r="E27" s="208"/>
      <c r="F27" s="208"/>
      <c r="G27" s="208"/>
      <c r="H27" s="208"/>
      <c r="I27" s="208"/>
    </row>
    <row r="28" spans="1:9" ht="15" customHeight="1" x14ac:dyDescent="0.3">
      <c r="A28" s="60"/>
      <c r="B28" s="204" t="s">
        <v>0</v>
      </c>
      <c r="C28" s="198"/>
      <c r="D28" s="198"/>
      <c r="E28" s="198"/>
      <c r="F28" s="198"/>
      <c r="G28" s="198"/>
      <c r="H28" s="198"/>
      <c r="I28" s="198"/>
    </row>
    <row r="29" spans="1:9" ht="15" customHeight="1" x14ac:dyDescent="0.3">
      <c r="B29" s="166" t="s">
        <v>8</v>
      </c>
      <c r="C29" s="200" t="s">
        <v>33</v>
      </c>
      <c r="D29" s="198"/>
      <c r="E29" s="198"/>
      <c r="F29" s="198"/>
      <c r="G29" s="198"/>
      <c r="H29" s="198"/>
      <c r="I29" s="198"/>
    </row>
    <row r="30" spans="1:9" ht="14.4" customHeight="1" x14ac:dyDescent="0.3">
      <c r="B30" s="166" t="s">
        <v>8</v>
      </c>
      <c r="C30" s="200" t="s">
        <v>34</v>
      </c>
      <c r="D30" s="198"/>
      <c r="E30" s="198"/>
      <c r="F30" s="198"/>
      <c r="G30" s="198"/>
      <c r="H30" s="198"/>
      <c r="I30" s="198"/>
    </row>
    <row r="31" spans="1:9" ht="15" customHeight="1" x14ac:dyDescent="0.3">
      <c r="B31" s="166" t="s">
        <v>8</v>
      </c>
      <c r="C31" s="200" t="s">
        <v>35</v>
      </c>
      <c r="D31" s="198"/>
      <c r="E31" s="198"/>
      <c r="F31" s="198"/>
      <c r="G31" s="198"/>
      <c r="H31" s="198"/>
      <c r="I31" s="198"/>
    </row>
    <row r="32" spans="1:9" ht="15" customHeight="1" x14ac:dyDescent="0.3">
      <c r="B32" s="166" t="s">
        <v>8</v>
      </c>
      <c r="C32" s="200" t="s">
        <v>36</v>
      </c>
      <c r="D32" s="198"/>
      <c r="E32" s="198"/>
      <c r="F32" s="198"/>
      <c r="G32" s="198"/>
      <c r="H32" s="198"/>
      <c r="I32" s="198"/>
    </row>
    <row r="33" spans="1:9" ht="15" customHeight="1" x14ac:dyDescent="0.3">
      <c r="A33" s="170"/>
      <c r="B33" s="205"/>
      <c r="C33" s="206"/>
      <c r="D33" s="206"/>
      <c r="E33" s="206"/>
      <c r="F33" s="206"/>
      <c r="G33" s="206"/>
      <c r="H33" s="206"/>
      <c r="I33" s="206"/>
    </row>
    <row r="34" spans="1:9" ht="15" customHeight="1" x14ac:dyDescent="0.3">
      <c r="A34" s="60"/>
      <c r="B34" s="200" t="s">
        <v>37</v>
      </c>
      <c r="C34" s="198"/>
      <c r="D34" s="198"/>
      <c r="E34" s="198"/>
      <c r="F34" s="198"/>
      <c r="G34" s="198"/>
      <c r="H34" s="198"/>
      <c r="I34" s="198"/>
    </row>
    <row r="35" spans="1:9" ht="15" customHeight="1" x14ac:dyDescent="0.3">
      <c r="A35" s="170"/>
      <c r="B35" s="168"/>
      <c r="C35" s="225" t="s">
        <v>38</v>
      </c>
      <c r="D35" s="226"/>
      <c r="E35" s="227"/>
      <c r="F35" s="225" t="s">
        <v>39</v>
      </c>
      <c r="G35" s="226"/>
      <c r="H35" s="226"/>
      <c r="I35" s="227"/>
    </row>
    <row r="36" spans="1:9" ht="26.1" customHeight="1" x14ac:dyDescent="0.3">
      <c r="A36" s="170"/>
      <c r="B36" s="168"/>
      <c r="C36" s="225" t="s">
        <v>40</v>
      </c>
      <c r="D36" s="226"/>
      <c r="E36" s="227"/>
      <c r="F36" s="225" t="s">
        <v>41</v>
      </c>
      <c r="G36" s="226"/>
      <c r="H36" s="226"/>
      <c r="I36" s="227"/>
    </row>
    <row r="37" spans="1:9" ht="26.1" customHeight="1" x14ac:dyDescent="0.3">
      <c r="A37" s="170"/>
      <c r="B37" s="168"/>
      <c r="C37" s="225" t="s">
        <v>42</v>
      </c>
      <c r="D37" s="226"/>
      <c r="E37" s="227"/>
      <c r="F37" s="225" t="s">
        <v>43</v>
      </c>
      <c r="G37" s="226"/>
      <c r="H37" s="226"/>
      <c r="I37" s="227"/>
    </row>
    <row r="38" spans="1:9" ht="15" customHeight="1" x14ac:dyDescent="0.3">
      <c r="A38" s="170"/>
      <c r="B38" s="168"/>
      <c r="C38" s="225" t="s">
        <v>44</v>
      </c>
      <c r="D38" s="226"/>
      <c r="E38" s="227"/>
      <c r="F38" s="225" t="s">
        <v>45</v>
      </c>
      <c r="G38" s="226"/>
      <c r="H38" s="226"/>
      <c r="I38" s="227"/>
    </row>
    <row r="39" spans="1:9" ht="51" customHeight="1" x14ac:dyDescent="0.3">
      <c r="A39" s="170"/>
      <c r="B39" s="168"/>
      <c r="C39" s="225" t="s">
        <v>46</v>
      </c>
      <c r="D39" s="226"/>
      <c r="E39" s="227"/>
      <c r="F39" s="225" t="s">
        <v>47</v>
      </c>
      <c r="G39" s="226"/>
      <c r="H39" s="226"/>
      <c r="I39" s="227"/>
    </row>
    <row r="40" spans="1:9" ht="12.9" customHeight="1" x14ac:dyDescent="0.3">
      <c r="A40" s="170"/>
      <c r="B40" s="168"/>
      <c r="C40" s="168"/>
      <c r="D40" s="168"/>
      <c r="E40" s="168"/>
      <c r="F40" s="168"/>
      <c r="G40" s="168"/>
      <c r="H40" s="168"/>
      <c r="I40" s="168"/>
    </row>
    <row r="41" spans="1:9" ht="15" customHeight="1" x14ac:dyDescent="0.3">
      <c r="A41" s="3" t="s">
        <v>48</v>
      </c>
      <c r="B41" s="203" t="s">
        <v>49</v>
      </c>
      <c r="C41" s="198"/>
      <c r="D41" s="198"/>
      <c r="E41" s="198"/>
      <c r="F41" s="198"/>
      <c r="G41" s="198"/>
      <c r="H41" s="198"/>
      <c r="I41" s="198"/>
    </row>
    <row r="42" spans="1:9" ht="15" customHeight="1" x14ac:dyDescent="0.3">
      <c r="A42" s="60"/>
      <c r="B42" s="204" t="s">
        <v>6</v>
      </c>
      <c r="C42" s="198"/>
      <c r="D42" s="198"/>
      <c r="E42" s="198"/>
      <c r="F42" s="198"/>
      <c r="G42" s="198"/>
      <c r="H42" s="198"/>
      <c r="I42" s="198"/>
    </row>
    <row r="43" spans="1:9" ht="51" customHeight="1" x14ac:dyDescent="0.3">
      <c r="A43" s="60"/>
      <c r="B43" s="200" t="s">
        <v>50</v>
      </c>
      <c r="C43" s="198"/>
      <c r="D43" s="198"/>
      <c r="E43" s="198"/>
      <c r="F43" s="198"/>
      <c r="G43" s="198"/>
      <c r="H43" s="198"/>
      <c r="I43" s="198"/>
    </row>
    <row r="44" spans="1:9" ht="26.1" customHeight="1" x14ac:dyDescent="0.3">
      <c r="A44" s="60"/>
      <c r="B44" s="200" t="s">
        <v>51</v>
      </c>
      <c r="C44" s="198"/>
      <c r="D44" s="198"/>
      <c r="E44" s="198"/>
      <c r="F44" s="198"/>
      <c r="G44" s="198"/>
      <c r="H44" s="198"/>
      <c r="I44" s="198"/>
    </row>
    <row r="45" spans="1:9" ht="15" customHeight="1" x14ac:dyDescent="0.3">
      <c r="A45" s="170"/>
      <c r="B45" s="205"/>
      <c r="C45" s="206"/>
      <c r="D45" s="206"/>
      <c r="E45" s="206"/>
      <c r="F45" s="206"/>
      <c r="G45" s="206"/>
      <c r="H45" s="206"/>
      <c r="I45" s="206"/>
    </row>
    <row r="46" spans="1:9" ht="15" customHeight="1" x14ac:dyDescent="0.3">
      <c r="A46" s="60"/>
      <c r="B46" s="204" t="s">
        <v>0</v>
      </c>
      <c r="C46" s="198"/>
      <c r="D46" s="198"/>
      <c r="E46" s="198"/>
      <c r="F46" s="198"/>
      <c r="G46" s="198"/>
      <c r="H46" s="198"/>
      <c r="I46" s="198"/>
    </row>
    <row r="47" spans="1:9" ht="26.1" customHeight="1" x14ac:dyDescent="0.3">
      <c r="B47" s="166" t="s">
        <v>8</v>
      </c>
      <c r="C47" s="200" t="s">
        <v>52</v>
      </c>
      <c r="D47" s="198"/>
      <c r="E47" s="198"/>
      <c r="F47" s="198"/>
      <c r="G47" s="198"/>
      <c r="H47" s="198"/>
      <c r="I47" s="198"/>
    </row>
    <row r="48" spans="1:9" ht="15" customHeight="1" x14ac:dyDescent="0.3">
      <c r="B48" s="166" t="s">
        <v>8</v>
      </c>
      <c r="C48" s="200" t="s">
        <v>53</v>
      </c>
      <c r="D48" s="198"/>
      <c r="E48" s="198"/>
      <c r="F48" s="198"/>
      <c r="G48" s="198"/>
      <c r="H48" s="198"/>
      <c r="I48" s="198"/>
    </row>
    <row r="49" spans="1:9" ht="15" customHeight="1" x14ac:dyDescent="0.3">
      <c r="B49" s="166" t="s">
        <v>8</v>
      </c>
      <c r="C49" s="200" t="s">
        <v>54</v>
      </c>
      <c r="D49" s="198"/>
      <c r="E49" s="198"/>
      <c r="F49" s="198"/>
      <c r="G49" s="198"/>
      <c r="H49" s="198"/>
      <c r="I49" s="198"/>
    </row>
    <row r="50" spans="1:9" ht="15" customHeight="1" x14ac:dyDescent="0.3">
      <c r="A50" s="170"/>
      <c r="B50" s="205"/>
      <c r="C50" s="206"/>
      <c r="D50" s="206"/>
      <c r="E50" s="206"/>
      <c r="F50" s="206"/>
      <c r="G50" s="206"/>
      <c r="H50" s="206"/>
      <c r="I50" s="206"/>
    </row>
    <row r="51" spans="1:9" ht="15" customHeight="1" x14ac:dyDescent="0.3">
      <c r="A51" s="60"/>
      <c r="B51" s="200" t="s">
        <v>55</v>
      </c>
      <c r="C51" s="198"/>
      <c r="D51" s="198"/>
      <c r="E51" s="198"/>
      <c r="F51" s="198"/>
      <c r="G51" s="198"/>
      <c r="H51" s="198"/>
      <c r="I51" s="198"/>
    </row>
    <row r="52" spans="1:9" ht="15" customHeight="1" x14ac:dyDescent="0.3">
      <c r="A52" s="170"/>
      <c r="B52" s="168"/>
      <c r="C52" s="225" t="s">
        <v>38</v>
      </c>
      <c r="D52" s="226"/>
      <c r="E52" s="226"/>
      <c r="F52" s="227"/>
      <c r="G52" s="225" t="s">
        <v>39</v>
      </c>
      <c r="H52" s="226"/>
      <c r="I52" s="227"/>
    </row>
    <row r="53" spans="1:9" ht="66.599999999999994" customHeight="1" x14ac:dyDescent="0.3">
      <c r="A53" s="170"/>
      <c r="B53" s="168"/>
      <c r="C53" s="225" t="s">
        <v>56</v>
      </c>
      <c r="D53" s="226"/>
      <c r="E53" s="226"/>
      <c r="F53" s="227"/>
      <c r="G53" s="225" t="s">
        <v>57</v>
      </c>
      <c r="H53" s="226"/>
      <c r="I53" s="227"/>
    </row>
    <row r="54" spans="1:9" ht="90.6" customHeight="1" x14ac:dyDescent="0.3">
      <c r="A54" s="170"/>
      <c r="B54" s="168"/>
      <c r="C54" s="225" t="s">
        <v>58</v>
      </c>
      <c r="D54" s="226"/>
      <c r="E54" s="226"/>
      <c r="F54" s="227"/>
      <c r="G54" s="225" t="s">
        <v>59</v>
      </c>
      <c r="H54" s="226"/>
      <c r="I54" s="227"/>
    </row>
    <row r="55" spans="1:9" ht="42.6" customHeight="1" x14ac:dyDescent="0.3">
      <c r="A55" s="170"/>
      <c r="B55" s="168"/>
      <c r="C55" s="225" t="s">
        <v>60</v>
      </c>
      <c r="D55" s="226"/>
      <c r="E55" s="226"/>
      <c r="F55" s="227"/>
      <c r="G55" s="225" t="s">
        <v>61</v>
      </c>
      <c r="H55" s="226"/>
      <c r="I55" s="227"/>
    </row>
    <row r="56" spans="1:9" ht="39" customHeight="1" x14ac:dyDescent="0.3">
      <c r="A56" s="170"/>
      <c r="B56" s="168"/>
      <c r="C56" s="225" t="s">
        <v>62</v>
      </c>
      <c r="D56" s="226"/>
      <c r="E56" s="226"/>
      <c r="F56" s="227"/>
      <c r="G56" s="225" t="s">
        <v>63</v>
      </c>
      <c r="H56" s="226"/>
      <c r="I56" s="227"/>
    </row>
    <row r="57" spans="1:9" ht="40.5" customHeight="1" x14ac:dyDescent="0.3">
      <c r="A57" s="170"/>
      <c r="B57" s="168"/>
      <c r="C57" s="225" t="s">
        <v>64</v>
      </c>
      <c r="D57" s="226"/>
      <c r="E57" s="226"/>
      <c r="F57" s="227"/>
      <c r="G57" s="225" t="s">
        <v>65</v>
      </c>
      <c r="H57" s="226"/>
      <c r="I57" s="227"/>
    </row>
    <row r="58" spans="1:9" ht="12.9" customHeight="1" x14ac:dyDescent="0.3">
      <c r="A58" s="170"/>
      <c r="B58" s="168"/>
      <c r="D58" s="165"/>
      <c r="E58" s="165"/>
      <c r="F58" s="165"/>
      <c r="H58" s="165"/>
      <c r="I58" s="165"/>
    </row>
    <row r="59" spans="1:9" ht="15" customHeight="1" x14ac:dyDescent="0.3">
      <c r="A59" s="3" t="s">
        <v>66</v>
      </c>
      <c r="B59" s="203" t="s">
        <v>67</v>
      </c>
      <c r="C59" s="198"/>
      <c r="D59" s="198"/>
      <c r="E59" s="198"/>
      <c r="F59" s="198"/>
      <c r="G59" s="198"/>
      <c r="H59" s="198"/>
      <c r="I59" s="198"/>
    </row>
    <row r="60" spans="1:9" ht="15" customHeight="1" x14ac:dyDescent="0.3">
      <c r="A60" s="3"/>
      <c r="B60" s="204" t="s">
        <v>6</v>
      </c>
      <c r="C60" s="198"/>
      <c r="D60" s="198"/>
      <c r="E60" s="198"/>
      <c r="F60" s="198"/>
      <c r="G60" s="198"/>
      <c r="H60" s="198"/>
      <c r="I60" s="198"/>
    </row>
    <row r="61" spans="1:9" ht="26.1" customHeight="1" x14ac:dyDescent="0.3">
      <c r="A61" s="60"/>
      <c r="B61" s="200" t="s">
        <v>68</v>
      </c>
      <c r="C61" s="198"/>
      <c r="D61" s="198"/>
      <c r="E61" s="198"/>
      <c r="F61" s="198"/>
      <c r="G61" s="198"/>
      <c r="H61" s="198"/>
      <c r="I61" s="198"/>
    </row>
    <row r="62" spans="1:9" ht="15" customHeight="1" x14ac:dyDescent="0.3">
      <c r="A62" s="170"/>
      <c r="B62" s="205"/>
      <c r="C62" s="206"/>
      <c r="D62" s="206"/>
      <c r="E62" s="206"/>
      <c r="F62" s="206"/>
      <c r="G62" s="206"/>
      <c r="H62" s="206"/>
      <c r="I62" s="206"/>
    </row>
    <row r="63" spans="1:9" ht="15" customHeight="1" x14ac:dyDescent="0.3">
      <c r="A63" s="60"/>
      <c r="B63" s="204" t="s">
        <v>0</v>
      </c>
      <c r="C63" s="198"/>
      <c r="D63" s="198"/>
      <c r="E63" s="198"/>
      <c r="F63" s="198"/>
      <c r="G63" s="198"/>
      <c r="H63" s="198"/>
      <c r="I63" s="198"/>
    </row>
    <row r="64" spans="1:9" ht="15" customHeight="1" x14ac:dyDescent="0.3">
      <c r="B64" s="166" t="s">
        <v>8</v>
      </c>
      <c r="C64" s="200" t="s">
        <v>69</v>
      </c>
      <c r="D64" s="198"/>
      <c r="E64" s="198"/>
      <c r="F64" s="198"/>
      <c r="G64" s="198"/>
      <c r="H64" s="198"/>
      <c r="I64" s="198"/>
    </row>
    <row r="65" spans="1:9" ht="15" customHeight="1" x14ac:dyDescent="0.3">
      <c r="B65" s="166" t="s">
        <v>8</v>
      </c>
      <c r="C65" s="200" t="s">
        <v>70</v>
      </c>
      <c r="D65" s="198"/>
      <c r="E65" s="198"/>
      <c r="F65" s="198"/>
      <c r="G65" s="198"/>
      <c r="H65" s="198"/>
      <c r="I65" s="198"/>
    </row>
    <row r="66" spans="1:9" ht="15" customHeight="1" x14ac:dyDescent="0.3">
      <c r="D66" s="165"/>
      <c r="E66" s="165"/>
      <c r="F66" s="165"/>
      <c r="G66" s="165"/>
      <c r="H66" s="165"/>
      <c r="I66" s="165"/>
    </row>
    <row r="67" spans="1:9" ht="18.899999999999999" customHeight="1" x14ac:dyDescent="0.35">
      <c r="A67" s="142" t="s">
        <v>71</v>
      </c>
      <c r="B67" s="195" t="s">
        <v>72</v>
      </c>
      <c r="C67" s="196"/>
      <c r="D67" s="196"/>
      <c r="E67" s="196"/>
      <c r="F67" s="196"/>
      <c r="G67" s="196"/>
      <c r="H67" s="196"/>
      <c r="I67" s="196"/>
    </row>
    <row r="68" spans="1:9" ht="12.9" customHeight="1" x14ac:dyDescent="0.3">
      <c r="A68" s="170"/>
      <c r="B68" s="168"/>
      <c r="C68" s="168"/>
      <c r="D68" s="168"/>
      <c r="E68" s="168"/>
      <c r="F68" s="168"/>
      <c r="G68" s="168"/>
      <c r="H68" s="168"/>
      <c r="I68" s="168"/>
    </row>
    <row r="69" spans="1:9" ht="12.9" customHeight="1" x14ac:dyDescent="0.3">
      <c r="A69" s="176" t="s">
        <v>73</v>
      </c>
      <c r="B69" s="203" t="s">
        <v>74</v>
      </c>
      <c r="C69" s="198"/>
      <c r="D69" s="198"/>
      <c r="E69" s="198"/>
      <c r="F69" s="198"/>
      <c r="G69" s="198"/>
      <c r="H69" s="198"/>
      <c r="I69" s="198"/>
    </row>
    <row r="70" spans="1:9" ht="12.9" customHeight="1" x14ac:dyDescent="0.3">
      <c r="A70" s="176"/>
      <c r="B70" s="167"/>
      <c r="C70" s="165"/>
      <c r="D70" s="165"/>
      <c r="E70" s="165"/>
      <c r="F70" s="165"/>
      <c r="G70" s="165"/>
      <c r="H70" s="165"/>
      <c r="I70" s="165"/>
    </row>
    <row r="71" spans="1:9" ht="14.4" x14ac:dyDescent="0.3">
      <c r="A71" s="177" t="s">
        <v>75</v>
      </c>
      <c r="B71" s="203" t="s">
        <v>76</v>
      </c>
      <c r="C71" s="198"/>
      <c r="D71" s="198"/>
      <c r="E71" s="198"/>
      <c r="F71" s="198"/>
      <c r="G71" s="198"/>
      <c r="H71" s="198"/>
      <c r="I71" s="198"/>
    </row>
    <row r="72" spans="1:9" ht="14.4" x14ac:dyDescent="0.3">
      <c r="A72" s="3"/>
      <c r="B72" s="204" t="s">
        <v>6</v>
      </c>
      <c r="C72" s="198"/>
      <c r="D72" s="198"/>
      <c r="E72" s="198"/>
      <c r="F72" s="198"/>
      <c r="G72" s="198"/>
      <c r="H72" s="198"/>
      <c r="I72" s="198"/>
    </row>
    <row r="73" spans="1:9" ht="30" customHeight="1" x14ac:dyDescent="0.3">
      <c r="A73" s="60"/>
      <c r="B73" s="200" t="s">
        <v>77</v>
      </c>
      <c r="C73" s="198"/>
      <c r="D73" s="198"/>
      <c r="E73" s="198"/>
      <c r="F73" s="198"/>
      <c r="G73" s="198"/>
      <c r="H73" s="198"/>
      <c r="I73" s="198"/>
    </row>
    <row r="74" spans="1:9" ht="14.4" x14ac:dyDescent="0.3">
      <c r="A74" s="170"/>
      <c r="B74" s="205"/>
      <c r="C74" s="206"/>
      <c r="D74" s="206"/>
      <c r="E74" s="206"/>
      <c r="F74" s="206"/>
      <c r="G74" s="206"/>
      <c r="H74" s="206"/>
      <c r="I74" s="206"/>
    </row>
    <row r="75" spans="1:9" ht="14.4" x14ac:dyDescent="0.3">
      <c r="A75" s="60"/>
      <c r="B75" s="204" t="s">
        <v>0</v>
      </c>
      <c r="C75" s="198"/>
      <c r="D75" s="198"/>
      <c r="E75" s="198"/>
      <c r="F75" s="198"/>
      <c r="G75" s="198"/>
      <c r="H75" s="198"/>
      <c r="I75" s="198"/>
    </row>
    <row r="76" spans="1:9" ht="27" customHeight="1" x14ac:dyDescent="0.3">
      <c r="B76" s="166" t="s">
        <v>8</v>
      </c>
      <c r="C76" s="200" t="s">
        <v>78</v>
      </c>
      <c r="D76" s="198"/>
      <c r="E76" s="198"/>
      <c r="F76" s="198"/>
      <c r="G76" s="198"/>
      <c r="H76" s="198"/>
      <c r="I76" s="198"/>
    </row>
    <row r="77" spans="1:9" ht="54" customHeight="1" x14ac:dyDescent="0.3">
      <c r="B77" s="166" t="s">
        <v>8</v>
      </c>
      <c r="C77" s="200" t="s">
        <v>79</v>
      </c>
      <c r="D77" s="198"/>
      <c r="E77" s="198"/>
      <c r="F77" s="198"/>
      <c r="G77" s="198"/>
      <c r="H77" s="198"/>
      <c r="I77" s="198"/>
    </row>
    <row r="79" spans="1:9" ht="14.4" x14ac:dyDescent="0.3">
      <c r="A79" s="177" t="s">
        <v>80</v>
      </c>
      <c r="B79" s="203" t="s">
        <v>81</v>
      </c>
      <c r="C79" s="198"/>
      <c r="D79" s="198"/>
      <c r="E79" s="198"/>
      <c r="F79" s="198"/>
      <c r="G79" s="198"/>
      <c r="H79" s="198"/>
      <c r="I79" s="198"/>
    </row>
    <row r="80" spans="1:9" ht="14.4" x14ac:dyDescent="0.3">
      <c r="A80" s="3"/>
      <c r="B80" s="204" t="s">
        <v>6</v>
      </c>
      <c r="C80" s="198"/>
      <c r="D80" s="198"/>
      <c r="E80" s="198"/>
      <c r="F80" s="198"/>
      <c r="G80" s="198"/>
      <c r="H80" s="198"/>
      <c r="I80" s="198"/>
    </row>
    <row r="81" spans="1:9" ht="12.6" customHeight="1" x14ac:dyDescent="0.3">
      <c r="A81" s="60"/>
      <c r="B81" s="200" t="s">
        <v>82</v>
      </c>
      <c r="C81" s="198"/>
      <c r="D81" s="198"/>
      <c r="E81" s="198"/>
      <c r="F81" s="198"/>
      <c r="G81" s="198"/>
      <c r="H81" s="198"/>
      <c r="I81" s="198"/>
    </row>
    <row r="82" spans="1:9" ht="45" customHeight="1" x14ac:dyDescent="0.3">
      <c r="A82" s="60"/>
      <c r="B82" s="201" t="s">
        <v>83</v>
      </c>
      <c r="C82" s="202"/>
      <c r="D82" s="202"/>
      <c r="E82" s="202"/>
      <c r="F82" s="202"/>
      <c r="G82" s="202"/>
      <c r="H82" s="202"/>
      <c r="I82" s="202"/>
    </row>
    <row r="83" spans="1:9" ht="12.9" customHeight="1" x14ac:dyDescent="0.3">
      <c r="A83" s="60"/>
      <c r="B83" s="200" t="s">
        <v>84</v>
      </c>
      <c r="C83" s="198"/>
      <c r="D83" s="198"/>
      <c r="E83" s="198"/>
      <c r="F83" s="198"/>
      <c r="G83" s="198"/>
      <c r="H83" s="198"/>
      <c r="I83" s="198"/>
    </row>
    <row r="84" spans="1:9" ht="12.9" customHeight="1" x14ac:dyDescent="0.3">
      <c r="A84" s="60"/>
      <c r="B84" s="200"/>
      <c r="C84" s="198"/>
      <c r="D84" s="198"/>
      <c r="E84" s="198"/>
      <c r="F84" s="198"/>
      <c r="G84" s="198"/>
      <c r="H84" s="198"/>
      <c r="I84" s="198"/>
    </row>
    <row r="85" spans="1:9" ht="15.6" customHeight="1" x14ac:dyDescent="0.3">
      <c r="A85" s="60"/>
      <c r="B85" s="200" t="s">
        <v>85</v>
      </c>
      <c r="C85" s="200"/>
      <c r="D85" s="200"/>
      <c r="E85" s="200"/>
      <c r="F85" s="200"/>
      <c r="G85" s="200"/>
      <c r="H85" s="200"/>
      <c r="I85" s="200"/>
    </row>
    <row r="86" spans="1:9" ht="36" customHeight="1" x14ac:dyDescent="0.3">
      <c r="A86" s="170"/>
      <c r="B86" s="201" t="s">
        <v>86</v>
      </c>
      <c r="C86" s="202"/>
      <c r="D86" s="202"/>
      <c r="E86" s="202"/>
      <c r="F86" s="202"/>
      <c r="G86" s="202"/>
      <c r="H86" s="202"/>
      <c r="I86" s="202"/>
    </row>
    <row r="87" spans="1:9" ht="27" customHeight="1" x14ac:dyDescent="0.3">
      <c r="A87" s="170"/>
      <c r="B87" s="205" t="s">
        <v>87</v>
      </c>
      <c r="C87" s="206"/>
      <c r="D87" s="206"/>
      <c r="E87" s="206"/>
      <c r="F87" s="206"/>
      <c r="G87" s="206"/>
      <c r="H87" s="206"/>
      <c r="I87" s="206"/>
    </row>
    <row r="88" spans="1:9" ht="12.9" customHeight="1" x14ac:dyDescent="0.3">
      <c r="A88" s="170"/>
      <c r="B88" s="168"/>
      <c r="C88" s="168"/>
      <c r="D88" s="168"/>
      <c r="E88" s="168"/>
      <c r="F88" s="168"/>
      <c r="G88" s="168"/>
      <c r="H88" s="168"/>
      <c r="I88" s="168"/>
    </row>
    <row r="89" spans="1:9" ht="12.9" customHeight="1" x14ac:dyDescent="0.3">
      <c r="A89" s="170"/>
      <c r="B89" s="200" t="s">
        <v>88</v>
      </c>
      <c r="C89" s="198"/>
      <c r="D89" s="198"/>
      <c r="E89" s="198"/>
      <c r="F89" s="198"/>
      <c r="G89" s="198"/>
      <c r="H89" s="198"/>
      <c r="I89" s="198"/>
    </row>
    <row r="90" spans="1:9" ht="12.9" customHeight="1" x14ac:dyDescent="0.3">
      <c r="A90" s="170"/>
      <c r="B90" s="168"/>
      <c r="C90" s="168"/>
      <c r="D90" s="168"/>
      <c r="E90" s="168"/>
      <c r="F90" s="168"/>
      <c r="G90" s="168"/>
      <c r="H90" s="168"/>
      <c r="I90" s="168"/>
    </row>
    <row r="91" spans="1:9" ht="12.9" customHeight="1" x14ac:dyDescent="0.3">
      <c r="A91" s="170"/>
      <c r="B91" s="168" t="s">
        <v>89</v>
      </c>
      <c r="C91" s="212" t="s">
        <v>90</v>
      </c>
      <c r="D91" s="212"/>
      <c r="E91" s="212"/>
      <c r="F91" s="169"/>
      <c r="G91" s="169"/>
      <c r="H91" s="169"/>
      <c r="I91" s="169"/>
    </row>
    <row r="92" spans="1:9" ht="12.9" customHeight="1" x14ac:dyDescent="0.3">
      <c r="A92" s="170"/>
      <c r="B92" s="168"/>
      <c r="C92" s="169"/>
      <c r="D92" s="169"/>
      <c r="E92" s="169"/>
      <c r="F92" s="169"/>
      <c r="G92" s="169"/>
      <c r="H92" s="169"/>
      <c r="I92" s="169"/>
    </row>
    <row r="93" spans="1:9" x14ac:dyDescent="0.3">
      <c r="A93" s="60"/>
      <c r="B93" s="204" t="s">
        <v>0</v>
      </c>
      <c r="C93" s="204"/>
      <c r="D93" s="204"/>
      <c r="E93" s="204"/>
      <c r="F93" s="204"/>
      <c r="G93" s="204"/>
      <c r="H93" s="204"/>
      <c r="I93" s="204"/>
    </row>
    <row r="94" spans="1:9" ht="14.4" x14ac:dyDescent="0.3">
      <c r="B94" s="166" t="s">
        <v>8</v>
      </c>
      <c r="C94" s="200" t="s">
        <v>91</v>
      </c>
      <c r="D94" s="198"/>
      <c r="E94" s="198"/>
      <c r="F94" s="198"/>
      <c r="G94" s="198"/>
      <c r="H94" s="198"/>
      <c r="I94" s="198"/>
    </row>
    <row r="95" spans="1:9" ht="26.4" customHeight="1" x14ac:dyDescent="0.3">
      <c r="B95" s="166" t="s">
        <v>8</v>
      </c>
      <c r="C95" s="200" t="s">
        <v>92</v>
      </c>
      <c r="D95" s="198"/>
      <c r="E95" s="198"/>
      <c r="F95" s="198"/>
      <c r="G95" s="198"/>
      <c r="H95" s="198"/>
      <c r="I95" s="198"/>
    </row>
    <row r="96" spans="1:9" ht="27.6" customHeight="1" x14ac:dyDescent="0.3">
      <c r="B96" s="166" t="s">
        <v>8</v>
      </c>
      <c r="C96" s="200" t="s">
        <v>93</v>
      </c>
      <c r="D96" s="198"/>
      <c r="E96" s="198"/>
      <c r="F96" s="198"/>
      <c r="G96" s="198"/>
      <c r="H96" s="198"/>
      <c r="I96" s="198"/>
    </row>
    <row r="97" spans="1:9" ht="14.4" x14ac:dyDescent="0.3">
      <c r="B97" s="166" t="s">
        <v>8</v>
      </c>
      <c r="C97" s="200" t="s">
        <v>94</v>
      </c>
      <c r="D97" s="198"/>
      <c r="E97" s="198"/>
      <c r="F97" s="198"/>
      <c r="G97" s="198"/>
      <c r="H97" s="198"/>
      <c r="I97" s="198"/>
    </row>
    <row r="98" spans="1:9" ht="14.4" x14ac:dyDescent="0.3">
      <c r="B98" s="166" t="s">
        <v>8</v>
      </c>
      <c r="C98" s="200" t="s">
        <v>95</v>
      </c>
      <c r="D98" s="198"/>
      <c r="E98" s="198"/>
      <c r="F98" s="198"/>
      <c r="G98" s="198"/>
      <c r="H98" s="198"/>
      <c r="I98" s="198"/>
    </row>
    <row r="100" spans="1:9" ht="14.4" x14ac:dyDescent="0.3">
      <c r="A100" s="176" t="s">
        <v>96</v>
      </c>
      <c r="B100" s="203" t="s">
        <v>97</v>
      </c>
      <c r="C100" s="198"/>
      <c r="D100" s="198"/>
      <c r="E100" s="198"/>
      <c r="F100" s="198"/>
      <c r="G100" s="198"/>
      <c r="H100" s="198"/>
      <c r="I100" s="198"/>
    </row>
    <row r="102" spans="1:9" ht="14.4" x14ac:dyDescent="0.3">
      <c r="A102" s="177" t="s">
        <v>98</v>
      </c>
      <c r="B102" s="203" t="s">
        <v>99</v>
      </c>
      <c r="C102" s="198"/>
      <c r="D102" s="198"/>
      <c r="E102" s="198"/>
      <c r="F102" s="198"/>
      <c r="G102" s="198"/>
      <c r="H102" s="198"/>
      <c r="I102" s="198"/>
    </row>
    <row r="103" spans="1:9" ht="14.4" x14ac:dyDescent="0.3">
      <c r="A103" s="3"/>
      <c r="B103" s="204" t="s">
        <v>6</v>
      </c>
      <c r="C103" s="198"/>
      <c r="D103" s="198"/>
      <c r="E103" s="198"/>
      <c r="F103" s="198"/>
      <c r="G103" s="198"/>
      <c r="H103" s="198"/>
      <c r="I103" s="198"/>
    </row>
    <row r="104" spans="1:9" ht="29.1" customHeight="1" x14ac:dyDescent="0.3">
      <c r="A104" s="60"/>
      <c r="B104" s="200" t="s">
        <v>100</v>
      </c>
      <c r="C104" s="198"/>
      <c r="D104" s="198"/>
      <c r="E104" s="198"/>
      <c r="F104" s="198"/>
      <c r="G104" s="198"/>
      <c r="H104" s="198"/>
      <c r="I104" s="198"/>
    </row>
    <row r="105" spans="1:9" ht="14.4" x14ac:dyDescent="0.3">
      <c r="A105" s="170"/>
      <c r="B105" s="168"/>
      <c r="C105" s="169"/>
      <c r="D105" s="169"/>
      <c r="E105" s="169"/>
      <c r="F105" s="169"/>
      <c r="G105" s="169"/>
      <c r="H105" s="169"/>
      <c r="I105" s="169"/>
    </row>
    <row r="106" spans="1:9" x14ac:dyDescent="0.3">
      <c r="A106" s="60"/>
      <c r="B106" s="204" t="s">
        <v>0</v>
      </c>
      <c r="C106" s="204"/>
      <c r="D106" s="204"/>
      <c r="E106" s="204"/>
      <c r="F106" s="204"/>
      <c r="G106" s="204"/>
      <c r="H106" s="204"/>
      <c r="I106" s="204"/>
    </row>
    <row r="107" spans="1:9" ht="24.9" customHeight="1" x14ac:dyDescent="0.3">
      <c r="B107" s="166" t="s">
        <v>8</v>
      </c>
      <c r="C107" s="200" t="s">
        <v>101</v>
      </c>
      <c r="D107" s="198"/>
      <c r="E107" s="198"/>
      <c r="F107" s="198"/>
      <c r="G107" s="198"/>
      <c r="H107" s="198"/>
      <c r="I107" s="198"/>
    </row>
    <row r="108" spans="1:9" ht="14.4" x14ac:dyDescent="0.3">
      <c r="B108" s="166" t="s">
        <v>8</v>
      </c>
      <c r="C108" s="200" t="s">
        <v>102</v>
      </c>
      <c r="D108" s="198"/>
      <c r="E108" s="198"/>
      <c r="F108" s="198"/>
      <c r="G108" s="198"/>
      <c r="H108" s="198"/>
      <c r="I108" s="198"/>
    </row>
    <row r="109" spans="1:9" ht="30.9" customHeight="1" x14ac:dyDescent="0.3">
      <c r="B109" s="166" t="s">
        <v>8</v>
      </c>
      <c r="C109" s="200" t="s">
        <v>103</v>
      </c>
      <c r="D109" s="198"/>
      <c r="E109" s="198"/>
      <c r="F109" s="198"/>
      <c r="G109" s="198"/>
      <c r="H109" s="198"/>
      <c r="I109" s="198"/>
    </row>
    <row r="110" spans="1:9" ht="16.2" x14ac:dyDescent="0.35">
      <c r="A110" s="142" t="s">
        <v>104</v>
      </c>
      <c r="B110" s="195" t="s">
        <v>105</v>
      </c>
      <c r="C110" s="196"/>
      <c r="D110" s="196"/>
      <c r="E110" s="196"/>
      <c r="F110" s="196"/>
      <c r="G110" s="196"/>
      <c r="H110" s="196"/>
      <c r="I110" s="196"/>
    </row>
    <row r="111" spans="1:9" x14ac:dyDescent="0.3">
      <c r="A111" s="170"/>
      <c r="B111" s="168"/>
      <c r="C111" s="168"/>
      <c r="D111" s="168"/>
      <c r="E111" s="168"/>
      <c r="F111" s="168"/>
      <c r="G111" s="168"/>
      <c r="H111" s="168"/>
      <c r="I111" s="168"/>
    </row>
    <row r="112" spans="1:9" ht="14.4" x14ac:dyDescent="0.3">
      <c r="A112" s="177" t="s">
        <v>106</v>
      </c>
      <c r="B112" s="203" t="s">
        <v>107</v>
      </c>
      <c r="C112" s="198"/>
      <c r="D112" s="198"/>
      <c r="E112" s="198"/>
      <c r="F112" s="198"/>
      <c r="G112" s="198"/>
      <c r="H112" s="198"/>
      <c r="I112" s="198"/>
    </row>
    <row r="113" spans="1:9" ht="14.4" x14ac:dyDescent="0.3">
      <c r="A113" s="3"/>
      <c r="B113" s="204" t="s">
        <v>6</v>
      </c>
      <c r="C113" s="198"/>
      <c r="D113" s="198"/>
      <c r="E113" s="198"/>
      <c r="F113" s="198"/>
      <c r="G113" s="198"/>
      <c r="H113" s="198"/>
      <c r="I113" s="198"/>
    </row>
    <row r="114" spans="1:9" ht="55.5" customHeight="1" x14ac:dyDescent="0.3">
      <c r="A114" s="60"/>
      <c r="B114" s="200" t="s">
        <v>108</v>
      </c>
      <c r="C114" s="198"/>
      <c r="D114" s="198"/>
      <c r="E114" s="198"/>
      <c r="F114" s="198"/>
      <c r="G114" s="198"/>
      <c r="H114" s="198"/>
      <c r="I114" s="198"/>
    </row>
    <row r="115" spans="1:9" ht="14.4" x14ac:dyDescent="0.3">
      <c r="A115" s="170"/>
      <c r="B115" s="205"/>
      <c r="C115" s="206"/>
      <c r="D115" s="206"/>
      <c r="E115" s="206"/>
      <c r="F115" s="206"/>
      <c r="G115" s="206"/>
      <c r="H115" s="206"/>
      <c r="I115" s="206"/>
    </row>
    <row r="116" spans="1:9" ht="14.4" x14ac:dyDescent="0.3">
      <c r="A116" s="60"/>
      <c r="B116" s="204" t="s">
        <v>0</v>
      </c>
      <c r="C116" s="198"/>
      <c r="D116" s="198"/>
      <c r="E116" s="198"/>
      <c r="F116" s="198"/>
      <c r="G116" s="198"/>
      <c r="H116" s="198"/>
      <c r="I116" s="198"/>
    </row>
    <row r="117" spans="1:9" ht="14.4" x14ac:dyDescent="0.3">
      <c r="B117" s="166" t="s">
        <v>8</v>
      </c>
      <c r="C117" s="200" t="s">
        <v>15</v>
      </c>
      <c r="D117" s="198"/>
      <c r="E117" s="198"/>
      <c r="F117" s="198"/>
      <c r="G117" s="198"/>
      <c r="H117" s="198"/>
      <c r="I117" s="198"/>
    </row>
    <row r="118" spans="1:9" ht="14.4" x14ac:dyDescent="0.3">
      <c r="B118" s="166" t="s">
        <v>8</v>
      </c>
      <c r="C118" s="200" t="s">
        <v>109</v>
      </c>
      <c r="D118" s="198"/>
      <c r="E118" s="198"/>
      <c r="F118" s="198"/>
      <c r="G118" s="198"/>
      <c r="H118" s="198"/>
      <c r="I118" s="198"/>
    </row>
    <row r="120" spans="1:9" ht="14.4" x14ac:dyDescent="0.3">
      <c r="A120" s="60"/>
      <c r="B120" s="200" t="s">
        <v>110</v>
      </c>
      <c r="C120" s="198"/>
      <c r="D120" s="198"/>
      <c r="E120" s="198"/>
      <c r="F120" s="198"/>
      <c r="G120" s="198"/>
      <c r="H120" s="198"/>
      <c r="I120" s="198"/>
    </row>
    <row r="121" spans="1:9" ht="14.4" x14ac:dyDescent="0.3">
      <c r="A121" s="170"/>
      <c r="B121" s="168"/>
      <c r="C121" s="225" t="s">
        <v>38</v>
      </c>
      <c r="D121" s="226"/>
      <c r="E121" s="226"/>
      <c r="F121" s="227"/>
      <c r="G121" s="225" t="s">
        <v>39</v>
      </c>
      <c r="H121" s="226"/>
      <c r="I121" s="227"/>
    </row>
    <row r="122" spans="1:9" ht="28.5" customHeight="1" x14ac:dyDescent="0.3">
      <c r="A122" s="170"/>
      <c r="B122" s="168"/>
      <c r="C122" s="225" t="s">
        <v>111</v>
      </c>
      <c r="D122" s="226"/>
      <c r="E122" s="226"/>
      <c r="F122" s="227"/>
      <c r="G122" s="225" t="s">
        <v>112</v>
      </c>
      <c r="H122" s="226"/>
      <c r="I122" s="227"/>
    </row>
    <row r="123" spans="1:9" ht="53.4" customHeight="1" x14ac:dyDescent="0.3">
      <c r="A123" s="170"/>
      <c r="B123" s="168"/>
      <c r="C123" s="225" t="s">
        <v>113</v>
      </c>
      <c r="D123" s="226"/>
      <c r="E123" s="226"/>
      <c r="F123" s="227"/>
      <c r="G123" s="225" t="s">
        <v>114</v>
      </c>
      <c r="H123" s="226"/>
      <c r="I123" s="227"/>
    </row>
    <row r="124" spans="1:9" ht="28.5" customHeight="1" x14ac:dyDescent="0.3">
      <c r="A124" s="170"/>
      <c r="B124" s="168"/>
      <c r="C124" s="225" t="s">
        <v>115</v>
      </c>
      <c r="D124" s="226"/>
      <c r="E124" s="226"/>
      <c r="F124" s="227"/>
      <c r="G124" s="225" t="s">
        <v>116</v>
      </c>
      <c r="H124" s="226"/>
      <c r="I124" s="227"/>
    </row>
    <row r="125" spans="1:9" ht="27.6" customHeight="1" x14ac:dyDescent="0.3">
      <c r="A125" s="170"/>
      <c r="B125" s="168"/>
      <c r="C125" s="225" t="s">
        <v>117</v>
      </c>
      <c r="D125" s="226"/>
      <c r="E125" s="226"/>
      <c r="F125" s="227"/>
      <c r="G125" s="225" t="s">
        <v>118</v>
      </c>
      <c r="H125" s="226"/>
      <c r="I125" s="227"/>
    </row>
    <row r="126" spans="1:9" ht="27.9" customHeight="1" x14ac:dyDescent="0.3">
      <c r="A126" s="170"/>
      <c r="B126" s="168"/>
      <c r="C126" s="225" t="s">
        <v>119</v>
      </c>
      <c r="D126" s="226"/>
      <c r="E126" s="226"/>
      <c r="F126" s="227"/>
      <c r="G126" s="225" t="s">
        <v>120</v>
      </c>
      <c r="H126" s="226"/>
      <c r="I126" s="227"/>
    </row>
    <row r="127" spans="1:9" ht="65.099999999999994" customHeight="1" x14ac:dyDescent="0.3">
      <c r="C127" s="225" t="s">
        <v>121</v>
      </c>
      <c r="D127" s="226"/>
      <c r="E127" s="226"/>
      <c r="F127" s="227"/>
      <c r="G127" s="225" t="s">
        <v>122</v>
      </c>
      <c r="H127" s="226"/>
      <c r="I127" s="227"/>
    </row>
    <row r="129" spans="1:9" ht="14.4" x14ac:dyDescent="0.3">
      <c r="A129" s="177" t="s">
        <v>123</v>
      </c>
      <c r="B129" s="203" t="s">
        <v>124</v>
      </c>
      <c r="C129" s="198"/>
      <c r="D129" s="198"/>
      <c r="E129" s="198"/>
      <c r="F129" s="198"/>
      <c r="G129" s="198"/>
      <c r="H129" s="198"/>
      <c r="I129" s="198"/>
    </row>
    <row r="130" spans="1:9" ht="14.4" x14ac:dyDescent="0.3">
      <c r="A130" s="3"/>
      <c r="B130" s="204" t="s">
        <v>6</v>
      </c>
      <c r="C130" s="198"/>
      <c r="D130" s="198"/>
      <c r="E130" s="198"/>
      <c r="F130" s="198"/>
      <c r="G130" s="198"/>
      <c r="H130" s="198"/>
      <c r="I130" s="198"/>
    </row>
    <row r="131" spans="1:9" ht="93.9" customHeight="1" x14ac:dyDescent="0.3">
      <c r="A131" s="60"/>
      <c r="B131" s="200" t="s">
        <v>125</v>
      </c>
      <c r="C131" s="198"/>
      <c r="D131" s="198"/>
      <c r="E131" s="198"/>
      <c r="F131" s="198"/>
      <c r="G131" s="198"/>
      <c r="H131" s="198"/>
      <c r="I131" s="198"/>
    </row>
    <row r="132" spans="1:9" ht="14.4" x14ac:dyDescent="0.3">
      <c r="A132" s="170"/>
      <c r="B132" s="205"/>
      <c r="C132" s="206"/>
      <c r="D132" s="206"/>
      <c r="E132" s="206"/>
      <c r="F132" s="206"/>
      <c r="G132" s="206"/>
      <c r="H132" s="206"/>
      <c r="I132" s="206"/>
    </row>
    <row r="133" spans="1:9" ht="14.4" x14ac:dyDescent="0.3">
      <c r="A133" s="60"/>
      <c r="B133" s="204" t="s">
        <v>0</v>
      </c>
      <c r="C133" s="198"/>
      <c r="D133" s="198"/>
      <c r="E133" s="198"/>
      <c r="F133" s="198"/>
      <c r="G133" s="198"/>
      <c r="H133" s="198"/>
      <c r="I133" s="198"/>
    </row>
    <row r="134" spans="1:9" ht="14.4" x14ac:dyDescent="0.3">
      <c r="B134" s="166" t="s">
        <v>8</v>
      </c>
      <c r="C134" s="200" t="s">
        <v>126</v>
      </c>
      <c r="D134" s="198"/>
      <c r="E134" s="198"/>
      <c r="F134" s="198"/>
      <c r="G134" s="198"/>
      <c r="H134" s="198"/>
      <c r="I134" s="198"/>
    </row>
    <row r="135" spans="1:9" ht="29.1" customHeight="1" x14ac:dyDescent="0.3">
      <c r="B135" s="166" t="s">
        <v>8</v>
      </c>
      <c r="C135" s="200" t="s">
        <v>127</v>
      </c>
      <c r="D135" s="198"/>
      <c r="E135" s="198"/>
      <c r="F135" s="198"/>
      <c r="G135" s="198"/>
      <c r="H135" s="198"/>
      <c r="I135" s="198"/>
    </row>
    <row r="137" spans="1:9" ht="14.4" x14ac:dyDescent="0.3">
      <c r="A137" s="60"/>
      <c r="B137" s="200" t="s">
        <v>128</v>
      </c>
      <c r="C137" s="198"/>
      <c r="D137" s="198"/>
      <c r="E137" s="198"/>
      <c r="F137" s="198"/>
      <c r="G137" s="198"/>
      <c r="H137" s="198"/>
      <c r="I137" s="198"/>
    </row>
    <row r="138" spans="1:9" ht="14.4" x14ac:dyDescent="0.3">
      <c r="A138" s="170"/>
      <c r="B138" s="168"/>
      <c r="C138" s="225" t="s">
        <v>129</v>
      </c>
      <c r="D138" s="226"/>
      <c r="E138" s="226"/>
      <c r="F138" s="227"/>
      <c r="G138" s="225" t="s">
        <v>39</v>
      </c>
      <c r="H138" s="226"/>
      <c r="I138" s="227"/>
    </row>
    <row r="139" spans="1:9" ht="27.9" customHeight="1" x14ac:dyDescent="0.3">
      <c r="A139" s="170"/>
      <c r="B139" s="168"/>
      <c r="C139" s="225" t="s">
        <v>130</v>
      </c>
      <c r="D139" s="226"/>
      <c r="E139" s="226"/>
      <c r="F139" s="227"/>
      <c r="G139" s="225" t="s">
        <v>131</v>
      </c>
      <c r="H139" s="226"/>
      <c r="I139" s="227"/>
    </row>
    <row r="140" spans="1:9" ht="39.9" customHeight="1" x14ac:dyDescent="0.3">
      <c r="A140" s="170"/>
      <c r="B140" s="168"/>
      <c r="C140" s="225" t="s">
        <v>132</v>
      </c>
      <c r="D140" s="226"/>
      <c r="E140" s="226"/>
      <c r="F140" s="227"/>
      <c r="G140" s="225" t="s">
        <v>133</v>
      </c>
      <c r="H140" s="226"/>
      <c r="I140" s="227"/>
    </row>
    <row r="141" spans="1:9" ht="14.4" x14ac:dyDescent="0.3">
      <c r="A141" s="170"/>
      <c r="B141" s="168"/>
      <c r="C141" s="225" t="s">
        <v>134</v>
      </c>
      <c r="D141" s="226"/>
      <c r="E141" s="226"/>
      <c r="F141" s="227"/>
      <c r="G141" s="225" t="s">
        <v>135</v>
      </c>
      <c r="H141" s="226"/>
      <c r="I141" s="227"/>
    </row>
    <row r="142" spans="1:9" ht="27.6" customHeight="1" x14ac:dyDescent="0.3">
      <c r="A142" s="170"/>
      <c r="B142" s="168"/>
      <c r="C142" s="225" t="s">
        <v>136</v>
      </c>
      <c r="D142" s="226"/>
      <c r="E142" s="226"/>
      <c r="F142" s="227"/>
      <c r="G142" s="225" t="s">
        <v>137</v>
      </c>
      <c r="H142" s="226"/>
      <c r="I142" s="227"/>
    </row>
    <row r="143" spans="1:9" ht="29.4" customHeight="1" x14ac:dyDescent="0.3">
      <c r="A143" s="170"/>
      <c r="B143" s="168"/>
      <c r="C143" s="225" t="s">
        <v>138</v>
      </c>
      <c r="D143" s="226"/>
      <c r="E143" s="226"/>
      <c r="F143" s="227"/>
      <c r="G143" s="225" t="s">
        <v>139</v>
      </c>
      <c r="H143" s="226"/>
      <c r="I143" s="227"/>
    </row>
    <row r="144" spans="1:9" ht="29.1" customHeight="1" x14ac:dyDescent="0.3">
      <c r="C144" s="225" t="s">
        <v>140</v>
      </c>
      <c r="D144" s="226"/>
      <c r="E144" s="226"/>
      <c r="F144" s="227"/>
      <c r="G144" s="225" t="s">
        <v>141</v>
      </c>
      <c r="H144" s="226"/>
      <c r="I144" s="227"/>
    </row>
    <row r="146" spans="1:9" ht="16.2" x14ac:dyDescent="0.35">
      <c r="A146" s="142" t="s">
        <v>142</v>
      </c>
      <c r="B146" s="195" t="s">
        <v>143</v>
      </c>
      <c r="C146" s="196"/>
      <c r="D146" s="196"/>
      <c r="E146" s="196"/>
      <c r="F146" s="196"/>
      <c r="G146" s="196"/>
      <c r="H146" s="196"/>
      <c r="I146" s="196"/>
    </row>
    <row r="147" spans="1:9" x14ac:dyDescent="0.3">
      <c r="A147" s="170"/>
      <c r="B147" s="168"/>
      <c r="C147" s="168"/>
      <c r="D147" s="168"/>
      <c r="E147" s="168"/>
      <c r="F147" s="168"/>
      <c r="G147" s="168"/>
      <c r="H147" s="168"/>
      <c r="I147" s="168"/>
    </row>
    <row r="148" spans="1:9" ht="14.4" x14ac:dyDescent="0.3">
      <c r="A148" s="176" t="s">
        <v>144</v>
      </c>
      <c r="B148" s="203" t="s">
        <v>145</v>
      </c>
      <c r="C148" s="198"/>
      <c r="D148" s="198"/>
      <c r="E148" s="198"/>
      <c r="F148" s="198"/>
      <c r="G148" s="198"/>
      <c r="H148" s="198"/>
      <c r="I148" s="198"/>
    </row>
    <row r="149" spans="1:9" x14ac:dyDescent="0.3">
      <c r="A149" s="170"/>
      <c r="B149" s="168"/>
      <c r="C149" s="168"/>
      <c r="D149" s="168"/>
      <c r="E149" s="168"/>
      <c r="F149" s="168"/>
      <c r="G149" s="168"/>
      <c r="H149" s="168"/>
      <c r="I149" s="168"/>
    </row>
    <row r="150" spans="1:9" ht="14.4" x14ac:dyDescent="0.3">
      <c r="A150" s="177" t="s">
        <v>146</v>
      </c>
      <c r="B150" s="203" t="s">
        <v>147</v>
      </c>
      <c r="C150" s="198"/>
      <c r="D150" s="198"/>
      <c r="E150" s="198"/>
      <c r="F150" s="198"/>
      <c r="G150" s="198"/>
      <c r="H150" s="198"/>
      <c r="I150" s="198"/>
    </row>
    <row r="151" spans="1:9" ht="14.4" x14ac:dyDescent="0.3">
      <c r="A151" s="3"/>
      <c r="B151" s="204" t="s">
        <v>6</v>
      </c>
      <c r="C151" s="198"/>
      <c r="D151" s="198"/>
      <c r="E151" s="198"/>
      <c r="F151" s="198"/>
      <c r="G151" s="198"/>
      <c r="H151" s="198"/>
      <c r="I151" s="198"/>
    </row>
    <row r="152" spans="1:9" ht="53.4" customHeight="1" x14ac:dyDescent="0.3">
      <c r="A152" s="60"/>
      <c r="B152" s="200" t="s">
        <v>148</v>
      </c>
      <c r="C152" s="198"/>
      <c r="D152" s="198"/>
      <c r="E152" s="198"/>
      <c r="F152" s="198"/>
      <c r="G152" s="198"/>
      <c r="H152" s="198"/>
      <c r="I152" s="198"/>
    </row>
    <row r="153" spans="1:9" ht="14.4" x14ac:dyDescent="0.3">
      <c r="A153" s="170"/>
      <c r="B153" s="205"/>
      <c r="C153" s="206"/>
      <c r="D153" s="206"/>
      <c r="E153" s="206"/>
      <c r="F153" s="206"/>
      <c r="G153" s="206"/>
      <c r="H153" s="206"/>
      <c r="I153" s="206"/>
    </row>
    <row r="154" spans="1:9" ht="14.4" x14ac:dyDescent="0.3">
      <c r="A154" s="60"/>
      <c r="B154" s="204" t="s">
        <v>0</v>
      </c>
      <c r="C154" s="198"/>
      <c r="D154" s="198"/>
      <c r="E154" s="198"/>
      <c r="F154" s="198"/>
      <c r="G154" s="198"/>
      <c r="H154" s="198"/>
      <c r="I154" s="198"/>
    </row>
    <row r="155" spans="1:9" ht="14.4" x14ac:dyDescent="0.3">
      <c r="B155" s="166" t="s">
        <v>8</v>
      </c>
      <c r="C155" s="200" t="s">
        <v>149</v>
      </c>
      <c r="D155" s="198"/>
      <c r="E155" s="198"/>
      <c r="F155" s="198"/>
      <c r="G155" s="198"/>
      <c r="H155" s="198"/>
      <c r="I155" s="198"/>
    </row>
    <row r="156" spans="1:9" ht="14.4" x14ac:dyDescent="0.3">
      <c r="B156" s="166" t="s">
        <v>8</v>
      </c>
      <c r="C156" s="200" t="s">
        <v>150</v>
      </c>
      <c r="D156" s="198"/>
      <c r="E156" s="198"/>
      <c r="F156" s="198"/>
      <c r="G156" s="198"/>
      <c r="H156" s="198"/>
      <c r="I156" s="198"/>
    </row>
    <row r="157" spans="1:9" ht="14.4" x14ac:dyDescent="0.3">
      <c r="B157" s="166" t="s">
        <v>8</v>
      </c>
      <c r="C157" s="200" t="s">
        <v>151</v>
      </c>
      <c r="D157" s="198"/>
      <c r="E157" s="198"/>
      <c r="F157" s="198"/>
      <c r="G157" s="198"/>
      <c r="H157" s="198"/>
      <c r="I157" s="198"/>
    </row>
    <row r="158" spans="1:9" ht="14.4" customHeight="1" x14ac:dyDescent="0.3"/>
    <row r="159" spans="1:9" ht="14.4" x14ac:dyDescent="0.3">
      <c r="A159" s="177" t="s">
        <v>152</v>
      </c>
      <c r="B159" s="203" t="s">
        <v>153</v>
      </c>
      <c r="C159" s="198"/>
      <c r="D159" s="198"/>
      <c r="E159" s="198"/>
      <c r="F159" s="198"/>
      <c r="G159" s="198"/>
      <c r="H159" s="198"/>
      <c r="I159" s="198"/>
    </row>
    <row r="160" spans="1:9" ht="14.4" x14ac:dyDescent="0.3">
      <c r="A160" s="3"/>
      <c r="B160" s="204" t="s">
        <v>6</v>
      </c>
      <c r="C160" s="198"/>
      <c r="D160" s="198"/>
      <c r="E160" s="198"/>
      <c r="F160" s="198"/>
      <c r="G160" s="198"/>
      <c r="H160" s="198"/>
      <c r="I160" s="198"/>
    </row>
    <row r="161" spans="1:9" ht="29.1" customHeight="1" x14ac:dyDescent="0.3">
      <c r="A161" s="60"/>
      <c r="B161" s="200" t="s">
        <v>154</v>
      </c>
      <c r="C161" s="198"/>
      <c r="D161" s="198"/>
      <c r="E161" s="198"/>
      <c r="F161" s="198"/>
      <c r="G161" s="198"/>
      <c r="H161" s="198"/>
      <c r="I161" s="198"/>
    </row>
    <row r="162" spans="1:9" ht="14.4" x14ac:dyDescent="0.3">
      <c r="A162" s="170"/>
      <c r="B162" s="205"/>
      <c r="C162" s="206"/>
      <c r="D162" s="206"/>
      <c r="E162" s="206"/>
      <c r="F162" s="206"/>
      <c r="G162" s="206"/>
      <c r="H162" s="206"/>
      <c r="I162" s="206"/>
    </row>
    <row r="163" spans="1:9" ht="14.4" x14ac:dyDescent="0.3">
      <c r="A163" s="60"/>
      <c r="B163" s="204" t="s">
        <v>0</v>
      </c>
      <c r="C163" s="198"/>
      <c r="D163" s="198"/>
      <c r="E163" s="198"/>
      <c r="F163" s="198"/>
      <c r="G163" s="198"/>
      <c r="H163" s="198"/>
      <c r="I163" s="198"/>
    </row>
    <row r="164" spans="1:9" ht="14.4" x14ac:dyDescent="0.3">
      <c r="B164" s="166" t="s">
        <v>8</v>
      </c>
      <c r="C164" s="200" t="s">
        <v>149</v>
      </c>
      <c r="D164" s="198"/>
      <c r="E164" s="198"/>
      <c r="F164" s="198"/>
      <c r="G164" s="198"/>
      <c r="H164" s="198"/>
      <c r="I164" s="198"/>
    </row>
    <row r="165" spans="1:9" ht="14.4" x14ac:dyDescent="0.3">
      <c r="B165" s="166" t="s">
        <v>8</v>
      </c>
      <c r="C165" s="200" t="s">
        <v>155</v>
      </c>
      <c r="D165" s="198"/>
      <c r="E165" s="198"/>
      <c r="F165" s="198"/>
      <c r="G165" s="198"/>
      <c r="H165" s="198"/>
      <c r="I165" s="198"/>
    </row>
    <row r="167" spans="1:9" ht="14.4" x14ac:dyDescent="0.3">
      <c r="A167" s="60"/>
      <c r="B167" s="200" t="s">
        <v>156</v>
      </c>
      <c r="C167" s="198"/>
      <c r="D167" s="198"/>
      <c r="E167" s="198"/>
      <c r="F167" s="198"/>
      <c r="G167" s="198"/>
      <c r="H167" s="198"/>
      <c r="I167" s="198"/>
    </row>
    <row r="168" spans="1:9" ht="14.4" x14ac:dyDescent="0.3">
      <c r="A168" s="170"/>
      <c r="B168" s="168"/>
      <c r="C168" s="225" t="s">
        <v>157</v>
      </c>
      <c r="D168" s="226"/>
      <c r="E168" s="226"/>
      <c r="F168" s="227"/>
      <c r="G168" s="225" t="s">
        <v>39</v>
      </c>
      <c r="H168" s="226"/>
      <c r="I168" s="227"/>
    </row>
    <row r="169" spans="1:9" ht="41.1" customHeight="1" x14ac:dyDescent="0.3">
      <c r="A169" s="170"/>
      <c r="B169" s="168"/>
      <c r="C169" s="225" t="s">
        <v>158</v>
      </c>
      <c r="D169" s="226"/>
      <c r="E169" s="226"/>
      <c r="F169" s="227"/>
      <c r="G169" s="225" t="s">
        <v>159</v>
      </c>
      <c r="H169" s="226"/>
      <c r="I169" s="227"/>
    </row>
    <row r="170" spans="1:9" ht="14.4" x14ac:dyDescent="0.3">
      <c r="A170" s="170"/>
      <c r="B170" s="168"/>
      <c r="C170" s="225" t="s">
        <v>160</v>
      </c>
      <c r="D170" s="226"/>
      <c r="E170" s="226"/>
      <c r="F170" s="227"/>
      <c r="G170" s="217" t="s">
        <v>161</v>
      </c>
      <c r="H170" s="218"/>
      <c r="I170" s="219"/>
    </row>
    <row r="171" spans="1:9" ht="14.4" x14ac:dyDescent="0.3">
      <c r="A171" s="170"/>
      <c r="B171" s="168"/>
      <c r="C171" s="225" t="s">
        <v>162</v>
      </c>
      <c r="D171" s="226"/>
      <c r="E171" s="226"/>
      <c r="F171" s="227"/>
      <c r="G171" s="228"/>
      <c r="H171" s="198"/>
      <c r="I171" s="229"/>
    </row>
    <row r="172" spans="1:9" ht="24.6" customHeight="1" x14ac:dyDescent="0.3">
      <c r="A172" s="170"/>
      <c r="B172" s="168"/>
      <c r="C172" s="225" t="s">
        <v>163</v>
      </c>
      <c r="D172" s="226"/>
      <c r="E172" s="226"/>
      <c r="F172" s="227"/>
      <c r="G172" s="230"/>
      <c r="H172" s="223"/>
      <c r="I172" s="224"/>
    </row>
    <row r="173" spans="1:9" ht="27.9" customHeight="1" x14ac:dyDescent="0.3">
      <c r="A173" s="170"/>
      <c r="B173" s="168"/>
      <c r="C173" s="225" t="s">
        <v>164</v>
      </c>
      <c r="D173" s="226"/>
      <c r="E173" s="226"/>
      <c r="F173" s="227"/>
      <c r="G173" s="225" t="s">
        <v>165</v>
      </c>
      <c r="H173" s="226"/>
      <c r="I173" s="227"/>
    </row>
    <row r="174" spans="1:9" ht="42.6" customHeight="1" x14ac:dyDescent="0.3">
      <c r="C174" s="225" t="s">
        <v>166</v>
      </c>
      <c r="D174" s="226"/>
      <c r="E174" s="226"/>
      <c r="F174" s="227"/>
      <c r="G174" s="225" t="s">
        <v>167</v>
      </c>
      <c r="H174" s="226"/>
      <c r="I174" s="227"/>
    </row>
    <row r="176" spans="1:9" ht="30" customHeight="1" x14ac:dyDescent="0.3">
      <c r="B176" s="166" t="s">
        <v>89</v>
      </c>
      <c r="C176" s="207" t="s">
        <v>168</v>
      </c>
      <c r="D176" s="207"/>
      <c r="E176" s="207"/>
      <c r="F176" s="207"/>
      <c r="G176" s="207"/>
      <c r="H176" s="207"/>
      <c r="I176" s="207"/>
    </row>
    <row r="177" spans="1:9" ht="15" customHeight="1" x14ac:dyDescent="0.3">
      <c r="C177" s="165"/>
      <c r="D177" s="165"/>
      <c r="E177" s="165"/>
      <c r="F177" s="165"/>
      <c r="G177" s="165"/>
      <c r="H177" s="165"/>
      <c r="I177" s="165"/>
    </row>
    <row r="178" spans="1:9" ht="14.4" x14ac:dyDescent="0.3">
      <c r="A178" s="177" t="s">
        <v>169</v>
      </c>
      <c r="B178" s="203" t="s">
        <v>170</v>
      </c>
      <c r="C178" s="198"/>
      <c r="D178" s="198"/>
      <c r="E178" s="198"/>
      <c r="F178" s="198"/>
      <c r="G178" s="198"/>
      <c r="H178" s="198"/>
      <c r="I178" s="198"/>
    </row>
    <row r="179" spans="1:9" ht="14.4" x14ac:dyDescent="0.3">
      <c r="A179" s="3"/>
      <c r="B179" s="204" t="s">
        <v>6</v>
      </c>
      <c r="C179" s="198"/>
      <c r="D179" s="198"/>
      <c r="E179" s="198"/>
      <c r="F179" s="198"/>
      <c r="G179" s="198"/>
      <c r="H179" s="198"/>
      <c r="I179" s="198"/>
    </row>
    <row r="180" spans="1:9" ht="79.5" customHeight="1" x14ac:dyDescent="0.3">
      <c r="A180" s="60"/>
      <c r="B180" s="200" t="s">
        <v>171</v>
      </c>
      <c r="C180" s="198"/>
      <c r="D180" s="198"/>
      <c r="E180" s="198"/>
      <c r="F180" s="198"/>
      <c r="G180" s="198"/>
      <c r="H180" s="198"/>
      <c r="I180" s="198"/>
    </row>
    <row r="181" spans="1:9" ht="14.4" x14ac:dyDescent="0.3">
      <c r="A181" s="170"/>
      <c r="B181" s="205"/>
      <c r="C181" s="206"/>
      <c r="D181" s="206"/>
      <c r="E181" s="206"/>
      <c r="F181" s="206"/>
      <c r="G181" s="206"/>
      <c r="H181" s="206"/>
      <c r="I181" s="206"/>
    </row>
    <row r="182" spans="1:9" ht="14.4" customHeight="1" x14ac:dyDescent="0.3">
      <c r="A182" s="60"/>
      <c r="B182" s="204" t="s">
        <v>0</v>
      </c>
      <c r="C182" s="198"/>
      <c r="D182" s="198"/>
      <c r="E182" s="198"/>
      <c r="F182" s="198"/>
      <c r="G182" s="198"/>
      <c r="H182" s="198"/>
      <c r="I182" s="198"/>
    </row>
    <row r="183" spans="1:9" ht="14.4" x14ac:dyDescent="0.3">
      <c r="B183" s="166" t="s">
        <v>8</v>
      </c>
      <c r="C183" s="200" t="s">
        <v>70</v>
      </c>
      <c r="D183" s="198"/>
      <c r="E183" s="198"/>
      <c r="F183" s="198"/>
      <c r="G183" s="198"/>
      <c r="H183" s="198"/>
      <c r="I183" s="198"/>
    </row>
    <row r="184" spans="1:9" ht="14.4" x14ac:dyDescent="0.3">
      <c r="B184" s="166" t="s">
        <v>8</v>
      </c>
      <c r="C184" s="200" t="s">
        <v>172</v>
      </c>
      <c r="D184" s="198"/>
      <c r="E184" s="198"/>
      <c r="F184" s="198"/>
      <c r="G184" s="198"/>
      <c r="H184" s="198"/>
      <c r="I184" s="198"/>
    </row>
    <row r="185" spans="1:9" ht="24" customHeight="1" x14ac:dyDescent="0.3">
      <c r="B185" s="166" t="s">
        <v>8</v>
      </c>
      <c r="C185" s="200" t="s">
        <v>173</v>
      </c>
      <c r="D185" s="198"/>
      <c r="E185" s="198"/>
      <c r="F185" s="198"/>
      <c r="G185" s="198"/>
      <c r="H185" s="198"/>
      <c r="I185" s="198"/>
    </row>
    <row r="186" spans="1:9" ht="26.4" customHeight="1" x14ac:dyDescent="0.3">
      <c r="B186" s="166" t="s">
        <v>8</v>
      </c>
      <c r="C186" s="200" t="s">
        <v>174</v>
      </c>
      <c r="D186" s="198"/>
      <c r="E186" s="198"/>
      <c r="F186" s="198"/>
      <c r="G186" s="198"/>
      <c r="H186" s="198"/>
      <c r="I186" s="198"/>
    </row>
    <row r="187" spans="1:9" ht="27.6" customHeight="1" x14ac:dyDescent="0.3">
      <c r="B187" s="166" t="s">
        <v>8</v>
      </c>
      <c r="C187" s="200" t="s">
        <v>175</v>
      </c>
      <c r="D187" s="198"/>
      <c r="E187" s="198"/>
      <c r="F187" s="198"/>
      <c r="G187" s="198"/>
      <c r="H187" s="198"/>
      <c r="I187" s="198"/>
    </row>
    <row r="189" spans="1:9" ht="14.4" x14ac:dyDescent="0.3">
      <c r="A189" s="177" t="s">
        <v>176</v>
      </c>
      <c r="B189" s="203" t="s">
        <v>177</v>
      </c>
      <c r="C189" s="198"/>
      <c r="D189" s="198"/>
      <c r="E189" s="198"/>
      <c r="F189" s="198"/>
      <c r="G189" s="198"/>
      <c r="H189" s="198"/>
      <c r="I189" s="198"/>
    </row>
    <row r="190" spans="1:9" ht="14.4" x14ac:dyDescent="0.3">
      <c r="A190" s="3"/>
      <c r="B190" s="204" t="s">
        <v>6</v>
      </c>
      <c r="C190" s="198"/>
      <c r="D190" s="198"/>
      <c r="E190" s="198"/>
      <c r="F190" s="198"/>
      <c r="G190" s="198"/>
      <c r="H190" s="198"/>
      <c r="I190" s="198"/>
    </row>
    <row r="191" spans="1:9" ht="26.4" customHeight="1" x14ac:dyDescent="0.3">
      <c r="A191" s="60"/>
      <c r="B191" s="200" t="s">
        <v>178</v>
      </c>
      <c r="C191" s="198"/>
      <c r="D191" s="198"/>
      <c r="E191" s="198"/>
      <c r="F191" s="198"/>
      <c r="G191" s="198"/>
      <c r="H191" s="198"/>
      <c r="I191" s="198"/>
    </row>
    <row r="192" spans="1:9" ht="14.4" x14ac:dyDescent="0.3">
      <c r="A192" s="170"/>
      <c r="B192" s="205"/>
      <c r="C192" s="206"/>
      <c r="D192" s="206"/>
      <c r="E192" s="206"/>
      <c r="F192" s="206"/>
      <c r="G192" s="206"/>
      <c r="H192" s="206"/>
      <c r="I192" s="206"/>
    </row>
    <row r="193" spans="1:9" ht="14.4" x14ac:dyDescent="0.3">
      <c r="A193" s="60"/>
      <c r="B193" s="204" t="s">
        <v>0</v>
      </c>
      <c r="C193" s="198"/>
      <c r="D193" s="198"/>
      <c r="E193" s="198"/>
      <c r="F193" s="198"/>
      <c r="G193" s="198"/>
      <c r="H193" s="198"/>
      <c r="I193" s="198"/>
    </row>
    <row r="194" spans="1:9" ht="14.4" x14ac:dyDescent="0.3">
      <c r="B194" s="166" t="s">
        <v>8</v>
      </c>
      <c r="C194" s="200" t="s">
        <v>179</v>
      </c>
      <c r="D194" s="198"/>
      <c r="E194" s="198"/>
      <c r="F194" s="198"/>
      <c r="G194" s="198"/>
      <c r="H194" s="198"/>
      <c r="I194" s="198"/>
    </row>
    <row r="195" spans="1:9" ht="14.4" x14ac:dyDescent="0.3">
      <c r="B195" s="166" t="s">
        <v>8</v>
      </c>
      <c r="C195" s="200" t="s">
        <v>70</v>
      </c>
      <c r="D195" s="198"/>
      <c r="E195" s="198"/>
      <c r="F195" s="198"/>
      <c r="G195" s="198"/>
      <c r="H195" s="198"/>
      <c r="I195" s="198"/>
    </row>
    <row r="196" spans="1:9" ht="14.4" x14ac:dyDescent="0.3">
      <c r="B196" s="166" t="s">
        <v>8</v>
      </c>
      <c r="C196" s="200" t="s">
        <v>180</v>
      </c>
      <c r="D196" s="198"/>
      <c r="E196" s="198"/>
      <c r="F196" s="198"/>
      <c r="G196" s="198"/>
      <c r="H196" s="198"/>
      <c r="I196" s="198"/>
    </row>
    <row r="197" spans="1:9" ht="14.4" x14ac:dyDescent="0.3">
      <c r="B197" s="166" t="s">
        <v>8</v>
      </c>
      <c r="C197" s="200" t="s">
        <v>181</v>
      </c>
      <c r="D197" s="198"/>
      <c r="E197" s="198"/>
      <c r="F197" s="198"/>
      <c r="G197" s="198"/>
      <c r="H197" s="198"/>
      <c r="I197" s="198"/>
    </row>
    <row r="198" spans="1:9" ht="14.4" x14ac:dyDescent="0.3">
      <c r="C198" s="200"/>
      <c r="D198" s="198"/>
      <c r="E198" s="198"/>
      <c r="F198" s="198"/>
      <c r="G198" s="198"/>
      <c r="H198" s="198"/>
      <c r="I198" s="198"/>
    </row>
    <row r="199" spans="1:9" ht="14.4" x14ac:dyDescent="0.3">
      <c r="A199" s="176" t="s">
        <v>182</v>
      </c>
      <c r="B199" s="203" t="s">
        <v>74</v>
      </c>
      <c r="C199" s="198"/>
      <c r="D199" s="198"/>
      <c r="E199" s="198"/>
      <c r="F199" s="198"/>
      <c r="G199" s="198"/>
      <c r="H199" s="198"/>
      <c r="I199" s="198"/>
    </row>
    <row r="200" spans="1:9" x14ac:dyDescent="0.3">
      <c r="A200" s="170"/>
      <c r="B200" s="168"/>
      <c r="C200" s="168"/>
      <c r="D200" s="168"/>
      <c r="E200" s="168"/>
      <c r="F200" s="168"/>
      <c r="G200" s="168"/>
      <c r="H200" s="168"/>
      <c r="I200" s="168"/>
    </row>
    <row r="201" spans="1:9" ht="14.4" x14ac:dyDescent="0.3">
      <c r="A201" s="177" t="s">
        <v>183</v>
      </c>
      <c r="B201" s="203" t="s">
        <v>184</v>
      </c>
      <c r="C201" s="198"/>
      <c r="D201" s="198"/>
      <c r="E201" s="198"/>
      <c r="F201" s="198"/>
      <c r="G201" s="198"/>
      <c r="H201" s="198"/>
      <c r="I201" s="198"/>
    </row>
    <row r="202" spans="1:9" ht="14.4" x14ac:dyDescent="0.3">
      <c r="A202" s="3"/>
      <c r="B202" s="204" t="s">
        <v>6</v>
      </c>
      <c r="C202" s="198"/>
      <c r="D202" s="198"/>
      <c r="E202" s="198"/>
      <c r="F202" s="198"/>
      <c r="G202" s="198"/>
      <c r="H202" s="198"/>
      <c r="I202" s="198"/>
    </row>
    <row r="203" spans="1:9" ht="14.4" x14ac:dyDescent="0.3">
      <c r="A203" s="60"/>
      <c r="B203" s="200" t="s">
        <v>185</v>
      </c>
      <c r="C203" s="198"/>
      <c r="D203" s="198"/>
      <c r="E203" s="198"/>
      <c r="F203" s="198"/>
      <c r="G203" s="198"/>
      <c r="H203" s="198"/>
      <c r="I203" s="198"/>
    </row>
    <row r="204" spans="1:9" ht="56.1" customHeight="1" x14ac:dyDescent="0.3">
      <c r="A204" s="60"/>
      <c r="B204" s="201" t="s">
        <v>186</v>
      </c>
      <c r="C204" s="202"/>
      <c r="D204" s="202"/>
      <c r="E204" s="202"/>
      <c r="F204" s="202"/>
      <c r="G204" s="202"/>
      <c r="H204" s="202"/>
      <c r="I204" s="202"/>
    </row>
    <row r="205" spans="1:9" ht="10.95" customHeight="1" x14ac:dyDescent="0.3">
      <c r="A205" s="60"/>
      <c r="B205" s="178"/>
      <c r="C205" s="179"/>
      <c r="D205" s="179"/>
      <c r="E205" s="179"/>
      <c r="F205" s="179"/>
      <c r="G205" s="179"/>
      <c r="H205" s="179"/>
      <c r="I205" s="179"/>
    </row>
    <row r="206" spans="1:9" ht="14.4" x14ac:dyDescent="0.3">
      <c r="A206" s="60"/>
      <c r="B206" s="204" t="s">
        <v>0</v>
      </c>
      <c r="C206" s="198"/>
      <c r="D206" s="198"/>
      <c r="E206" s="198"/>
      <c r="F206" s="198"/>
      <c r="G206" s="198"/>
      <c r="H206" s="198"/>
      <c r="I206" s="198"/>
    </row>
    <row r="207" spans="1:9" ht="14.4" x14ac:dyDescent="0.3">
      <c r="B207" s="166" t="s">
        <v>8</v>
      </c>
      <c r="C207" s="200" t="s">
        <v>187</v>
      </c>
      <c r="D207" s="198"/>
      <c r="E207" s="198"/>
      <c r="F207" s="198"/>
      <c r="G207" s="198"/>
      <c r="H207" s="198"/>
      <c r="I207" s="198"/>
    </row>
    <row r="208" spans="1:9" ht="14.4" x14ac:dyDescent="0.3">
      <c r="B208" s="166" t="s">
        <v>8</v>
      </c>
      <c r="C208" s="200" t="s">
        <v>188</v>
      </c>
      <c r="D208" s="198"/>
      <c r="E208" s="198"/>
      <c r="F208" s="198"/>
      <c r="G208" s="198"/>
      <c r="H208" s="198"/>
      <c r="I208" s="198"/>
    </row>
    <row r="209" spans="2:9" ht="28.5" customHeight="1" x14ac:dyDescent="0.3">
      <c r="B209" s="166" t="s">
        <v>8</v>
      </c>
      <c r="C209" s="200" t="s">
        <v>189</v>
      </c>
      <c r="D209" s="198"/>
      <c r="E209" s="198"/>
      <c r="F209" s="198"/>
      <c r="G209" s="198"/>
      <c r="H209" s="198"/>
      <c r="I209" s="198"/>
    </row>
    <row r="210" spans="2:9" ht="27" customHeight="1" x14ac:dyDescent="0.3">
      <c r="B210" s="166" t="s">
        <v>8</v>
      </c>
      <c r="C210" s="200" t="s">
        <v>190</v>
      </c>
      <c r="D210" s="198"/>
      <c r="E210" s="198"/>
      <c r="F210" s="198"/>
      <c r="G210" s="198"/>
      <c r="H210" s="198"/>
      <c r="I210" s="198"/>
    </row>
    <row r="211" spans="2:9" ht="45.9" customHeight="1" x14ac:dyDescent="0.3">
      <c r="B211" s="166" t="s">
        <v>8</v>
      </c>
      <c r="C211" s="200" t="s">
        <v>191</v>
      </c>
      <c r="D211" s="198"/>
      <c r="E211" s="198"/>
      <c r="F211" s="198"/>
      <c r="G211" s="198"/>
      <c r="H211" s="198"/>
      <c r="I211" s="198"/>
    </row>
    <row r="212" spans="2:9" ht="15.6" customHeight="1" x14ac:dyDescent="0.3">
      <c r="B212" s="200" t="s">
        <v>192</v>
      </c>
      <c r="C212" s="198"/>
      <c r="D212" s="198"/>
      <c r="E212" s="198"/>
      <c r="F212" s="198"/>
      <c r="G212" s="198"/>
      <c r="H212" s="198"/>
      <c r="I212" s="198"/>
    </row>
    <row r="213" spans="2:9" ht="15.6" customHeight="1" x14ac:dyDescent="0.3">
      <c r="B213" s="168"/>
      <c r="C213" s="225" t="s">
        <v>193</v>
      </c>
      <c r="D213" s="226"/>
      <c r="E213" s="226"/>
      <c r="F213" s="227"/>
      <c r="G213" s="225" t="s">
        <v>194</v>
      </c>
      <c r="H213" s="226"/>
      <c r="I213" s="227"/>
    </row>
    <row r="214" spans="2:9" ht="15.6" customHeight="1" x14ac:dyDescent="0.3">
      <c r="B214" s="168"/>
      <c r="C214" s="225" t="s">
        <v>195</v>
      </c>
      <c r="D214" s="226"/>
      <c r="E214" s="226"/>
      <c r="F214" s="227"/>
      <c r="G214" s="225" t="s">
        <v>196</v>
      </c>
      <c r="H214" s="226"/>
      <c r="I214" s="227"/>
    </row>
    <row r="215" spans="2:9" ht="13.5" customHeight="1" x14ac:dyDescent="0.3">
      <c r="B215" s="168"/>
      <c r="C215" s="225" t="s">
        <v>197</v>
      </c>
      <c r="D215" s="226"/>
      <c r="E215" s="226"/>
      <c r="F215" s="227"/>
      <c r="G215" s="225" t="s">
        <v>198</v>
      </c>
      <c r="H215" s="226"/>
      <c r="I215" s="227"/>
    </row>
    <row r="216" spans="2:9" ht="13.5" customHeight="1" x14ac:dyDescent="0.3">
      <c r="B216" s="168"/>
      <c r="C216" s="225" t="s">
        <v>199</v>
      </c>
      <c r="D216" s="226"/>
      <c r="E216" s="226"/>
      <c r="F216" s="227"/>
      <c r="G216" s="225" t="s">
        <v>200</v>
      </c>
      <c r="H216" s="226"/>
      <c r="I216" s="227"/>
    </row>
    <row r="217" spans="2:9" ht="13.5" customHeight="1" x14ac:dyDescent="0.3">
      <c r="B217" s="168"/>
      <c r="C217" s="225" t="s">
        <v>201</v>
      </c>
      <c r="D217" s="226"/>
      <c r="E217" s="226"/>
      <c r="F217" s="227"/>
      <c r="G217" s="225" t="s">
        <v>202</v>
      </c>
      <c r="H217" s="226"/>
      <c r="I217" s="227"/>
    </row>
    <row r="218" spans="2:9" ht="14.1" customHeight="1" x14ac:dyDescent="0.3">
      <c r="B218" s="168"/>
      <c r="C218" s="225" t="s">
        <v>203</v>
      </c>
      <c r="D218" s="226"/>
      <c r="E218" s="226"/>
      <c r="F218" s="227"/>
      <c r="G218" s="225"/>
      <c r="H218" s="226"/>
      <c r="I218" s="227"/>
    </row>
    <row r="219" spans="2:9" ht="16.5" customHeight="1" x14ac:dyDescent="0.3">
      <c r="C219" s="225" t="s">
        <v>204</v>
      </c>
      <c r="D219" s="226"/>
      <c r="E219" s="226"/>
      <c r="F219" s="227"/>
      <c r="G219" s="225"/>
      <c r="H219" s="226"/>
      <c r="I219" s="227"/>
    </row>
    <row r="220" spans="2:9" ht="15" customHeight="1" x14ac:dyDescent="0.3">
      <c r="C220" s="225" t="s">
        <v>205</v>
      </c>
      <c r="D220" s="226"/>
      <c r="E220" s="226"/>
      <c r="F220" s="227"/>
      <c r="G220" s="225" t="s">
        <v>206</v>
      </c>
      <c r="H220" s="226"/>
      <c r="I220" s="227"/>
    </row>
    <row r="221" spans="2:9" ht="14.4" customHeight="1" x14ac:dyDescent="0.3">
      <c r="C221" s="225" t="s">
        <v>207</v>
      </c>
      <c r="D221" s="226"/>
      <c r="E221" s="226"/>
      <c r="F221" s="227"/>
      <c r="G221" s="225" t="s">
        <v>208</v>
      </c>
      <c r="H221" s="226"/>
      <c r="I221" s="227"/>
    </row>
    <row r="222" spans="2:9" ht="14.4" customHeight="1" x14ac:dyDescent="0.3">
      <c r="C222" s="225" t="s">
        <v>209</v>
      </c>
      <c r="D222" s="226"/>
      <c r="E222" s="226"/>
      <c r="F222" s="227"/>
      <c r="G222" s="225" t="s">
        <v>210</v>
      </c>
      <c r="H222" s="226"/>
      <c r="I222" s="227"/>
    </row>
    <row r="223" spans="2:9" ht="14.4" customHeight="1" x14ac:dyDescent="0.3">
      <c r="C223" s="225" t="s">
        <v>211</v>
      </c>
      <c r="D223" s="226"/>
      <c r="E223" s="226"/>
      <c r="F223" s="227"/>
      <c r="G223" s="225"/>
      <c r="H223" s="226"/>
      <c r="I223" s="227"/>
    </row>
    <row r="224" spans="2:9" ht="14.4" customHeight="1" x14ac:dyDescent="0.3">
      <c r="C224" s="225" t="s">
        <v>212</v>
      </c>
      <c r="D224" s="226"/>
      <c r="E224" s="226"/>
      <c r="F224" s="227"/>
      <c r="G224" s="225"/>
      <c r="H224" s="226"/>
      <c r="I224" s="227"/>
    </row>
    <row r="225" spans="1:9" ht="41.1" customHeight="1" x14ac:dyDescent="0.3">
      <c r="C225" s="225" t="s">
        <v>213</v>
      </c>
      <c r="D225" s="226"/>
      <c r="E225" s="226"/>
      <c r="F225" s="227"/>
      <c r="G225" s="225" t="s">
        <v>214</v>
      </c>
      <c r="H225" s="226"/>
      <c r="I225" s="227"/>
    </row>
    <row r="226" spans="1:9" ht="14.4" customHeight="1" x14ac:dyDescent="0.3">
      <c r="D226" s="165"/>
      <c r="E226" s="165"/>
      <c r="F226" s="165"/>
      <c r="H226" s="165"/>
      <c r="I226" s="165"/>
    </row>
    <row r="227" spans="1:9" x14ac:dyDescent="0.3">
      <c r="A227" s="177" t="s">
        <v>215</v>
      </c>
      <c r="B227" s="203" t="s">
        <v>216</v>
      </c>
      <c r="C227" s="203"/>
      <c r="D227" s="203"/>
      <c r="E227" s="203"/>
      <c r="F227" s="203"/>
      <c r="G227" s="203"/>
      <c r="H227" s="203"/>
      <c r="I227" s="203"/>
    </row>
    <row r="228" spans="1:9" x14ac:dyDescent="0.3">
      <c r="A228" s="3"/>
      <c r="B228" s="204" t="s">
        <v>6</v>
      </c>
      <c r="C228" s="204"/>
      <c r="D228" s="204"/>
      <c r="E228" s="204"/>
      <c r="F228" s="204"/>
      <c r="G228" s="204"/>
      <c r="H228" s="204"/>
      <c r="I228" s="204"/>
    </row>
    <row r="229" spans="1:9" ht="28.95" customHeight="1" x14ac:dyDescent="0.3">
      <c r="A229" s="60"/>
      <c r="B229" s="200" t="s">
        <v>217</v>
      </c>
      <c r="C229" s="200"/>
      <c r="D229" s="200"/>
      <c r="E229" s="200"/>
      <c r="F229" s="200"/>
      <c r="G229" s="200"/>
      <c r="H229" s="200"/>
      <c r="I229" s="200"/>
    </row>
    <row r="230" spans="1:9" ht="30.6" customHeight="1" x14ac:dyDescent="0.3">
      <c r="A230" s="60"/>
      <c r="B230" s="200" t="s">
        <v>218</v>
      </c>
      <c r="C230" s="198"/>
      <c r="D230" s="198"/>
      <c r="E230" s="198"/>
      <c r="F230" s="198"/>
      <c r="G230" s="198"/>
      <c r="H230" s="198"/>
      <c r="I230" s="198"/>
    </row>
    <row r="231" spans="1:9" ht="29.4" customHeight="1" x14ac:dyDescent="0.3">
      <c r="A231" s="60"/>
      <c r="B231" s="200" t="s">
        <v>219</v>
      </c>
      <c r="C231" s="198"/>
      <c r="D231" s="198"/>
      <c r="E231" s="198"/>
      <c r="F231" s="198"/>
      <c r="G231" s="198"/>
      <c r="H231" s="198"/>
      <c r="I231" s="198"/>
    </row>
    <row r="232" spans="1:9" ht="14.4" customHeight="1" x14ac:dyDescent="0.3">
      <c r="A232" s="170"/>
      <c r="B232" s="205"/>
      <c r="C232" s="205"/>
      <c r="D232" s="205"/>
      <c r="E232" s="205"/>
      <c r="F232" s="205"/>
      <c r="G232" s="205"/>
      <c r="H232" s="205"/>
      <c r="I232" s="205"/>
    </row>
    <row r="233" spans="1:9" ht="14.4" customHeight="1" x14ac:dyDescent="0.3">
      <c r="A233" s="60"/>
      <c r="B233" s="204" t="s">
        <v>0</v>
      </c>
      <c r="C233" s="204"/>
      <c r="D233" s="204"/>
      <c r="E233" s="204"/>
      <c r="F233" s="204"/>
      <c r="G233" s="204"/>
      <c r="H233" s="204"/>
      <c r="I233" s="204"/>
    </row>
    <row r="234" spans="1:9" ht="14.4" customHeight="1" x14ac:dyDescent="0.3">
      <c r="B234" s="166" t="s">
        <v>8</v>
      </c>
      <c r="C234" s="200" t="s">
        <v>102</v>
      </c>
      <c r="D234" s="200"/>
      <c r="E234" s="200"/>
      <c r="F234" s="200"/>
      <c r="G234" s="200"/>
      <c r="H234" s="200"/>
      <c r="I234" s="200"/>
    </row>
    <row r="235" spans="1:9" ht="39.9" customHeight="1" x14ac:dyDescent="0.3">
      <c r="B235" s="166" t="s">
        <v>8</v>
      </c>
      <c r="C235" s="200" t="s">
        <v>220</v>
      </c>
      <c r="D235" s="200"/>
      <c r="E235" s="200"/>
      <c r="F235" s="200"/>
      <c r="G235" s="200"/>
      <c r="H235" s="200"/>
      <c r="I235" s="200"/>
    </row>
    <row r="236" spans="1:9" ht="41.1" customHeight="1" x14ac:dyDescent="0.3">
      <c r="B236" s="166" t="s">
        <v>8</v>
      </c>
      <c r="C236" s="200" t="s">
        <v>221</v>
      </c>
      <c r="D236" s="200"/>
      <c r="E236" s="200"/>
      <c r="F236" s="200"/>
      <c r="G236" s="200"/>
      <c r="H236" s="200"/>
      <c r="I236" s="200"/>
    </row>
    <row r="237" spans="1:9" ht="42" customHeight="1" x14ac:dyDescent="0.3">
      <c r="A237" s="60"/>
      <c r="B237" s="166" t="s">
        <v>8</v>
      </c>
      <c r="C237" s="200" t="s">
        <v>222</v>
      </c>
      <c r="D237" s="200"/>
      <c r="E237" s="200"/>
      <c r="F237" s="200"/>
      <c r="G237" s="200"/>
      <c r="H237" s="200"/>
      <c r="I237" s="200"/>
    </row>
    <row r="238" spans="1:9" x14ac:dyDescent="0.3">
      <c r="A238" s="170"/>
    </row>
    <row r="239" spans="1:9" ht="14.4" customHeight="1" x14ac:dyDescent="0.3">
      <c r="A239" s="170"/>
      <c r="B239" s="200" t="s">
        <v>223</v>
      </c>
      <c r="C239" s="200"/>
      <c r="D239" s="200"/>
      <c r="E239" s="200"/>
      <c r="F239" s="200"/>
      <c r="G239" s="200"/>
      <c r="H239" s="200"/>
      <c r="I239" s="200"/>
    </row>
    <row r="241" spans="1:9" ht="27.9" customHeight="1" x14ac:dyDescent="0.3">
      <c r="C241" s="180" t="s">
        <v>224</v>
      </c>
      <c r="D241" s="180" t="s">
        <v>225</v>
      </c>
      <c r="E241" s="180" t="s">
        <v>226</v>
      </c>
      <c r="F241" s="180" t="s">
        <v>227</v>
      </c>
      <c r="G241" s="180" t="s">
        <v>228</v>
      </c>
    </row>
    <row r="242" spans="1:9" ht="26.1" customHeight="1" x14ac:dyDescent="0.3">
      <c r="C242" s="180" t="s">
        <v>229</v>
      </c>
      <c r="D242" s="180" t="s">
        <v>230</v>
      </c>
      <c r="E242" s="180" t="s">
        <v>231</v>
      </c>
      <c r="F242" s="180" t="s">
        <v>232</v>
      </c>
      <c r="G242" s="180" t="s">
        <v>233</v>
      </c>
      <c r="H242" s="165"/>
      <c r="I242" s="165"/>
    </row>
    <row r="244" spans="1:9" ht="53.4" customHeight="1" x14ac:dyDescent="0.3">
      <c r="C244" s="217" t="s">
        <v>234</v>
      </c>
      <c r="D244" s="218"/>
      <c r="E244" s="218"/>
      <c r="F244" s="218"/>
      <c r="G244" s="219"/>
      <c r="H244" s="165"/>
      <c r="I244" s="165"/>
    </row>
    <row r="245" spans="1:9" ht="71.099999999999994" customHeight="1" x14ac:dyDescent="0.3">
      <c r="C245" s="220" t="s">
        <v>235</v>
      </c>
      <c r="D245" s="202"/>
      <c r="E245" s="202"/>
      <c r="F245" s="202"/>
      <c r="G245" s="221"/>
    </row>
    <row r="246" spans="1:9" ht="42.9" customHeight="1" x14ac:dyDescent="0.3">
      <c r="C246" s="222" t="s">
        <v>236</v>
      </c>
      <c r="D246" s="223"/>
      <c r="E246" s="223"/>
      <c r="F246" s="223"/>
      <c r="G246" s="224"/>
    </row>
    <row r="248" spans="1:9" ht="14.4" x14ac:dyDescent="0.3">
      <c r="A248" s="177" t="s">
        <v>237</v>
      </c>
      <c r="B248" s="203" t="s">
        <v>238</v>
      </c>
      <c r="C248" s="198"/>
      <c r="D248" s="198"/>
      <c r="E248" s="198"/>
      <c r="F248" s="198"/>
      <c r="G248" s="198"/>
      <c r="H248" s="198"/>
      <c r="I248" s="198"/>
    </row>
    <row r="249" spans="1:9" ht="14.4" x14ac:dyDescent="0.3">
      <c r="A249" s="3"/>
      <c r="B249" s="204" t="s">
        <v>6</v>
      </c>
      <c r="C249" s="198"/>
      <c r="D249" s="198"/>
      <c r="E249" s="198"/>
      <c r="F249" s="198"/>
      <c r="G249" s="198"/>
      <c r="H249" s="198"/>
      <c r="I249" s="198"/>
    </row>
    <row r="250" spans="1:9" ht="14.4" x14ac:dyDescent="0.3">
      <c r="A250" s="60"/>
      <c r="B250" s="200" t="s">
        <v>239</v>
      </c>
      <c r="C250" s="198"/>
      <c r="D250" s="198"/>
      <c r="E250" s="198"/>
      <c r="F250" s="198"/>
      <c r="G250" s="198"/>
      <c r="H250" s="198"/>
      <c r="I250" s="198"/>
    </row>
    <row r="251" spans="1:9" ht="14.4" x14ac:dyDescent="0.3">
      <c r="A251" s="170"/>
      <c r="B251" s="205"/>
      <c r="C251" s="206"/>
      <c r="D251" s="206"/>
      <c r="E251" s="206"/>
      <c r="F251" s="206"/>
      <c r="G251" s="206"/>
      <c r="H251" s="206"/>
      <c r="I251" s="206"/>
    </row>
    <row r="252" spans="1:9" ht="14.4" x14ac:dyDescent="0.3">
      <c r="A252" s="60"/>
      <c r="B252" s="204" t="s">
        <v>0</v>
      </c>
      <c r="C252" s="198"/>
      <c r="D252" s="198"/>
      <c r="E252" s="198"/>
      <c r="F252" s="198"/>
      <c r="G252" s="198"/>
      <c r="H252" s="198"/>
      <c r="I252" s="198"/>
    </row>
    <row r="253" spans="1:9" ht="14.4" x14ac:dyDescent="0.3">
      <c r="B253" s="166" t="s">
        <v>8</v>
      </c>
      <c r="C253" s="200" t="s">
        <v>102</v>
      </c>
      <c r="D253" s="198"/>
      <c r="E253" s="198"/>
      <c r="F253" s="198"/>
      <c r="G253" s="198"/>
      <c r="H253" s="198"/>
      <c r="I253" s="198"/>
    </row>
    <row r="254" spans="1:9" ht="14.4" x14ac:dyDescent="0.3">
      <c r="B254" s="166" t="s">
        <v>8</v>
      </c>
      <c r="C254" s="200" t="s">
        <v>240</v>
      </c>
      <c r="D254" s="198"/>
      <c r="E254" s="198"/>
      <c r="F254" s="198"/>
      <c r="G254" s="198"/>
      <c r="H254" s="198"/>
      <c r="I254" s="198"/>
    </row>
    <row r="256" spans="1:9" ht="14.4" x14ac:dyDescent="0.3">
      <c r="A256" s="177" t="s">
        <v>241</v>
      </c>
      <c r="B256" s="203" t="s">
        <v>242</v>
      </c>
      <c r="C256" s="198"/>
      <c r="D256" s="198"/>
      <c r="E256" s="198"/>
      <c r="F256" s="198"/>
      <c r="G256" s="198"/>
      <c r="H256" s="198"/>
      <c r="I256" s="198"/>
    </row>
    <row r="257" spans="1:9" ht="14.4" x14ac:dyDescent="0.3">
      <c r="A257" s="3"/>
      <c r="B257" s="204" t="s">
        <v>6</v>
      </c>
      <c r="C257" s="198"/>
      <c r="D257" s="198"/>
      <c r="E257" s="198"/>
      <c r="F257" s="198"/>
      <c r="G257" s="198"/>
      <c r="H257" s="198"/>
      <c r="I257" s="198"/>
    </row>
    <row r="258" spans="1:9" ht="24.9" customHeight="1" x14ac:dyDescent="0.3">
      <c r="A258" s="60"/>
      <c r="B258" s="200" t="s">
        <v>243</v>
      </c>
      <c r="C258" s="198"/>
      <c r="D258" s="198"/>
      <c r="E258" s="198"/>
      <c r="F258" s="198"/>
      <c r="G258" s="198"/>
      <c r="H258" s="198"/>
      <c r="I258" s="198"/>
    </row>
    <row r="259" spans="1:9" ht="14.4" x14ac:dyDescent="0.3">
      <c r="A259" s="170"/>
      <c r="B259" s="205"/>
      <c r="C259" s="206"/>
      <c r="D259" s="206"/>
      <c r="E259" s="206"/>
      <c r="F259" s="206"/>
      <c r="G259" s="206"/>
      <c r="H259" s="206"/>
      <c r="I259" s="206"/>
    </row>
    <row r="260" spans="1:9" ht="14.4" x14ac:dyDescent="0.3">
      <c r="A260" s="60"/>
      <c r="B260" s="204" t="s">
        <v>0</v>
      </c>
      <c r="C260" s="198"/>
      <c r="D260" s="198"/>
      <c r="E260" s="198"/>
      <c r="F260" s="198"/>
      <c r="G260" s="198"/>
      <c r="H260" s="198"/>
      <c r="I260" s="198"/>
    </row>
    <row r="261" spans="1:9" ht="14.4" x14ac:dyDescent="0.3">
      <c r="B261" s="166" t="s">
        <v>8</v>
      </c>
      <c r="C261" s="200" t="s">
        <v>70</v>
      </c>
      <c r="D261" s="198"/>
      <c r="E261" s="198"/>
      <c r="F261" s="198"/>
      <c r="G261" s="198"/>
      <c r="H261" s="198"/>
      <c r="I261" s="198"/>
    </row>
    <row r="262" spans="1:9" ht="30.6" customHeight="1" x14ac:dyDescent="0.3">
      <c r="B262" s="166" t="s">
        <v>8</v>
      </c>
      <c r="C262" s="200" t="s">
        <v>244</v>
      </c>
      <c r="D262" s="198"/>
      <c r="E262" s="198"/>
      <c r="F262" s="198"/>
      <c r="G262" s="198"/>
      <c r="H262" s="198"/>
      <c r="I262" s="198"/>
    </row>
    <row r="263" spans="1:9" ht="29.1" customHeight="1" x14ac:dyDescent="0.3">
      <c r="B263" s="166" t="s">
        <v>8</v>
      </c>
      <c r="C263" s="200" t="s">
        <v>245</v>
      </c>
      <c r="D263" s="198"/>
      <c r="E263" s="198"/>
      <c r="F263" s="198"/>
      <c r="G263" s="198"/>
      <c r="H263" s="198"/>
      <c r="I263" s="198"/>
    </row>
    <row r="264" spans="1:9" ht="14.4" x14ac:dyDescent="0.3">
      <c r="C264" s="200"/>
      <c r="D264" s="198"/>
      <c r="E264" s="198"/>
      <c r="F264" s="198"/>
      <c r="G264" s="198"/>
      <c r="H264" s="198"/>
      <c r="I264" s="198"/>
    </row>
    <row r="265" spans="1:9" ht="14.4" x14ac:dyDescent="0.3">
      <c r="A265" s="177" t="s">
        <v>246</v>
      </c>
      <c r="B265" s="203" t="s">
        <v>247</v>
      </c>
      <c r="C265" s="198"/>
      <c r="D265" s="198"/>
      <c r="E265" s="198"/>
      <c r="F265" s="198"/>
      <c r="G265" s="198"/>
      <c r="H265" s="198"/>
      <c r="I265" s="198"/>
    </row>
    <row r="266" spans="1:9" ht="14.4" x14ac:dyDescent="0.3">
      <c r="A266" s="3"/>
      <c r="B266" s="204" t="s">
        <v>6</v>
      </c>
      <c r="C266" s="198"/>
      <c r="D266" s="198"/>
      <c r="E266" s="198"/>
      <c r="F266" s="198"/>
      <c r="G266" s="198"/>
      <c r="H266" s="198"/>
      <c r="I266" s="198"/>
    </row>
    <row r="267" spans="1:9" ht="28.5" customHeight="1" x14ac:dyDescent="0.3">
      <c r="A267" s="60"/>
      <c r="B267" s="200" t="s">
        <v>248</v>
      </c>
      <c r="C267" s="198"/>
      <c r="D267" s="198"/>
      <c r="E267" s="198"/>
      <c r="F267" s="198"/>
      <c r="G267" s="198"/>
      <c r="H267" s="198"/>
      <c r="I267" s="198"/>
    </row>
    <row r="268" spans="1:9" ht="42" customHeight="1" x14ac:dyDescent="0.3">
      <c r="A268" s="60"/>
      <c r="B268" s="201" t="s">
        <v>249</v>
      </c>
      <c r="C268" s="202"/>
      <c r="D268" s="202"/>
      <c r="E268" s="202"/>
      <c r="F268" s="202"/>
      <c r="G268" s="202"/>
      <c r="H268" s="202"/>
      <c r="I268" s="202"/>
    </row>
    <row r="269" spans="1:9" ht="14.4" x14ac:dyDescent="0.3">
      <c r="A269" s="170"/>
      <c r="B269" s="205"/>
      <c r="C269" s="206"/>
      <c r="D269" s="206"/>
      <c r="E269" s="206"/>
      <c r="F269" s="206"/>
      <c r="G269" s="206"/>
      <c r="H269" s="206"/>
      <c r="I269" s="206"/>
    </row>
    <row r="270" spans="1:9" ht="14.4" x14ac:dyDescent="0.3">
      <c r="A270" s="60"/>
      <c r="B270" s="204" t="s">
        <v>0</v>
      </c>
      <c r="C270" s="198"/>
      <c r="D270" s="198"/>
      <c r="E270" s="198"/>
      <c r="F270" s="198"/>
      <c r="G270" s="198"/>
      <c r="H270" s="198"/>
      <c r="I270" s="198"/>
    </row>
    <row r="271" spans="1:9" ht="14.4" x14ac:dyDescent="0.3">
      <c r="B271" s="166" t="s">
        <v>8</v>
      </c>
      <c r="C271" s="200" t="s">
        <v>187</v>
      </c>
      <c r="D271" s="198"/>
      <c r="E271" s="198"/>
      <c r="F271" s="198"/>
      <c r="G271" s="198"/>
      <c r="H271" s="198"/>
      <c r="I271" s="198"/>
    </row>
    <row r="272" spans="1:9" ht="27.6" customHeight="1" x14ac:dyDescent="0.3">
      <c r="B272" s="166" t="s">
        <v>8</v>
      </c>
      <c r="C272" s="200" t="s">
        <v>250</v>
      </c>
      <c r="D272" s="198"/>
      <c r="E272" s="198"/>
      <c r="F272" s="198"/>
      <c r="G272" s="198"/>
      <c r="H272" s="198"/>
      <c r="I272" s="198"/>
    </row>
    <row r="273" spans="1:9" ht="41.1" customHeight="1" x14ac:dyDescent="0.3">
      <c r="B273" s="166" t="s">
        <v>8</v>
      </c>
      <c r="C273" s="200" t="s">
        <v>251</v>
      </c>
      <c r="D273" s="198"/>
      <c r="E273" s="198"/>
      <c r="F273" s="198"/>
      <c r="G273" s="198"/>
      <c r="H273" s="198"/>
      <c r="I273" s="198"/>
    </row>
    <row r="274" spans="1:9" ht="18" customHeight="1" x14ac:dyDescent="0.3">
      <c r="B274" s="166" t="s">
        <v>8</v>
      </c>
      <c r="C274" s="200" t="s">
        <v>252</v>
      </c>
      <c r="D274" s="198"/>
      <c r="E274" s="198"/>
      <c r="F274" s="198"/>
      <c r="G274" s="198"/>
      <c r="H274" s="198"/>
      <c r="I274" s="198"/>
    </row>
    <row r="275" spans="1:9" ht="44.4" customHeight="1" x14ac:dyDescent="0.3">
      <c r="B275" s="166" t="s">
        <v>8</v>
      </c>
      <c r="C275" s="200" t="s">
        <v>253</v>
      </c>
      <c r="D275" s="198"/>
      <c r="E275" s="198"/>
      <c r="F275" s="198"/>
      <c r="G275" s="198"/>
      <c r="H275" s="198"/>
      <c r="I275" s="198"/>
    </row>
    <row r="277" spans="1:9" ht="14.4" x14ac:dyDescent="0.3">
      <c r="A277" s="177" t="s">
        <v>254</v>
      </c>
      <c r="B277" s="203" t="s">
        <v>255</v>
      </c>
      <c r="C277" s="198"/>
      <c r="D277" s="198"/>
      <c r="E277" s="198"/>
      <c r="F277" s="198"/>
      <c r="G277" s="198"/>
      <c r="H277" s="198"/>
      <c r="I277" s="198"/>
    </row>
    <row r="278" spans="1:9" ht="14.4" x14ac:dyDescent="0.3">
      <c r="A278" s="3"/>
      <c r="B278" s="204" t="s">
        <v>6</v>
      </c>
      <c r="C278" s="198"/>
      <c r="D278" s="198"/>
      <c r="E278" s="198"/>
      <c r="F278" s="198"/>
      <c r="G278" s="198"/>
      <c r="H278" s="198"/>
      <c r="I278" s="198"/>
    </row>
    <row r="279" spans="1:9" ht="24.9" customHeight="1" x14ac:dyDescent="0.3">
      <c r="A279" s="60"/>
      <c r="B279" s="200" t="s">
        <v>256</v>
      </c>
      <c r="C279" s="198"/>
      <c r="D279" s="198"/>
      <c r="E279" s="198"/>
      <c r="F279" s="198"/>
      <c r="G279" s="198"/>
      <c r="H279" s="198"/>
      <c r="I279" s="198"/>
    </row>
    <row r="280" spans="1:9" ht="14.4" x14ac:dyDescent="0.3">
      <c r="A280" s="170"/>
      <c r="B280" s="205"/>
      <c r="C280" s="206"/>
      <c r="D280" s="206"/>
      <c r="E280" s="206"/>
      <c r="F280" s="206"/>
      <c r="G280" s="206"/>
      <c r="H280" s="206"/>
      <c r="I280" s="206"/>
    </row>
    <row r="281" spans="1:9" ht="14.4" x14ac:dyDescent="0.3">
      <c r="A281" s="60"/>
      <c r="B281" s="204" t="s">
        <v>0</v>
      </c>
      <c r="C281" s="198"/>
      <c r="D281" s="198"/>
      <c r="E281" s="198"/>
      <c r="F281" s="198"/>
      <c r="G281" s="198"/>
      <c r="H281" s="198"/>
      <c r="I281" s="198"/>
    </row>
    <row r="282" spans="1:9" ht="14.4" x14ac:dyDescent="0.3">
      <c r="B282" s="166" t="s">
        <v>8</v>
      </c>
      <c r="C282" s="200" t="s">
        <v>187</v>
      </c>
      <c r="D282" s="198"/>
      <c r="E282" s="198"/>
      <c r="F282" s="198"/>
      <c r="G282" s="198"/>
      <c r="H282" s="198"/>
      <c r="I282" s="198"/>
    </row>
    <row r="283" spans="1:9" ht="24.9" customHeight="1" x14ac:dyDescent="0.3">
      <c r="B283" s="166" t="s">
        <v>8</v>
      </c>
      <c r="C283" s="200" t="s">
        <v>257</v>
      </c>
      <c r="D283" s="198"/>
      <c r="E283" s="198"/>
      <c r="F283" s="198"/>
      <c r="G283" s="198"/>
      <c r="H283" s="198"/>
      <c r="I283" s="198"/>
    </row>
    <row r="284" spans="1:9" ht="26.1" customHeight="1" x14ac:dyDescent="0.3">
      <c r="B284" s="166" t="s">
        <v>8</v>
      </c>
      <c r="C284" s="200" t="s">
        <v>258</v>
      </c>
      <c r="D284" s="198"/>
      <c r="E284" s="198"/>
      <c r="F284" s="198"/>
      <c r="G284" s="198"/>
      <c r="H284" s="198"/>
      <c r="I284" s="198"/>
    </row>
    <row r="287" spans="1:9" ht="14.4" x14ac:dyDescent="0.3">
      <c r="A287" s="177" t="s">
        <v>259</v>
      </c>
      <c r="B287" s="203" t="s">
        <v>260</v>
      </c>
      <c r="C287" s="198"/>
      <c r="D287" s="198"/>
      <c r="E287" s="198"/>
      <c r="F287" s="198"/>
      <c r="G287" s="198"/>
      <c r="H287" s="198"/>
      <c r="I287" s="198"/>
    </row>
    <row r="288" spans="1:9" ht="14.4" x14ac:dyDescent="0.3">
      <c r="A288" s="3"/>
      <c r="B288" s="204" t="s">
        <v>6</v>
      </c>
      <c r="C288" s="198"/>
      <c r="D288" s="198"/>
      <c r="E288" s="198"/>
      <c r="F288" s="198"/>
      <c r="G288" s="198"/>
      <c r="H288" s="198"/>
      <c r="I288" s="198"/>
    </row>
    <row r="289" spans="1:9" ht="39" customHeight="1" x14ac:dyDescent="0.3">
      <c r="A289" s="60"/>
      <c r="B289" s="200" t="s">
        <v>261</v>
      </c>
      <c r="C289" s="198"/>
      <c r="D289" s="198"/>
      <c r="E289" s="198"/>
      <c r="F289" s="198"/>
      <c r="G289" s="198"/>
      <c r="H289" s="198"/>
      <c r="I289" s="198"/>
    </row>
    <row r="290" spans="1:9" ht="14.4" x14ac:dyDescent="0.3">
      <c r="A290" s="170"/>
      <c r="B290" s="205"/>
      <c r="C290" s="206"/>
      <c r="D290" s="206"/>
      <c r="E290" s="206"/>
      <c r="F290" s="206"/>
      <c r="G290" s="206"/>
      <c r="H290" s="206"/>
      <c r="I290" s="206"/>
    </row>
    <row r="291" spans="1:9" ht="14.4" x14ac:dyDescent="0.3">
      <c r="A291" s="60"/>
      <c r="B291" s="204" t="s">
        <v>0</v>
      </c>
      <c r="C291" s="198"/>
      <c r="D291" s="198"/>
      <c r="E291" s="198"/>
      <c r="F291" s="198"/>
      <c r="G291" s="198"/>
      <c r="H291" s="198"/>
      <c r="I291" s="198"/>
    </row>
    <row r="292" spans="1:9" ht="14.4" x14ac:dyDescent="0.3">
      <c r="B292" s="166" t="s">
        <v>8</v>
      </c>
      <c r="C292" s="200" t="s">
        <v>102</v>
      </c>
      <c r="D292" s="198"/>
      <c r="E292" s="198"/>
      <c r="F292" s="198"/>
      <c r="G292" s="198"/>
      <c r="H292" s="198"/>
      <c r="I292" s="198"/>
    </row>
    <row r="293" spans="1:9" ht="27" customHeight="1" x14ac:dyDescent="0.3">
      <c r="B293" s="166" t="s">
        <v>8</v>
      </c>
      <c r="C293" s="200" t="s">
        <v>262</v>
      </c>
      <c r="D293" s="198"/>
      <c r="E293" s="198"/>
      <c r="F293" s="198"/>
      <c r="G293" s="198"/>
      <c r="H293" s="198"/>
      <c r="I293" s="198"/>
    </row>
    <row r="294" spans="1:9" ht="24.9" customHeight="1" x14ac:dyDescent="0.3">
      <c r="B294" s="166" t="s">
        <v>8</v>
      </c>
      <c r="C294" s="200" t="s">
        <v>263</v>
      </c>
      <c r="D294" s="198"/>
      <c r="E294" s="198"/>
      <c r="F294" s="198"/>
      <c r="G294" s="198"/>
      <c r="H294" s="198"/>
      <c r="I294" s="198"/>
    </row>
    <row r="295" spans="1:9" ht="27" customHeight="1" x14ac:dyDescent="0.3">
      <c r="B295" s="166" t="s">
        <v>8</v>
      </c>
      <c r="C295" s="200" t="s">
        <v>264</v>
      </c>
      <c r="D295" s="198"/>
      <c r="E295" s="198"/>
      <c r="F295" s="198"/>
      <c r="G295" s="198"/>
      <c r="H295" s="198"/>
      <c r="I295" s="198"/>
    </row>
    <row r="296" spans="1:9" ht="14.4" x14ac:dyDescent="0.3">
      <c r="B296" s="166" t="s">
        <v>8</v>
      </c>
      <c r="C296" s="200" t="s">
        <v>265</v>
      </c>
      <c r="D296" s="198"/>
      <c r="E296" s="198"/>
      <c r="F296" s="198"/>
      <c r="G296" s="198"/>
      <c r="H296" s="198"/>
      <c r="I296" s="198"/>
    </row>
    <row r="297" spans="1:9" ht="41.4" customHeight="1" x14ac:dyDescent="0.3">
      <c r="B297" s="166" t="s">
        <v>8</v>
      </c>
      <c r="C297" s="200" t="s">
        <v>253</v>
      </c>
      <c r="D297" s="198"/>
      <c r="E297" s="198"/>
      <c r="F297" s="198"/>
      <c r="G297" s="198"/>
      <c r="H297" s="198"/>
      <c r="I297" s="198"/>
    </row>
    <row r="299" spans="1:9" ht="14.4" x14ac:dyDescent="0.3">
      <c r="A299" s="177" t="s">
        <v>266</v>
      </c>
      <c r="B299" s="203" t="s">
        <v>267</v>
      </c>
      <c r="C299" s="198"/>
      <c r="D299" s="198"/>
      <c r="E299" s="198"/>
      <c r="F299" s="198"/>
      <c r="G299" s="198"/>
      <c r="H299" s="198"/>
      <c r="I299" s="198"/>
    </row>
    <row r="300" spans="1:9" ht="14.4" x14ac:dyDescent="0.3">
      <c r="A300" s="3"/>
      <c r="B300" s="204" t="s">
        <v>6</v>
      </c>
      <c r="C300" s="198"/>
      <c r="D300" s="198"/>
      <c r="E300" s="198"/>
      <c r="F300" s="198"/>
      <c r="G300" s="198"/>
      <c r="H300" s="198"/>
      <c r="I300" s="198"/>
    </row>
    <row r="301" spans="1:9" ht="49.5" customHeight="1" x14ac:dyDescent="0.3">
      <c r="A301" s="60"/>
      <c r="B301" s="200" t="s">
        <v>268</v>
      </c>
      <c r="C301" s="198"/>
      <c r="D301" s="198"/>
      <c r="E301" s="198"/>
      <c r="F301" s="198"/>
      <c r="G301" s="198"/>
      <c r="H301" s="198"/>
      <c r="I301" s="198"/>
    </row>
    <row r="302" spans="1:9" ht="14.4" x14ac:dyDescent="0.3">
      <c r="A302" s="60"/>
      <c r="B302" s="204" t="s">
        <v>0</v>
      </c>
      <c r="C302" s="198"/>
      <c r="D302" s="198"/>
      <c r="E302" s="198"/>
      <c r="F302" s="198"/>
      <c r="G302" s="198"/>
      <c r="H302" s="198"/>
      <c r="I302" s="198"/>
    </row>
    <row r="303" spans="1:9" ht="15.9" customHeight="1" x14ac:dyDescent="0.3">
      <c r="B303" s="166" t="s">
        <v>8</v>
      </c>
      <c r="C303" s="200" t="s">
        <v>269</v>
      </c>
      <c r="D303" s="198"/>
      <c r="E303" s="198"/>
      <c r="F303" s="198"/>
      <c r="G303" s="198"/>
      <c r="H303" s="198"/>
      <c r="I303" s="198"/>
    </row>
    <row r="304" spans="1:9" ht="39.9" customHeight="1" x14ac:dyDescent="0.3">
      <c r="B304" s="166" t="s">
        <v>8</v>
      </c>
      <c r="C304" s="200" t="s">
        <v>270</v>
      </c>
      <c r="D304" s="198"/>
      <c r="E304" s="198"/>
      <c r="F304" s="198"/>
      <c r="G304" s="198"/>
      <c r="H304" s="198"/>
      <c r="I304" s="198"/>
    </row>
    <row r="305" spans="1:9" ht="27.9" customHeight="1" x14ac:dyDescent="0.3">
      <c r="B305" s="166" t="s">
        <v>8</v>
      </c>
      <c r="C305" s="200" t="s">
        <v>271</v>
      </c>
      <c r="D305" s="198"/>
      <c r="E305" s="198"/>
      <c r="F305" s="198"/>
      <c r="G305" s="198"/>
      <c r="H305" s="198"/>
      <c r="I305" s="198"/>
    </row>
    <row r="306" spans="1:9" ht="27.9" customHeight="1" x14ac:dyDescent="0.3">
      <c r="B306" s="166" t="s">
        <v>8</v>
      </c>
      <c r="C306" s="200" t="s">
        <v>272</v>
      </c>
      <c r="D306" s="198"/>
      <c r="E306" s="198"/>
      <c r="F306" s="198"/>
      <c r="G306" s="198"/>
      <c r="H306" s="198"/>
      <c r="I306" s="198"/>
    </row>
    <row r="307" spans="1:9" ht="14.4" customHeight="1" x14ac:dyDescent="0.3">
      <c r="C307" s="200"/>
      <c r="D307" s="198"/>
      <c r="E307" s="198"/>
      <c r="F307" s="198"/>
      <c r="G307" s="198"/>
      <c r="H307" s="198"/>
      <c r="I307" s="198"/>
    </row>
    <row r="308" spans="1:9" ht="14.4" customHeight="1" x14ac:dyDescent="0.3">
      <c r="A308" s="177" t="s">
        <v>273</v>
      </c>
      <c r="B308" s="203" t="s">
        <v>274</v>
      </c>
      <c r="C308" s="203"/>
      <c r="D308" s="203"/>
      <c r="E308" s="203"/>
      <c r="F308" s="203"/>
      <c r="G308" s="203"/>
      <c r="H308" s="203"/>
      <c r="I308" s="203"/>
    </row>
    <row r="309" spans="1:9" ht="14.4" customHeight="1" x14ac:dyDescent="0.3">
      <c r="A309" s="3"/>
      <c r="B309" s="204" t="s">
        <v>6</v>
      </c>
      <c r="C309" s="204"/>
      <c r="D309" s="204"/>
      <c r="E309" s="204"/>
      <c r="F309" s="204"/>
      <c r="G309" s="204"/>
      <c r="H309" s="204"/>
      <c r="I309" s="204"/>
    </row>
    <row r="310" spans="1:9" ht="28.5" customHeight="1" x14ac:dyDescent="0.3">
      <c r="A310" s="60"/>
      <c r="B310" s="200" t="s">
        <v>275</v>
      </c>
      <c r="C310" s="200"/>
      <c r="D310" s="200"/>
      <c r="E310" s="200"/>
      <c r="F310" s="200"/>
      <c r="G310" s="200"/>
      <c r="H310" s="200"/>
      <c r="I310" s="200"/>
    </row>
    <row r="311" spans="1:9" ht="54.9" customHeight="1" x14ac:dyDescent="0.3">
      <c r="A311" s="60"/>
      <c r="B311" s="213" t="s">
        <v>276</v>
      </c>
      <c r="C311" s="213"/>
      <c r="D311" s="213"/>
      <c r="E311" s="213"/>
      <c r="F311" s="213"/>
      <c r="G311" s="213"/>
      <c r="H311" s="213"/>
      <c r="I311" s="213"/>
    </row>
    <row r="312" spans="1:9" x14ac:dyDescent="0.3">
      <c r="A312" s="170"/>
      <c r="B312" s="205" t="s">
        <v>277</v>
      </c>
      <c r="C312" s="205"/>
      <c r="D312" s="205"/>
      <c r="E312" s="205"/>
      <c r="F312" s="205"/>
      <c r="G312" s="205"/>
      <c r="H312" s="205"/>
      <c r="I312" s="205"/>
    </row>
    <row r="313" spans="1:9" x14ac:dyDescent="0.3">
      <c r="A313" s="170"/>
      <c r="B313" s="168"/>
      <c r="C313" s="168"/>
      <c r="D313" s="168"/>
      <c r="E313" s="168"/>
      <c r="F313" s="168"/>
      <c r="G313" s="168"/>
      <c r="H313" s="168"/>
      <c r="I313" s="168"/>
    </row>
    <row r="314" spans="1:9" ht="57" customHeight="1" x14ac:dyDescent="0.3">
      <c r="A314" s="170"/>
      <c r="B314" s="200" t="s">
        <v>278</v>
      </c>
      <c r="C314" s="198"/>
      <c r="D314" s="198"/>
      <c r="E314" s="198"/>
      <c r="F314" s="198"/>
      <c r="G314" s="198"/>
      <c r="H314" s="198"/>
      <c r="I314" s="198"/>
    </row>
    <row r="315" spans="1:9" ht="12.9" customHeight="1" x14ac:dyDescent="0.3">
      <c r="A315" s="170"/>
      <c r="B315" s="166" t="s">
        <v>21</v>
      </c>
      <c r="C315" s="207" t="s">
        <v>279</v>
      </c>
      <c r="D315" s="207"/>
      <c r="E315" s="207"/>
      <c r="F315" s="207"/>
      <c r="G315" s="207"/>
      <c r="H315" s="207"/>
      <c r="I315" s="207"/>
    </row>
    <row r="316" spans="1:9" ht="15.9" customHeight="1" x14ac:dyDescent="0.3">
      <c r="A316" s="170"/>
      <c r="B316" s="168"/>
      <c r="C316" s="169"/>
      <c r="D316" s="169"/>
      <c r="E316" s="169"/>
      <c r="F316" s="169"/>
      <c r="G316" s="169"/>
      <c r="H316" s="169"/>
      <c r="I316" s="169"/>
    </row>
    <row r="317" spans="1:9" ht="14.4" customHeight="1" x14ac:dyDescent="0.3">
      <c r="A317" s="60"/>
      <c r="B317" s="204" t="s">
        <v>0</v>
      </c>
      <c r="C317" s="204"/>
      <c r="D317" s="204"/>
      <c r="E317" s="204"/>
      <c r="F317" s="204"/>
      <c r="G317" s="204"/>
      <c r="H317" s="204"/>
      <c r="I317" s="204"/>
    </row>
    <row r="318" spans="1:9" ht="14.4" x14ac:dyDescent="0.3">
      <c r="B318" s="166" t="s">
        <v>8</v>
      </c>
      <c r="C318" s="200" t="s">
        <v>187</v>
      </c>
      <c r="D318" s="198"/>
      <c r="E318" s="198"/>
      <c r="F318" s="198"/>
      <c r="G318" s="198"/>
      <c r="H318" s="198"/>
      <c r="I318" s="198"/>
    </row>
    <row r="319" spans="1:9" ht="26.1" customHeight="1" x14ac:dyDescent="0.3">
      <c r="B319" s="166" t="s">
        <v>8</v>
      </c>
      <c r="C319" s="200" t="s">
        <v>280</v>
      </c>
      <c r="D319" s="198"/>
      <c r="E319" s="198"/>
      <c r="F319" s="198"/>
      <c r="G319" s="198"/>
      <c r="H319" s="198"/>
      <c r="I319" s="198"/>
    </row>
    <row r="320" spans="1:9" ht="28.2" customHeight="1" x14ac:dyDescent="0.3">
      <c r="B320" s="166" t="s">
        <v>8</v>
      </c>
      <c r="C320" s="200" t="s">
        <v>1740</v>
      </c>
      <c r="D320" s="198"/>
      <c r="E320" s="198"/>
      <c r="F320" s="198"/>
      <c r="G320" s="198"/>
      <c r="H320" s="198"/>
      <c r="I320" s="198"/>
    </row>
    <row r="321" spans="1:9" ht="27.6" customHeight="1" x14ac:dyDescent="0.3">
      <c r="B321" s="166" t="s">
        <v>8</v>
      </c>
      <c r="C321" s="200" t="s">
        <v>281</v>
      </c>
      <c r="D321" s="198"/>
      <c r="E321" s="198"/>
      <c r="F321" s="198"/>
      <c r="G321" s="198"/>
      <c r="H321" s="198"/>
      <c r="I321" s="198"/>
    </row>
    <row r="322" spans="1:9" ht="29.4" customHeight="1" x14ac:dyDescent="0.3">
      <c r="B322" s="166" t="s">
        <v>8</v>
      </c>
      <c r="C322" s="200" t="s">
        <v>282</v>
      </c>
      <c r="D322" s="198"/>
      <c r="E322" s="198"/>
      <c r="F322" s="198"/>
      <c r="G322" s="198"/>
      <c r="H322" s="198"/>
      <c r="I322" s="198"/>
    </row>
    <row r="324" spans="1:9" ht="14.4" customHeight="1" x14ac:dyDescent="0.3">
      <c r="A324" s="177" t="s">
        <v>283</v>
      </c>
      <c r="B324" s="203" t="s">
        <v>284</v>
      </c>
      <c r="C324" s="203"/>
      <c r="D324" s="203"/>
      <c r="E324" s="203"/>
      <c r="F324" s="203"/>
      <c r="G324" s="203"/>
      <c r="H324" s="203"/>
      <c r="I324" s="203"/>
    </row>
    <row r="325" spans="1:9" ht="14.4" customHeight="1" x14ac:dyDescent="0.3">
      <c r="A325" s="3"/>
      <c r="B325" s="204" t="s">
        <v>6</v>
      </c>
      <c r="C325" s="204"/>
      <c r="D325" s="204"/>
      <c r="E325" s="204"/>
      <c r="F325" s="204"/>
      <c r="G325" s="204"/>
      <c r="H325" s="204"/>
      <c r="I325" s="204"/>
    </row>
    <row r="326" spans="1:9" ht="42.9" customHeight="1" x14ac:dyDescent="0.3">
      <c r="A326" s="60"/>
      <c r="B326" s="200" t="s">
        <v>285</v>
      </c>
      <c r="C326" s="200"/>
      <c r="D326" s="200"/>
      <c r="E326" s="200"/>
      <c r="F326" s="200"/>
      <c r="G326" s="200"/>
      <c r="H326" s="200"/>
      <c r="I326" s="200"/>
    </row>
    <row r="327" spans="1:9" ht="11.4" customHeight="1" x14ac:dyDescent="0.3">
      <c r="A327" s="170"/>
      <c r="B327" s="205"/>
      <c r="C327" s="205"/>
      <c r="D327" s="205"/>
      <c r="E327" s="205"/>
      <c r="F327" s="205"/>
      <c r="G327" s="205"/>
      <c r="H327" s="205"/>
      <c r="I327" s="205"/>
    </row>
    <row r="328" spans="1:9" ht="14.4" customHeight="1" x14ac:dyDescent="0.3">
      <c r="A328" s="60"/>
      <c r="B328" s="204" t="s">
        <v>0</v>
      </c>
      <c r="C328" s="204"/>
      <c r="D328" s="204"/>
      <c r="E328" s="204"/>
      <c r="F328" s="204"/>
      <c r="G328" s="204"/>
      <c r="H328" s="204"/>
      <c r="I328" s="204"/>
    </row>
    <row r="329" spans="1:9" ht="14.4" x14ac:dyDescent="0.3">
      <c r="B329" s="166" t="s">
        <v>8</v>
      </c>
      <c r="C329" s="200" t="s">
        <v>187</v>
      </c>
      <c r="D329" s="198"/>
      <c r="E329" s="198"/>
      <c r="F329" s="198"/>
      <c r="G329" s="198"/>
      <c r="H329" s="198"/>
      <c r="I329" s="198"/>
    </row>
    <row r="330" spans="1:9" ht="14.4" x14ac:dyDescent="0.3">
      <c r="B330" s="166" t="s">
        <v>8</v>
      </c>
      <c r="C330" s="200" t="s">
        <v>286</v>
      </c>
      <c r="D330" s="198"/>
      <c r="E330" s="198"/>
      <c r="F330" s="198"/>
      <c r="G330" s="198"/>
      <c r="H330" s="198"/>
      <c r="I330" s="198"/>
    </row>
    <row r="331" spans="1:9" ht="42.6" customHeight="1" x14ac:dyDescent="0.3">
      <c r="B331" s="166" t="s">
        <v>8</v>
      </c>
      <c r="C331" s="200" t="s">
        <v>253</v>
      </c>
      <c r="D331" s="198"/>
      <c r="E331" s="198"/>
      <c r="F331" s="198"/>
      <c r="G331" s="198"/>
      <c r="H331" s="198"/>
      <c r="I331" s="198"/>
    </row>
    <row r="333" spans="1:9" ht="14.4" x14ac:dyDescent="0.3">
      <c r="A333" s="177" t="s">
        <v>287</v>
      </c>
      <c r="B333" s="203" t="s">
        <v>288</v>
      </c>
      <c r="C333" s="198"/>
      <c r="D333" s="198"/>
      <c r="E333" s="198"/>
      <c r="F333" s="198"/>
      <c r="G333" s="198"/>
      <c r="H333" s="198"/>
      <c r="I333" s="198"/>
    </row>
    <row r="334" spans="1:9" ht="14.4" x14ac:dyDescent="0.3">
      <c r="A334" s="3"/>
      <c r="B334" s="204" t="s">
        <v>6</v>
      </c>
      <c r="C334" s="198"/>
      <c r="D334" s="198"/>
      <c r="E334" s="198"/>
      <c r="F334" s="198"/>
      <c r="G334" s="198"/>
      <c r="H334" s="198"/>
      <c r="I334" s="198"/>
    </row>
    <row r="335" spans="1:9" ht="27.9" customHeight="1" x14ac:dyDescent="0.3">
      <c r="A335" s="60"/>
      <c r="B335" s="200" t="s">
        <v>289</v>
      </c>
      <c r="C335" s="198"/>
      <c r="D335" s="198"/>
      <c r="E335" s="198"/>
      <c r="F335" s="198"/>
      <c r="G335" s="198"/>
      <c r="H335" s="198"/>
      <c r="I335" s="198"/>
    </row>
    <row r="336" spans="1:9" ht="14.4" x14ac:dyDescent="0.3">
      <c r="A336" s="170"/>
      <c r="B336" s="205"/>
      <c r="C336" s="206"/>
      <c r="D336" s="206"/>
      <c r="E336" s="206"/>
      <c r="F336" s="206"/>
      <c r="G336" s="206"/>
      <c r="H336" s="206"/>
      <c r="I336" s="206"/>
    </row>
    <row r="337" spans="1:9" ht="14.4" x14ac:dyDescent="0.3">
      <c r="A337" s="60"/>
      <c r="B337" s="204" t="s">
        <v>0</v>
      </c>
      <c r="C337" s="198"/>
      <c r="D337" s="198"/>
      <c r="E337" s="198"/>
      <c r="F337" s="198"/>
      <c r="G337" s="198"/>
      <c r="H337" s="198"/>
      <c r="I337" s="198"/>
    </row>
    <row r="338" spans="1:9" ht="26.1" customHeight="1" x14ac:dyDescent="0.3">
      <c r="B338" s="166" t="s">
        <v>8</v>
      </c>
      <c r="C338" s="200" t="s">
        <v>290</v>
      </c>
      <c r="D338" s="198"/>
      <c r="E338" s="198"/>
      <c r="F338" s="198"/>
      <c r="G338" s="198"/>
      <c r="H338" s="198"/>
      <c r="I338" s="198"/>
    </row>
    <row r="339" spans="1:9" ht="14.4" x14ac:dyDescent="0.3">
      <c r="B339" s="166" t="s">
        <v>8</v>
      </c>
      <c r="C339" s="200" t="s">
        <v>291</v>
      </c>
      <c r="D339" s="198"/>
      <c r="E339" s="198"/>
      <c r="F339" s="198"/>
      <c r="G339" s="198"/>
      <c r="H339" s="198"/>
      <c r="I339" s="198"/>
    </row>
    <row r="340" spans="1:9" ht="64.5" customHeight="1" x14ac:dyDescent="0.3">
      <c r="B340" s="166" t="s">
        <v>8</v>
      </c>
      <c r="C340" s="200" t="s">
        <v>292</v>
      </c>
      <c r="D340" s="198"/>
      <c r="E340" s="198"/>
      <c r="F340" s="198"/>
      <c r="G340" s="198"/>
      <c r="H340" s="198"/>
      <c r="I340" s="198"/>
    </row>
    <row r="341" spans="1:9" ht="26.1" customHeight="1" x14ac:dyDescent="0.3">
      <c r="B341" s="166" t="s">
        <v>8</v>
      </c>
      <c r="C341" s="200" t="s">
        <v>293</v>
      </c>
      <c r="D341" s="198"/>
      <c r="E341" s="198"/>
      <c r="F341" s="198"/>
      <c r="G341" s="198"/>
      <c r="H341" s="198"/>
      <c r="I341" s="198"/>
    </row>
    <row r="342" spans="1:9" ht="40.5" customHeight="1" x14ac:dyDescent="0.3">
      <c r="B342" s="166" t="s">
        <v>8</v>
      </c>
      <c r="C342" s="200" t="s">
        <v>294</v>
      </c>
      <c r="D342" s="198"/>
      <c r="E342" s="198"/>
      <c r="F342" s="198"/>
      <c r="G342" s="198"/>
      <c r="H342" s="198"/>
      <c r="I342" s="198"/>
    </row>
    <row r="343" spans="1:9" ht="24.9" customHeight="1" x14ac:dyDescent="0.3">
      <c r="B343" s="166" t="s">
        <v>8</v>
      </c>
      <c r="C343" s="200" t="s">
        <v>295</v>
      </c>
      <c r="D343" s="198"/>
      <c r="E343" s="198"/>
      <c r="F343" s="198"/>
      <c r="G343" s="198"/>
      <c r="H343" s="198"/>
      <c r="I343" s="198"/>
    </row>
    <row r="344" spans="1:9" ht="26.4" customHeight="1" x14ac:dyDescent="0.3">
      <c r="B344" s="166" t="s">
        <v>8</v>
      </c>
      <c r="C344" s="200" t="s">
        <v>296</v>
      </c>
      <c r="D344" s="198"/>
      <c r="E344" s="198"/>
      <c r="F344" s="198"/>
      <c r="G344" s="198"/>
      <c r="H344" s="198"/>
      <c r="I344" s="198"/>
    </row>
    <row r="345" spans="1:9" ht="38.1" customHeight="1" x14ac:dyDescent="0.3">
      <c r="B345" s="166" t="s">
        <v>8</v>
      </c>
      <c r="C345" s="200" t="s">
        <v>297</v>
      </c>
      <c r="D345" s="198"/>
      <c r="E345" s="198"/>
      <c r="F345" s="198"/>
      <c r="G345" s="198"/>
      <c r="H345" s="198"/>
      <c r="I345" s="198"/>
    </row>
    <row r="346" spans="1:9" ht="15.9" customHeight="1" x14ac:dyDescent="0.3">
      <c r="B346" s="166" t="s">
        <v>21</v>
      </c>
      <c r="C346" s="207" t="s">
        <v>298</v>
      </c>
      <c r="D346" s="208"/>
      <c r="E346" s="208"/>
      <c r="F346" s="208"/>
      <c r="G346" s="208"/>
      <c r="H346" s="208"/>
      <c r="I346" s="208"/>
    </row>
    <row r="347" spans="1:9" x14ac:dyDescent="0.3">
      <c r="C347" s="200"/>
      <c r="D347" s="200"/>
      <c r="E347" s="200"/>
      <c r="F347" s="200"/>
      <c r="G347" s="200"/>
      <c r="H347" s="200"/>
      <c r="I347" s="200"/>
    </row>
    <row r="348" spans="1:9" ht="14.4" x14ac:dyDescent="0.3">
      <c r="A348" s="177" t="s">
        <v>299</v>
      </c>
      <c r="B348" s="203" t="s">
        <v>300</v>
      </c>
      <c r="C348" s="198"/>
      <c r="D348" s="198"/>
      <c r="E348" s="198"/>
      <c r="F348" s="198"/>
      <c r="G348" s="198"/>
      <c r="H348" s="198"/>
      <c r="I348" s="198"/>
    </row>
    <row r="349" spans="1:9" ht="14.4" x14ac:dyDescent="0.3">
      <c r="A349" s="3"/>
      <c r="B349" s="204" t="s">
        <v>6</v>
      </c>
      <c r="C349" s="198"/>
      <c r="D349" s="198"/>
      <c r="E349" s="198"/>
      <c r="F349" s="198"/>
      <c r="G349" s="198"/>
      <c r="H349" s="198"/>
      <c r="I349" s="198"/>
    </row>
    <row r="350" spans="1:9" ht="30.6" customHeight="1" x14ac:dyDescent="0.3">
      <c r="A350" s="60"/>
      <c r="B350" s="200" t="s">
        <v>301</v>
      </c>
      <c r="C350" s="198"/>
      <c r="D350" s="198"/>
      <c r="E350" s="198"/>
      <c r="F350" s="198"/>
      <c r="G350" s="198"/>
      <c r="H350" s="198"/>
      <c r="I350" s="198"/>
    </row>
    <row r="351" spans="1:9" ht="14.4" x14ac:dyDescent="0.3">
      <c r="A351" s="170"/>
      <c r="B351" s="205"/>
      <c r="C351" s="206"/>
      <c r="D351" s="206"/>
      <c r="E351" s="206"/>
      <c r="F351" s="206"/>
      <c r="G351" s="206"/>
      <c r="H351" s="206"/>
      <c r="I351" s="206"/>
    </row>
    <row r="352" spans="1:9" ht="14.4" x14ac:dyDescent="0.3">
      <c r="A352" s="60"/>
      <c r="B352" s="204" t="s">
        <v>0</v>
      </c>
      <c r="C352" s="198"/>
      <c r="D352" s="198"/>
      <c r="E352" s="198"/>
      <c r="F352" s="198"/>
      <c r="G352" s="198"/>
      <c r="H352" s="198"/>
      <c r="I352" s="198"/>
    </row>
    <row r="353" spans="1:9" ht="14.4" x14ac:dyDescent="0.3">
      <c r="B353" s="166" t="s">
        <v>8</v>
      </c>
      <c r="C353" s="200" t="s">
        <v>187</v>
      </c>
      <c r="D353" s="198"/>
      <c r="E353" s="198"/>
      <c r="F353" s="198"/>
      <c r="G353" s="198"/>
      <c r="H353" s="198"/>
      <c r="I353" s="198"/>
    </row>
    <row r="354" spans="1:9" ht="14.4" x14ac:dyDescent="0.3">
      <c r="B354" s="166" t="s">
        <v>8</v>
      </c>
      <c r="C354" s="200" t="s">
        <v>302</v>
      </c>
      <c r="D354" s="198"/>
      <c r="E354" s="198"/>
      <c r="F354" s="198"/>
      <c r="G354" s="198"/>
      <c r="H354" s="198"/>
      <c r="I354" s="198"/>
    </row>
    <row r="355" spans="1:9" ht="14.4" x14ac:dyDescent="0.3">
      <c r="B355" s="166" t="s">
        <v>8</v>
      </c>
      <c r="C355" s="200" t="s">
        <v>303</v>
      </c>
      <c r="D355" s="198"/>
      <c r="E355" s="198"/>
      <c r="F355" s="198"/>
      <c r="G355" s="198"/>
      <c r="H355" s="198"/>
      <c r="I355" s="198"/>
    </row>
    <row r="356" spans="1:9" ht="28.5" customHeight="1" x14ac:dyDescent="0.3">
      <c r="B356" s="166" t="s">
        <v>8</v>
      </c>
      <c r="C356" s="200" t="s">
        <v>304</v>
      </c>
      <c r="D356" s="198"/>
      <c r="E356" s="198"/>
      <c r="F356" s="198"/>
      <c r="G356" s="198"/>
      <c r="H356" s="198"/>
      <c r="I356" s="198"/>
    </row>
    <row r="357" spans="1:9" ht="76.5" customHeight="1" x14ac:dyDescent="0.3">
      <c r="C357" s="201" t="s">
        <v>305</v>
      </c>
      <c r="D357" s="202"/>
      <c r="E357" s="202"/>
      <c r="F357" s="202"/>
      <c r="G357" s="202"/>
      <c r="H357" s="202"/>
      <c r="I357" s="202"/>
    </row>
    <row r="358" spans="1:9" ht="27" customHeight="1" x14ac:dyDescent="0.3">
      <c r="B358" s="166" t="s">
        <v>21</v>
      </c>
      <c r="C358" s="215" t="s">
        <v>306</v>
      </c>
      <c r="D358" s="216"/>
      <c r="E358" s="216"/>
      <c r="F358" s="216"/>
      <c r="G358" s="216"/>
      <c r="H358" s="216"/>
      <c r="I358" s="216"/>
    </row>
    <row r="359" spans="1:9" ht="18" customHeight="1" x14ac:dyDescent="0.3">
      <c r="B359" s="166" t="s">
        <v>23</v>
      </c>
      <c r="C359" s="215" t="s">
        <v>307</v>
      </c>
      <c r="D359" s="216"/>
      <c r="E359" s="216"/>
      <c r="F359" s="216"/>
      <c r="G359" s="216"/>
      <c r="H359" s="216"/>
      <c r="I359" s="216"/>
    </row>
    <row r="361" spans="1:9" ht="14.4" x14ac:dyDescent="0.3">
      <c r="A361" s="177" t="s">
        <v>308</v>
      </c>
      <c r="B361" s="203" t="s">
        <v>309</v>
      </c>
      <c r="C361" s="198"/>
      <c r="D361" s="198"/>
      <c r="E361" s="198"/>
      <c r="F361" s="198"/>
      <c r="G361" s="198"/>
      <c r="H361" s="198"/>
      <c r="I361" s="198"/>
    </row>
    <row r="362" spans="1:9" ht="14.4" x14ac:dyDescent="0.3">
      <c r="A362" s="3"/>
      <c r="B362" s="204" t="s">
        <v>6</v>
      </c>
      <c r="C362" s="198"/>
      <c r="D362" s="198"/>
      <c r="E362" s="198"/>
      <c r="F362" s="198"/>
      <c r="G362" s="198"/>
      <c r="H362" s="198"/>
      <c r="I362" s="198"/>
    </row>
    <row r="363" spans="1:9" ht="39.9" customHeight="1" x14ac:dyDescent="0.3">
      <c r="A363" s="60"/>
      <c r="B363" s="200" t="s">
        <v>310</v>
      </c>
      <c r="C363" s="198"/>
      <c r="D363" s="198"/>
      <c r="E363" s="198"/>
      <c r="F363" s="198"/>
      <c r="G363" s="198"/>
      <c r="H363" s="198"/>
      <c r="I363" s="198"/>
    </row>
    <row r="364" spans="1:9" ht="14.4" x14ac:dyDescent="0.3">
      <c r="A364" s="60"/>
      <c r="C364" s="165"/>
      <c r="D364" s="165"/>
      <c r="E364" s="165"/>
      <c r="F364" s="165"/>
      <c r="G364" s="165"/>
      <c r="H364" s="165"/>
      <c r="I364" s="165"/>
    </row>
    <row r="365" spans="1:9" ht="14.4" x14ac:dyDescent="0.3">
      <c r="A365" s="60"/>
      <c r="B365" s="204" t="s">
        <v>0</v>
      </c>
      <c r="C365" s="198"/>
      <c r="D365" s="198"/>
      <c r="E365" s="198"/>
      <c r="F365" s="198"/>
      <c r="G365" s="198"/>
      <c r="H365" s="198"/>
      <c r="I365" s="198"/>
    </row>
    <row r="366" spans="1:9" ht="14.4" x14ac:dyDescent="0.3">
      <c r="B366" s="166" t="s">
        <v>8</v>
      </c>
      <c r="C366" s="200" t="s">
        <v>70</v>
      </c>
      <c r="D366" s="198"/>
      <c r="E366" s="198"/>
      <c r="F366" s="198"/>
      <c r="G366" s="198"/>
      <c r="H366" s="198"/>
      <c r="I366" s="198"/>
    </row>
    <row r="367" spans="1:9" ht="41.1" customHeight="1" x14ac:dyDescent="0.3">
      <c r="B367" s="166" t="s">
        <v>8</v>
      </c>
      <c r="C367" s="200" t="s">
        <v>311</v>
      </c>
      <c r="D367" s="198"/>
      <c r="E367" s="198"/>
      <c r="F367" s="198"/>
      <c r="G367" s="198"/>
      <c r="H367" s="198"/>
      <c r="I367" s="198"/>
    </row>
    <row r="368" spans="1:9" ht="14.4" customHeight="1" x14ac:dyDescent="0.3">
      <c r="D368" s="165"/>
      <c r="E368" s="165"/>
      <c r="F368" s="165"/>
      <c r="G368" s="165"/>
      <c r="H368" s="165"/>
      <c r="I368" s="165"/>
    </row>
    <row r="369" spans="1:9" ht="14.4" x14ac:dyDescent="0.3">
      <c r="A369" s="176" t="s">
        <v>312</v>
      </c>
      <c r="B369" s="203" t="s">
        <v>97</v>
      </c>
      <c r="C369" s="198"/>
      <c r="D369" s="198"/>
      <c r="E369" s="198"/>
      <c r="F369" s="198"/>
      <c r="G369" s="198"/>
      <c r="H369" s="198"/>
      <c r="I369" s="198"/>
    </row>
    <row r="370" spans="1:9" ht="14.4" x14ac:dyDescent="0.3">
      <c r="A370" s="176"/>
      <c r="B370" s="167"/>
      <c r="C370" s="165"/>
      <c r="D370" s="165"/>
      <c r="E370" s="165"/>
      <c r="F370" s="165"/>
      <c r="G370" s="165"/>
      <c r="H370" s="165"/>
      <c r="I370" s="165"/>
    </row>
    <row r="371" spans="1:9" x14ac:dyDescent="0.3">
      <c r="A371" s="177" t="s">
        <v>313</v>
      </c>
      <c r="B371" s="203" t="s">
        <v>314</v>
      </c>
      <c r="C371" s="203"/>
      <c r="D371" s="203"/>
      <c r="E371" s="203"/>
      <c r="F371" s="203"/>
      <c r="G371" s="203"/>
      <c r="H371" s="203"/>
      <c r="I371" s="203"/>
    </row>
    <row r="372" spans="1:9" x14ac:dyDescent="0.3">
      <c r="A372" s="3"/>
      <c r="B372" s="204" t="s">
        <v>6</v>
      </c>
      <c r="C372" s="204"/>
      <c r="D372" s="204"/>
      <c r="E372" s="204"/>
      <c r="F372" s="204"/>
      <c r="G372" s="204"/>
      <c r="H372" s="204"/>
      <c r="I372" s="204"/>
    </row>
    <row r="373" spans="1:9" ht="42.9" customHeight="1" x14ac:dyDescent="0.3">
      <c r="A373" s="60"/>
      <c r="B373" s="200" t="s">
        <v>315</v>
      </c>
      <c r="C373" s="200"/>
      <c r="D373" s="200"/>
      <c r="E373" s="200"/>
      <c r="F373" s="200"/>
      <c r="G373" s="200"/>
      <c r="H373" s="200"/>
      <c r="I373" s="200"/>
    </row>
    <row r="374" spans="1:9" x14ac:dyDescent="0.3">
      <c r="A374" s="60"/>
      <c r="B374" s="213"/>
      <c r="C374" s="213"/>
      <c r="D374" s="213"/>
      <c r="E374" s="213"/>
      <c r="F374" s="213"/>
      <c r="G374" s="213"/>
      <c r="H374" s="213"/>
      <c r="I374" s="213"/>
    </row>
    <row r="375" spans="1:9" x14ac:dyDescent="0.3">
      <c r="A375" s="60"/>
      <c r="B375" s="204" t="s">
        <v>0</v>
      </c>
      <c r="C375" s="204"/>
      <c r="D375" s="204"/>
      <c r="E375" s="204"/>
      <c r="F375" s="204"/>
      <c r="G375" s="204"/>
      <c r="H375" s="204"/>
      <c r="I375" s="204"/>
    </row>
    <row r="376" spans="1:9" ht="14.4" x14ac:dyDescent="0.3">
      <c r="B376" s="166" t="s">
        <v>8</v>
      </c>
      <c r="C376" s="200" t="s">
        <v>187</v>
      </c>
      <c r="D376" s="198"/>
      <c r="E376" s="198"/>
      <c r="F376" s="198"/>
      <c r="G376" s="198"/>
      <c r="H376" s="198"/>
      <c r="I376" s="198"/>
    </row>
    <row r="377" spans="1:9" ht="14.4" x14ac:dyDescent="0.3">
      <c r="B377" s="166" t="s">
        <v>8</v>
      </c>
      <c r="C377" s="200" t="s">
        <v>316</v>
      </c>
      <c r="D377" s="198"/>
      <c r="E377" s="198"/>
      <c r="F377" s="198"/>
      <c r="G377" s="198"/>
      <c r="H377" s="198"/>
      <c r="I377" s="198"/>
    </row>
    <row r="378" spans="1:9" ht="14.4" x14ac:dyDescent="0.3">
      <c r="B378" s="166" t="s">
        <v>8</v>
      </c>
      <c r="C378" s="200" t="s">
        <v>317</v>
      </c>
      <c r="D378" s="198"/>
      <c r="E378" s="198"/>
      <c r="F378" s="198"/>
      <c r="G378" s="198"/>
      <c r="H378" s="198"/>
      <c r="I378" s="198"/>
    </row>
    <row r="380" spans="1:9" x14ac:dyDescent="0.3">
      <c r="A380" s="177" t="s">
        <v>318</v>
      </c>
      <c r="B380" s="203" t="s">
        <v>319</v>
      </c>
      <c r="C380" s="203"/>
      <c r="D380" s="203"/>
      <c r="E380" s="203"/>
      <c r="F380" s="203"/>
      <c r="G380" s="203"/>
      <c r="H380" s="203"/>
      <c r="I380" s="203"/>
    </row>
    <row r="381" spans="1:9" x14ac:dyDescent="0.3">
      <c r="A381" s="3"/>
      <c r="B381" s="204" t="s">
        <v>6</v>
      </c>
      <c r="C381" s="204"/>
      <c r="D381" s="204"/>
      <c r="E381" s="204"/>
      <c r="F381" s="204"/>
      <c r="G381" s="204"/>
      <c r="H381" s="204"/>
      <c r="I381" s="204"/>
    </row>
    <row r="382" spans="1:9" ht="39.6" customHeight="1" x14ac:dyDescent="0.3">
      <c r="A382" s="60"/>
      <c r="B382" s="200" t="s">
        <v>320</v>
      </c>
      <c r="C382" s="200"/>
      <c r="D382" s="200"/>
      <c r="E382" s="200"/>
      <c r="F382" s="200"/>
      <c r="G382" s="200"/>
      <c r="H382" s="200"/>
      <c r="I382" s="200"/>
    </row>
    <row r="383" spans="1:9" ht="78" customHeight="1" x14ac:dyDescent="0.3">
      <c r="A383" s="170"/>
      <c r="B383" s="201" t="s">
        <v>321</v>
      </c>
      <c r="C383" s="201"/>
      <c r="D383" s="201"/>
      <c r="E383" s="201"/>
      <c r="F383" s="201"/>
      <c r="G383" s="201"/>
      <c r="H383" s="201"/>
      <c r="I383" s="201"/>
    </row>
    <row r="384" spans="1:9" ht="34.5" customHeight="1" x14ac:dyDescent="0.3">
      <c r="A384" s="170"/>
      <c r="B384" s="214" t="s">
        <v>322</v>
      </c>
      <c r="C384" s="210"/>
      <c r="D384" s="210"/>
      <c r="E384" s="210"/>
      <c r="F384" s="210"/>
      <c r="G384" s="210"/>
      <c r="H384" s="210"/>
      <c r="I384" s="210"/>
    </row>
    <row r="385" spans="1:9" ht="24.6" customHeight="1" x14ac:dyDescent="0.3">
      <c r="A385" s="170"/>
      <c r="B385" s="181" t="s">
        <v>21</v>
      </c>
      <c r="C385" s="209" t="s">
        <v>323</v>
      </c>
      <c r="D385" s="209"/>
      <c r="E385" s="209"/>
      <c r="F385" s="209"/>
      <c r="G385" s="209"/>
      <c r="H385" s="209"/>
      <c r="I385" s="209"/>
    </row>
    <row r="386" spans="1:9" x14ac:dyDescent="0.3">
      <c r="A386" s="60"/>
      <c r="B386" s="204" t="s">
        <v>0</v>
      </c>
      <c r="C386" s="204"/>
      <c r="D386" s="204"/>
      <c r="E386" s="204"/>
      <c r="F386" s="204"/>
      <c r="G386" s="204"/>
      <c r="H386" s="204"/>
      <c r="I386" s="204"/>
    </row>
    <row r="387" spans="1:9" ht="14.4" x14ac:dyDescent="0.3">
      <c r="B387" s="166" t="s">
        <v>8</v>
      </c>
      <c r="C387" s="200" t="s">
        <v>187</v>
      </c>
      <c r="D387" s="198"/>
      <c r="E387" s="198"/>
      <c r="F387" s="198"/>
      <c r="G387" s="198"/>
      <c r="H387" s="198"/>
      <c r="I387" s="198"/>
    </row>
    <row r="388" spans="1:9" ht="27.6" customHeight="1" x14ac:dyDescent="0.3">
      <c r="B388" s="166" t="s">
        <v>8</v>
      </c>
      <c r="C388" s="200" t="s">
        <v>324</v>
      </c>
      <c r="D388" s="198"/>
      <c r="E388" s="198"/>
      <c r="F388" s="198"/>
      <c r="G388" s="198"/>
      <c r="H388" s="198"/>
      <c r="I388" s="198"/>
    </row>
    <row r="389" spans="1:9" ht="27" customHeight="1" x14ac:dyDescent="0.3">
      <c r="B389" s="166" t="s">
        <v>8</v>
      </c>
      <c r="C389" s="200" t="s">
        <v>325</v>
      </c>
      <c r="D389" s="198"/>
      <c r="E389" s="198"/>
      <c r="F389" s="198"/>
      <c r="G389" s="198"/>
      <c r="H389" s="198"/>
      <c r="I389" s="198"/>
    </row>
    <row r="391" spans="1:9" ht="14.4" x14ac:dyDescent="0.3">
      <c r="A391" s="177" t="s">
        <v>326</v>
      </c>
      <c r="B391" s="203" t="s">
        <v>327</v>
      </c>
      <c r="C391" s="198"/>
      <c r="D391" s="198"/>
      <c r="E391" s="198"/>
      <c r="F391" s="198"/>
      <c r="G391" s="198"/>
      <c r="H391" s="198"/>
      <c r="I391" s="198"/>
    </row>
    <row r="392" spans="1:9" ht="14.4" x14ac:dyDescent="0.3">
      <c r="A392" s="3"/>
      <c r="B392" s="204" t="s">
        <v>6</v>
      </c>
      <c r="C392" s="198"/>
      <c r="D392" s="198"/>
      <c r="E392" s="198"/>
      <c r="F392" s="198"/>
      <c r="G392" s="198"/>
      <c r="H392" s="198"/>
      <c r="I392" s="198"/>
    </row>
    <row r="393" spans="1:9" ht="39.6" customHeight="1" x14ac:dyDescent="0.3">
      <c r="A393" s="60"/>
      <c r="B393" s="200" t="s">
        <v>328</v>
      </c>
      <c r="C393" s="198"/>
      <c r="D393" s="198"/>
      <c r="E393" s="198"/>
      <c r="F393" s="198"/>
      <c r="G393" s="198"/>
      <c r="H393" s="198"/>
      <c r="I393" s="198"/>
    </row>
    <row r="394" spans="1:9" ht="14.4" x14ac:dyDescent="0.3">
      <c r="A394" s="170"/>
      <c r="B394" s="205"/>
      <c r="C394" s="206"/>
      <c r="D394" s="206"/>
      <c r="E394" s="206"/>
      <c r="F394" s="206"/>
      <c r="G394" s="206"/>
      <c r="H394" s="206"/>
      <c r="I394" s="206"/>
    </row>
    <row r="395" spans="1:9" ht="14.4" x14ac:dyDescent="0.3">
      <c r="A395" s="60"/>
      <c r="B395" s="204" t="s">
        <v>0</v>
      </c>
      <c r="C395" s="198"/>
      <c r="D395" s="198"/>
      <c r="E395" s="198"/>
      <c r="F395" s="198"/>
      <c r="G395" s="198"/>
      <c r="H395" s="198"/>
      <c r="I395" s="198"/>
    </row>
    <row r="396" spans="1:9" ht="14.4" x14ac:dyDescent="0.3">
      <c r="B396" s="166" t="s">
        <v>8</v>
      </c>
      <c r="C396" s="200" t="s">
        <v>102</v>
      </c>
      <c r="D396" s="198"/>
      <c r="E396" s="198"/>
      <c r="F396" s="198"/>
      <c r="G396" s="198"/>
      <c r="H396" s="198"/>
      <c r="I396" s="198"/>
    </row>
    <row r="397" spans="1:9" ht="14.4" x14ac:dyDescent="0.3">
      <c r="B397" s="166" t="s">
        <v>8</v>
      </c>
      <c r="C397" s="200" t="s">
        <v>329</v>
      </c>
      <c r="D397" s="198"/>
      <c r="E397" s="198"/>
      <c r="F397" s="198"/>
      <c r="G397" s="198"/>
      <c r="H397" s="198"/>
      <c r="I397" s="198"/>
    </row>
    <row r="398" spans="1:9" ht="66" customHeight="1" x14ac:dyDescent="0.3">
      <c r="B398" s="166" t="s">
        <v>8</v>
      </c>
      <c r="C398" s="200" t="s">
        <v>330</v>
      </c>
      <c r="D398" s="198"/>
      <c r="E398" s="198"/>
      <c r="F398" s="198"/>
      <c r="G398" s="198"/>
      <c r="H398" s="198"/>
      <c r="I398" s="198"/>
    </row>
    <row r="399" spans="1:9" ht="26.1" customHeight="1" x14ac:dyDescent="0.3">
      <c r="B399" s="166" t="s">
        <v>8</v>
      </c>
      <c r="C399" s="200" t="s">
        <v>331</v>
      </c>
      <c r="D399" s="198"/>
      <c r="E399" s="198"/>
      <c r="F399" s="198"/>
      <c r="G399" s="198"/>
      <c r="H399" s="198"/>
      <c r="I399" s="198"/>
    </row>
    <row r="400" spans="1:9" x14ac:dyDescent="0.3">
      <c r="C400" s="200"/>
      <c r="D400" s="200"/>
      <c r="E400" s="200"/>
      <c r="F400" s="200"/>
      <c r="G400" s="200"/>
      <c r="H400" s="200"/>
      <c r="I400" s="200"/>
    </row>
    <row r="401" spans="1:9" ht="14.4" x14ac:dyDescent="0.3">
      <c r="A401" s="177" t="s">
        <v>332</v>
      </c>
      <c r="B401" s="203" t="s">
        <v>333</v>
      </c>
      <c r="C401" s="198"/>
      <c r="D401" s="198"/>
      <c r="E401" s="198"/>
      <c r="F401" s="198"/>
      <c r="G401" s="198"/>
      <c r="H401" s="198"/>
      <c r="I401" s="198"/>
    </row>
    <row r="402" spans="1:9" ht="14.4" x14ac:dyDescent="0.3">
      <c r="A402" s="3"/>
      <c r="B402" s="204" t="s">
        <v>6</v>
      </c>
      <c r="C402" s="198"/>
      <c r="D402" s="198"/>
      <c r="E402" s="198"/>
      <c r="F402" s="198"/>
      <c r="G402" s="198"/>
      <c r="H402" s="198"/>
      <c r="I402" s="198"/>
    </row>
    <row r="403" spans="1:9" ht="14.4" x14ac:dyDescent="0.3">
      <c r="A403" s="60"/>
      <c r="B403" s="200" t="s">
        <v>334</v>
      </c>
      <c r="C403" s="198"/>
      <c r="D403" s="198"/>
      <c r="E403" s="198"/>
      <c r="F403" s="198"/>
      <c r="G403" s="198"/>
      <c r="H403" s="198"/>
      <c r="I403" s="198"/>
    </row>
    <row r="404" spans="1:9" ht="81.900000000000006" customHeight="1" x14ac:dyDescent="0.3">
      <c r="A404" s="60"/>
      <c r="B404" s="201" t="s">
        <v>335</v>
      </c>
      <c r="C404" s="202"/>
      <c r="D404" s="202"/>
      <c r="E404" s="202"/>
      <c r="F404" s="202"/>
      <c r="G404" s="202"/>
      <c r="H404" s="202"/>
      <c r="I404" s="202"/>
    </row>
    <row r="405" spans="1:9" ht="14.4" x14ac:dyDescent="0.3">
      <c r="A405" s="170"/>
      <c r="B405" s="205"/>
      <c r="C405" s="206"/>
      <c r="D405" s="206"/>
      <c r="E405" s="206"/>
      <c r="F405" s="206"/>
      <c r="G405" s="206"/>
      <c r="H405" s="206"/>
      <c r="I405" s="206"/>
    </row>
    <row r="406" spans="1:9" ht="14.4" x14ac:dyDescent="0.3">
      <c r="A406" s="60"/>
      <c r="B406" s="204" t="s">
        <v>0</v>
      </c>
      <c r="C406" s="198"/>
      <c r="D406" s="198"/>
      <c r="E406" s="198"/>
      <c r="F406" s="198"/>
      <c r="G406" s="198"/>
      <c r="H406" s="198"/>
      <c r="I406" s="198"/>
    </row>
    <row r="407" spans="1:9" ht="14.4" x14ac:dyDescent="0.3">
      <c r="B407" s="166" t="s">
        <v>8</v>
      </c>
      <c r="C407" s="200" t="s">
        <v>187</v>
      </c>
      <c r="D407" s="198"/>
      <c r="E407" s="198"/>
      <c r="F407" s="198"/>
      <c r="G407" s="198"/>
      <c r="H407" s="198"/>
      <c r="I407" s="198"/>
    </row>
    <row r="408" spans="1:9" ht="27.9" customHeight="1" x14ac:dyDescent="0.3">
      <c r="B408" s="166" t="s">
        <v>8</v>
      </c>
      <c r="C408" s="200" t="s">
        <v>336</v>
      </c>
      <c r="D408" s="198"/>
      <c r="E408" s="198"/>
      <c r="F408" s="198"/>
      <c r="G408" s="198"/>
      <c r="H408" s="198"/>
      <c r="I408" s="198"/>
    </row>
    <row r="410" spans="1:9" ht="14.4" x14ac:dyDescent="0.3">
      <c r="A410" s="177" t="s">
        <v>337</v>
      </c>
      <c r="B410" s="203" t="s">
        <v>338</v>
      </c>
      <c r="C410" s="198"/>
      <c r="D410" s="198"/>
      <c r="E410" s="198"/>
      <c r="F410" s="198"/>
      <c r="G410" s="198"/>
      <c r="H410" s="198"/>
      <c r="I410" s="198"/>
    </row>
    <row r="411" spans="1:9" ht="14.4" x14ac:dyDescent="0.3">
      <c r="A411" s="3"/>
      <c r="B411" s="204" t="s">
        <v>6</v>
      </c>
      <c r="C411" s="198"/>
      <c r="D411" s="198"/>
      <c r="E411" s="198"/>
      <c r="F411" s="198"/>
      <c r="G411" s="198"/>
      <c r="H411" s="198"/>
      <c r="I411" s="198"/>
    </row>
    <row r="412" spans="1:9" ht="27.9" customHeight="1" x14ac:dyDescent="0.3">
      <c r="A412" s="60"/>
      <c r="B412" s="200" t="s">
        <v>339</v>
      </c>
      <c r="C412" s="198"/>
      <c r="D412" s="198"/>
      <c r="E412" s="198"/>
      <c r="F412" s="198"/>
      <c r="G412" s="198"/>
      <c r="H412" s="198"/>
      <c r="I412" s="198"/>
    </row>
    <row r="413" spans="1:9" ht="14.4" x14ac:dyDescent="0.3">
      <c r="A413" s="60"/>
      <c r="C413" s="165"/>
      <c r="D413" s="165"/>
      <c r="E413" s="165"/>
      <c r="F413" s="165"/>
      <c r="G413" s="165"/>
      <c r="H413" s="165"/>
      <c r="I413" s="165"/>
    </row>
    <row r="414" spans="1:9" ht="14.4" x14ac:dyDescent="0.3">
      <c r="A414" s="60"/>
      <c r="B414" s="204" t="s">
        <v>0</v>
      </c>
      <c r="C414" s="198"/>
      <c r="D414" s="198"/>
      <c r="E414" s="198"/>
      <c r="F414" s="198"/>
      <c r="G414" s="198"/>
      <c r="H414" s="198"/>
      <c r="I414" s="198"/>
    </row>
    <row r="415" spans="1:9" ht="14.4" x14ac:dyDescent="0.3">
      <c r="B415" s="166" t="s">
        <v>8</v>
      </c>
      <c r="C415" s="200" t="s">
        <v>340</v>
      </c>
      <c r="D415" s="198"/>
      <c r="E415" s="198"/>
      <c r="F415" s="198"/>
      <c r="G415" s="198"/>
      <c r="H415" s="198"/>
      <c r="I415" s="198"/>
    </row>
    <row r="416" spans="1:9" ht="26.4" customHeight="1" x14ac:dyDescent="0.3">
      <c r="B416" s="166" t="s">
        <v>8</v>
      </c>
      <c r="C416" s="200" t="s">
        <v>341</v>
      </c>
      <c r="D416" s="198"/>
      <c r="E416" s="198"/>
      <c r="F416" s="198"/>
      <c r="G416" s="198"/>
      <c r="H416" s="198"/>
      <c r="I416" s="198"/>
    </row>
    <row r="417" spans="1:9" ht="25.5" customHeight="1" x14ac:dyDescent="0.3">
      <c r="B417" s="166" t="s">
        <v>8</v>
      </c>
      <c r="C417" s="200" t="s">
        <v>342</v>
      </c>
      <c r="D417" s="198"/>
      <c r="E417" s="198"/>
      <c r="F417" s="198"/>
      <c r="G417" s="198"/>
      <c r="H417" s="198"/>
      <c r="I417" s="198"/>
    </row>
    <row r="418" spans="1:9" ht="14.4" x14ac:dyDescent="0.3">
      <c r="A418" s="176"/>
      <c r="B418" s="167"/>
      <c r="C418" s="165"/>
      <c r="D418" s="165"/>
      <c r="E418" s="165"/>
      <c r="F418" s="165"/>
      <c r="G418" s="165"/>
      <c r="H418" s="165"/>
      <c r="I418" s="165"/>
    </row>
    <row r="419" spans="1:9" x14ac:dyDescent="0.3">
      <c r="A419" s="177" t="s">
        <v>343</v>
      </c>
      <c r="B419" s="203" t="s">
        <v>344</v>
      </c>
      <c r="C419" s="203"/>
      <c r="D419" s="203"/>
      <c r="E419" s="203"/>
      <c r="F419" s="203"/>
      <c r="G419" s="203"/>
      <c r="H419" s="203"/>
      <c r="I419" s="203"/>
    </row>
    <row r="420" spans="1:9" x14ac:dyDescent="0.3">
      <c r="A420" s="3"/>
      <c r="B420" s="204" t="s">
        <v>6</v>
      </c>
      <c r="C420" s="204"/>
      <c r="D420" s="204"/>
      <c r="E420" s="204"/>
      <c r="F420" s="204"/>
      <c r="G420" s="204"/>
      <c r="H420" s="204"/>
      <c r="I420" s="204"/>
    </row>
    <row r="421" spans="1:9" ht="42" customHeight="1" x14ac:dyDescent="0.3">
      <c r="A421" s="60"/>
      <c r="B421" s="200" t="s">
        <v>345</v>
      </c>
      <c r="C421" s="200"/>
      <c r="D421" s="200"/>
      <c r="E421" s="200"/>
      <c r="F421" s="200"/>
      <c r="G421" s="200"/>
      <c r="H421" s="200"/>
      <c r="I421" s="200"/>
    </row>
    <row r="422" spans="1:9" x14ac:dyDescent="0.3">
      <c r="A422" s="60"/>
      <c r="B422" s="213"/>
      <c r="C422" s="213"/>
      <c r="D422" s="213"/>
      <c r="E422" s="213"/>
      <c r="F422" s="213"/>
      <c r="G422" s="213"/>
      <c r="H422" s="213"/>
      <c r="I422" s="213"/>
    </row>
    <row r="423" spans="1:9" x14ac:dyDescent="0.3">
      <c r="A423" s="60"/>
      <c r="B423" s="204" t="s">
        <v>0</v>
      </c>
      <c r="C423" s="204"/>
      <c r="D423" s="204"/>
      <c r="E423" s="204"/>
      <c r="F423" s="204"/>
      <c r="G423" s="204"/>
      <c r="H423" s="204"/>
      <c r="I423" s="204"/>
    </row>
    <row r="424" spans="1:9" ht="14.4" x14ac:dyDescent="0.3">
      <c r="B424" s="166" t="s">
        <v>8</v>
      </c>
      <c r="C424" s="200" t="s">
        <v>70</v>
      </c>
      <c r="D424" s="198"/>
      <c r="E424" s="198"/>
      <c r="F424" s="198"/>
      <c r="G424" s="198"/>
      <c r="H424" s="198"/>
      <c r="I424" s="198"/>
    </row>
    <row r="425" spans="1:9" ht="42.9" customHeight="1" x14ac:dyDescent="0.3">
      <c r="B425" s="166" t="s">
        <v>8</v>
      </c>
      <c r="C425" s="200" t="s">
        <v>346</v>
      </c>
      <c r="D425" s="198"/>
      <c r="E425" s="198"/>
      <c r="F425" s="198"/>
      <c r="G425" s="198"/>
      <c r="H425" s="198"/>
      <c r="I425" s="198"/>
    </row>
    <row r="427" spans="1:9" ht="16.2" x14ac:dyDescent="0.35">
      <c r="A427" s="142" t="s">
        <v>347</v>
      </c>
      <c r="B427" s="195" t="s">
        <v>348</v>
      </c>
      <c r="C427" s="196"/>
      <c r="D427" s="196"/>
      <c r="E427" s="196"/>
      <c r="F427" s="196"/>
      <c r="G427" s="196"/>
      <c r="H427" s="196"/>
      <c r="I427" s="196"/>
    </row>
    <row r="428" spans="1:9" x14ac:dyDescent="0.3">
      <c r="A428" s="170"/>
      <c r="B428" s="168"/>
      <c r="C428" s="168"/>
      <c r="D428" s="168"/>
      <c r="E428" s="168"/>
      <c r="F428" s="168"/>
      <c r="G428" s="168"/>
      <c r="H428" s="168"/>
      <c r="I428" s="168"/>
    </row>
    <row r="429" spans="1:9" ht="14.4" x14ac:dyDescent="0.3">
      <c r="A429" s="176" t="s">
        <v>349</v>
      </c>
      <c r="B429" s="203" t="s">
        <v>145</v>
      </c>
      <c r="C429" s="198"/>
      <c r="D429" s="198"/>
      <c r="E429" s="198"/>
      <c r="F429" s="198"/>
      <c r="G429" s="198"/>
      <c r="H429" s="198"/>
      <c r="I429" s="198"/>
    </row>
    <row r="430" spans="1:9" x14ac:dyDescent="0.3">
      <c r="A430" s="170"/>
      <c r="B430" s="168"/>
      <c r="C430" s="168"/>
      <c r="D430" s="168"/>
      <c r="E430" s="168"/>
      <c r="F430" s="168"/>
      <c r="G430" s="168"/>
      <c r="H430" s="168"/>
      <c r="I430" s="168"/>
    </row>
    <row r="431" spans="1:9" ht="14.4" x14ac:dyDescent="0.3">
      <c r="A431" s="177" t="s">
        <v>350</v>
      </c>
      <c r="B431" s="203" t="s">
        <v>351</v>
      </c>
      <c r="C431" s="198"/>
      <c r="D431" s="198"/>
      <c r="E431" s="198"/>
      <c r="F431" s="198"/>
      <c r="G431" s="198"/>
      <c r="H431" s="198"/>
      <c r="I431" s="198"/>
    </row>
    <row r="432" spans="1:9" ht="14.4" x14ac:dyDescent="0.3">
      <c r="A432" s="3"/>
      <c r="B432" s="204" t="s">
        <v>6</v>
      </c>
      <c r="C432" s="198"/>
      <c r="D432" s="198"/>
      <c r="E432" s="198"/>
      <c r="F432" s="198"/>
      <c r="G432" s="198"/>
      <c r="H432" s="198"/>
      <c r="I432" s="198"/>
    </row>
    <row r="433" spans="1:9" ht="35.1" customHeight="1" x14ac:dyDescent="0.3">
      <c r="A433" s="60"/>
      <c r="B433" s="200" t="s">
        <v>352</v>
      </c>
      <c r="C433" s="198"/>
      <c r="D433" s="198"/>
      <c r="E433" s="198"/>
      <c r="F433" s="198"/>
      <c r="G433" s="198"/>
      <c r="H433" s="198"/>
      <c r="I433" s="198"/>
    </row>
    <row r="434" spans="1:9" ht="36.9" customHeight="1" x14ac:dyDescent="0.3">
      <c r="A434" s="170"/>
      <c r="B434" s="200" t="s">
        <v>353</v>
      </c>
      <c r="C434" s="198"/>
      <c r="D434" s="198"/>
      <c r="E434" s="198"/>
      <c r="F434" s="198"/>
      <c r="G434" s="198"/>
      <c r="H434" s="198"/>
      <c r="I434" s="198"/>
    </row>
    <row r="435" spans="1:9" ht="30.9" customHeight="1" x14ac:dyDescent="0.3">
      <c r="A435" s="170"/>
      <c r="B435" s="200" t="s">
        <v>354</v>
      </c>
      <c r="C435" s="198"/>
      <c r="D435" s="198"/>
      <c r="E435" s="198"/>
      <c r="F435" s="198"/>
      <c r="G435" s="198"/>
      <c r="H435" s="198"/>
      <c r="I435" s="198"/>
    </row>
    <row r="436" spans="1:9" ht="11.1" customHeight="1" x14ac:dyDescent="0.3">
      <c r="A436" s="170"/>
      <c r="C436" s="165"/>
      <c r="D436" s="165"/>
      <c r="E436" s="165"/>
      <c r="F436" s="165"/>
      <c r="G436" s="165"/>
      <c r="H436" s="165"/>
      <c r="I436" s="165"/>
    </row>
    <row r="437" spans="1:9" ht="14.4" x14ac:dyDescent="0.3">
      <c r="A437" s="60"/>
      <c r="B437" s="204" t="s">
        <v>0</v>
      </c>
      <c r="C437" s="198"/>
      <c r="D437" s="198"/>
      <c r="E437" s="198"/>
      <c r="F437" s="198"/>
      <c r="G437" s="198"/>
      <c r="H437" s="198"/>
      <c r="I437" s="198"/>
    </row>
    <row r="438" spans="1:9" ht="14.4" x14ac:dyDescent="0.3">
      <c r="B438" s="166" t="s">
        <v>8</v>
      </c>
      <c r="C438" s="200" t="s">
        <v>187</v>
      </c>
      <c r="D438" s="198"/>
      <c r="E438" s="198"/>
      <c r="F438" s="198"/>
      <c r="G438" s="198"/>
      <c r="H438" s="198"/>
      <c r="I438" s="198"/>
    </row>
    <row r="439" spans="1:9" ht="26.4" customHeight="1" x14ac:dyDescent="0.3">
      <c r="B439" s="166" t="s">
        <v>8</v>
      </c>
      <c r="C439" s="200" t="s">
        <v>355</v>
      </c>
      <c r="D439" s="198"/>
      <c r="E439" s="198"/>
      <c r="F439" s="198"/>
      <c r="G439" s="198"/>
      <c r="H439" s="198"/>
      <c r="I439" s="198"/>
    </row>
    <row r="440" spans="1:9" ht="14.4" x14ac:dyDescent="0.3">
      <c r="B440" s="166" t="s">
        <v>8</v>
      </c>
      <c r="C440" s="200" t="s">
        <v>356</v>
      </c>
      <c r="D440" s="198"/>
      <c r="E440" s="198"/>
      <c r="F440" s="198"/>
      <c r="G440" s="198"/>
      <c r="H440" s="198"/>
      <c r="I440" s="198"/>
    </row>
    <row r="441" spans="1:9" ht="15.9" customHeight="1" x14ac:dyDescent="0.3">
      <c r="B441" s="166" t="s">
        <v>8</v>
      </c>
      <c r="C441" s="200" t="s">
        <v>357</v>
      </c>
      <c r="D441" s="198"/>
      <c r="E441" s="198"/>
      <c r="F441" s="198"/>
      <c r="G441" s="198"/>
      <c r="H441" s="198"/>
      <c r="I441" s="198"/>
    </row>
    <row r="443" spans="1:9" ht="14.4" x14ac:dyDescent="0.3">
      <c r="A443" s="177" t="s">
        <v>358</v>
      </c>
      <c r="B443" s="203" t="s">
        <v>359</v>
      </c>
      <c r="C443" s="198"/>
      <c r="D443" s="198"/>
      <c r="E443" s="198"/>
      <c r="F443" s="198"/>
      <c r="G443" s="198"/>
      <c r="H443" s="198"/>
      <c r="I443" s="198"/>
    </row>
    <row r="444" spans="1:9" ht="14.4" x14ac:dyDescent="0.3">
      <c r="A444" s="3"/>
      <c r="B444" s="204" t="s">
        <v>6</v>
      </c>
      <c r="C444" s="198"/>
      <c r="D444" s="198"/>
      <c r="E444" s="198"/>
      <c r="F444" s="198"/>
      <c r="G444" s="198"/>
      <c r="H444" s="198"/>
      <c r="I444" s="198"/>
    </row>
    <row r="445" spans="1:9" ht="39.6" customHeight="1" x14ac:dyDescent="0.3">
      <c r="A445" s="60"/>
      <c r="B445" s="200" t="s">
        <v>360</v>
      </c>
      <c r="C445" s="198"/>
      <c r="D445" s="198"/>
      <c r="E445" s="198"/>
      <c r="F445" s="198"/>
      <c r="G445" s="198"/>
      <c r="H445" s="198"/>
      <c r="I445" s="198"/>
    </row>
    <row r="446" spans="1:9" ht="14.4" x14ac:dyDescent="0.3">
      <c r="A446" s="170"/>
      <c r="B446" s="205"/>
      <c r="C446" s="206"/>
      <c r="D446" s="206"/>
      <c r="E446" s="206"/>
      <c r="F446" s="206"/>
      <c r="G446" s="206"/>
      <c r="H446" s="206"/>
      <c r="I446" s="206"/>
    </row>
    <row r="447" spans="1:9" ht="14.4" x14ac:dyDescent="0.3">
      <c r="A447" s="60"/>
      <c r="B447" s="204" t="s">
        <v>0</v>
      </c>
      <c r="C447" s="198"/>
      <c r="D447" s="198"/>
      <c r="E447" s="198"/>
      <c r="F447" s="198"/>
      <c r="G447" s="198"/>
      <c r="H447" s="198"/>
      <c r="I447" s="198"/>
    </row>
    <row r="448" spans="1:9" ht="14.4" x14ac:dyDescent="0.3">
      <c r="B448" s="166" t="s">
        <v>8</v>
      </c>
      <c r="C448" s="200" t="s">
        <v>187</v>
      </c>
      <c r="D448" s="198"/>
      <c r="E448" s="198"/>
      <c r="F448" s="198"/>
      <c r="G448" s="198"/>
      <c r="H448" s="198"/>
      <c r="I448" s="198"/>
    </row>
    <row r="449" spans="1:9" ht="15.6" customHeight="1" x14ac:dyDescent="0.3">
      <c r="B449" s="166" t="s">
        <v>8</v>
      </c>
      <c r="C449" s="200" t="s">
        <v>361</v>
      </c>
      <c r="D449" s="198"/>
      <c r="E449" s="198"/>
      <c r="F449" s="198"/>
      <c r="G449" s="198"/>
      <c r="H449" s="198"/>
      <c r="I449" s="198"/>
    </row>
    <row r="450" spans="1:9" ht="14.1" customHeight="1" x14ac:dyDescent="0.3">
      <c r="B450" s="166" t="s">
        <v>8</v>
      </c>
      <c r="C450" s="200" t="s">
        <v>362</v>
      </c>
      <c r="D450" s="198"/>
      <c r="E450" s="198"/>
      <c r="F450" s="198"/>
      <c r="G450" s="198"/>
      <c r="H450" s="198"/>
      <c r="I450" s="198"/>
    </row>
    <row r="451" spans="1:9" ht="29.4" customHeight="1" x14ac:dyDescent="0.3">
      <c r="B451" s="166" t="s">
        <v>8</v>
      </c>
      <c r="C451" s="200" t="s">
        <v>363</v>
      </c>
      <c r="D451" s="198"/>
      <c r="E451" s="198"/>
      <c r="F451" s="198"/>
      <c r="G451" s="198"/>
      <c r="H451" s="198"/>
      <c r="I451" s="198"/>
    </row>
    <row r="452" spans="1:9" ht="21" customHeight="1" x14ac:dyDescent="0.3">
      <c r="D452" s="165"/>
      <c r="E452" s="165"/>
      <c r="F452" s="165"/>
      <c r="G452" s="165"/>
      <c r="H452" s="165"/>
      <c r="I452" s="165"/>
    </row>
    <row r="453" spans="1:9" ht="14.4" x14ac:dyDescent="0.3">
      <c r="A453" s="176" t="s">
        <v>364</v>
      </c>
      <c r="B453" s="203" t="s">
        <v>74</v>
      </c>
      <c r="C453" s="198"/>
      <c r="D453" s="198"/>
      <c r="E453" s="198"/>
      <c r="F453" s="198"/>
      <c r="G453" s="198"/>
      <c r="H453" s="198"/>
      <c r="I453" s="198"/>
    </row>
    <row r="454" spans="1:9" ht="14.4" x14ac:dyDescent="0.3">
      <c r="C454" s="165"/>
      <c r="D454" s="165"/>
      <c r="E454" s="165"/>
      <c r="F454" s="165"/>
      <c r="G454" s="165"/>
      <c r="H454" s="165"/>
      <c r="I454" s="165"/>
    </row>
    <row r="455" spans="1:9" ht="14.4" x14ac:dyDescent="0.3">
      <c r="A455" s="177" t="s">
        <v>365</v>
      </c>
      <c r="B455" s="203" t="s">
        <v>366</v>
      </c>
      <c r="C455" s="198"/>
      <c r="D455" s="198"/>
      <c r="E455" s="198"/>
      <c r="F455" s="198"/>
      <c r="G455" s="198"/>
      <c r="H455" s="198"/>
      <c r="I455" s="198"/>
    </row>
    <row r="456" spans="1:9" ht="14.4" x14ac:dyDescent="0.3">
      <c r="A456" s="3"/>
      <c r="B456" s="204" t="s">
        <v>6</v>
      </c>
      <c r="C456" s="198"/>
      <c r="D456" s="198"/>
      <c r="E456" s="198"/>
      <c r="F456" s="198"/>
      <c r="G456" s="198"/>
      <c r="H456" s="198"/>
      <c r="I456" s="198"/>
    </row>
    <row r="457" spans="1:9" ht="81" customHeight="1" x14ac:dyDescent="0.3">
      <c r="A457" s="60"/>
      <c r="B457" s="200" t="s">
        <v>367</v>
      </c>
      <c r="C457" s="198"/>
      <c r="D457" s="198"/>
      <c r="E457" s="198"/>
      <c r="F457" s="198"/>
      <c r="G457" s="198"/>
      <c r="H457" s="198"/>
      <c r="I457" s="198"/>
    </row>
    <row r="458" spans="1:9" ht="14.4" x14ac:dyDescent="0.3">
      <c r="A458" s="170"/>
      <c r="B458" s="205"/>
      <c r="C458" s="206"/>
      <c r="D458" s="206"/>
      <c r="E458" s="206"/>
      <c r="F458" s="206"/>
      <c r="G458" s="206"/>
      <c r="H458" s="206"/>
      <c r="I458" s="206"/>
    </row>
    <row r="459" spans="1:9" ht="14.4" x14ac:dyDescent="0.3">
      <c r="A459" s="60"/>
      <c r="B459" s="204" t="s">
        <v>0</v>
      </c>
      <c r="C459" s="198"/>
      <c r="D459" s="198"/>
      <c r="E459" s="198"/>
      <c r="F459" s="198"/>
      <c r="G459" s="198"/>
      <c r="H459" s="198"/>
      <c r="I459" s="198"/>
    </row>
    <row r="460" spans="1:9" ht="14.4" x14ac:dyDescent="0.3">
      <c r="B460" s="166" t="s">
        <v>8</v>
      </c>
      <c r="C460" s="200" t="s">
        <v>187</v>
      </c>
      <c r="D460" s="198"/>
      <c r="E460" s="198"/>
      <c r="F460" s="198"/>
      <c r="G460" s="198"/>
      <c r="H460" s="198"/>
      <c r="I460" s="198"/>
    </row>
    <row r="461" spans="1:9" ht="14.4" x14ac:dyDescent="0.3">
      <c r="B461" s="166" t="s">
        <v>8</v>
      </c>
      <c r="C461" s="200" t="s">
        <v>368</v>
      </c>
      <c r="D461" s="198"/>
      <c r="E461" s="198"/>
      <c r="F461" s="198"/>
      <c r="G461" s="198"/>
      <c r="H461" s="198"/>
      <c r="I461" s="198"/>
    </row>
    <row r="462" spans="1:9" ht="26.4" customHeight="1" x14ac:dyDescent="0.3">
      <c r="B462" s="166" t="s">
        <v>8</v>
      </c>
      <c r="C462" s="200" t="s">
        <v>369</v>
      </c>
      <c r="D462" s="198"/>
      <c r="E462" s="198"/>
      <c r="F462" s="198"/>
      <c r="G462" s="198"/>
      <c r="H462" s="198"/>
      <c r="I462" s="198"/>
    </row>
    <row r="463" spans="1:9" ht="25.5" customHeight="1" x14ac:dyDescent="0.3">
      <c r="B463" s="166" t="s">
        <v>8</v>
      </c>
      <c r="C463" s="200" t="s">
        <v>370</v>
      </c>
      <c r="D463" s="198"/>
      <c r="E463" s="198"/>
      <c r="F463" s="198"/>
      <c r="G463" s="198"/>
      <c r="H463" s="198"/>
      <c r="I463" s="198"/>
    </row>
    <row r="464" spans="1:9" ht="39.6" customHeight="1" x14ac:dyDescent="0.3">
      <c r="B464" s="166" t="s">
        <v>8</v>
      </c>
      <c r="C464" s="200" t="s">
        <v>371</v>
      </c>
      <c r="D464" s="198"/>
      <c r="E464" s="198"/>
      <c r="F464" s="198"/>
      <c r="G464" s="198"/>
      <c r="H464" s="198"/>
      <c r="I464" s="198"/>
    </row>
    <row r="465" spans="1:9" ht="27" customHeight="1" x14ac:dyDescent="0.3">
      <c r="B465" s="166" t="s">
        <v>8</v>
      </c>
      <c r="C465" s="200" t="s">
        <v>372</v>
      </c>
      <c r="D465" s="198"/>
      <c r="E465" s="198"/>
      <c r="F465" s="198"/>
      <c r="G465" s="198"/>
      <c r="H465" s="198"/>
      <c r="I465" s="198"/>
    </row>
    <row r="466" spans="1:9" ht="40.5" customHeight="1" x14ac:dyDescent="0.3">
      <c r="B466" s="166" t="s">
        <v>8</v>
      </c>
      <c r="C466" s="200" t="s">
        <v>373</v>
      </c>
      <c r="D466" s="198"/>
      <c r="E466" s="198"/>
      <c r="F466" s="198"/>
      <c r="G466" s="198"/>
      <c r="H466" s="198"/>
      <c r="I466" s="198"/>
    </row>
    <row r="467" spans="1:9" ht="27" customHeight="1" x14ac:dyDescent="0.3">
      <c r="B467" s="166" t="s">
        <v>8</v>
      </c>
      <c r="C467" s="200" t="s">
        <v>374</v>
      </c>
      <c r="D467" s="198"/>
      <c r="E467" s="198"/>
      <c r="F467" s="198"/>
      <c r="G467" s="198"/>
      <c r="H467" s="198"/>
      <c r="I467" s="198"/>
    </row>
    <row r="468" spans="1:9" ht="26.1" customHeight="1" x14ac:dyDescent="0.3">
      <c r="B468" s="166" t="s">
        <v>8</v>
      </c>
      <c r="C468" s="200" t="s">
        <v>375</v>
      </c>
      <c r="D468" s="198"/>
      <c r="E468" s="198"/>
      <c r="F468" s="198"/>
      <c r="G468" s="198"/>
      <c r="H468" s="198"/>
      <c r="I468" s="198"/>
    </row>
    <row r="469" spans="1:9" ht="14.4" x14ac:dyDescent="0.3">
      <c r="D469" s="165"/>
      <c r="E469" s="165"/>
      <c r="F469" s="165"/>
      <c r="G469" s="165"/>
      <c r="H469" s="165"/>
      <c r="I469" s="165"/>
    </row>
    <row r="470" spans="1:9" ht="14.4" x14ac:dyDescent="0.3">
      <c r="A470" s="177" t="s">
        <v>376</v>
      </c>
      <c r="B470" s="203" t="s">
        <v>377</v>
      </c>
      <c r="C470" s="198"/>
      <c r="D470" s="198"/>
      <c r="E470" s="198"/>
      <c r="F470" s="198"/>
      <c r="G470" s="198"/>
      <c r="H470" s="198"/>
      <c r="I470" s="198"/>
    </row>
    <row r="471" spans="1:9" ht="14.4" x14ac:dyDescent="0.3">
      <c r="A471" s="3"/>
      <c r="B471" s="204" t="s">
        <v>6</v>
      </c>
      <c r="C471" s="198"/>
      <c r="D471" s="198"/>
      <c r="E471" s="198"/>
      <c r="F471" s="198"/>
      <c r="G471" s="198"/>
      <c r="H471" s="198"/>
      <c r="I471" s="198"/>
    </row>
    <row r="472" spans="1:9" ht="40.5" customHeight="1" x14ac:dyDescent="0.3">
      <c r="A472" s="60"/>
      <c r="B472" s="200" t="s">
        <v>378</v>
      </c>
      <c r="C472" s="198"/>
      <c r="D472" s="198"/>
      <c r="E472" s="198"/>
      <c r="F472" s="198"/>
      <c r="G472" s="198"/>
      <c r="H472" s="198"/>
      <c r="I472" s="198"/>
    </row>
    <row r="473" spans="1:9" ht="14.4" x14ac:dyDescent="0.3">
      <c r="A473" s="170"/>
      <c r="B473" s="205"/>
      <c r="C473" s="206"/>
      <c r="D473" s="206"/>
      <c r="E473" s="206"/>
      <c r="F473" s="206"/>
      <c r="G473" s="206"/>
      <c r="H473" s="206"/>
      <c r="I473" s="206"/>
    </row>
    <row r="474" spans="1:9" ht="14.4" x14ac:dyDescent="0.3">
      <c r="A474" s="60"/>
      <c r="B474" s="204" t="s">
        <v>0</v>
      </c>
      <c r="C474" s="198"/>
      <c r="D474" s="198"/>
      <c r="E474" s="198"/>
      <c r="F474" s="198"/>
      <c r="G474" s="198"/>
      <c r="H474" s="198"/>
      <c r="I474" s="198"/>
    </row>
    <row r="475" spans="1:9" ht="14.4" x14ac:dyDescent="0.3">
      <c r="B475" s="166" t="s">
        <v>8</v>
      </c>
      <c r="C475" s="200" t="s">
        <v>187</v>
      </c>
      <c r="D475" s="198"/>
      <c r="E475" s="198"/>
      <c r="F475" s="198"/>
      <c r="G475" s="198"/>
      <c r="H475" s="198"/>
      <c r="I475" s="198"/>
    </row>
    <row r="476" spans="1:9" ht="41.4" customHeight="1" x14ac:dyDescent="0.3">
      <c r="B476" s="166" t="s">
        <v>8</v>
      </c>
      <c r="C476" s="200" t="s">
        <v>379</v>
      </c>
      <c r="D476" s="198"/>
      <c r="E476" s="198"/>
      <c r="F476" s="198"/>
      <c r="G476" s="198"/>
      <c r="H476" s="198"/>
      <c r="I476" s="198"/>
    </row>
    <row r="477" spans="1:9" ht="26.4" customHeight="1" x14ac:dyDescent="0.3">
      <c r="B477" s="166" t="s">
        <v>8</v>
      </c>
      <c r="C477" s="200" t="s">
        <v>380</v>
      </c>
      <c r="D477" s="198"/>
      <c r="E477" s="198"/>
      <c r="F477" s="198"/>
      <c r="G477" s="198"/>
      <c r="H477" s="198"/>
      <c r="I477" s="198"/>
    </row>
    <row r="478" spans="1:9" ht="27.6" customHeight="1" x14ac:dyDescent="0.3">
      <c r="B478" s="166" t="s">
        <v>8</v>
      </c>
      <c r="C478" s="200" t="s">
        <v>381</v>
      </c>
      <c r="D478" s="198"/>
      <c r="E478" s="198"/>
      <c r="F478" s="198"/>
      <c r="G478" s="198"/>
      <c r="H478" s="198"/>
      <c r="I478" s="198"/>
    </row>
    <row r="479" spans="1:9" x14ac:dyDescent="0.3">
      <c r="A479" s="170"/>
      <c r="B479" s="168"/>
      <c r="C479" s="168"/>
      <c r="D479" s="168"/>
      <c r="E479" s="168"/>
      <c r="F479" s="168"/>
      <c r="G479" s="168"/>
      <c r="H479" s="168"/>
      <c r="I479" s="168"/>
    </row>
    <row r="480" spans="1:9" ht="14.4" x14ac:dyDescent="0.3">
      <c r="A480" s="177" t="s">
        <v>382</v>
      </c>
      <c r="B480" s="203" t="s">
        <v>383</v>
      </c>
      <c r="C480" s="198"/>
      <c r="D480" s="198"/>
      <c r="E480" s="198"/>
      <c r="F480" s="198"/>
      <c r="G480" s="198"/>
      <c r="H480" s="198"/>
      <c r="I480" s="198"/>
    </row>
    <row r="481" spans="1:9" ht="14.4" x14ac:dyDescent="0.3">
      <c r="A481" s="3"/>
      <c r="B481" s="204" t="s">
        <v>6</v>
      </c>
      <c r="C481" s="198"/>
      <c r="D481" s="198"/>
      <c r="E481" s="198"/>
      <c r="F481" s="198"/>
      <c r="G481" s="198"/>
      <c r="H481" s="198"/>
      <c r="I481" s="198"/>
    </row>
    <row r="482" spans="1:9" ht="28.5" customHeight="1" x14ac:dyDescent="0.3">
      <c r="A482" s="60"/>
      <c r="B482" s="200" t="s">
        <v>384</v>
      </c>
      <c r="C482" s="198"/>
      <c r="D482" s="198"/>
      <c r="E482" s="198"/>
      <c r="F482" s="198"/>
      <c r="G482" s="198"/>
      <c r="H482" s="198"/>
      <c r="I482" s="198"/>
    </row>
    <row r="483" spans="1:9" ht="14.4" x14ac:dyDescent="0.3">
      <c r="A483" s="60"/>
      <c r="B483" s="178"/>
      <c r="C483" s="179"/>
      <c r="D483" s="179"/>
      <c r="E483" s="179"/>
      <c r="F483" s="179"/>
      <c r="G483" s="179"/>
      <c r="H483" s="179"/>
      <c r="I483" s="179"/>
    </row>
    <row r="484" spans="1:9" ht="14.4" x14ac:dyDescent="0.3">
      <c r="A484" s="60"/>
      <c r="B484" s="204" t="s">
        <v>0</v>
      </c>
      <c r="C484" s="198"/>
      <c r="D484" s="198"/>
      <c r="E484" s="198"/>
      <c r="F484" s="198"/>
      <c r="G484" s="198"/>
      <c r="H484" s="198"/>
      <c r="I484" s="198"/>
    </row>
    <row r="485" spans="1:9" ht="14.4" x14ac:dyDescent="0.3">
      <c r="B485" s="166" t="s">
        <v>8</v>
      </c>
      <c r="C485" s="200" t="s">
        <v>187</v>
      </c>
      <c r="D485" s="198"/>
      <c r="E485" s="198"/>
      <c r="F485" s="198"/>
      <c r="G485" s="198"/>
      <c r="H485" s="198"/>
      <c r="I485" s="198"/>
    </row>
    <row r="486" spans="1:9" ht="27" customHeight="1" x14ac:dyDescent="0.3">
      <c r="B486" s="166" t="s">
        <v>8</v>
      </c>
      <c r="C486" s="200" t="s">
        <v>385</v>
      </c>
      <c r="D486" s="198"/>
      <c r="E486" s="198"/>
      <c r="F486" s="198"/>
      <c r="G486" s="198"/>
      <c r="H486" s="198"/>
      <c r="I486" s="198"/>
    </row>
    <row r="487" spans="1:9" ht="14.4" customHeight="1" x14ac:dyDescent="0.3">
      <c r="B487" s="166" t="s">
        <v>8</v>
      </c>
      <c r="C487" s="200" t="s">
        <v>386</v>
      </c>
      <c r="D487" s="198"/>
      <c r="E487" s="198"/>
      <c r="F487" s="198"/>
      <c r="G487" s="198"/>
      <c r="H487" s="198"/>
      <c r="I487" s="198"/>
    </row>
    <row r="488" spans="1:9" ht="14.4" x14ac:dyDescent="0.3">
      <c r="D488" s="165"/>
      <c r="E488" s="165"/>
      <c r="F488" s="165"/>
      <c r="H488" s="165"/>
      <c r="I488" s="165"/>
    </row>
    <row r="489" spans="1:9" x14ac:dyDescent="0.3">
      <c r="A489" s="177" t="s">
        <v>387</v>
      </c>
      <c r="B489" s="203" t="s">
        <v>388</v>
      </c>
      <c r="C489" s="203"/>
      <c r="D489" s="203"/>
      <c r="E489" s="203"/>
      <c r="F489" s="203"/>
      <c r="G489" s="203"/>
      <c r="H489" s="203"/>
      <c r="I489" s="203"/>
    </row>
    <row r="490" spans="1:9" x14ac:dyDescent="0.3">
      <c r="A490" s="3"/>
      <c r="B490" s="204" t="s">
        <v>6</v>
      </c>
      <c r="C490" s="204"/>
      <c r="D490" s="204"/>
      <c r="E490" s="204"/>
      <c r="F490" s="204"/>
      <c r="G490" s="204"/>
      <c r="H490" s="204"/>
      <c r="I490" s="204"/>
    </row>
    <row r="491" spans="1:9" ht="29.1" customHeight="1" x14ac:dyDescent="0.3">
      <c r="A491" s="60"/>
      <c r="B491" s="200" t="s">
        <v>389</v>
      </c>
      <c r="C491" s="200"/>
      <c r="D491" s="200"/>
      <c r="E491" s="200"/>
      <c r="F491" s="200"/>
      <c r="G491" s="200"/>
      <c r="H491" s="200"/>
      <c r="I491" s="200"/>
    </row>
    <row r="492" spans="1:9" ht="111.9" customHeight="1" x14ac:dyDescent="0.3">
      <c r="A492" s="60"/>
      <c r="B492" s="201" t="s">
        <v>390</v>
      </c>
      <c r="C492" s="202"/>
      <c r="D492" s="202"/>
      <c r="E492" s="202"/>
      <c r="F492" s="202"/>
      <c r="G492" s="202"/>
      <c r="H492" s="202"/>
      <c r="I492" s="202"/>
    </row>
    <row r="493" spans="1:9" ht="15.6" customHeight="1" x14ac:dyDescent="0.3">
      <c r="A493" s="60"/>
      <c r="B493" s="200" t="s">
        <v>391</v>
      </c>
      <c r="C493" s="198"/>
      <c r="D493" s="198"/>
      <c r="E493" s="198"/>
      <c r="F493" s="198"/>
      <c r="G493" s="198"/>
      <c r="H493" s="198"/>
      <c r="I493" s="198"/>
    </row>
    <row r="494" spans="1:9" ht="15.6" customHeight="1" x14ac:dyDescent="0.3">
      <c r="A494" s="60"/>
      <c r="C494" s="165"/>
      <c r="D494" s="165"/>
      <c r="E494" s="165"/>
      <c r="F494" s="165"/>
      <c r="G494" s="165"/>
      <c r="H494" s="165"/>
      <c r="I494" s="165"/>
    </row>
    <row r="495" spans="1:9" ht="29.1" customHeight="1" x14ac:dyDescent="0.3">
      <c r="A495" s="60"/>
      <c r="B495" s="166" t="s">
        <v>21</v>
      </c>
      <c r="C495" s="207" t="s">
        <v>392</v>
      </c>
      <c r="D495" s="207"/>
      <c r="E495" s="207"/>
      <c r="F495" s="207"/>
      <c r="G495" s="207"/>
      <c r="H495" s="207"/>
      <c r="I495" s="207"/>
    </row>
    <row r="496" spans="1:9" ht="28.5" customHeight="1" x14ac:dyDescent="0.3">
      <c r="A496" s="60"/>
      <c r="B496" s="166" t="s">
        <v>23</v>
      </c>
      <c r="C496" s="207" t="s">
        <v>393</v>
      </c>
      <c r="D496" s="207"/>
      <c r="E496" s="207"/>
      <c r="F496" s="207"/>
      <c r="G496" s="207"/>
      <c r="H496" s="207"/>
      <c r="I496" s="207"/>
    </row>
    <row r="497" spans="1:9" ht="15.6" customHeight="1" x14ac:dyDescent="0.3">
      <c r="A497" s="60"/>
      <c r="B497" s="166" t="s">
        <v>25</v>
      </c>
      <c r="C497" s="207" t="s">
        <v>394</v>
      </c>
      <c r="D497" s="207"/>
      <c r="E497" s="207"/>
      <c r="F497" s="207"/>
      <c r="G497" s="207"/>
      <c r="H497" s="207"/>
      <c r="I497" s="207"/>
    </row>
    <row r="498" spans="1:9" x14ac:dyDescent="0.3">
      <c r="A498" s="170"/>
      <c r="B498" s="205"/>
      <c r="C498" s="205"/>
      <c r="D498" s="205"/>
      <c r="E498" s="205"/>
      <c r="F498" s="205"/>
      <c r="G498" s="205"/>
      <c r="H498" s="205"/>
      <c r="I498" s="205"/>
    </row>
    <row r="499" spans="1:9" x14ac:dyDescent="0.3">
      <c r="A499" s="60"/>
      <c r="B499" s="204" t="s">
        <v>0</v>
      </c>
      <c r="C499" s="204"/>
      <c r="D499" s="204"/>
      <c r="E499" s="204"/>
      <c r="F499" s="204"/>
      <c r="G499" s="204"/>
      <c r="H499" s="204"/>
      <c r="I499" s="204"/>
    </row>
    <row r="500" spans="1:9" x14ac:dyDescent="0.3">
      <c r="B500" s="166" t="s">
        <v>8</v>
      </c>
      <c r="C500" s="200" t="s">
        <v>187</v>
      </c>
      <c r="D500" s="200"/>
      <c r="E500" s="200"/>
      <c r="F500" s="200"/>
      <c r="G500" s="200"/>
      <c r="H500" s="200"/>
      <c r="I500" s="200"/>
    </row>
    <row r="501" spans="1:9" ht="12.6" customHeight="1" x14ac:dyDescent="0.3">
      <c r="B501" s="166" t="s">
        <v>8</v>
      </c>
      <c r="C501" s="200" t="s">
        <v>395</v>
      </c>
      <c r="D501" s="200"/>
      <c r="E501" s="200"/>
      <c r="F501" s="200"/>
      <c r="G501" s="200"/>
      <c r="H501" s="200"/>
      <c r="I501" s="200"/>
    </row>
    <row r="502" spans="1:9" ht="24.9" customHeight="1" x14ac:dyDescent="0.3">
      <c r="B502" s="166" t="s">
        <v>8</v>
      </c>
      <c r="C502" s="200" t="s">
        <v>396</v>
      </c>
      <c r="D502" s="200"/>
      <c r="E502" s="200"/>
      <c r="F502" s="200"/>
      <c r="G502" s="200"/>
      <c r="H502" s="200"/>
      <c r="I502" s="200"/>
    </row>
    <row r="504" spans="1:9" ht="14.4" x14ac:dyDescent="0.3">
      <c r="A504" s="177" t="s">
        <v>397</v>
      </c>
      <c r="B504" s="203" t="s">
        <v>398</v>
      </c>
      <c r="C504" s="198"/>
      <c r="D504" s="198"/>
      <c r="E504" s="198"/>
      <c r="F504" s="198"/>
      <c r="G504" s="198"/>
      <c r="H504" s="198"/>
      <c r="I504" s="198"/>
    </row>
    <row r="505" spans="1:9" ht="14.4" x14ac:dyDescent="0.3">
      <c r="A505" s="3"/>
      <c r="B505" s="204" t="s">
        <v>6</v>
      </c>
      <c r="C505" s="198"/>
      <c r="D505" s="198"/>
      <c r="E505" s="198"/>
      <c r="F505" s="198"/>
      <c r="G505" s="198"/>
      <c r="H505" s="198"/>
      <c r="I505" s="198"/>
    </row>
    <row r="506" spans="1:9" ht="26.1" customHeight="1" x14ac:dyDescent="0.3">
      <c r="A506" s="60"/>
      <c r="B506" s="200" t="s">
        <v>399</v>
      </c>
      <c r="C506" s="198"/>
      <c r="D506" s="198"/>
      <c r="E506" s="198"/>
      <c r="F506" s="198"/>
      <c r="G506" s="198"/>
      <c r="H506" s="198"/>
      <c r="I506" s="198"/>
    </row>
    <row r="507" spans="1:9" ht="14.4" x14ac:dyDescent="0.3">
      <c r="A507" s="170"/>
      <c r="B507" s="205"/>
      <c r="C507" s="206"/>
      <c r="D507" s="206"/>
      <c r="E507" s="206"/>
      <c r="F507" s="206"/>
      <c r="G507" s="206"/>
      <c r="H507" s="206"/>
      <c r="I507" s="206"/>
    </row>
    <row r="508" spans="1:9" ht="14.4" x14ac:dyDescent="0.3">
      <c r="A508" s="60"/>
      <c r="B508" s="204" t="s">
        <v>0</v>
      </c>
      <c r="C508" s="198"/>
      <c r="D508" s="198"/>
      <c r="E508" s="198"/>
      <c r="F508" s="198"/>
      <c r="G508" s="198"/>
      <c r="H508" s="198"/>
      <c r="I508" s="198"/>
    </row>
    <row r="509" spans="1:9" ht="14.4" x14ac:dyDescent="0.3">
      <c r="B509" s="166" t="s">
        <v>8</v>
      </c>
      <c r="C509" s="200" t="s">
        <v>187</v>
      </c>
      <c r="D509" s="198"/>
      <c r="E509" s="198"/>
      <c r="F509" s="198"/>
      <c r="G509" s="198"/>
      <c r="H509" s="198"/>
      <c r="I509" s="198"/>
    </row>
    <row r="510" spans="1:9" ht="14.4" x14ac:dyDescent="0.3">
      <c r="B510" s="166" t="s">
        <v>8</v>
      </c>
      <c r="C510" s="200" t="s">
        <v>400</v>
      </c>
      <c r="D510" s="198"/>
      <c r="E510" s="198"/>
      <c r="F510" s="198"/>
      <c r="G510" s="198"/>
      <c r="H510" s="198"/>
      <c r="I510" s="198"/>
    </row>
    <row r="511" spans="1:9" ht="14.4" x14ac:dyDescent="0.3">
      <c r="B511" s="166" t="s">
        <v>8</v>
      </c>
      <c r="C511" s="200" t="s">
        <v>401</v>
      </c>
      <c r="D511" s="198"/>
      <c r="E511" s="198"/>
      <c r="F511" s="198"/>
      <c r="G511" s="198"/>
      <c r="H511" s="198"/>
      <c r="I511" s="198"/>
    </row>
    <row r="512" spans="1:9" ht="27.6" customHeight="1" x14ac:dyDescent="0.3">
      <c r="B512" s="166" t="s">
        <v>8</v>
      </c>
      <c r="C512" s="200" t="s">
        <v>402</v>
      </c>
      <c r="D512" s="198"/>
      <c r="E512" s="198"/>
      <c r="F512" s="198"/>
      <c r="G512" s="198"/>
      <c r="H512" s="198"/>
      <c r="I512" s="198"/>
    </row>
    <row r="513" spans="1:9" ht="14.4" x14ac:dyDescent="0.3">
      <c r="B513" s="166" t="s">
        <v>8</v>
      </c>
      <c r="C513" s="200" t="s">
        <v>403</v>
      </c>
      <c r="D513" s="198"/>
      <c r="E513" s="198"/>
      <c r="F513" s="198"/>
      <c r="G513" s="198"/>
      <c r="H513" s="198"/>
      <c r="I513" s="198"/>
    </row>
    <row r="514" spans="1:9" ht="59.4" customHeight="1" x14ac:dyDescent="0.3">
      <c r="B514" s="166" t="s">
        <v>8</v>
      </c>
      <c r="C514" s="200" t="s">
        <v>404</v>
      </c>
      <c r="D514" s="198"/>
      <c r="E514" s="198"/>
      <c r="F514" s="198"/>
      <c r="G514" s="198"/>
      <c r="H514" s="198"/>
      <c r="I514" s="198"/>
    </row>
    <row r="515" spans="1:9" ht="30" customHeight="1" x14ac:dyDescent="0.3">
      <c r="B515" s="166" t="s">
        <v>21</v>
      </c>
      <c r="C515" s="207" t="s">
        <v>405</v>
      </c>
      <c r="D515" s="208"/>
      <c r="E515" s="208"/>
      <c r="F515" s="208"/>
      <c r="G515" s="208"/>
      <c r="H515" s="208"/>
      <c r="I515" s="208"/>
    </row>
    <row r="516" spans="1:9" ht="44.4" customHeight="1" x14ac:dyDescent="0.3">
      <c r="B516" s="166" t="s">
        <v>23</v>
      </c>
      <c r="C516" s="207" t="s">
        <v>406</v>
      </c>
      <c r="D516" s="208"/>
      <c r="E516" s="208"/>
      <c r="F516" s="208"/>
      <c r="G516" s="208"/>
      <c r="H516" s="208"/>
      <c r="I516" s="208"/>
    </row>
    <row r="518" spans="1:9" ht="14.4" x14ac:dyDescent="0.3">
      <c r="A518" s="176" t="s">
        <v>1749</v>
      </c>
      <c r="B518" s="203" t="s">
        <v>97</v>
      </c>
      <c r="C518" s="198"/>
      <c r="D518" s="198"/>
      <c r="E518" s="198"/>
      <c r="F518" s="198"/>
      <c r="G518" s="198"/>
      <c r="H518" s="198"/>
      <c r="I518" s="198"/>
    </row>
    <row r="519" spans="1:9" ht="14.4" x14ac:dyDescent="0.3">
      <c r="A519" s="177" t="s">
        <v>407</v>
      </c>
      <c r="B519" s="203" t="s">
        <v>408</v>
      </c>
      <c r="C519" s="198"/>
      <c r="D519" s="198"/>
      <c r="E519" s="198"/>
      <c r="F519" s="198"/>
      <c r="G519" s="198"/>
      <c r="H519" s="198"/>
      <c r="I519" s="198"/>
    </row>
    <row r="520" spans="1:9" ht="14.4" x14ac:dyDescent="0.3">
      <c r="A520" s="3"/>
      <c r="B520" s="204" t="s">
        <v>6</v>
      </c>
      <c r="C520" s="198"/>
      <c r="D520" s="198"/>
      <c r="E520" s="198"/>
      <c r="F520" s="198"/>
      <c r="G520" s="198"/>
      <c r="H520" s="198"/>
      <c r="I520" s="198"/>
    </row>
    <row r="521" spans="1:9" ht="54.6" customHeight="1" x14ac:dyDescent="0.3">
      <c r="A521" s="60"/>
      <c r="B521" s="200" t="s">
        <v>409</v>
      </c>
      <c r="C521" s="198"/>
      <c r="D521" s="198"/>
      <c r="E521" s="198"/>
      <c r="F521" s="198"/>
      <c r="G521" s="198"/>
      <c r="H521" s="198"/>
      <c r="I521" s="198"/>
    </row>
    <row r="522" spans="1:9" ht="14.4" x14ac:dyDescent="0.3">
      <c r="A522" s="170"/>
      <c r="B522" s="205"/>
      <c r="C522" s="206"/>
      <c r="D522" s="206"/>
      <c r="E522" s="206"/>
      <c r="F522" s="206"/>
      <c r="G522" s="206"/>
      <c r="H522" s="206"/>
      <c r="I522" s="206"/>
    </row>
    <row r="523" spans="1:9" ht="14.4" x14ac:dyDescent="0.3">
      <c r="A523" s="60"/>
      <c r="B523" s="204" t="s">
        <v>0</v>
      </c>
      <c r="C523" s="198"/>
      <c r="D523" s="198"/>
      <c r="E523" s="198"/>
      <c r="F523" s="198"/>
      <c r="G523" s="198"/>
      <c r="H523" s="198"/>
      <c r="I523" s="198"/>
    </row>
    <row r="524" spans="1:9" ht="14.4" x14ac:dyDescent="0.3">
      <c r="B524" s="166" t="s">
        <v>8</v>
      </c>
      <c r="C524" s="200" t="s">
        <v>410</v>
      </c>
      <c r="D524" s="198"/>
      <c r="E524" s="198"/>
      <c r="F524" s="198"/>
      <c r="G524" s="198"/>
      <c r="H524" s="198"/>
      <c r="I524" s="198"/>
    </row>
    <row r="525" spans="1:9" ht="14.4" x14ac:dyDescent="0.3">
      <c r="B525" s="166" t="s">
        <v>8</v>
      </c>
      <c r="C525" s="200" t="s">
        <v>411</v>
      </c>
      <c r="D525" s="198"/>
      <c r="E525" s="198"/>
      <c r="F525" s="198"/>
      <c r="G525" s="198"/>
      <c r="H525" s="198"/>
      <c r="I525" s="198"/>
    </row>
    <row r="526" spans="1:9" ht="14.4" x14ac:dyDescent="0.3">
      <c r="C526" s="200"/>
      <c r="D526" s="198"/>
      <c r="E526" s="198"/>
      <c r="F526" s="198"/>
      <c r="G526" s="198"/>
      <c r="H526" s="198"/>
      <c r="I526" s="198"/>
    </row>
    <row r="527" spans="1:9" ht="14.4" x14ac:dyDescent="0.3">
      <c r="A527" s="177" t="s">
        <v>412</v>
      </c>
      <c r="B527" s="203" t="s">
        <v>413</v>
      </c>
      <c r="C527" s="198"/>
      <c r="D527" s="198"/>
      <c r="E527" s="198"/>
      <c r="F527" s="198"/>
      <c r="G527" s="198"/>
      <c r="H527" s="198"/>
      <c r="I527" s="198"/>
    </row>
    <row r="528" spans="1:9" ht="14.4" x14ac:dyDescent="0.3">
      <c r="A528" s="3"/>
      <c r="B528" s="204" t="s">
        <v>6</v>
      </c>
      <c r="C528" s="198"/>
      <c r="D528" s="198"/>
      <c r="E528" s="198"/>
      <c r="F528" s="198"/>
      <c r="G528" s="198"/>
      <c r="H528" s="198"/>
      <c r="I528" s="198"/>
    </row>
    <row r="529" spans="1:9" ht="45.6" customHeight="1" x14ac:dyDescent="0.3">
      <c r="A529" s="60"/>
      <c r="B529" s="200" t="s">
        <v>414</v>
      </c>
      <c r="C529" s="198"/>
      <c r="D529" s="198"/>
      <c r="E529" s="198"/>
      <c r="F529" s="198"/>
      <c r="G529" s="198"/>
      <c r="H529" s="198"/>
      <c r="I529" s="198"/>
    </row>
    <row r="530" spans="1:9" ht="14.4" x14ac:dyDescent="0.3">
      <c r="A530" s="170"/>
      <c r="B530" s="205"/>
      <c r="C530" s="206"/>
      <c r="D530" s="206"/>
      <c r="E530" s="206"/>
      <c r="F530" s="206"/>
      <c r="G530" s="206"/>
      <c r="H530" s="206"/>
      <c r="I530" s="206"/>
    </row>
    <row r="531" spans="1:9" ht="14.4" x14ac:dyDescent="0.3">
      <c r="A531" s="60"/>
      <c r="B531" s="204" t="s">
        <v>0</v>
      </c>
      <c r="C531" s="198"/>
      <c r="D531" s="198"/>
      <c r="E531" s="198"/>
      <c r="F531" s="198"/>
      <c r="G531" s="198"/>
      <c r="H531" s="198"/>
      <c r="I531" s="198"/>
    </row>
    <row r="532" spans="1:9" ht="39" customHeight="1" x14ac:dyDescent="0.3">
      <c r="B532" s="166" t="s">
        <v>8</v>
      </c>
      <c r="C532" s="200" t="s">
        <v>415</v>
      </c>
      <c r="D532" s="198"/>
      <c r="E532" s="198"/>
      <c r="F532" s="198"/>
      <c r="G532" s="198"/>
      <c r="H532" s="198"/>
      <c r="I532" s="198"/>
    </row>
    <row r="533" spans="1:9" ht="14.4" x14ac:dyDescent="0.3">
      <c r="B533" s="166" t="s">
        <v>8</v>
      </c>
      <c r="C533" s="200" t="s">
        <v>416</v>
      </c>
      <c r="D533" s="198"/>
      <c r="E533" s="198"/>
      <c r="F533" s="198"/>
      <c r="G533" s="198"/>
      <c r="H533" s="198"/>
      <c r="I533" s="198"/>
    </row>
    <row r="535" spans="1:9" ht="14.4" x14ac:dyDescent="0.3">
      <c r="A535" s="177" t="s">
        <v>417</v>
      </c>
      <c r="B535" s="203" t="s">
        <v>383</v>
      </c>
      <c r="C535" s="198"/>
      <c r="D535" s="198"/>
      <c r="E535" s="198"/>
      <c r="F535" s="198"/>
      <c r="G535" s="198"/>
      <c r="H535" s="198"/>
      <c r="I535" s="198"/>
    </row>
    <row r="536" spans="1:9" ht="14.4" x14ac:dyDescent="0.3">
      <c r="A536" s="3"/>
      <c r="B536" s="204" t="s">
        <v>6</v>
      </c>
      <c r="C536" s="198"/>
      <c r="D536" s="198"/>
      <c r="E536" s="198"/>
      <c r="F536" s="198"/>
      <c r="G536" s="198"/>
      <c r="H536" s="198"/>
      <c r="I536" s="198"/>
    </row>
    <row r="537" spans="1:9" ht="40.5" customHeight="1" x14ac:dyDescent="0.3">
      <c r="A537" s="60"/>
      <c r="B537" s="200" t="s">
        <v>418</v>
      </c>
      <c r="C537" s="198"/>
      <c r="D537" s="198"/>
      <c r="E537" s="198"/>
      <c r="F537" s="198"/>
      <c r="G537" s="198"/>
      <c r="H537" s="198"/>
      <c r="I537" s="198"/>
    </row>
    <row r="538" spans="1:9" ht="14.4" x14ac:dyDescent="0.3">
      <c r="A538" s="170"/>
      <c r="C538" s="165"/>
      <c r="D538" s="165"/>
      <c r="E538" s="165"/>
      <c r="F538" s="165"/>
      <c r="G538" s="165"/>
      <c r="H538" s="165"/>
      <c r="I538" s="165"/>
    </row>
    <row r="539" spans="1:9" ht="14.4" x14ac:dyDescent="0.3">
      <c r="A539" s="60"/>
      <c r="B539" s="204" t="s">
        <v>0</v>
      </c>
      <c r="C539" s="198"/>
      <c r="D539" s="198"/>
      <c r="E539" s="198"/>
      <c r="F539" s="198"/>
      <c r="G539" s="198"/>
      <c r="H539" s="198"/>
      <c r="I539" s="198"/>
    </row>
    <row r="540" spans="1:9" ht="14.4" customHeight="1" x14ac:dyDescent="0.3">
      <c r="B540" s="166" t="s">
        <v>8</v>
      </c>
      <c r="C540" s="200" t="s">
        <v>419</v>
      </c>
      <c r="D540" s="198"/>
      <c r="E540" s="198"/>
      <c r="F540" s="198"/>
      <c r="G540" s="198"/>
      <c r="H540" s="198"/>
      <c r="I540" s="198"/>
    </row>
    <row r="541" spans="1:9" ht="25.5" customHeight="1" x14ac:dyDescent="0.3">
      <c r="B541" s="166" t="s">
        <v>8</v>
      </c>
      <c r="C541" s="200" t="s">
        <v>420</v>
      </c>
      <c r="D541" s="198"/>
      <c r="E541" s="198"/>
      <c r="F541" s="198"/>
      <c r="G541" s="198"/>
      <c r="H541" s="198"/>
      <c r="I541" s="198"/>
    </row>
    <row r="542" spans="1:9" ht="15.6" customHeight="1" x14ac:dyDescent="0.3">
      <c r="B542" s="166" t="s">
        <v>8</v>
      </c>
      <c r="C542" s="200" t="s">
        <v>421</v>
      </c>
      <c r="D542" s="198"/>
      <c r="E542" s="198"/>
      <c r="F542" s="198"/>
      <c r="G542" s="198"/>
      <c r="H542" s="198"/>
      <c r="I542" s="198"/>
    </row>
    <row r="543" spans="1:9" ht="15.6" customHeight="1" x14ac:dyDescent="0.3">
      <c r="D543" s="165"/>
      <c r="E543" s="165"/>
      <c r="F543" s="165"/>
      <c r="G543" s="165"/>
      <c r="H543" s="165"/>
      <c r="I543" s="165"/>
    </row>
    <row r="544" spans="1:9" ht="29.4" customHeight="1" x14ac:dyDescent="0.3">
      <c r="B544" s="166" t="s">
        <v>21</v>
      </c>
      <c r="C544" s="207" t="s">
        <v>422</v>
      </c>
      <c r="D544" s="208"/>
      <c r="E544" s="208"/>
      <c r="F544" s="208"/>
      <c r="G544" s="208"/>
      <c r="H544" s="208"/>
      <c r="I544" s="208"/>
    </row>
    <row r="546" spans="1:9" ht="14.4" x14ac:dyDescent="0.3">
      <c r="A546" s="177" t="s">
        <v>423</v>
      </c>
      <c r="B546" s="203" t="s">
        <v>424</v>
      </c>
      <c r="C546" s="198"/>
      <c r="D546" s="198"/>
      <c r="E546" s="198"/>
      <c r="F546" s="198"/>
      <c r="G546" s="198"/>
      <c r="H546" s="198"/>
      <c r="I546" s="198"/>
    </row>
    <row r="547" spans="1:9" ht="14.4" x14ac:dyDescent="0.3">
      <c r="A547" s="3"/>
      <c r="B547" s="204" t="s">
        <v>6</v>
      </c>
      <c r="C547" s="198"/>
      <c r="D547" s="198"/>
      <c r="E547" s="198"/>
      <c r="F547" s="198"/>
      <c r="G547" s="198"/>
      <c r="H547" s="198"/>
      <c r="I547" s="198"/>
    </row>
    <row r="548" spans="1:9" ht="26.1" customHeight="1" x14ac:dyDescent="0.3">
      <c r="A548" s="60"/>
      <c r="B548" s="200" t="s">
        <v>425</v>
      </c>
      <c r="C548" s="198"/>
      <c r="D548" s="198"/>
      <c r="E548" s="198"/>
      <c r="F548" s="198"/>
      <c r="G548" s="198"/>
      <c r="H548" s="198"/>
      <c r="I548" s="198"/>
    </row>
    <row r="549" spans="1:9" ht="24.6" customHeight="1" x14ac:dyDescent="0.3">
      <c r="A549" s="170"/>
      <c r="B549" s="200" t="s">
        <v>426</v>
      </c>
      <c r="C549" s="198"/>
      <c r="D549" s="198"/>
      <c r="E549" s="198"/>
      <c r="F549" s="198"/>
      <c r="G549" s="198"/>
      <c r="H549" s="198"/>
      <c r="I549" s="198"/>
    </row>
    <row r="550" spans="1:9" ht="14.4" x14ac:dyDescent="0.3">
      <c r="A550" s="60"/>
      <c r="B550" s="204" t="s">
        <v>0</v>
      </c>
      <c r="C550" s="198"/>
      <c r="D550" s="198"/>
      <c r="E550" s="198"/>
      <c r="F550" s="198"/>
      <c r="G550" s="198"/>
      <c r="H550" s="198"/>
      <c r="I550" s="198"/>
    </row>
    <row r="551" spans="1:9" ht="14.4" x14ac:dyDescent="0.3">
      <c r="B551" s="166" t="s">
        <v>8</v>
      </c>
      <c r="C551" s="200" t="s">
        <v>187</v>
      </c>
      <c r="D551" s="198"/>
      <c r="E551" s="198"/>
      <c r="F551" s="198"/>
      <c r="G551" s="198"/>
      <c r="H551" s="198"/>
      <c r="I551" s="198"/>
    </row>
    <row r="552" spans="1:9" ht="29.1" customHeight="1" x14ac:dyDescent="0.3">
      <c r="B552" s="166" t="s">
        <v>8</v>
      </c>
      <c r="C552" s="200" t="s">
        <v>427</v>
      </c>
      <c r="D552" s="198"/>
      <c r="E552" s="198"/>
      <c r="F552" s="198"/>
      <c r="G552" s="198"/>
      <c r="H552" s="198"/>
      <c r="I552" s="198"/>
    </row>
    <row r="553" spans="1:9" ht="14.4" x14ac:dyDescent="0.3">
      <c r="D553" s="165"/>
      <c r="E553" s="165"/>
      <c r="F553" s="165"/>
      <c r="G553" s="165"/>
      <c r="H553" s="165"/>
      <c r="I553" s="165"/>
    </row>
    <row r="554" spans="1:9" ht="14.4" x14ac:dyDescent="0.3">
      <c r="A554" s="177" t="s">
        <v>428</v>
      </c>
      <c r="B554" s="203" t="s">
        <v>398</v>
      </c>
      <c r="C554" s="198"/>
      <c r="D554" s="198"/>
      <c r="E554" s="198"/>
      <c r="F554" s="198"/>
      <c r="G554" s="198"/>
      <c r="H554" s="198"/>
      <c r="I554" s="198"/>
    </row>
    <row r="555" spans="1:9" ht="14.4" x14ac:dyDescent="0.3">
      <c r="A555" s="3"/>
      <c r="B555" s="204" t="s">
        <v>6</v>
      </c>
      <c r="C555" s="198"/>
      <c r="D555" s="198"/>
      <c r="E555" s="198"/>
      <c r="F555" s="198"/>
      <c r="G555" s="198"/>
      <c r="H555" s="198"/>
      <c r="I555" s="198"/>
    </row>
    <row r="556" spans="1:9" ht="41.1" customHeight="1" x14ac:dyDescent="0.3">
      <c r="A556" s="60"/>
      <c r="B556" s="200" t="s">
        <v>429</v>
      </c>
      <c r="C556" s="198"/>
      <c r="D556" s="198"/>
      <c r="E556" s="198"/>
      <c r="F556" s="198"/>
      <c r="G556" s="198"/>
      <c r="H556" s="198"/>
      <c r="I556" s="198"/>
    </row>
    <row r="557" spans="1:9" ht="14.4" x14ac:dyDescent="0.3">
      <c r="A557" s="170"/>
      <c r="B557" s="205"/>
      <c r="C557" s="206"/>
      <c r="D557" s="206"/>
      <c r="E557" s="206"/>
      <c r="F557" s="206"/>
      <c r="G557" s="206"/>
      <c r="H557" s="206"/>
      <c r="I557" s="206"/>
    </row>
    <row r="558" spans="1:9" ht="14.4" x14ac:dyDescent="0.3">
      <c r="A558" s="60"/>
      <c r="B558" s="204" t="s">
        <v>0</v>
      </c>
      <c r="C558" s="198"/>
      <c r="D558" s="198"/>
      <c r="E558" s="198"/>
      <c r="F558" s="198"/>
      <c r="G558" s="198"/>
      <c r="H558" s="198"/>
      <c r="I558" s="198"/>
    </row>
    <row r="559" spans="1:9" ht="14.4" x14ac:dyDescent="0.3">
      <c r="B559" s="166" t="s">
        <v>8</v>
      </c>
      <c r="C559" s="200" t="s">
        <v>187</v>
      </c>
      <c r="D559" s="198"/>
      <c r="E559" s="198"/>
      <c r="F559" s="198"/>
      <c r="G559" s="198"/>
      <c r="H559" s="198"/>
      <c r="I559" s="198"/>
    </row>
    <row r="560" spans="1:9" ht="14.4" x14ac:dyDescent="0.3">
      <c r="B560" s="166" t="s">
        <v>8</v>
      </c>
      <c r="C560" s="200" t="s">
        <v>400</v>
      </c>
      <c r="D560" s="198"/>
      <c r="E560" s="198"/>
      <c r="F560" s="198"/>
      <c r="G560" s="198"/>
      <c r="H560" s="198"/>
      <c r="I560" s="198"/>
    </row>
    <row r="561" spans="1:9" ht="14.4" x14ac:dyDescent="0.3">
      <c r="B561" s="166" t="s">
        <v>8</v>
      </c>
      <c r="C561" s="200" t="s">
        <v>401</v>
      </c>
      <c r="D561" s="198"/>
      <c r="E561" s="198"/>
      <c r="F561" s="198"/>
      <c r="G561" s="198"/>
      <c r="H561" s="198"/>
      <c r="I561" s="198"/>
    </row>
    <row r="562" spans="1:9" ht="27" customHeight="1" x14ac:dyDescent="0.3">
      <c r="B562" s="166" t="s">
        <v>8</v>
      </c>
      <c r="C562" s="200" t="s">
        <v>430</v>
      </c>
      <c r="D562" s="198"/>
      <c r="E562" s="198"/>
      <c r="F562" s="198"/>
      <c r="G562" s="198"/>
      <c r="H562" s="198"/>
      <c r="I562" s="198"/>
    </row>
    <row r="563" spans="1:9" ht="14.4" x14ac:dyDescent="0.3">
      <c r="B563" s="166" t="s">
        <v>8</v>
      </c>
      <c r="C563" s="200" t="s">
        <v>431</v>
      </c>
      <c r="D563" s="198"/>
      <c r="E563" s="198"/>
      <c r="F563" s="198"/>
      <c r="G563" s="198"/>
      <c r="H563" s="198"/>
      <c r="I563" s="198"/>
    </row>
    <row r="564" spans="1:9" ht="44.1" customHeight="1" x14ac:dyDescent="0.3">
      <c r="B564" s="166" t="s">
        <v>8</v>
      </c>
      <c r="C564" s="200" t="s">
        <v>432</v>
      </c>
      <c r="D564" s="198"/>
      <c r="E564" s="198"/>
      <c r="F564" s="198"/>
      <c r="G564" s="198"/>
      <c r="H564" s="198"/>
      <c r="I564" s="198"/>
    </row>
    <row r="565" spans="1:9" x14ac:dyDescent="0.3">
      <c r="C565" s="200"/>
      <c r="D565" s="200"/>
      <c r="E565" s="200"/>
      <c r="F565" s="200"/>
      <c r="G565" s="200"/>
      <c r="H565" s="200"/>
      <c r="I565" s="200"/>
    </row>
    <row r="566" spans="1:9" ht="26.4" customHeight="1" x14ac:dyDescent="0.3">
      <c r="B566" s="166" t="s">
        <v>21</v>
      </c>
      <c r="C566" s="207" t="s">
        <v>433</v>
      </c>
      <c r="D566" s="207"/>
      <c r="E566" s="207"/>
      <c r="F566" s="207"/>
      <c r="G566" s="207"/>
      <c r="H566" s="207"/>
      <c r="I566" s="207"/>
    </row>
    <row r="567" spans="1:9" ht="39.6" customHeight="1" x14ac:dyDescent="0.3">
      <c r="B567" s="166" t="s">
        <v>23</v>
      </c>
      <c r="C567" s="207" t="s">
        <v>434</v>
      </c>
      <c r="D567" s="207"/>
      <c r="E567" s="207"/>
      <c r="F567" s="207"/>
      <c r="G567" s="207"/>
      <c r="H567" s="207"/>
      <c r="I567" s="207"/>
    </row>
    <row r="568" spans="1:9" ht="14.4" x14ac:dyDescent="0.3">
      <c r="D568" s="165"/>
      <c r="E568" s="165"/>
      <c r="F568" s="165"/>
      <c r="G568" s="165"/>
      <c r="H568" s="165"/>
      <c r="I568" s="165"/>
    </row>
    <row r="569" spans="1:9" ht="16.2" x14ac:dyDescent="0.35">
      <c r="A569" s="142" t="s">
        <v>435</v>
      </c>
      <c r="B569" s="195" t="s">
        <v>436</v>
      </c>
      <c r="C569" s="196"/>
      <c r="D569" s="196"/>
      <c r="E569" s="196"/>
      <c r="F569" s="196"/>
      <c r="G569" s="196"/>
      <c r="H569" s="196"/>
      <c r="I569" s="196"/>
    </row>
    <row r="570" spans="1:9" x14ac:dyDescent="0.3">
      <c r="A570" s="170"/>
      <c r="B570" s="168"/>
      <c r="C570" s="168"/>
      <c r="D570" s="168"/>
      <c r="E570" s="168"/>
      <c r="F570" s="168"/>
      <c r="G570" s="168"/>
      <c r="H570" s="168"/>
      <c r="I570" s="168"/>
    </row>
    <row r="571" spans="1:9" ht="14.4" x14ac:dyDescent="0.3">
      <c r="A571" s="177" t="s">
        <v>437</v>
      </c>
      <c r="B571" s="203" t="s">
        <v>438</v>
      </c>
      <c r="C571" s="198"/>
      <c r="D571" s="198"/>
      <c r="E571" s="198"/>
      <c r="F571" s="198"/>
      <c r="G571" s="198"/>
      <c r="H571" s="198"/>
      <c r="I571" s="198"/>
    </row>
    <row r="572" spans="1:9" ht="14.4" x14ac:dyDescent="0.3">
      <c r="A572" s="3"/>
      <c r="B572" s="204" t="s">
        <v>6</v>
      </c>
      <c r="C572" s="198"/>
      <c r="D572" s="198"/>
      <c r="E572" s="198"/>
      <c r="F572" s="198"/>
      <c r="G572" s="198"/>
      <c r="H572" s="198"/>
      <c r="I572" s="198"/>
    </row>
    <row r="573" spans="1:9" ht="27.6" customHeight="1" x14ac:dyDescent="0.3">
      <c r="A573" s="60"/>
      <c r="B573" s="200" t="s">
        <v>439</v>
      </c>
      <c r="C573" s="198"/>
      <c r="D573" s="198"/>
      <c r="E573" s="198"/>
      <c r="F573" s="198"/>
      <c r="G573" s="198"/>
      <c r="H573" s="198"/>
      <c r="I573" s="198"/>
    </row>
    <row r="574" spans="1:9" ht="11.4" customHeight="1" x14ac:dyDescent="0.3">
      <c r="A574" s="170"/>
      <c r="B574" s="200"/>
      <c r="C574" s="198"/>
      <c r="D574" s="198"/>
      <c r="E574" s="198"/>
      <c r="F574" s="198"/>
      <c r="G574" s="198"/>
      <c r="H574" s="198"/>
      <c r="I574" s="198"/>
    </row>
    <row r="575" spans="1:9" ht="14.4" x14ac:dyDescent="0.3">
      <c r="A575" s="60"/>
      <c r="B575" s="204" t="s">
        <v>0</v>
      </c>
      <c r="C575" s="198"/>
      <c r="D575" s="198"/>
      <c r="E575" s="198"/>
      <c r="F575" s="198"/>
      <c r="G575" s="198"/>
      <c r="H575" s="198"/>
      <c r="I575" s="198"/>
    </row>
    <row r="576" spans="1:9" ht="14.4" x14ac:dyDescent="0.3">
      <c r="B576" s="166" t="s">
        <v>8</v>
      </c>
      <c r="C576" s="200" t="s">
        <v>440</v>
      </c>
      <c r="D576" s="198"/>
      <c r="E576" s="198"/>
      <c r="F576" s="198"/>
      <c r="G576" s="198"/>
      <c r="H576" s="198"/>
      <c r="I576" s="198"/>
    </row>
    <row r="577" spans="1:9" ht="27" customHeight="1" x14ac:dyDescent="0.3">
      <c r="B577" s="166" t="s">
        <v>1741</v>
      </c>
      <c r="C577" s="200" t="s">
        <v>1742</v>
      </c>
      <c r="D577" s="198"/>
      <c r="E577" s="198"/>
      <c r="F577" s="198"/>
      <c r="G577" s="198"/>
      <c r="H577" s="198"/>
      <c r="I577" s="198"/>
    </row>
    <row r="579" spans="1:9" ht="14.4" x14ac:dyDescent="0.3">
      <c r="A579" s="177" t="s">
        <v>441</v>
      </c>
      <c r="B579" s="203" t="s">
        <v>442</v>
      </c>
      <c r="C579" s="198"/>
      <c r="D579" s="198"/>
      <c r="E579" s="198"/>
      <c r="F579" s="198"/>
      <c r="G579" s="198"/>
      <c r="H579" s="198"/>
      <c r="I579" s="198"/>
    </row>
    <row r="580" spans="1:9" ht="14.4" x14ac:dyDescent="0.3">
      <c r="A580" s="3"/>
      <c r="B580" s="204" t="s">
        <v>6</v>
      </c>
      <c r="C580" s="198"/>
      <c r="D580" s="198"/>
      <c r="E580" s="198"/>
      <c r="F580" s="198"/>
      <c r="G580" s="198"/>
      <c r="H580" s="198"/>
      <c r="I580" s="198"/>
    </row>
    <row r="581" spans="1:9" ht="42.9" customHeight="1" x14ac:dyDescent="0.3">
      <c r="A581" s="60"/>
      <c r="B581" s="200" t="s">
        <v>443</v>
      </c>
      <c r="C581" s="198"/>
      <c r="D581" s="198"/>
      <c r="E581" s="198"/>
      <c r="F581" s="198"/>
      <c r="G581" s="198"/>
      <c r="H581" s="198"/>
      <c r="I581" s="198"/>
    </row>
    <row r="582" spans="1:9" ht="14.4" x14ac:dyDescent="0.3">
      <c r="A582" s="170"/>
      <c r="B582" s="205"/>
      <c r="C582" s="206"/>
      <c r="D582" s="206"/>
      <c r="E582" s="206"/>
      <c r="F582" s="206"/>
      <c r="G582" s="206"/>
      <c r="H582" s="206"/>
      <c r="I582" s="206"/>
    </row>
    <row r="583" spans="1:9" ht="14.4" x14ac:dyDescent="0.3">
      <c r="A583" s="60"/>
      <c r="B583" s="204" t="s">
        <v>0</v>
      </c>
      <c r="C583" s="198"/>
      <c r="D583" s="198"/>
      <c r="E583" s="198"/>
      <c r="F583" s="198"/>
      <c r="G583" s="198"/>
      <c r="H583" s="198"/>
      <c r="I583" s="198"/>
    </row>
    <row r="584" spans="1:9" ht="14.4" x14ac:dyDescent="0.3">
      <c r="B584" s="166" t="s">
        <v>8</v>
      </c>
      <c r="C584" s="200" t="s">
        <v>187</v>
      </c>
      <c r="D584" s="198"/>
      <c r="E584" s="198"/>
      <c r="F584" s="198"/>
      <c r="G584" s="198"/>
      <c r="H584" s="198"/>
      <c r="I584" s="198"/>
    </row>
    <row r="585" spans="1:9" ht="26.1" customHeight="1" x14ac:dyDescent="0.3">
      <c r="B585" s="166" t="s">
        <v>8</v>
      </c>
      <c r="C585" s="200" t="s">
        <v>444</v>
      </c>
      <c r="D585" s="198"/>
      <c r="E585" s="198"/>
      <c r="F585" s="198"/>
      <c r="G585" s="198"/>
      <c r="H585" s="198"/>
      <c r="I585" s="198"/>
    </row>
    <row r="586" spans="1:9" ht="14.4" x14ac:dyDescent="0.3">
      <c r="D586" s="165"/>
      <c r="E586" s="165"/>
      <c r="F586" s="165"/>
      <c r="G586" s="165"/>
      <c r="H586" s="165"/>
      <c r="I586" s="165"/>
    </row>
    <row r="587" spans="1:9" ht="14.4" x14ac:dyDescent="0.3">
      <c r="A587" s="177" t="s">
        <v>445</v>
      </c>
      <c r="B587" s="203" t="s">
        <v>446</v>
      </c>
      <c r="C587" s="198"/>
      <c r="D587" s="198"/>
      <c r="E587" s="198"/>
      <c r="F587" s="198"/>
      <c r="G587" s="198"/>
      <c r="H587" s="198"/>
      <c r="I587" s="198"/>
    </row>
    <row r="588" spans="1:9" ht="14.4" x14ac:dyDescent="0.3">
      <c r="A588" s="3"/>
      <c r="B588" s="204" t="s">
        <v>6</v>
      </c>
      <c r="C588" s="198"/>
      <c r="D588" s="198"/>
      <c r="E588" s="198"/>
      <c r="F588" s="198"/>
      <c r="G588" s="198"/>
      <c r="H588" s="198"/>
      <c r="I588" s="198"/>
    </row>
    <row r="589" spans="1:9" ht="39.9" customHeight="1" x14ac:dyDescent="0.3">
      <c r="A589" s="60"/>
      <c r="B589" s="200" t="s">
        <v>447</v>
      </c>
      <c r="C589" s="198"/>
      <c r="D589" s="198"/>
      <c r="E589" s="198"/>
      <c r="F589" s="198"/>
      <c r="G589" s="198"/>
      <c r="H589" s="198"/>
      <c r="I589" s="198"/>
    </row>
    <row r="590" spans="1:9" ht="14.4" x14ac:dyDescent="0.3">
      <c r="A590" s="170"/>
      <c r="B590" s="205"/>
      <c r="C590" s="206"/>
      <c r="D590" s="206"/>
      <c r="E590" s="206"/>
      <c r="F590" s="206"/>
      <c r="G590" s="206"/>
      <c r="H590" s="206"/>
      <c r="I590" s="206"/>
    </row>
    <row r="591" spans="1:9" ht="14.4" x14ac:dyDescent="0.3">
      <c r="A591" s="60"/>
      <c r="B591" s="204" t="s">
        <v>0</v>
      </c>
      <c r="C591" s="198"/>
      <c r="D591" s="198"/>
      <c r="E591" s="198"/>
      <c r="F591" s="198"/>
      <c r="G591" s="198"/>
      <c r="H591" s="198"/>
      <c r="I591" s="198"/>
    </row>
    <row r="592" spans="1:9" ht="14.4" x14ac:dyDescent="0.3">
      <c r="B592" s="166" t="s">
        <v>8</v>
      </c>
      <c r="C592" s="200" t="s">
        <v>187</v>
      </c>
      <c r="D592" s="198"/>
      <c r="E592" s="198"/>
      <c r="F592" s="198"/>
      <c r="G592" s="198"/>
      <c r="H592" s="198"/>
      <c r="I592" s="198"/>
    </row>
    <row r="593" spans="1:9" ht="14.4" x14ac:dyDescent="0.3">
      <c r="B593" s="166" t="s">
        <v>8</v>
      </c>
      <c r="C593" s="200" t="s">
        <v>448</v>
      </c>
      <c r="D593" s="198"/>
      <c r="E593" s="198"/>
      <c r="F593" s="198"/>
      <c r="G593" s="198"/>
      <c r="H593" s="198"/>
      <c r="I593" s="198"/>
    </row>
    <row r="594" spans="1:9" ht="14.4" x14ac:dyDescent="0.3">
      <c r="D594" s="165"/>
      <c r="E594" s="165"/>
      <c r="F594" s="165"/>
      <c r="G594" s="165"/>
      <c r="H594" s="165"/>
      <c r="I594" s="165"/>
    </row>
    <row r="595" spans="1:9" ht="16.2" x14ac:dyDescent="0.35">
      <c r="A595" s="142" t="s">
        <v>449</v>
      </c>
      <c r="B595" s="195" t="s">
        <v>450</v>
      </c>
      <c r="C595" s="196"/>
      <c r="D595" s="196"/>
      <c r="E595" s="196"/>
      <c r="F595" s="196"/>
      <c r="G595" s="196"/>
      <c r="H595" s="196"/>
      <c r="I595" s="196"/>
    </row>
    <row r="596" spans="1:9" ht="14.4" x14ac:dyDescent="0.3">
      <c r="D596" s="165"/>
      <c r="E596" s="165"/>
      <c r="F596" s="165"/>
      <c r="G596" s="165"/>
      <c r="H596" s="165"/>
      <c r="I596" s="165"/>
    </row>
    <row r="597" spans="1:9" ht="14.4" customHeight="1" x14ac:dyDescent="0.3">
      <c r="A597" s="177" t="s">
        <v>451</v>
      </c>
      <c r="B597" s="203" t="s">
        <v>145</v>
      </c>
      <c r="C597" s="198"/>
      <c r="D597" s="198"/>
      <c r="E597" s="198"/>
      <c r="F597" s="198"/>
      <c r="G597" s="198"/>
      <c r="H597" s="198"/>
      <c r="I597" s="198"/>
    </row>
    <row r="598" spans="1:9" ht="14.4" x14ac:dyDescent="0.3">
      <c r="D598" s="165"/>
      <c r="E598" s="165"/>
      <c r="F598" s="165"/>
      <c r="G598" s="165"/>
      <c r="H598" s="165"/>
      <c r="I598" s="165"/>
    </row>
    <row r="599" spans="1:9" ht="14.4" x14ac:dyDescent="0.3">
      <c r="A599" s="177" t="s">
        <v>452</v>
      </c>
      <c r="B599" s="203" t="s">
        <v>453</v>
      </c>
      <c r="C599" s="198"/>
      <c r="D599" s="198"/>
      <c r="E599" s="198"/>
      <c r="F599" s="198"/>
      <c r="G599" s="198"/>
      <c r="H599" s="198"/>
      <c r="I599" s="198"/>
    </row>
    <row r="600" spans="1:9" ht="14.4" x14ac:dyDescent="0.3">
      <c r="A600" s="3"/>
      <c r="B600" s="204" t="s">
        <v>6</v>
      </c>
      <c r="C600" s="198"/>
      <c r="D600" s="198"/>
      <c r="E600" s="198"/>
      <c r="F600" s="198"/>
      <c r="G600" s="198"/>
      <c r="H600" s="198"/>
      <c r="I600" s="198"/>
    </row>
    <row r="601" spans="1:9" ht="56.4" customHeight="1" x14ac:dyDescent="0.3">
      <c r="A601" s="60"/>
      <c r="B601" s="200" t="s">
        <v>454</v>
      </c>
      <c r="C601" s="198"/>
      <c r="D601" s="198"/>
      <c r="E601" s="198"/>
      <c r="F601" s="198"/>
      <c r="G601" s="198"/>
      <c r="H601" s="198"/>
      <c r="I601" s="198"/>
    </row>
    <row r="602" spans="1:9" ht="14.4" x14ac:dyDescent="0.3">
      <c r="A602" s="170"/>
      <c r="B602" s="205"/>
      <c r="C602" s="206"/>
      <c r="D602" s="206"/>
      <c r="E602" s="206"/>
      <c r="F602" s="206"/>
      <c r="G602" s="206"/>
      <c r="H602" s="206"/>
      <c r="I602" s="206"/>
    </row>
    <row r="603" spans="1:9" ht="14.4" x14ac:dyDescent="0.3">
      <c r="A603" s="60"/>
      <c r="B603" s="204" t="s">
        <v>0</v>
      </c>
      <c r="C603" s="198"/>
      <c r="D603" s="198"/>
      <c r="E603" s="198"/>
      <c r="F603" s="198"/>
      <c r="G603" s="198"/>
      <c r="H603" s="198"/>
      <c r="I603" s="198"/>
    </row>
    <row r="604" spans="1:9" ht="14.4" x14ac:dyDescent="0.3">
      <c r="B604" s="166" t="s">
        <v>8</v>
      </c>
      <c r="C604" s="200" t="s">
        <v>455</v>
      </c>
      <c r="D604" s="198"/>
      <c r="E604" s="198"/>
      <c r="F604" s="198"/>
      <c r="G604" s="198"/>
      <c r="H604" s="198"/>
      <c r="I604" s="198"/>
    </row>
    <row r="605" spans="1:9" ht="14.4" x14ac:dyDescent="0.3">
      <c r="B605" s="166" t="s">
        <v>8</v>
      </c>
      <c r="C605" s="200" t="s">
        <v>456</v>
      </c>
      <c r="D605" s="198"/>
      <c r="E605" s="198"/>
      <c r="F605" s="198"/>
      <c r="G605" s="198"/>
      <c r="H605" s="198"/>
      <c r="I605" s="198"/>
    </row>
    <row r="606" spans="1:9" ht="26.4" customHeight="1" x14ac:dyDescent="0.3">
      <c r="B606" s="166" t="s">
        <v>8</v>
      </c>
      <c r="C606" s="200" t="s">
        <v>457</v>
      </c>
      <c r="D606" s="198"/>
      <c r="E606" s="198"/>
      <c r="F606" s="198"/>
      <c r="G606" s="198"/>
      <c r="H606" s="198"/>
      <c r="I606" s="198"/>
    </row>
    <row r="607" spans="1:9" ht="27.6" customHeight="1" x14ac:dyDescent="0.3">
      <c r="B607" s="166" t="s">
        <v>8</v>
      </c>
      <c r="C607" s="200" t="s">
        <v>458</v>
      </c>
      <c r="D607" s="198"/>
      <c r="E607" s="198"/>
      <c r="F607" s="198"/>
      <c r="G607" s="198"/>
      <c r="H607" s="198"/>
      <c r="I607" s="198"/>
    </row>
    <row r="608" spans="1:9" x14ac:dyDescent="0.3">
      <c r="A608" s="170"/>
      <c r="B608" s="168"/>
      <c r="C608" s="168"/>
      <c r="D608" s="168"/>
      <c r="E608" s="168"/>
      <c r="F608" s="168"/>
      <c r="G608" s="168"/>
      <c r="H608" s="168"/>
      <c r="I608" s="168"/>
    </row>
    <row r="609" spans="1:9" ht="14.4" x14ac:dyDescent="0.3">
      <c r="A609" s="177" t="s">
        <v>459</v>
      </c>
      <c r="B609" s="203" t="s">
        <v>460</v>
      </c>
      <c r="C609" s="198"/>
      <c r="D609" s="198"/>
      <c r="E609" s="198"/>
      <c r="F609" s="198"/>
      <c r="G609" s="198"/>
      <c r="H609" s="198"/>
      <c r="I609" s="198"/>
    </row>
    <row r="610" spans="1:9" ht="14.4" x14ac:dyDescent="0.3">
      <c r="A610" s="3"/>
      <c r="B610" s="204" t="s">
        <v>6</v>
      </c>
      <c r="C610" s="198"/>
      <c r="D610" s="198"/>
      <c r="E610" s="198"/>
      <c r="F610" s="198"/>
      <c r="G610" s="198"/>
      <c r="H610" s="198"/>
      <c r="I610" s="198"/>
    </row>
    <row r="611" spans="1:9" ht="24.9" customHeight="1" x14ac:dyDescent="0.3">
      <c r="A611" s="60"/>
      <c r="B611" s="200" t="s">
        <v>461</v>
      </c>
      <c r="C611" s="198"/>
      <c r="D611" s="198"/>
      <c r="E611" s="198"/>
      <c r="F611" s="198"/>
      <c r="G611" s="198"/>
      <c r="H611" s="198"/>
      <c r="I611" s="198"/>
    </row>
    <row r="612" spans="1:9" ht="14.4" x14ac:dyDescent="0.3">
      <c r="A612" s="60"/>
      <c r="B612" s="178"/>
      <c r="C612" s="179"/>
      <c r="D612" s="179"/>
      <c r="E612" s="179"/>
      <c r="F612" s="179"/>
      <c r="G612" s="179"/>
      <c r="H612" s="179"/>
      <c r="I612" s="179"/>
    </row>
    <row r="613" spans="1:9" ht="14.4" x14ac:dyDescent="0.3">
      <c r="A613" s="60"/>
      <c r="B613" s="204" t="s">
        <v>0</v>
      </c>
      <c r="C613" s="198"/>
      <c r="D613" s="198"/>
      <c r="E613" s="198"/>
      <c r="F613" s="198"/>
      <c r="G613" s="198"/>
      <c r="H613" s="198"/>
      <c r="I613" s="198"/>
    </row>
    <row r="614" spans="1:9" ht="14.4" x14ac:dyDescent="0.3">
      <c r="B614" s="166" t="s">
        <v>8</v>
      </c>
      <c r="C614" s="200" t="s">
        <v>462</v>
      </c>
      <c r="D614" s="198"/>
      <c r="E614" s="198"/>
      <c r="F614" s="198"/>
      <c r="G614" s="198"/>
      <c r="H614" s="198"/>
      <c r="I614" s="198"/>
    </row>
    <row r="615" spans="1:9" ht="14.4" x14ac:dyDescent="0.3">
      <c r="B615" s="166" t="s">
        <v>8</v>
      </c>
      <c r="C615" s="200" t="s">
        <v>463</v>
      </c>
      <c r="D615" s="198"/>
      <c r="E615" s="198"/>
      <c r="F615" s="198"/>
      <c r="G615" s="198"/>
      <c r="H615" s="198"/>
      <c r="I615" s="198"/>
    </row>
    <row r="616" spans="1:9" ht="26.4" customHeight="1" x14ac:dyDescent="0.3">
      <c r="B616" s="166" t="s">
        <v>8</v>
      </c>
      <c r="C616" s="200" t="s">
        <v>464</v>
      </c>
      <c r="D616" s="198"/>
      <c r="E616" s="198"/>
      <c r="F616" s="198"/>
      <c r="G616" s="198"/>
      <c r="H616" s="198"/>
      <c r="I616" s="198"/>
    </row>
    <row r="617" spans="1:9" ht="14.4" x14ac:dyDescent="0.3">
      <c r="D617" s="165"/>
      <c r="E617" s="165"/>
      <c r="F617" s="165"/>
      <c r="H617" s="165"/>
      <c r="I617" s="165"/>
    </row>
    <row r="618" spans="1:9" x14ac:dyDescent="0.3">
      <c r="A618" s="177" t="s">
        <v>465</v>
      </c>
      <c r="B618" s="203" t="s">
        <v>466</v>
      </c>
      <c r="C618" s="203"/>
      <c r="D618" s="203"/>
      <c r="E618" s="203"/>
      <c r="F618" s="203"/>
      <c r="G618" s="203"/>
      <c r="H618" s="203"/>
      <c r="I618" s="203"/>
    </row>
    <row r="619" spans="1:9" x14ac:dyDescent="0.3">
      <c r="A619" s="3"/>
      <c r="B619" s="204" t="s">
        <v>6</v>
      </c>
      <c r="C619" s="204"/>
      <c r="D619" s="204"/>
      <c r="E619" s="204"/>
      <c r="F619" s="204"/>
      <c r="G619" s="204"/>
      <c r="H619" s="204"/>
      <c r="I619" s="204"/>
    </row>
    <row r="620" spans="1:9" ht="26.1" customHeight="1" x14ac:dyDescent="0.3">
      <c r="A620" s="60"/>
      <c r="B620" s="200" t="s">
        <v>467</v>
      </c>
      <c r="C620" s="200"/>
      <c r="D620" s="200"/>
      <c r="E620" s="200"/>
      <c r="F620" s="200"/>
      <c r="G620" s="200"/>
      <c r="H620" s="200"/>
      <c r="I620" s="200"/>
    </row>
    <row r="621" spans="1:9" x14ac:dyDescent="0.3">
      <c r="A621" s="170"/>
      <c r="B621" s="205"/>
      <c r="C621" s="205"/>
      <c r="D621" s="205"/>
      <c r="E621" s="205"/>
      <c r="F621" s="205"/>
      <c r="G621" s="205"/>
      <c r="H621" s="205"/>
      <c r="I621" s="205"/>
    </row>
    <row r="622" spans="1:9" x14ac:dyDescent="0.3">
      <c r="A622" s="60"/>
      <c r="B622" s="204" t="s">
        <v>0</v>
      </c>
      <c r="C622" s="204"/>
      <c r="D622" s="204"/>
      <c r="E622" s="204"/>
      <c r="F622" s="204"/>
      <c r="G622" s="204"/>
      <c r="H622" s="204"/>
      <c r="I622" s="204"/>
    </row>
    <row r="623" spans="1:9" x14ac:dyDescent="0.3">
      <c r="B623" s="166" t="s">
        <v>8</v>
      </c>
      <c r="C623" s="200" t="s">
        <v>462</v>
      </c>
      <c r="D623" s="200"/>
      <c r="E623" s="200"/>
      <c r="F623" s="200"/>
      <c r="G623" s="200"/>
      <c r="H623" s="200"/>
      <c r="I623" s="200"/>
    </row>
    <row r="625" spans="1:9" ht="14.4" x14ac:dyDescent="0.3">
      <c r="A625" s="177" t="s">
        <v>468</v>
      </c>
      <c r="B625" s="203" t="s">
        <v>469</v>
      </c>
      <c r="C625" s="198"/>
      <c r="D625" s="198"/>
      <c r="E625" s="198"/>
      <c r="F625" s="198"/>
      <c r="G625" s="198"/>
      <c r="H625" s="198"/>
      <c r="I625" s="198"/>
    </row>
    <row r="626" spans="1:9" ht="14.4" x14ac:dyDescent="0.3">
      <c r="A626" s="3"/>
      <c r="B626" s="204" t="s">
        <v>6</v>
      </c>
      <c r="C626" s="198"/>
      <c r="D626" s="198"/>
      <c r="E626" s="198"/>
      <c r="F626" s="198"/>
      <c r="G626" s="198"/>
      <c r="H626" s="198"/>
      <c r="I626" s="198"/>
    </row>
    <row r="627" spans="1:9" ht="14.4" x14ac:dyDescent="0.3">
      <c r="A627" s="60"/>
      <c r="B627" s="200" t="s">
        <v>470</v>
      </c>
      <c r="C627" s="198"/>
      <c r="D627" s="198"/>
      <c r="E627" s="198"/>
      <c r="F627" s="198"/>
      <c r="G627" s="198"/>
      <c r="H627" s="198"/>
      <c r="I627" s="198"/>
    </row>
    <row r="628" spans="1:9" ht="41.1" customHeight="1" x14ac:dyDescent="0.3">
      <c r="A628" s="60"/>
      <c r="B628" s="201" t="s">
        <v>471</v>
      </c>
      <c r="C628" s="202"/>
      <c r="D628" s="202"/>
      <c r="E628" s="202"/>
      <c r="F628" s="202"/>
      <c r="G628" s="202"/>
      <c r="H628" s="202"/>
      <c r="I628" s="202"/>
    </row>
    <row r="629" spans="1:9" ht="14.4" x14ac:dyDescent="0.3">
      <c r="A629" s="170"/>
      <c r="B629" s="205"/>
      <c r="C629" s="206"/>
      <c r="D629" s="206"/>
      <c r="E629" s="206"/>
      <c r="F629" s="206"/>
      <c r="G629" s="206"/>
      <c r="H629" s="206"/>
      <c r="I629" s="206"/>
    </row>
    <row r="630" spans="1:9" ht="14.4" x14ac:dyDescent="0.3">
      <c r="A630" s="60"/>
      <c r="B630" s="204" t="s">
        <v>0</v>
      </c>
      <c r="C630" s="198"/>
      <c r="D630" s="198"/>
      <c r="E630" s="198"/>
      <c r="F630" s="198"/>
      <c r="G630" s="198"/>
      <c r="H630" s="198"/>
      <c r="I630" s="198"/>
    </row>
    <row r="631" spans="1:9" ht="14.4" x14ac:dyDescent="0.3">
      <c r="B631" s="166" t="s">
        <v>8</v>
      </c>
      <c r="C631" s="200" t="s">
        <v>187</v>
      </c>
      <c r="D631" s="198"/>
      <c r="E631" s="198"/>
      <c r="F631" s="198"/>
      <c r="G631" s="198"/>
      <c r="H631" s="198"/>
      <c r="I631" s="198"/>
    </row>
    <row r="632" spans="1:9" ht="14.4" x14ac:dyDescent="0.3">
      <c r="D632" s="165"/>
      <c r="E632" s="165"/>
      <c r="F632" s="165"/>
      <c r="G632" s="165"/>
      <c r="H632" s="165"/>
      <c r="I632" s="165"/>
    </row>
    <row r="633" spans="1:9" ht="14.4" x14ac:dyDescent="0.3">
      <c r="A633" s="177" t="s">
        <v>472</v>
      </c>
      <c r="B633" s="203" t="s">
        <v>473</v>
      </c>
      <c r="C633" s="198"/>
      <c r="D633" s="198"/>
      <c r="E633" s="198"/>
      <c r="F633" s="198"/>
      <c r="G633" s="198"/>
      <c r="H633" s="198"/>
      <c r="I633" s="198"/>
    </row>
    <row r="634" spans="1:9" ht="14.4" x14ac:dyDescent="0.3">
      <c r="A634" s="3"/>
      <c r="B634" s="204" t="s">
        <v>6</v>
      </c>
      <c r="C634" s="198"/>
      <c r="D634" s="198"/>
      <c r="E634" s="198"/>
      <c r="F634" s="198"/>
      <c r="G634" s="198"/>
      <c r="H634" s="198"/>
      <c r="I634" s="198"/>
    </row>
    <row r="635" spans="1:9" ht="77.099999999999994" customHeight="1" x14ac:dyDescent="0.3">
      <c r="A635" s="60"/>
      <c r="B635" s="200" t="s">
        <v>474</v>
      </c>
      <c r="C635" s="198"/>
      <c r="D635" s="198"/>
      <c r="E635" s="198"/>
      <c r="F635" s="198"/>
      <c r="G635" s="198"/>
      <c r="H635" s="198"/>
      <c r="I635" s="198"/>
    </row>
    <row r="636" spans="1:9" ht="65.099999999999994" customHeight="1" x14ac:dyDescent="0.3">
      <c r="A636" s="60"/>
      <c r="B636" s="200" t="s">
        <v>475</v>
      </c>
      <c r="C636" s="198"/>
      <c r="D636" s="198"/>
      <c r="E636" s="198"/>
      <c r="F636" s="198"/>
      <c r="G636" s="198"/>
      <c r="H636" s="198"/>
      <c r="I636" s="198"/>
    </row>
    <row r="637" spans="1:9" ht="14.1" customHeight="1" x14ac:dyDescent="0.3">
      <c r="A637" s="170"/>
      <c r="B637" s="200" t="s">
        <v>476</v>
      </c>
      <c r="C637" s="198"/>
      <c r="D637" s="198"/>
      <c r="E637" s="198"/>
      <c r="F637" s="198"/>
      <c r="G637" s="198"/>
      <c r="H637" s="198"/>
      <c r="I637" s="198"/>
    </row>
    <row r="638" spans="1:9" ht="14.4" x14ac:dyDescent="0.3">
      <c r="A638" s="170"/>
      <c r="B638" s="168"/>
      <c r="C638" s="169"/>
      <c r="D638" s="169"/>
      <c r="E638" s="169"/>
      <c r="F638" s="169"/>
      <c r="G638" s="169"/>
      <c r="H638" s="169"/>
      <c r="I638" s="169"/>
    </row>
    <row r="639" spans="1:9" x14ac:dyDescent="0.3">
      <c r="A639" s="170"/>
      <c r="B639" s="168" t="s">
        <v>21</v>
      </c>
      <c r="C639" s="211" t="s">
        <v>477</v>
      </c>
      <c r="D639" s="212"/>
      <c r="E639" s="212"/>
      <c r="F639" s="212"/>
      <c r="G639" s="212"/>
      <c r="H639" s="212"/>
      <c r="I639" s="212"/>
    </row>
    <row r="640" spans="1:9" ht="14.4" x14ac:dyDescent="0.3">
      <c r="A640" s="170"/>
      <c r="B640" s="168"/>
      <c r="C640" s="169"/>
      <c r="D640" s="169"/>
      <c r="E640" s="169"/>
      <c r="F640" s="169"/>
      <c r="G640" s="169"/>
      <c r="H640" s="169"/>
      <c r="I640" s="169"/>
    </row>
    <row r="641" spans="1:9" ht="14.4" x14ac:dyDescent="0.3">
      <c r="A641" s="60"/>
      <c r="B641" s="204" t="s">
        <v>0</v>
      </c>
      <c r="C641" s="198"/>
      <c r="D641" s="198"/>
      <c r="E641" s="198"/>
      <c r="F641" s="198"/>
      <c r="G641" s="198"/>
      <c r="H641" s="198"/>
      <c r="I641" s="198"/>
    </row>
    <row r="642" spans="1:9" ht="14.4" x14ac:dyDescent="0.3">
      <c r="B642" s="166" t="s">
        <v>8</v>
      </c>
      <c r="C642" s="200" t="s">
        <v>410</v>
      </c>
      <c r="D642" s="198"/>
      <c r="E642" s="198"/>
      <c r="F642" s="198"/>
      <c r="G642" s="198"/>
      <c r="H642" s="198"/>
      <c r="I642" s="198"/>
    </row>
    <row r="644" spans="1:9" ht="14.4" x14ac:dyDescent="0.3">
      <c r="A644" s="177" t="s">
        <v>478</v>
      </c>
      <c r="B644" s="203" t="s">
        <v>479</v>
      </c>
      <c r="C644" s="198"/>
      <c r="D644" s="198"/>
      <c r="E644" s="198"/>
      <c r="F644" s="198"/>
      <c r="G644" s="198"/>
      <c r="H644" s="198"/>
      <c r="I644" s="198"/>
    </row>
    <row r="645" spans="1:9" ht="14.4" x14ac:dyDescent="0.3">
      <c r="A645" s="3"/>
      <c r="B645" s="204" t="s">
        <v>6</v>
      </c>
      <c r="C645" s="198"/>
      <c r="D645" s="198"/>
      <c r="E645" s="198"/>
      <c r="F645" s="198"/>
      <c r="G645" s="198"/>
      <c r="H645" s="198"/>
      <c r="I645" s="198"/>
    </row>
    <row r="646" spans="1:9" ht="26.1" customHeight="1" x14ac:dyDescent="0.3">
      <c r="A646" s="60"/>
      <c r="B646" s="200" t="s">
        <v>480</v>
      </c>
      <c r="C646" s="198"/>
      <c r="D646" s="198"/>
      <c r="E646" s="198"/>
      <c r="F646" s="198"/>
      <c r="G646" s="198"/>
      <c r="H646" s="198"/>
      <c r="I646" s="198"/>
    </row>
    <row r="647" spans="1:9" ht="14.4" x14ac:dyDescent="0.3">
      <c r="A647" s="170"/>
      <c r="B647" s="205"/>
      <c r="C647" s="206"/>
      <c r="D647" s="206"/>
      <c r="E647" s="206"/>
      <c r="F647" s="206"/>
      <c r="G647" s="206"/>
      <c r="H647" s="206"/>
      <c r="I647" s="206"/>
    </row>
    <row r="648" spans="1:9" ht="14.4" x14ac:dyDescent="0.3">
      <c r="A648" s="60"/>
      <c r="B648" s="204" t="s">
        <v>0</v>
      </c>
      <c r="C648" s="198"/>
      <c r="D648" s="198"/>
      <c r="E648" s="198"/>
      <c r="F648" s="198"/>
      <c r="G648" s="198"/>
      <c r="H648" s="198"/>
      <c r="I648" s="198"/>
    </row>
    <row r="649" spans="1:9" ht="14.4" x14ac:dyDescent="0.3">
      <c r="B649" s="166" t="s">
        <v>8</v>
      </c>
      <c r="C649" s="200" t="s">
        <v>187</v>
      </c>
      <c r="D649" s="198"/>
      <c r="E649" s="198"/>
      <c r="F649" s="198"/>
      <c r="G649" s="198"/>
      <c r="H649" s="198"/>
      <c r="I649" s="198"/>
    </row>
    <row r="650" spans="1:9" x14ac:dyDescent="0.3">
      <c r="A650" s="170"/>
      <c r="B650" s="168"/>
      <c r="C650" s="168"/>
      <c r="D650" s="168"/>
      <c r="E650" s="168"/>
      <c r="F650" s="168"/>
      <c r="G650" s="168"/>
      <c r="H650" s="168"/>
      <c r="I650" s="168"/>
    </row>
    <row r="651" spans="1:9" ht="14.4" x14ac:dyDescent="0.3">
      <c r="A651" s="177" t="s">
        <v>481</v>
      </c>
      <c r="B651" s="203" t="s">
        <v>482</v>
      </c>
      <c r="C651" s="198"/>
      <c r="D651" s="198"/>
      <c r="E651" s="198"/>
      <c r="F651" s="198"/>
      <c r="G651" s="198"/>
      <c r="H651" s="198"/>
      <c r="I651" s="198"/>
    </row>
    <row r="652" spans="1:9" ht="14.4" x14ac:dyDescent="0.3">
      <c r="A652" s="3"/>
      <c r="B652" s="204" t="s">
        <v>6</v>
      </c>
      <c r="C652" s="198"/>
      <c r="D652" s="198"/>
      <c r="E652" s="198"/>
      <c r="F652" s="198"/>
      <c r="G652" s="198"/>
      <c r="H652" s="198"/>
      <c r="I652" s="198"/>
    </row>
    <row r="653" spans="1:9" ht="14.4" x14ac:dyDescent="0.3">
      <c r="A653" s="60"/>
      <c r="B653" s="200" t="s">
        <v>483</v>
      </c>
      <c r="C653" s="198"/>
      <c r="D653" s="198"/>
      <c r="E653" s="198"/>
      <c r="F653" s="198"/>
      <c r="G653" s="198"/>
      <c r="H653" s="198"/>
      <c r="I653" s="198"/>
    </row>
    <row r="654" spans="1:9" ht="11.4" customHeight="1" x14ac:dyDescent="0.3">
      <c r="A654" s="60"/>
      <c r="B654" s="178"/>
      <c r="C654" s="179"/>
      <c r="D654" s="179"/>
      <c r="E654" s="179"/>
      <c r="F654" s="179"/>
      <c r="G654" s="179"/>
      <c r="H654" s="179"/>
      <c r="I654" s="179"/>
    </row>
    <row r="655" spans="1:9" ht="14.4" x14ac:dyDescent="0.3">
      <c r="A655" s="60"/>
      <c r="B655" s="204" t="s">
        <v>0</v>
      </c>
      <c r="C655" s="198"/>
      <c r="D655" s="198"/>
      <c r="E655" s="198"/>
      <c r="F655" s="198"/>
      <c r="G655" s="198"/>
      <c r="H655" s="198"/>
      <c r="I655" s="198"/>
    </row>
    <row r="656" spans="1:9" ht="14.4" x14ac:dyDescent="0.3">
      <c r="B656" s="166" t="s">
        <v>8</v>
      </c>
      <c r="C656" s="200" t="s">
        <v>102</v>
      </c>
      <c r="D656" s="198"/>
      <c r="E656" s="198"/>
      <c r="F656" s="198"/>
      <c r="G656" s="198"/>
      <c r="H656" s="198"/>
      <c r="I656" s="198"/>
    </row>
    <row r="657" spans="1:9" ht="14.4" x14ac:dyDescent="0.3">
      <c r="B657" s="166" t="s">
        <v>8</v>
      </c>
      <c r="C657" s="200" t="s">
        <v>484</v>
      </c>
      <c r="D657" s="198"/>
      <c r="E657" s="198"/>
      <c r="F657" s="198"/>
      <c r="G657" s="198"/>
      <c r="H657" s="198"/>
      <c r="I657" s="198"/>
    </row>
    <row r="658" spans="1:9" ht="11.4" customHeight="1" x14ac:dyDescent="0.3">
      <c r="D658" s="165"/>
      <c r="E658" s="165"/>
      <c r="F658" s="165"/>
      <c r="G658" s="165"/>
      <c r="H658" s="165"/>
      <c r="I658" s="165"/>
    </row>
    <row r="659" spans="1:9" ht="32.1" customHeight="1" x14ac:dyDescent="0.3">
      <c r="B659" s="166" t="s">
        <v>21</v>
      </c>
      <c r="C659" s="207" t="s">
        <v>485</v>
      </c>
      <c r="D659" s="208"/>
      <c r="E659" s="208"/>
      <c r="F659" s="208"/>
      <c r="G659" s="208"/>
      <c r="H659" s="208"/>
      <c r="I659" s="208"/>
    </row>
    <row r="660" spans="1:9" ht="12.6" customHeight="1" x14ac:dyDescent="0.3">
      <c r="C660" s="171"/>
      <c r="D660" s="175"/>
      <c r="E660" s="175"/>
      <c r="F660" s="175"/>
      <c r="G660" s="175"/>
      <c r="H660" s="175"/>
      <c r="I660" s="175"/>
    </row>
    <row r="661" spans="1:9" ht="14.4" customHeight="1" x14ac:dyDescent="0.3">
      <c r="A661" s="177" t="s">
        <v>486</v>
      </c>
      <c r="B661" s="203" t="s">
        <v>487</v>
      </c>
      <c r="C661" s="203"/>
      <c r="D661" s="203"/>
      <c r="E661" s="203"/>
      <c r="F661" s="203"/>
      <c r="G661" s="203"/>
      <c r="H661" s="203"/>
      <c r="I661" s="203"/>
    </row>
    <row r="662" spans="1:9" ht="14.4" x14ac:dyDescent="0.3">
      <c r="D662" s="165"/>
      <c r="E662" s="165"/>
      <c r="F662" s="165"/>
      <c r="H662" s="165"/>
      <c r="I662" s="165"/>
    </row>
    <row r="663" spans="1:9" x14ac:dyDescent="0.3">
      <c r="A663" s="177" t="s">
        <v>488</v>
      </c>
      <c r="B663" s="203" t="s">
        <v>489</v>
      </c>
      <c r="C663" s="203"/>
      <c r="D663" s="203"/>
      <c r="E663" s="203"/>
      <c r="F663" s="203"/>
      <c r="G663" s="203"/>
      <c r="H663" s="203"/>
      <c r="I663" s="203"/>
    </row>
    <row r="664" spans="1:9" x14ac:dyDescent="0.3">
      <c r="A664" s="3"/>
      <c r="B664" s="204" t="s">
        <v>6</v>
      </c>
      <c r="C664" s="204"/>
      <c r="D664" s="204"/>
      <c r="E664" s="204"/>
      <c r="F664" s="204"/>
      <c r="G664" s="204"/>
      <c r="H664" s="204"/>
      <c r="I664" s="204"/>
    </row>
    <row r="665" spans="1:9" ht="25.5" customHeight="1" x14ac:dyDescent="0.3">
      <c r="A665" s="60"/>
      <c r="B665" s="200" t="s">
        <v>490</v>
      </c>
      <c r="C665" s="200"/>
      <c r="D665" s="200"/>
      <c r="E665" s="200"/>
      <c r="F665" s="200"/>
      <c r="G665" s="200"/>
      <c r="H665" s="200"/>
      <c r="I665" s="200"/>
    </row>
    <row r="666" spans="1:9" x14ac:dyDescent="0.3">
      <c r="A666" s="170"/>
      <c r="B666" s="205"/>
      <c r="C666" s="205"/>
      <c r="D666" s="205"/>
      <c r="E666" s="205"/>
      <c r="F666" s="205"/>
      <c r="G666" s="205"/>
      <c r="H666" s="205"/>
      <c r="I666" s="205"/>
    </row>
    <row r="667" spans="1:9" x14ac:dyDescent="0.3">
      <c r="A667" s="60"/>
      <c r="B667" s="204" t="s">
        <v>0</v>
      </c>
      <c r="C667" s="204"/>
      <c r="D667" s="204"/>
      <c r="E667" s="204"/>
      <c r="F667" s="204"/>
      <c r="G667" s="204"/>
      <c r="H667" s="204"/>
      <c r="I667" s="204"/>
    </row>
    <row r="668" spans="1:9" x14ac:dyDescent="0.3">
      <c r="B668" s="166" t="s">
        <v>8</v>
      </c>
      <c r="C668" s="200" t="s">
        <v>491</v>
      </c>
      <c r="D668" s="200"/>
      <c r="E668" s="200"/>
      <c r="F668" s="200"/>
      <c r="G668" s="200"/>
      <c r="H668" s="200"/>
      <c r="I668" s="200"/>
    </row>
    <row r="669" spans="1:9" x14ac:dyDescent="0.3">
      <c r="B669" s="166" t="s">
        <v>8</v>
      </c>
      <c r="C669" s="200" t="s">
        <v>492</v>
      </c>
      <c r="D669" s="200"/>
      <c r="E669" s="200"/>
      <c r="F669" s="200"/>
      <c r="G669" s="200"/>
      <c r="H669" s="200"/>
      <c r="I669" s="200"/>
    </row>
    <row r="671" spans="1:9" ht="14.4" x14ac:dyDescent="0.3">
      <c r="A671" s="177" t="s">
        <v>493</v>
      </c>
      <c r="B671" s="203" t="s">
        <v>494</v>
      </c>
      <c r="C671" s="198"/>
      <c r="D671" s="198"/>
      <c r="E671" s="198"/>
      <c r="F671" s="198"/>
      <c r="G671" s="198"/>
      <c r="H671" s="198"/>
      <c r="I671" s="198"/>
    </row>
    <row r="672" spans="1:9" ht="14.4" x14ac:dyDescent="0.3">
      <c r="A672" s="3"/>
      <c r="B672" s="204" t="s">
        <v>6</v>
      </c>
      <c r="C672" s="198"/>
      <c r="D672" s="198"/>
      <c r="E672" s="198"/>
      <c r="F672" s="198"/>
      <c r="G672" s="198"/>
      <c r="H672" s="198"/>
      <c r="I672" s="198"/>
    </row>
    <row r="673" spans="1:9" ht="54.6" customHeight="1" x14ac:dyDescent="0.3">
      <c r="A673" s="60"/>
      <c r="B673" s="200" t="s">
        <v>495</v>
      </c>
      <c r="C673" s="198"/>
      <c r="D673" s="198"/>
      <c r="E673" s="198"/>
      <c r="F673" s="198"/>
      <c r="G673" s="198"/>
      <c r="H673" s="198"/>
      <c r="I673" s="198"/>
    </row>
    <row r="674" spans="1:9" ht="14.4" x14ac:dyDescent="0.3">
      <c r="A674" s="170"/>
      <c r="B674" s="205"/>
      <c r="C674" s="206"/>
      <c r="D674" s="206"/>
      <c r="E674" s="206"/>
      <c r="F674" s="206"/>
      <c r="G674" s="206"/>
      <c r="H674" s="206"/>
      <c r="I674" s="206"/>
    </row>
    <row r="675" spans="1:9" ht="14.4" x14ac:dyDescent="0.3">
      <c r="A675" s="60"/>
      <c r="B675" s="204" t="s">
        <v>0</v>
      </c>
      <c r="C675" s="198"/>
      <c r="D675" s="198"/>
      <c r="E675" s="198"/>
      <c r="F675" s="198"/>
      <c r="G675" s="198"/>
      <c r="H675" s="198"/>
      <c r="I675" s="198"/>
    </row>
    <row r="676" spans="1:9" ht="14.4" x14ac:dyDescent="0.3">
      <c r="B676" s="166" t="s">
        <v>8</v>
      </c>
      <c r="C676" s="200" t="s">
        <v>491</v>
      </c>
      <c r="D676" s="198"/>
      <c r="E676" s="198"/>
      <c r="F676" s="198"/>
      <c r="G676" s="198"/>
      <c r="H676" s="198"/>
      <c r="I676" s="198"/>
    </row>
    <row r="677" spans="1:9" ht="27" customHeight="1" x14ac:dyDescent="0.3">
      <c r="B677" s="166" t="s">
        <v>8</v>
      </c>
      <c r="C677" s="200" t="s">
        <v>496</v>
      </c>
      <c r="D677" s="198"/>
      <c r="E677" s="198"/>
      <c r="F677" s="198"/>
      <c r="G677" s="198"/>
      <c r="H677" s="198"/>
      <c r="I677" s="198"/>
    </row>
    <row r="678" spans="1:9" ht="14.4" x14ac:dyDescent="0.3">
      <c r="D678" s="165"/>
      <c r="E678" s="165"/>
      <c r="F678" s="165"/>
      <c r="G678" s="165"/>
      <c r="H678" s="165"/>
      <c r="I678" s="165"/>
    </row>
    <row r="679" spans="1:9" ht="18.600000000000001" customHeight="1" x14ac:dyDescent="0.3">
      <c r="A679" s="177" t="s">
        <v>497</v>
      </c>
      <c r="B679" s="203" t="s">
        <v>498</v>
      </c>
      <c r="C679" s="203"/>
      <c r="D679" s="203"/>
      <c r="E679" s="203"/>
      <c r="F679" s="203"/>
      <c r="G679" s="203"/>
      <c r="H679" s="203"/>
      <c r="I679" s="203"/>
    </row>
    <row r="680" spans="1:9" ht="42" customHeight="1" x14ac:dyDescent="0.3">
      <c r="A680" s="177"/>
      <c r="B680" s="207" t="s">
        <v>499</v>
      </c>
      <c r="C680" s="208"/>
      <c r="D680" s="208"/>
      <c r="E680" s="208"/>
      <c r="F680" s="208"/>
      <c r="G680" s="208"/>
      <c r="H680" s="208"/>
      <c r="I680" s="208"/>
    </row>
    <row r="681" spans="1:9" ht="10.5" customHeight="1" x14ac:dyDescent="0.3">
      <c r="D681" s="165"/>
      <c r="E681" s="165"/>
      <c r="F681" s="165"/>
      <c r="G681" s="165"/>
      <c r="H681" s="165"/>
      <c r="I681" s="165"/>
    </row>
    <row r="682" spans="1:9" ht="14.4" x14ac:dyDescent="0.3">
      <c r="A682" s="177" t="s">
        <v>500</v>
      </c>
      <c r="B682" s="203" t="s">
        <v>501</v>
      </c>
      <c r="C682" s="198"/>
      <c r="D682" s="198"/>
      <c r="E682" s="198"/>
      <c r="F682" s="198"/>
      <c r="G682" s="198"/>
      <c r="H682" s="198"/>
      <c r="I682" s="198"/>
    </row>
    <row r="683" spans="1:9" ht="14.4" x14ac:dyDescent="0.3">
      <c r="A683" s="3"/>
      <c r="B683" s="204" t="s">
        <v>6</v>
      </c>
      <c r="C683" s="198"/>
      <c r="D683" s="198"/>
      <c r="E683" s="198"/>
      <c r="F683" s="198"/>
      <c r="G683" s="198"/>
      <c r="H683" s="198"/>
      <c r="I683" s="198"/>
    </row>
    <row r="684" spans="1:9" ht="27.6" customHeight="1" x14ac:dyDescent="0.3">
      <c r="A684" s="60"/>
      <c r="B684" s="200" t="s">
        <v>502</v>
      </c>
      <c r="C684" s="198"/>
      <c r="D684" s="198"/>
      <c r="E684" s="198"/>
      <c r="F684" s="198"/>
      <c r="G684" s="198"/>
      <c r="H684" s="198"/>
      <c r="I684" s="198"/>
    </row>
    <row r="685" spans="1:9" ht="14.4" x14ac:dyDescent="0.3">
      <c r="A685" s="60"/>
      <c r="B685" s="200"/>
      <c r="C685" s="198"/>
      <c r="D685" s="198"/>
      <c r="E685" s="198"/>
      <c r="F685" s="198"/>
      <c r="G685" s="198"/>
      <c r="H685" s="198"/>
      <c r="I685" s="198"/>
    </row>
    <row r="686" spans="1:9" ht="14.4" x14ac:dyDescent="0.3">
      <c r="A686" s="60"/>
      <c r="B686" s="204" t="s">
        <v>0</v>
      </c>
      <c r="C686" s="198"/>
      <c r="D686" s="198"/>
      <c r="E686" s="198"/>
      <c r="F686" s="198"/>
      <c r="G686" s="198"/>
      <c r="H686" s="198"/>
      <c r="I686" s="198"/>
    </row>
    <row r="687" spans="1:9" ht="14.4" x14ac:dyDescent="0.3">
      <c r="B687" s="166" t="s">
        <v>8</v>
      </c>
      <c r="C687" s="200" t="s">
        <v>462</v>
      </c>
      <c r="D687" s="198"/>
      <c r="E687" s="198"/>
      <c r="F687" s="198"/>
      <c r="G687" s="198"/>
      <c r="H687" s="198"/>
      <c r="I687" s="198"/>
    </row>
    <row r="689" spans="1:9" ht="14.4" x14ac:dyDescent="0.3">
      <c r="A689" s="177" t="s">
        <v>503</v>
      </c>
      <c r="B689" s="203" t="s">
        <v>504</v>
      </c>
      <c r="C689" s="198"/>
      <c r="D689" s="198"/>
      <c r="E689" s="198"/>
      <c r="F689" s="198"/>
      <c r="G689" s="198"/>
      <c r="H689" s="198"/>
      <c r="I689" s="198"/>
    </row>
    <row r="690" spans="1:9" ht="14.4" x14ac:dyDescent="0.3">
      <c r="A690" s="3"/>
      <c r="B690" s="204" t="s">
        <v>6</v>
      </c>
      <c r="C690" s="198"/>
      <c r="D690" s="198"/>
      <c r="E690" s="198"/>
      <c r="F690" s="198"/>
      <c r="G690" s="198"/>
      <c r="H690" s="198"/>
      <c r="I690" s="198"/>
    </row>
    <row r="691" spans="1:9" ht="27.9" customHeight="1" x14ac:dyDescent="0.3">
      <c r="A691" s="60"/>
      <c r="B691" s="200" t="s">
        <v>505</v>
      </c>
      <c r="C691" s="198"/>
      <c r="D691" s="198"/>
      <c r="E691" s="198"/>
      <c r="F691" s="198"/>
      <c r="G691" s="198"/>
      <c r="H691" s="198"/>
      <c r="I691" s="198"/>
    </row>
    <row r="692" spans="1:9" ht="14.4" x14ac:dyDescent="0.3">
      <c r="A692" s="170"/>
      <c r="B692" s="205"/>
      <c r="C692" s="206"/>
      <c r="D692" s="206"/>
      <c r="E692" s="206"/>
      <c r="F692" s="206"/>
      <c r="G692" s="206"/>
      <c r="H692" s="206"/>
      <c r="I692" s="206"/>
    </row>
    <row r="693" spans="1:9" ht="14.4" x14ac:dyDescent="0.3">
      <c r="A693" s="60"/>
      <c r="B693" s="204" t="s">
        <v>0</v>
      </c>
      <c r="C693" s="198"/>
      <c r="D693" s="198"/>
      <c r="E693" s="198"/>
      <c r="F693" s="198"/>
      <c r="G693" s="198"/>
      <c r="H693" s="198"/>
      <c r="I693" s="198"/>
    </row>
    <row r="694" spans="1:9" ht="14.4" x14ac:dyDescent="0.3">
      <c r="B694" s="166" t="s">
        <v>8</v>
      </c>
      <c r="C694" s="200" t="s">
        <v>506</v>
      </c>
      <c r="D694" s="198"/>
      <c r="E694" s="198"/>
      <c r="F694" s="198"/>
      <c r="G694" s="198"/>
      <c r="H694" s="198"/>
      <c r="I694" s="198"/>
    </row>
    <row r="695" spans="1:9" x14ac:dyDescent="0.3">
      <c r="A695" s="170"/>
      <c r="B695" s="168"/>
      <c r="C695" s="168"/>
      <c r="D695" s="168"/>
      <c r="E695" s="168"/>
      <c r="F695" s="168"/>
      <c r="G695" s="168"/>
      <c r="H695" s="168"/>
      <c r="I695" s="168"/>
    </row>
    <row r="696" spans="1:9" ht="14.4" x14ac:dyDescent="0.3">
      <c r="A696" s="177" t="s">
        <v>507</v>
      </c>
      <c r="B696" s="203" t="s">
        <v>508</v>
      </c>
      <c r="C696" s="198"/>
      <c r="D696" s="198"/>
      <c r="E696" s="198"/>
      <c r="F696" s="198"/>
      <c r="G696" s="198"/>
      <c r="H696" s="198"/>
      <c r="I696" s="198"/>
    </row>
    <row r="697" spans="1:9" ht="14.4" x14ac:dyDescent="0.3">
      <c r="A697" s="3"/>
      <c r="B697" s="204" t="s">
        <v>6</v>
      </c>
      <c r="C697" s="198"/>
      <c r="D697" s="198"/>
      <c r="E697" s="198"/>
      <c r="F697" s="198"/>
      <c r="G697" s="198"/>
      <c r="H697" s="198"/>
      <c r="I697" s="198"/>
    </row>
    <row r="698" spans="1:9" ht="43.5" customHeight="1" x14ac:dyDescent="0.3">
      <c r="A698" s="60"/>
      <c r="B698" s="200" t="s">
        <v>509</v>
      </c>
      <c r="C698" s="198"/>
      <c r="D698" s="198"/>
      <c r="E698" s="198"/>
      <c r="F698" s="198"/>
      <c r="G698" s="198"/>
      <c r="H698" s="198"/>
      <c r="I698" s="198"/>
    </row>
    <row r="699" spans="1:9" ht="14.4" x14ac:dyDescent="0.3">
      <c r="A699" s="60"/>
      <c r="B699" s="178"/>
      <c r="C699" s="179"/>
      <c r="D699" s="179"/>
      <c r="E699" s="179"/>
      <c r="F699" s="179"/>
      <c r="G699" s="179"/>
      <c r="H699" s="179"/>
      <c r="I699" s="179"/>
    </row>
    <row r="700" spans="1:9" ht="14.4" x14ac:dyDescent="0.3">
      <c r="A700" s="60"/>
      <c r="B700" s="204" t="s">
        <v>0</v>
      </c>
      <c r="C700" s="198"/>
      <c r="D700" s="198"/>
      <c r="E700" s="198"/>
      <c r="F700" s="198"/>
      <c r="G700" s="198"/>
      <c r="H700" s="198"/>
      <c r="I700" s="198"/>
    </row>
    <row r="701" spans="1:9" ht="14.4" x14ac:dyDescent="0.3">
      <c r="B701" s="166" t="s">
        <v>8</v>
      </c>
      <c r="C701" s="200" t="s">
        <v>187</v>
      </c>
      <c r="D701" s="198"/>
      <c r="E701" s="198"/>
      <c r="F701" s="198"/>
      <c r="G701" s="198"/>
      <c r="H701" s="198"/>
      <c r="I701" s="198"/>
    </row>
    <row r="702" spans="1:9" ht="14.4" x14ac:dyDescent="0.3">
      <c r="B702" s="166" t="s">
        <v>8</v>
      </c>
      <c r="C702" s="200" t="s">
        <v>510</v>
      </c>
      <c r="D702" s="198"/>
      <c r="E702" s="198"/>
      <c r="F702" s="198"/>
      <c r="G702" s="198"/>
      <c r="H702" s="198"/>
      <c r="I702" s="198"/>
    </row>
    <row r="703" spans="1:9" ht="14.4" x14ac:dyDescent="0.3">
      <c r="D703" s="165"/>
      <c r="E703" s="165"/>
      <c r="F703" s="165"/>
      <c r="H703" s="165"/>
      <c r="I703" s="165"/>
    </row>
    <row r="704" spans="1:9" x14ac:dyDescent="0.3">
      <c r="A704" s="177" t="s">
        <v>511</v>
      </c>
      <c r="B704" s="203" t="s">
        <v>512</v>
      </c>
      <c r="C704" s="203"/>
      <c r="D704" s="203"/>
      <c r="E704" s="203"/>
      <c r="F704" s="203"/>
      <c r="G704" s="203"/>
      <c r="H704" s="203"/>
      <c r="I704" s="203"/>
    </row>
    <row r="705" spans="1:9" x14ac:dyDescent="0.3">
      <c r="A705" s="3"/>
      <c r="B705" s="204" t="s">
        <v>6</v>
      </c>
      <c r="C705" s="204"/>
      <c r="D705" s="204"/>
      <c r="E705" s="204"/>
      <c r="F705" s="204"/>
      <c r="G705" s="204"/>
      <c r="H705" s="204"/>
      <c r="I705" s="204"/>
    </row>
    <row r="706" spans="1:9" ht="42.9" customHeight="1" x14ac:dyDescent="0.3">
      <c r="A706" s="60"/>
      <c r="B706" s="200" t="s">
        <v>513</v>
      </c>
      <c r="C706" s="200"/>
      <c r="D706" s="200"/>
      <c r="E706" s="200"/>
      <c r="F706" s="200"/>
      <c r="G706" s="200"/>
      <c r="H706" s="200"/>
      <c r="I706" s="200"/>
    </row>
    <row r="707" spans="1:9" x14ac:dyDescent="0.3">
      <c r="A707" s="170"/>
      <c r="B707" s="205"/>
      <c r="C707" s="205"/>
      <c r="D707" s="205"/>
      <c r="E707" s="205"/>
      <c r="F707" s="205"/>
      <c r="G707" s="205"/>
      <c r="H707" s="205"/>
      <c r="I707" s="205"/>
    </row>
    <row r="708" spans="1:9" x14ac:dyDescent="0.3">
      <c r="A708" s="60"/>
      <c r="B708" s="204" t="s">
        <v>0</v>
      </c>
      <c r="C708" s="204"/>
      <c r="D708" s="204"/>
      <c r="E708" s="204"/>
      <c r="F708" s="204"/>
      <c r="G708" s="204"/>
      <c r="H708" s="204"/>
      <c r="I708" s="204"/>
    </row>
    <row r="709" spans="1:9" x14ac:dyDescent="0.3">
      <c r="B709" s="166" t="s">
        <v>8</v>
      </c>
      <c r="C709" s="200" t="s">
        <v>187</v>
      </c>
      <c r="D709" s="200"/>
      <c r="E709" s="200"/>
      <c r="F709" s="200"/>
      <c r="G709" s="200"/>
      <c r="H709" s="200"/>
      <c r="I709" s="200"/>
    </row>
    <row r="710" spans="1:9" ht="40.5" customHeight="1" x14ac:dyDescent="0.3">
      <c r="B710" s="166" t="s">
        <v>8</v>
      </c>
      <c r="C710" s="200" t="s">
        <v>514</v>
      </c>
      <c r="D710" s="200"/>
      <c r="E710" s="200"/>
      <c r="F710" s="200"/>
      <c r="G710" s="200"/>
      <c r="H710" s="200"/>
      <c r="I710" s="200"/>
    </row>
    <row r="711" spans="1:9" ht="26.1" customHeight="1" x14ac:dyDescent="0.3">
      <c r="B711" s="166" t="s">
        <v>8</v>
      </c>
      <c r="C711" s="200" t="s">
        <v>515</v>
      </c>
      <c r="D711" s="200"/>
      <c r="E711" s="200"/>
      <c r="F711" s="200"/>
      <c r="G711" s="200"/>
      <c r="H711" s="200"/>
      <c r="I711" s="200"/>
    </row>
    <row r="712" spans="1:9" ht="13.5" customHeight="1" x14ac:dyDescent="0.3">
      <c r="B712" s="166" t="s">
        <v>8</v>
      </c>
      <c r="C712" s="200" t="s">
        <v>516</v>
      </c>
      <c r="D712" s="200"/>
      <c r="E712" s="200"/>
      <c r="F712" s="200"/>
      <c r="G712" s="200"/>
      <c r="H712" s="200"/>
      <c r="I712" s="200"/>
    </row>
    <row r="713" spans="1:9" ht="25.5" customHeight="1" x14ac:dyDescent="0.3">
      <c r="B713" s="166" t="s">
        <v>8</v>
      </c>
      <c r="C713" s="200" t="s">
        <v>517</v>
      </c>
      <c r="D713" s="200"/>
      <c r="E713" s="200"/>
      <c r="F713" s="200"/>
      <c r="G713" s="200"/>
      <c r="H713" s="200"/>
      <c r="I713" s="200"/>
    </row>
    <row r="715" spans="1:9" ht="14.4" x14ac:dyDescent="0.3">
      <c r="A715" s="177" t="s">
        <v>518</v>
      </c>
      <c r="B715" s="203" t="s">
        <v>519</v>
      </c>
      <c r="C715" s="198"/>
      <c r="D715" s="198"/>
      <c r="E715" s="198"/>
      <c r="F715" s="198"/>
      <c r="G715" s="198"/>
      <c r="H715" s="198"/>
      <c r="I715" s="198"/>
    </row>
    <row r="716" spans="1:9" ht="14.4" x14ac:dyDescent="0.3">
      <c r="A716" s="3"/>
      <c r="B716" s="204" t="s">
        <v>6</v>
      </c>
      <c r="C716" s="198"/>
      <c r="D716" s="198"/>
      <c r="E716" s="198"/>
      <c r="F716" s="198"/>
      <c r="G716" s="198"/>
      <c r="H716" s="198"/>
      <c r="I716" s="198"/>
    </row>
    <row r="717" spans="1:9" ht="29.4" customHeight="1" x14ac:dyDescent="0.3">
      <c r="A717" s="60"/>
      <c r="B717" s="200" t="s">
        <v>520</v>
      </c>
      <c r="C717" s="198"/>
      <c r="D717" s="198"/>
      <c r="E717" s="198"/>
      <c r="F717" s="198"/>
      <c r="G717" s="198"/>
      <c r="H717" s="198"/>
      <c r="I717" s="198"/>
    </row>
    <row r="718" spans="1:9" ht="14.4" x14ac:dyDescent="0.3">
      <c r="A718" s="170"/>
      <c r="B718" s="205"/>
      <c r="C718" s="206"/>
      <c r="D718" s="206"/>
      <c r="E718" s="206"/>
      <c r="F718" s="206"/>
      <c r="G718" s="206"/>
      <c r="H718" s="206"/>
      <c r="I718" s="206"/>
    </row>
    <row r="719" spans="1:9" ht="14.4" x14ac:dyDescent="0.3">
      <c r="A719" s="60"/>
      <c r="B719" s="204" t="s">
        <v>0</v>
      </c>
      <c r="C719" s="198"/>
      <c r="D719" s="198"/>
      <c r="E719" s="198"/>
      <c r="F719" s="198"/>
      <c r="G719" s="198"/>
      <c r="H719" s="198"/>
      <c r="I719" s="198"/>
    </row>
    <row r="720" spans="1:9" ht="14.4" x14ac:dyDescent="0.3">
      <c r="B720" s="166" t="s">
        <v>8</v>
      </c>
      <c r="C720" s="200" t="s">
        <v>187</v>
      </c>
      <c r="D720" s="198"/>
      <c r="E720" s="198"/>
      <c r="F720" s="198"/>
      <c r="G720" s="198"/>
      <c r="H720" s="198"/>
      <c r="I720" s="198"/>
    </row>
    <row r="721" spans="1:9" ht="14.4" x14ac:dyDescent="0.3">
      <c r="D721" s="165"/>
      <c r="E721" s="165"/>
      <c r="F721" s="165"/>
      <c r="G721" s="165"/>
      <c r="H721" s="165"/>
      <c r="I721" s="165"/>
    </row>
    <row r="722" spans="1:9" ht="14.4" x14ac:dyDescent="0.3">
      <c r="A722" s="177" t="s">
        <v>521</v>
      </c>
      <c r="B722" s="203" t="s">
        <v>388</v>
      </c>
      <c r="C722" s="198"/>
      <c r="D722" s="198"/>
      <c r="E722" s="198"/>
      <c r="F722" s="198"/>
      <c r="G722" s="198"/>
      <c r="H722" s="198"/>
      <c r="I722" s="198"/>
    </row>
    <row r="723" spans="1:9" ht="14.4" x14ac:dyDescent="0.3">
      <c r="A723" s="3"/>
      <c r="B723" s="204" t="s">
        <v>6</v>
      </c>
      <c r="C723" s="198"/>
      <c r="D723" s="198"/>
      <c r="E723" s="198"/>
      <c r="F723" s="198"/>
      <c r="G723" s="198"/>
      <c r="H723" s="198"/>
      <c r="I723" s="198"/>
    </row>
    <row r="724" spans="1:9" ht="45" customHeight="1" x14ac:dyDescent="0.3">
      <c r="A724" s="60"/>
      <c r="B724" s="200" t="s">
        <v>522</v>
      </c>
      <c r="C724" s="198"/>
      <c r="D724" s="198"/>
      <c r="E724" s="198"/>
      <c r="F724" s="198"/>
      <c r="G724" s="198"/>
      <c r="H724" s="198"/>
      <c r="I724" s="198"/>
    </row>
    <row r="725" spans="1:9" ht="139.19999999999999" customHeight="1" x14ac:dyDescent="0.3">
      <c r="A725" s="60"/>
      <c r="B725" s="201" t="s">
        <v>523</v>
      </c>
      <c r="C725" s="202"/>
      <c r="D725" s="202"/>
      <c r="E725" s="202"/>
      <c r="F725" s="202"/>
      <c r="G725" s="202"/>
      <c r="H725" s="202"/>
      <c r="I725" s="202"/>
    </row>
    <row r="726" spans="1:9" ht="6.6" customHeight="1" x14ac:dyDescent="0.3">
      <c r="A726" s="60"/>
      <c r="B726" s="178"/>
      <c r="C726" s="179"/>
      <c r="D726" s="179"/>
      <c r="E726" s="179"/>
      <c r="F726" s="179"/>
      <c r="G726" s="179"/>
      <c r="H726" s="179"/>
      <c r="I726" s="179"/>
    </row>
    <row r="727" spans="1:9" ht="39.6" customHeight="1" x14ac:dyDescent="0.3">
      <c r="A727" s="60"/>
      <c r="B727" s="181" t="s">
        <v>21</v>
      </c>
      <c r="C727" s="209" t="s">
        <v>524</v>
      </c>
      <c r="D727" s="210"/>
      <c r="E727" s="210"/>
      <c r="F727" s="210"/>
      <c r="G727" s="210"/>
      <c r="H727" s="210"/>
      <c r="I727" s="210"/>
    </row>
    <row r="728" spans="1:9" ht="29.4" customHeight="1" x14ac:dyDescent="0.3">
      <c r="A728" s="60"/>
      <c r="B728" s="181" t="s">
        <v>23</v>
      </c>
      <c r="C728" s="209" t="s">
        <v>525</v>
      </c>
      <c r="D728" s="209"/>
      <c r="E728" s="209"/>
      <c r="F728" s="209"/>
      <c r="G728" s="209"/>
      <c r="H728" s="209"/>
      <c r="I728" s="209"/>
    </row>
    <row r="729" spans="1:9" ht="17.399999999999999" customHeight="1" x14ac:dyDescent="0.3">
      <c r="A729" s="60"/>
      <c r="B729" s="178"/>
      <c r="C729" s="179"/>
      <c r="D729" s="179"/>
      <c r="E729" s="179"/>
      <c r="F729" s="179"/>
      <c r="G729" s="179"/>
      <c r="H729" s="179"/>
      <c r="I729" s="179"/>
    </row>
    <row r="730" spans="1:9" ht="14.4" x14ac:dyDescent="0.3">
      <c r="A730" s="60"/>
      <c r="B730" s="204" t="s">
        <v>0</v>
      </c>
      <c r="C730" s="198"/>
      <c r="D730" s="198"/>
      <c r="E730" s="198"/>
      <c r="F730" s="198"/>
      <c r="G730" s="198"/>
      <c r="H730" s="198"/>
      <c r="I730" s="198"/>
    </row>
    <row r="731" spans="1:9" ht="14.4" x14ac:dyDescent="0.3">
      <c r="B731" s="166" t="s">
        <v>8</v>
      </c>
      <c r="C731" s="200" t="s">
        <v>410</v>
      </c>
      <c r="D731" s="198"/>
      <c r="E731" s="198"/>
      <c r="F731" s="198"/>
      <c r="G731" s="198"/>
      <c r="H731" s="198"/>
      <c r="I731" s="198"/>
    </row>
    <row r="732" spans="1:9" ht="27" customHeight="1" x14ac:dyDescent="0.3">
      <c r="B732" s="166" t="s">
        <v>8</v>
      </c>
      <c r="C732" s="200" t="s">
        <v>526</v>
      </c>
      <c r="D732" s="198"/>
      <c r="E732" s="198"/>
      <c r="F732" s="198"/>
      <c r="G732" s="198"/>
      <c r="H732" s="198"/>
      <c r="I732" s="198"/>
    </row>
    <row r="733" spans="1:9" ht="15" customHeight="1" x14ac:dyDescent="0.3">
      <c r="B733" s="166" t="s">
        <v>8</v>
      </c>
      <c r="C733" s="200" t="s">
        <v>527</v>
      </c>
      <c r="D733" s="198"/>
      <c r="E733" s="198"/>
      <c r="F733" s="198"/>
      <c r="G733" s="198"/>
      <c r="H733" s="198"/>
      <c r="I733" s="198"/>
    </row>
    <row r="734" spans="1:9" ht="14.4" x14ac:dyDescent="0.3">
      <c r="D734" s="165"/>
      <c r="E734" s="165"/>
      <c r="F734" s="165"/>
      <c r="G734" s="165"/>
      <c r="H734" s="165"/>
      <c r="I734" s="165"/>
    </row>
    <row r="735" spans="1:9" ht="14.4" x14ac:dyDescent="0.3">
      <c r="A735" s="177" t="s">
        <v>528</v>
      </c>
      <c r="B735" s="203" t="s">
        <v>398</v>
      </c>
      <c r="C735" s="198"/>
      <c r="D735" s="198"/>
      <c r="E735" s="198"/>
      <c r="F735" s="198"/>
      <c r="G735" s="198"/>
      <c r="H735" s="198"/>
      <c r="I735" s="198"/>
    </row>
    <row r="736" spans="1:9" ht="14.4" x14ac:dyDescent="0.3">
      <c r="A736" s="3"/>
      <c r="B736" s="204" t="s">
        <v>6</v>
      </c>
      <c r="C736" s="198"/>
      <c r="D736" s="198"/>
      <c r="E736" s="198"/>
      <c r="F736" s="198"/>
      <c r="G736" s="198"/>
      <c r="H736" s="198"/>
      <c r="I736" s="198"/>
    </row>
    <row r="737" spans="1:9" ht="39" customHeight="1" x14ac:dyDescent="0.3">
      <c r="A737" s="60"/>
      <c r="B737" s="200" t="s">
        <v>529</v>
      </c>
      <c r="C737" s="198"/>
      <c r="D737" s="198"/>
      <c r="E737" s="198"/>
      <c r="F737" s="198"/>
      <c r="G737" s="198"/>
      <c r="H737" s="198"/>
      <c r="I737" s="198"/>
    </row>
    <row r="738" spans="1:9" ht="14.4" x14ac:dyDescent="0.3">
      <c r="A738" s="170"/>
      <c r="B738" s="205"/>
      <c r="C738" s="206"/>
      <c r="D738" s="206"/>
      <c r="E738" s="206"/>
      <c r="F738" s="206"/>
      <c r="G738" s="206"/>
      <c r="H738" s="206"/>
      <c r="I738" s="206"/>
    </row>
    <row r="739" spans="1:9" ht="14.4" x14ac:dyDescent="0.3">
      <c r="A739" s="60"/>
      <c r="B739" s="204" t="s">
        <v>0</v>
      </c>
      <c r="C739" s="198"/>
      <c r="D739" s="198"/>
      <c r="E739" s="198"/>
      <c r="F739" s="198"/>
      <c r="G739" s="198"/>
      <c r="H739" s="198"/>
      <c r="I739" s="198"/>
    </row>
    <row r="740" spans="1:9" ht="14.4" x14ac:dyDescent="0.3">
      <c r="B740" s="166" t="s">
        <v>8</v>
      </c>
      <c r="C740" s="200" t="s">
        <v>187</v>
      </c>
      <c r="D740" s="198"/>
      <c r="E740" s="198"/>
      <c r="F740" s="198"/>
      <c r="G740" s="198"/>
      <c r="H740" s="198"/>
      <c r="I740" s="198"/>
    </row>
    <row r="741" spans="1:9" ht="14.4" x14ac:dyDescent="0.3">
      <c r="B741" s="166" t="s">
        <v>8</v>
      </c>
      <c r="C741" s="200" t="s">
        <v>400</v>
      </c>
      <c r="D741" s="198"/>
      <c r="E741" s="198"/>
      <c r="F741" s="198"/>
      <c r="G741" s="198"/>
      <c r="H741" s="198"/>
      <c r="I741" s="198"/>
    </row>
    <row r="742" spans="1:9" ht="14.4" x14ac:dyDescent="0.3">
      <c r="B742" s="166" t="s">
        <v>8</v>
      </c>
      <c r="C742" s="200" t="s">
        <v>401</v>
      </c>
      <c r="D742" s="198"/>
      <c r="E742" s="198"/>
      <c r="F742" s="198"/>
      <c r="G742" s="198"/>
      <c r="H742" s="198"/>
      <c r="I742" s="198"/>
    </row>
    <row r="743" spans="1:9" ht="26.4" customHeight="1" x14ac:dyDescent="0.3">
      <c r="B743" s="166" t="s">
        <v>8</v>
      </c>
      <c r="C743" s="200" t="s">
        <v>430</v>
      </c>
      <c r="D743" s="198"/>
      <c r="E743" s="198"/>
      <c r="F743" s="198"/>
      <c r="G743" s="198"/>
      <c r="H743" s="198"/>
      <c r="I743" s="198"/>
    </row>
    <row r="744" spans="1:9" ht="14.4" x14ac:dyDescent="0.3">
      <c r="B744" s="166" t="s">
        <v>8</v>
      </c>
      <c r="C744" s="200" t="s">
        <v>530</v>
      </c>
      <c r="D744" s="198"/>
      <c r="E744" s="198"/>
      <c r="F744" s="198"/>
      <c r="G744" s="198"/>
      <c r="H744" s="198"/>
      <c r="I744" s="198"/>
    </row>
    <row r="745" spans="1:9" ht="41.4" customHeight="1" x14ac:dyDescent="0.3">
      <c r="B745" s="166" t="s">
        <v>8</v>
      </c>
      <c r="C745" s="200" t="s">
        <v>531</v>
      </c>
      <c r="D745" s="198"/>
      <c r="E745" s="198"/>
      <c r="F745" s="198"/>
      <c r="G745" s="198"/>
      <c r="H745" s="198"/>
      <c r="I745" s="198"/>
    </row>
    <row r="746" spans="1:9" ht="14.4" x14ac:dyDescent="0.3">
      <c r="D746" s="165"/>
      <c r="E746" s="165"/>
      <c r="F746" s="165"/>
      <c r="G746" s="165"/>
      <c r="H746" s="165"/>
      <c r="I746" s="165"/>
    </row>
    <row r="747" spans="1:9" ht="30" customHeight="1" x14ac:dyDescent="0.3">
      <c r="B747" s="166" t="s">
        <v>21</v>
      </c>
      <c r="C747" s="207" t="s">
        <v>405</v>
      </c>
      <c r="D747" s="208"/>
      <c r="E747" s="208"/>
      <c r="F747" s="208"/>
      <c r="G747" s="208"/>
      <c r="H747" s="208"/>
      <c r="I747" s="208"/>
    </row>
    <row r="748" spans="1:9" ht="41.4" customHeight="1" x14ac:dyDescent="0.3">
      <c r="B748" s="166" t="s">
        <v>23</v>
      </c>
      <c r="C748" s="207" t="s">
        <v>532</v>
      </c>
      <c r="D748" s="208"/>
      <c r="E748" s="208"/>
      <c r="F748" s="208"/>
      <c r="G748" s="208"/>
      <c r="H748" s="208"/>
      <c r="I748" s="208"/>
    </row>
    <row r="749" spans="1:9" ht="13.5" customHeight="1" x14ac:dyDescent="0.3">
      <c r="D749" s="165"/>
      <c r="E749" s="165"/>
      <c r="F749" s="165"/>
      <c r="G749" s="165"/>
      <c r="H749" s="165"/>
      <c r="I749" s="165"/>
    </row>
    <row r="750" spans="1:9" ht="14.4" x14ac:dyDescent="0.3">
      <c r="A750" s="177" t="s">
        <v>533</v>
      </c>
      <c r="B750" s="203" t="s">
        <v>534</v>
      </c>
      <c r="C750" s="198"/>
      <c r="D750" s="198"/>
      <c r="E750" s="198"/>
      <c r="F750" s="198"/>
      <c r="G750" s="198"/>
      <c r="H750" s="198"/>
      <c r="I750" s="198"/>
    </row>
    <row r="751" spans="1:9" ht="14.4" x14ac:dyDescent="0.3">
      <c r="A751" s="3"/>
      <c r="B751" s="204" t="s">
        <v>6</v>
      </c>
      <c r="C751" s="198"/>
      <c r="D751" s="198"/>
      <c r="E751" s="198"/>
      <c r="F751" s="198"/>
      <c r="G751" s="198"/>
      <c r="H751" s="198"/>
      <c r="I751" s="198"/>
    </row>
    <row r="752" spans="1:9" ht="27.9" customHeight="1" x14ac:dyDescent="0.3">
      <c r="A752" s="60"/>
      <c r="B752" s="200" t="s">
        <v>535</v>
      </c>
      <c r="C752" s="198"/>
      <c r="D752" s="198"/>
      <c r="E752" s="198"/>
      <c r="F752" s="198"/>
      <c r="G752" s="198"/>
      <c r="H752" s="198"/>
      <c r="I752" s="198"/>
    </row>
    <row r="753" spans="1:9" ht="14.4" x14ac:dyDescent="0.3">
      <c r="A753" s="60"/>
      <c r="B753" s="178"/>
      <c r="C753" s="179"/>
      <c r="D753" s="179"/>
      <c r="E753" s="179"/>
      <c r="F753" s="179"/>
      <c r="G753" s="179"/>
      <c r="H753" s="179"/>
      <c r="I753" s="179"/>
    </row>
    <row r="754" spans="1:9" ht="14.4" x14ac:dyDescent="0.3">
      <c r="A754" s="60"/>
      <c r="B754" s="204" t="s">
        <v>0</v>
      </c>
      <c r="C754" s="198"/>
      <c r="D754" s="198"/>
      <c r="E754" s="198"/>
      <c r="F754" s="198"/>
      <c r="G754" s="198"/>
      <c r="H754" s="198"/>
      <c r="I754" s="198"/>
    </row>
    <row r="755" spans="1:9" ht="14.4" x14ac:dyDescent="0.3">
      <c r="B755" s="166" t="s">
        <v>8</v>
      </c>
      <c r="C755" s="200" t="s">
        <v>536</v>
      </c>
      <c r="D755" s="198"/>
      <c r="E755" s="198"/>
      <c r="F755" s="198"/>
      <c r="G755" s="198"/>
      <c r="H755" s="198"/>
      <c r="I755" s="198"/>
    </row>
    <row r="756" spans="1:9" ht="14.4" x14ac:dyDescent="0.3">
      <c r="B756" s="166" t="s">
        <v>8</v>
      </c>
      <c r="C756" s="200" t="s">
        <v>537</v>
      </c>
      <c r="D756" s="198"/>
      <c r="E756" s="198"/>
      <c r="F756" s="198"/>
      <c r="G756" s="198"/>
      <c r="H756" s="198"/>
      <c r="I756" s="198"/>
    </row>
    <row r="757" spans="1:9" ht="12.6" customHeight="1" x14ac:dyDescent="0.3">
      <c r="C757" s="171"/>
      <c r="D757" s="175"/>
      <c r="E757" s="175"/>
      <c r="F757" s="175"/>
      <c r="G757" s="175"/>
      <c r="H757" s="175"/>
      <c r="I757" s="175"/>
    </row>
    <row r="758" spans="1:9" x14ac:dyDescent="0.3">
      <c r="A758" s="177" t="s">
        <v>538</v>
      </c>
      <c r="B758" s="203" t="s">
        <v>539</v>
      </c>
      <c r="C758" s="203"/>
      <c r="D758" s="203"/>
      <c r="E758" s="203"/>
      <c r="F758" s="203"/>
      <c r="G758" s="203"/>
      <c r="H758" s="203"/>
      <c r="I758" s="203"/>
    </row>
    <row r="759" spans="1:9" x14ac:dyDescent="0.3">
      <c r="A759" s="3"/>
      <c r="B759" s="204" t="s">
        <v>6</v>
      </c>
      <c r="C759" s="204"/>
      <c r="D759" s="204"/>
      <c r="E759" s="204"/>
      <c r="F759" s="204"/>
      <c r="G759" s="204"/>
      <c r="H759" s="204"/>
      <c r="I759" s="204"/>
    </row>
    <row r="760" spans="1:9" ht="14.1" customHeight="1" x14ac:dyDescent="0.3">
      <c r="A760" s="60"/>
      <c r="B760" s="200" t="s">
        <v>540</v>
      </c>
      <c r="C760" s="200"/>
      <c r="D760" s="200"/>
      <c r="E760" s="200"/>
      <c r="F760" s="200"/>
      <c r="G760" s="200"/>
      <c r="H760" s="200"/>
      <c r="I760" s="200"/>
    </row>
    <row r="761" spans="1:9" x14ac:dyDescent="0.3">
      <c r="A761" s="170"/>
      <c r="B761" s="205"/>
      <c r="C761" s="205"/>
      <c r="D761" s="205"/>
      <c r="E761" s="205"/>
      <c r="F761" s="205"/>
      <c r="G761" s="205"/>
      <c r="H761" s="205"/>
      <c r="I761" s="205"/>
    </row>
    <row r="762" spans="1:9" x14ac:dyDescent="0.3">
      <c r="A762" s="60"/>
      <c r="B762" s="204" t="s">
        <v>0</v>
      </c>
      <c r="C762" s="204"/>
      <c r="D762" s="204"/>
      <c r="E762" s="204"/>
      <c r="F762" s="204"/>
      <c r="G762" s="204"/>
      <c r="H762" s="204"/>
      <c r="I762" s="204"/>
    </row>
    <row r="763" spans="1:9" x14ac:dyDescent="0.3">
      <c r="B763" s="166" t="s">
        <v>8</v>
      </c>
      <c r="C763" s="200" t="s">
        <v>541</v>
      </c>
      <c r="D763" s="200"/>
      <c r="E763" s="200"/>
      <c r="F763" s="200"/>
      <c r="G763" s="200"/>
      <c r="H763" s="200"/>
      <c r="I763" s="200"/>
    </row>
    <row r="764" spans="1:9" x14ac:dyDescent="0.3">
      <c r="B764" s="166" t="s">
        <v>8</v>
      </c>
      <c r="C764" s="200" t="s">
        <v>542</v>
      </c>
      <c r="D764" s="200"/>
      <c r="E764" s="200"/>
      <c r="F764" s="200"/>
      <c r="G764" s="200"/>
      <c r="H764" s="200"/>
      <c r="I764" s="200"/>
    </row>
    <row r="765" spans="1:9" ht="66.599999999999994" customHeight="1" x14ac:dyDescent="0.3">
      <c r="B765" s="166" t="s">
        <v>8</v>
      </c>
      <c r="C765" s="200" t="s">
        <v>543</v>
      </c>
      <c r="D765" s="200"/>
      <c r="E765" s="200"/>
      <c r="F765" s="200"/>
      <c r="G765" s="200"/>
      <c r="H765" s="200"/>
      <c r="I765" s="200"/>
    </row>
    <row r="766" spans="1:9" ht="16.2" x14ac:dyDescent="0.35">
      <c r="A766" s="142" t="s">
        <v>544</v>
      </c>
      <c r="B766" s="195" t="s">
        <v>545</v>
      </c>
      <c r="C766" s="196"/>
      <c r="D766" s="196"/>
      <c r="E766" s="196"/>
      <c r="F766" s="196"/>
      <c r="G766" s="196"/>
      <c r="H766" s="196"/>
      <c r="I766" s="196"/>
    </row>
    <row r="767" spans="1:9" ht="14.4" x14ac:dyDescent="0.3">
      <c r="D767" s="165"/>
      <c r="E767" s="165"/>
      <c r="F767" s="165"/>
      <c r="G767" s="165"/>
      <c r="H767" s="165"/>
      <c r="I767" s="165"/>
    </row>
    <row r="768" spans="1:9" ht="14.4" customHeight="1" x14ac:dyDescent="0.3">
      <c r="A768" s="177" t="s">
        <v>546</v>
      </c>
      <c r="B768" s="203" t="s">
        <v>74</v>
      </c>
      <c r="C768" s="198"/>
      <c r="D768" s="198"/>
      <c r="E768" s="198"/>
      <c r="F768" s="198"/>
      <c r="G768" s="198"/>
      <c r="H768" s="198"/>
      <c r="I768" s="198"/>
    </row>
    <row r="769" spans="1:9" ht="12" customHeight="1" x14ac:dyDescent="0.3"/>
    <row r="770" spans="1:9" ht="14.4" customHeight="1" x14ac:dyDescent="0.3">
      <c r="A770" s="177" t="s">
        <v>547</v>
      </c>
      <c r="B770" s="203" t="s">
        <v>548</v>
      </c>
      <c r="C770" s="203"/>
      <c r="D770" s="203"/>
      <c r="E770" s="203"/>
      <c r="F770" s="203"/>
      <c r="G770" s="203"/>
      <c r="H770" s="203"/>
      <c r="I770" s="203"/>
    </row>
    <row r="771" spans="1:9" ht="14.4" customHeight="1" x14ac:dyDescent="0.3">
      <c r="A771" s="3"/>
      <c r="B771" s="204" t="s">
        <v>6</v>
      </c>
      <c r="C771" s="204"/>
      <c r="D771" s="204"/>
      <c r="E771" s="204"/>
      <c r="F771" s="204"/>
      <c r="G771" s="204"/>
      <c r="H771" s="204"/>
      <c r="I771" s="204"/>
    </row>
    <row r="772" spans="1:9" ht="15.9" customHeight="1" x14ac:dyDescent="0.3">
      <c r="A772" s="60"/>
      <c r="B772" s="200" t="s">
        <v>549</v>
      </c>
      <c r="C772" s="198"/>
      <c r="D772" s="198"/>
      <c r="E772" s="198"/>
      <c r="F772" s="198"/>
      <c r="G772" s="198"/>
      <c r="H772" s="198"/>
      <c r="I772" s="198"/>
    </row>
    <row r="773" spans="1:9" ht="14.4" x14ac:dyDescent="0.3">
      <c r="A773" s="170"/>
      <c r="B773" s="205"/>
      <c r="C773" s="206"/>
      <c r="D773" s="206"/>
      <c r="E773" s="206"/>
      <c r="F773" s="206"/>
      <c r="G773" s="206"/>
      <c r="H773" s="206"/>
      <c r="I773" s="206"/>
    </row>
    <row r="774" spans="1:9" ht="14.4" x14ac:dyDescent="0.3">
      <c r="A774" s="60"/>
      <c r="B774" s="204" t="s">
        <v>0</v>
      </c>
      <c r="C774" s="198"/>
      <c r="D774" s="198"/>
      <c r="E774" s="198"/>
      <c r="F774" s="198"/>
      <c r="G774" s="198"/>
      <c r="H774" s="198"/>
      <c r="I774" s="198"/>
    </row>
    <row r="775" spans="1:9" ht="14.4" x14ac:dyDescent="0.3">
      <c r="B775" s="166" t="s">
        <v>8</v>
      </c>
      <c r="C775" s="200" t="s">
        <v>462</v>
      </c>
      <c r="D775" s="198"/>
      <c r="E775" s="198"/>
      <c r="F775" s="198"/>
      <c r="G775" s="198"/>
      <c r="H775" s="198"/>
      <c r="I775" s="198"/>
    </row>
    <row r="776" spans="1:9" ht="14.4" x14ac:dyDescent="0.3">
      <c r="B776" s="166" t="s">
        <v>8</v>
      </c>
      <c r="C776" s="200" t="s">
        <v>550</v>
      </c>
      <c r="D776" s="198"/>
      <c r="E776" s="198"/>
      <c r="F776" s="198"/>
      <c r="G776" s="198"/>
      <c r="H776" s="198"/>
      <c r="I776" s="198"/>
    </row>
    <row r="777" spans="1:9" ht="14.4" x14ac:dyDescent="0.3">
      <c r="B777" s="166" t="s">
        <v>8</v>
      </c>
      <c r="C777" s="200" t="s">
        <v>551</v>
      </c>
      <c r="D777" s="198"/>
      <c r="E777" s="198"/>
      <c r="F777" s="198"/>
      <c r="G777" s="198"/>
      <c r="H777" s="198"/>
      <c r="I777" s="198"/>
    </row>
    <row r="778" spans="1:9" ht="14.4" x14ac:dyDescent="0.3">
      <c r="D778" s="165"/>
      <c r="E778" s="165"/>
      <c r="F778" s="165"/>
      <c r="G778" s="165"/>
      <c r="H778" s="165"/>
      <c r="I778" s="165"/>
    </row>
    <row r="779" spans="1:9" ht="14.4" customHeight="1" x14ac:dyDescent="0.3">
      <c r="A779" s="177" t="s">
        <v>552</v>
      </c>
      <c r="B779" s="203" t="s">
        <v>97</v>
      </c>
      <c r="C779" s="198"/>
      <c r="D779" s="198"/>
      <c r="E779" s="198"/>
      <c r="F779" s="198"/>
      <c r="G779" s="198"/>
      <c r="H779" s="198"/>
      <c r="I779" s="198"/>
    </row>
    <row r="780" spans="1:9" ht="12" customHeight="1" x14ac:dyDescent="0.3"/>
    <row r="781" spans="1:9" ht="14.4" x14ac:dyDescent="0.3">
      <c r="A781" s="177" t="s">
        <v>553</v>
      </c>
      <c r="B781" s="203" t="s">
        <v>554</v>
      </c>
      <c r="C781" s="198"/>
      <c r="D781" s="198"/>
      <c r="E781" s="198"/>
      <c r="F781" s="198"/>
      <c r="G781" s="198"/>
      <c r="H781" s="198"/>
      <c r="I781" s="198"/>
    </row>
    <row r="782" spans="1:9" ht="14.4" x14ac:dyDescent="0.3">
      <c r="A782" s="3"/>
      <c r="B782" s="204" t="s">
        <v>6</v>
      </c>
      <c r="C782" s="198"/>
      <c r="D782" s="198"/>
      <c r="E782" s="198"/>
      <c r="F782" s="198"/>
      <c r="G782" s="198"/>
      <c r="H782" s="198"/>
      <c r="I782" s="198"/>
    </row>
    <row r="783" spans="1:9" ht="15.6" customHeight="1" x14ac:dyDescent="0.3">
      <c r="A783" s="60"/>
      <c r="B783" s="200" t="s">
        <v>555</v>
      </c>
      <c r="C783" s="198"/>
      <c r="D783" s="198"/>
      <c r="E783" s="198"/>
      <c r="F783" s="198"/>
      <c r="G783" s="198"/>
      <c r="H783" s="198"/>
      <c r="I783" s="198"/>
    </row>
    <row r="784" spans="1:9" ht="14.4" x14ac:dyDescent="0.3">
      <c r="A784" s="60"/>
      <c r="B784" s="200"/>
      <c r="C784" s="198"/>
      <c r="D784" s="198"/>
      <c r="E784" s="198"/>
      <c r="F784" s="198"/>
      <c r="G784" s="198"/>
      <c r="H784" s="198"/>
      <c r="I784" s="198"/>
    </row>
    <row r="785" spans="1:9" ht="14.4" x14ac:dyDescent="0.3">
      <c r="A785" s="60"/>
      <c r="B785" s="204" t="s">
        <v>0</v>
      </c>
      <c r="C785" s="198"/>
      <c r="D785" s="198"/>
      <c r="E785" s="198"/>
      <c r="F785" s="198"/>
      <c r="G785" s="198"/>
      <c r="H785" s="198"/>
      <c r="I785" s="198"/>
    </row>
    <row r="786" spans="1:9" ht="14.4" x14ac:dyDescent="0.3">
      <c r="B786" s="166" t="s">
        <v>8</v>
      </c>
      <c r="C786" s="200" t="s">
        <v>462</v>
      </c>
      <c r="D786" s="198"/>
      <c r="E786" s="198"/>
      <c r="F786" s="198"/>
      <c r="G786" s="198"/>
      <c r="H786" s="198"/>
      <c r="I786" s="198"/>
    </row>
    <row r="787" spans="1:9" ht="14.4" x14ac:dyDescent="0.3">
      <c r="B787" s="166" t="s">
        <v>8</v>
      </c>
      <c r="C787" s="200" t="s">
        <v>550</v>
      </c>
      <c r="D787" s="198"/>
      <c r="E787" s="198"/>
      <c r="F787" s="198"/>
      <c r="G787" s="198"/>
      <c r="H787" s="198"/>
      <c r="I787" s="198"/>
    </row>
    <row r="788" spans="1:9" ht="14.4" x14ac:dyDescent="0.3">
      <c r="B788" s="166" t="s">
        <v>8</v>
      </c>
      <c r="C788" s="200" t="s">
        <v>556</v>
      </c>
      <c r="D788" s="198"/>
      <c r="E788" s="198"/>
      <c r="F788" s="198"/>
      <c r="G788" s="198"/>
      <c r="H788" s="198"/>
      <c r="I788" s="198"/>
    </row>
    <row r="789" spans="1:9" ht="14.4" x14ac:dyDescent="0.3">
      <c r="D789" s="165"/>
      <c r="E789" s="165"/>
      <c r="F789" s="165"/>
      <c r="G789" s="165"/>
      <c r="H789" s="165"/>
      <c r="I789" s="165"/>
    </row>
    <row r="790" spans="1:9" ht="14.4" customHeight="1" x14ac:dyDescent="0.3">
      <c r="A790" s="177" t="s">
        <v>557</v>
      </c>
      <c r="B790" s="203" t="s">
        <v>558</v>
      </c>
      <c r="C790" s="198"/>
      <c r="D790" s="198"/>
      <c r="E790" s="198"/>
      <c r="F790" s="198"/>
      <c r="G790" s="198"/>
      <c r="H790" s="198"/>
      <c r="I790" s="198"/>
    </row>
    <row r="791" spans="1:9" ht="12" customHeight="1" x14ac:dyDescent="0.3"/>
    <row r="792" spans="1:9" x14ac:dyDescent="0.3">
      <c r="A792" s="177" t="s">
        <v>559</v>
      </c>
      <c r="B792" s="203" t="s">
        <v>560</v>
      </c>
      <c r="C792" s="203"/>
      <c r="D792" s="203"/>
      <c r="E792" s="203"/>
      <c r="F792" s="203"/>
      <c r="G792" s="203"/>
      <c r="H792" s="203"/>
      <c r="I792" s="203"/>
    </row>
    <row r="793" spans="1:9" x14ac:dyDescent="0.3">
      <c r="A793" s="3"/>
      <c r="B793" s="204" t="s">
        <v>6</v>
      </c>
      <c r="C793" s="204"/>
      <c r="D793" s="204"/>
      <c r="E793" s="204"/>
      <c r="F793" s="204"/>
      <c r="G793" s="204"/>
      <c r="H793" s="204"/>
      <c r="I793" s="204"/>
    </row>
    <row r="794" spans="1:9" ht="30.9" customHeight="1" x14ac:dyDescent="0.3">
      <c r="A794" s="60"/>
      <c r="B794" s="200" t="s">
        <v>561</v>
      </c>
      <c r="C794" s="198"/>
      <c r="D794" s="198"/>
      <c r="E794" s="198"/>
      <c r="F794" s="198"/>
      <c r="G794" s="198"/>
      <c r="H794" s="198"/>
      <c r="I794" s="198"/>
    </row>
    <row r="795" spans="1:9" ht="14.4" x14ac:dyDescent="0.3">
      <c r="A795" s="170"/>
      <c r="B795" s="205"/>
      <c r="C795" s="206"/>
      <c r="D795" s="206"/>
      <c r="E795" s="206"/>
      <c r="F795" s="206"/>
      <c r="G795" s="206"/>
      <c r="H795" s="206"/>
      <c r="I795" s="206"/>
    </row>
    <row r="796" spans="1:9" ht="14.4" x14ac:dyDescent="0.3">
      <c r="A796" s="60"/>
      <c r="B796" s="204" t="s">
        <v>0</v>
      </c>
      <c r="C796" s="198"/>
      <c r="D796" s="198"/>
      <c r="E796" s="198"/>
      <c r="F796" s="198"/>
      <c r="G796" s="198"/>
      <c r="H796" s="198"/>
      <c r="I796" s="198"/>
    </row>
    <row r="797" spans="1:9" ht="14.4" x14ac:dyDescent="0.3">
      <c r="B797" s="166" t="s">
        <v>8</v>
      </c>
      <c r="C797" s="200" t="s">
        <v>562</v>
      </c>
      <c r="D797" s="198"/>
      <c r="E797" s="198"/>
      <c r="F797" s="198"/>
      <c r="G797" s="198"/>
      <c r="H797" s="198"/>
      <c r="I797" s="198"/>
    </row>
    <row r="798" spans="1:9" ht="14.4" x14ac:dyDescent="0.3">
      <c r="B798" s="166" t="s">
        <v>8</v>
      </c>
      <c r="C798" s="200" t="s">
        <v>563</v>
      </c>
      <c r="D798" s="198"/>
      <c r="E798" s="198"/>
      <c r="F798" s="198"/>
      <c r="G798" s="198"/>
      <c r="H798" s="198"/>
      <c r="I798" s="198"/>
    </row>
    <row r="799" spans="1:9" ht="14.4" x14ac:dyDescent="0.3">
      <c r="D799" s="165"/>
      <c r="E799" s="165"/>
      <c r="F799" s="165"/>
      <c r="G799" s="165"/>
      <c r="H799" s="165"/>
      <c r="I799" s="165"/>
    </row>
    <row r="800" spans="1:9" ht="16.2" x14ac:dyDescent="0.35">
      <c r="A800" s="142" t="s">
        <v>564</v>
      </c>
      <c r="B800" s="195" t="s">
        <v>565</v>
      </c>
      <c r="C800" s="196"/>
      <c r="D800" s="196"/>
      <c r="E800" s="196"/>
      <c r="F800" s="196"/>
      <c r="G800" s="196"/>
      <c r="H800" s="196"/>
      <c r="I800" s="196"/>
    </row>
    <row r="801" spans="1:9" ht="14.4" x14ac:dyDescent="0.3">
      <c r="D801" s="165"/>
      <c r="E801" s="165"/>
      <c r="F801" s="165"/>
      <c r="G801" s="165"/>
      <c r="H801" s="165"/>
      <c r="I801" s="165"/>
    </row>
    <row r="802" spans="1:9" ht="14.4" x14ac:dyDescent="0.3">
      <c r="A802" s="177" t="s">
        <v>566</v>
      </c>
      <c r="B802" s="203" t="s">
        <v>74</v>
      </c>
      <c r="C802" s="198"/>
      <c r="D802" s="198"/>
      <c r="E802" s="198"/>
      <c r="F802" s="198"/>
      <c r="G802" s="198"/>
      <c r="H802" s="198"/>
      <c r="I802" s="198"/>
    </row>
    <row r="804" spans="1:9" x14ac:dyDescent="0.3">
      <c r="A804" s="177" t="s">
        <v>567</v>
      </c>
      <c r="B804" s="203" t="s">
        <v>568</v>
      </c>
      <c r="C804" s="203"/>
      <c r="D804" s="203"/>
      <c r="E804" s="203"/>
      <c r="F804" s="203"/>
      <c r="G804" s="203"/>
      <c r="H804" s="203"/>
      <c r="I804" s="203"/>
    </row>
    <row r="805" spans="1:9" x14ac:dyDescent="0.3">
      <c r="A805" s="3"/>
      <c r="B805" s="204" t="s">
        <v>6</v>
      </c>
      <c r="C805" s="204"/>
      <c r="D805" s="204"/>
      <c r="E805" s="204"/>
      <c r="F805" s="204"/>
      <c r="G805" s="204"/>
      <c r="H805" s="204"/>
      <c r="I805" s="204"/>
    </row>
    <row r="806" spans="1:9" ht="14.4" x14ac:dyDescent="0.3">
      <c r="A806" s="60"/>
      <c r="B806" s="200" t="s">
        <v>569</v>
      </c>
      <c r="C806" s="198"/>
      <c r="D806" s="198"/>
      <c r="E806" s="198"/>
      <c r="F806" s="198"/>
      <c r="G806" s="198"/>
      <c r="H806" s="198"/>
      <c r="I806" s="198"/>
    </row>
    <row r="807" spans="1:9" ht="14.4" x14ac:dyDescent="0.3">
      <c r="A807" s="170"/>
      <c r="B807" s="205"/>
      <c r="C807" s="206"/>
      <c r="D807" s="206"/>
      <c r="E807" s="206"/>
      <c r="F807" s="206"/>
      <c r="G807" s="206"/>
      <c r="H807" s="206"/>
      <c r="I807" s="206"/>
    </row>
    <row r="808" spans="1:9" ht="14.4" x14ac:dyDescent="0.3">
      <c r="A808" s="60"/>
      <c r="B808" s="204" t="s">
        <v>0</v>
      </c>
      <c r="C808" s="198"/>
      <c r="D808" s="198"/>
      <c r="E808" s="198"/>
      <c r="F808" s="198"/>
      <c r="G808" s="198"/>
      <c r="H808" s="198"/>
      <c r="I808" s="198"/>
    </row>
    <row r="809" spans="1:9" ht="14.4" x14ac:dyDescent="0.3">
      <c r="B809" s="166" t="s">
        <v>8</v>
      </c>
      <c r="C809" s="200" t="s">
        <v>102</v>
      </c>
      <c r="D809" s="198"/>
      <c r="E809" s="198"/>
      <c r="F809" s="198"/>
      <c r="G809" s="198"/>
      <c r="H809" s="198"/>
      <c r="I809" s="198"/>
    </row>
    <row r="810" spans="1:9" ht="14.4" x14ac:dyDescent="0.3">
      <c r="B810" s="166" t="s">
        <v>8</v>
      </c>
      <c r="C810" s="200" t="s">
        <v>570</v>
      </c>
      <c r="D810" s="198"/>
      <c r="E810" s="198"/>
      <c r="F810" s="198"/>
      <c r="G810" s="198"/>
      <c r="H810" s="198"/>
      <c r="I810" s="198"/>
    </row>
    <row r="811" spans="1:9" ht="24.9" customHeight="1" x14ac:dyDescent="0.3">
      <c r="B811" s="166" t="s">
        <v>8</v>
      </c>
      <c r="C811" s="200" t="s">
        <v>571</v>
      </c>
      <c r="D811" s="198"/>
      <c r="E811" s="198"/>
      <c r="F811" s="198"/>
      <c r="G811" s="198"/>
      <c r="H811" s="198"/>
      <c r="I811" s="198"/>
    </row>
    <row r="812" spans="1:9" ht="16.5" customHeight="1" x14ac:dyDescent="0.3">
      <c r="B812" s="166" t="s">
        <v>8</v>
      </c>
      <c r="C812" s="200" t="s">
        <v>572</v>
      </c>
      <c r="D812" s="198"/>
      <c r="E812" s="198"/>
      <c r="F812" s="198"/>
      <c r="G812" s="198"/>
      <c r="H812" s="198"/>
      <c r="I812" s="198"/>
    </row>
    <row r="814" spans="1:9" ht="14.4" x14ac:dyDescent="0.3">
      <c r="A814" s="177" t="s">
        <v>573</v>
      </c>
      <c r="B814" s="203" t="s">
        <v>534</v>
      </c>
      <c r="C814" s="198"/>
      <c r="D814" s="198"/>
      <c r="E814" s="198"/>
      <c r="F814" s="198"/>
      <c r="G814" s="198"/>
      <c r="H814" s="198"/>
      <c r="I814" s="198"/>
    </row>
    <row r="815" spans="1:9" ht="14.4" x14ac:dyDescent="0.3">
      <c r="A815" s="3"/>
      <c r="B815" s="204" t="s">
        <v>6</v>
      </c>
      <c r="C815" s="198"/>
      <c r="D815" s="198"/>
      <c r="E815" s="198"/>
      <c r="F815" s="198"/>
      <c r="G815" s="198"/>
      <c r="H815" s="198"/>
      <c r="I815" s="198"/>
    </row>
    <row r="816" spans="1:9" ht="28.5" customHeight="1" x14ac:dyDescent="0.3">
      <c r="A816" s="60"/>
      <c r="B816" s="200" t="s">
        <v>574</v>
      </c>
      <c r="C816" s="198"/>
      <c r="D816" s="198"/>
      <c r="E816" s="198"/>
      <c r="F816" s="198"/>
      <c r="G816" s="198"/>
      <c r="H816" s="198"/>
      <c r="I816" s="198"/>
    </row>
    <row r="817" spans="1:9" ht="14.4" x14ac:dyDescent="0.3">
      <c r="A817" s="60"/>
      <c r="B817" s="200"/>
      <c r="C817" s="198"/>
      <c r="D817" s="198"/>
      <c r="E817" s="198"/>
      <c r="F817" s="198"/>
      <c r="G817" s="198"/>
      <c r="H817" s="198"/>
      <c r="I817" s="198"/>
    </row>
    <row r="818" spans="1:9" ht="14.4" x14ac:dyDescent="0.3">
      <c r="A818" s="60"/>
      <c r="B818" s="204" t="s">
        <v>0</v>
      </c>
      <c r="C818" s="198"/>
      <c r="D818" s="198"/>
      <c r="E818" s="198"/>
      <c r="F818" s="198"/>
      <c r="G818" s="198"/>
      <c r="H818" s="198"/>
      <c r="I818" s="198"/>
    </row>
    <row r="819" spans="1:9" ht="14.4" x14ac:dyDescent="0.3">
      <c r="B819" s="166" t="s">
        <v>8</v>
      </c>
      <c r="C819" s="200" t="s">
        <v>575</v>
      </c>
      <c r="D819" s="198"/>
      <c r="E819" s="198"/>
      <c r="F819" s="198"/>
      <c r="G819" s="198"/>
      <c r="H819" s="198"/>
      <c r="I819" s="198"/>
    </row>
    <row r="820" spans="1:9" ht="14.4" x14ac:dyDescent="0.3">
      <c r="B820" s="166" t="s">
        <v>8</v>
      </c>
      <c r="C820" s="200" t="s">
        <v>576</v>
      </c>
      <c r="D820" s="198"/>
      <c r="E820" s="198"/>
      <c r="F820" s="198"/>
      <c r="G820" s="198"/>
      <c r="H820" s="198"/>
      <c r="I820" s="198"/>
    </row>
    <row r="821" spans="1:9" ht="14.4" x14ac:dyDescent="0.3">
      <c r="B821" s="166" t="s">
        <v>8</v>
      </c>
      <c r="C821" s="200" t="s">
        <v>577</v>
      </c>
      <c r="D821" s="198"/>
      <c r="E821" s="198"/>
      <c r="F821" s="198"/>
      <c r="G821" s="198"/>
      <c r="H821" s="198"/>
      <c r="I821" s="198"/>
    </row>
    <row r="822" spans="1:9" ht="14.4" customHeight="1" x14ac:dyDescent="0.3">
      <c r="B822" s="166" t="s">
        <v>8</v>
      </c>
      <c r="C822" s="200" t="s">
        <v>578</v>
      </c>
      <c r="D822" s="198"/>
      <c r="E822" s="198"/>
      <c r="F822" s="198"/>
      <c r="G822" s="198"/>
      <c r="H822" s="198"/>
      <c r="I822" s="198"/>
    </row>
    <row r="823" spans="1:9" ht="14.4" customHeight="1" x14ac:dyDescent="0.3">
      <c r="D823" s="165"/>
      <c r="E823" s="165"/>
      <c r="F823" s="165"/>
      <c r="G823" s="165"/>
      <c r="H823" s="165"/>
      <c r="I823" s="165"/>
    </row>
    <row r="824" spans="1:9" x14ac:dyDescent="0.3">
      <c r="A824" s="177" t="s">
        <v>579</v>
      </c>
      <c r="B824" s="203" t="s">
        <v>539</v>
      </c>
      <c r="C824" s="203"/>
      <c r="D824" s="203"/>
      <c r="E824" s="203"/>
      <c r="F824" s="203"/>
      <c r="G824" s="203"/>
      <c r="H824" s="203"/>
      <c r="I824" s="203"/>
    </row>
    <row r="825" spans="1:9" x14ac:dyDescent="0.3">
      <c r="A825" s="3"/>
      <c r="B825" s="204" t="s">
        <v>6</v>
      </c>
      <c r="C825" s="204"/>
      <c r="D825" s="204"/>
      <c r="E825" s="204"/>
      <c r="F825" s="204"/>
      <c r="G825" s="204"/>
      <c r="H825" s="204"/>
      <c r="I825" s="204"/>
    </row>
    <row r="826" spans="1:9" x14ac:dyDescent="0.3">
      <c r="A826" s="60"/>
      <c r="B826" s="200" t="s">
        <v>540</v>
      </c>
      <c r="C826" s="200"/>
      <c r="D826" s="200"/>
      <c r="E826" s="200"/>
      <c r="F826" s="200"/>
      <c r="G826" s="200"/>
      <c r="H826" s="200"/>
      <c r="I826" s="200"/>
    </row>
    <row r="827" spans="1:9" x14ac:dyDescent="0.3">
      <c r="A827" s="170"/>
      <c r="B827" s="205"/>
      <c r="C827" s="205"/>
      <c r="D827" s="205"/>
      <c r="E827" s="205"/>
      <c r="F827" s="205"/>
      <c r="G827" s="205"/>
      <c r="H827" s="205"/>
      <c r="I827" s="205"/>
    </row>
    <row r="828" spans="1:9" x14ac:dyDescent="0.3">
      <c r="A828" s="60"/>
      <c r="B828" s="204" t="s">
        <v>0</v>
      </c>
      <c r="C828" s="204"/>
      <c r="D828" s="204"/>
      <c r="E828" s="204"/>
      <c r="F828" s="204"/>
      <c r="G828" s="204"/>
      <c r="H828" s="204"/>
      <c r="I828" s="204"/>
    </row>
    <row r="829" spans="1:9" x14ac:dyDescent="0.3">
      <c r="B829" s="166" t="s">
        <v>8</v>
      </c>
      <c r="C829" s="200" t="s">
        <v>541</v>
      </c>
      <c r="D829" s="200"/>
      <c r="E829" s="200"/>
      <c r="F829" s="200"/>
      <c r="G829" s="200"/>
      <c r="H829" s="200"/>
      <c r="I829" s="200"/>
    </row>
    <row r="830" spans="1:9" ht="14.1" customHeight="1" x14ac:dyDescent="0.3">
      <c r="B830" s="166" t="s">
        <v>8</v>
      </c>
      <c r="C830" s="200" t="s">
        <v>580</v>
      </c>
      <c r="D830" s="200"/>
      <c r="E830" s="200"/>
      <c r="F830" s="200"/>
      <c r="G830" s="200"/>
      <c r="H830" s="200"/>
      <c r="I830" s="200"/>
    </row>
    <row r="831" spans="1:9" ht="48.9" customHeight="1" x14ac:dyDescent="0.3">
      <c r="B831" s="166" t="s">
        <v>8</v>
      </c>
      <c r="C831" s="200" t="s">
        <v>581</v>
      </c>
      <c r="D831" s="200"/>
      <c r="E831" s="200"/>
      <c r="F831" s="200"/>
      <c r="G831" s="200"/>
      <c r="H831" s="200"/>
      <c r="I831" s="200"/>
    </row>
    <row r="833" spans="1:9" ht="14.4" x14ac:dyDescent="0.3">
      <c r="A833" s="177" t="s">
        <v>582</v>
      </c>
      <c r="B833" s="203" t="s">
        <v>583</v>
      </c>
      <c r="C833" s="198"/>
      <c r="D833" s="198"/>
      <c r="E833" s="198"/>
      <c r="F833" s="198"/>
      <c r="G833" s="198"/>
      <c r="H833" s="198"/>
      <c r="I833" s="198"/>
    </row>
    <row r="834" spans="1:9" ht="14.4" x14ac:dyDescent="0.3">
      <c r="A834" s="3"/>
      <c r="B834" s="204" t="s">
        <v>6</v>
      </c>
      <c r="C834" s="198"/>
      <c r="D834" s="198"/>
      <c r="E834" s="198"/>
      <c r="F834" s="198"/>
      <c r="G834" s="198"/>
      <c r="H834" s="198"/>
      <c r="I834" s="198"/>
    </row>
    <row r="835" spans="1:9" ht="41.4" customHeight="1" x14ac:dyDescent="0.3">
      <c r="A835" s="60"/>
      <c r="B835" s="200" t="s">
        <v>584</v>
      </c>
      <c r="C835" s="198"/>
      <c r="D835" s="198"/>
      <c r="E835" s="198"/>
      <c r="F835" s="198"/>
      <c r="G835" s="198"/>
      <c r="H835" s="198"/>
      <c r="I835" s="198"/>
    </row>
    <row r="836" spans="1:9" ht="14.4" x14ac:dyDescent="0.3">
      <c r="A836" s="170"/>
      <c r="B836" s="205"/>
      <c r="C836" s="206"/>
      <c r="D836" s="206"/>
      <c r="E836" s="206"/>
      <c r="F836" s="206"/>
      <c r="G836" s="206"/>
      <c r="H836" s="206"/>
      <c r="I836" s="206"/>
    </row>
    <row r="837" spans="1:9" ht="14.4" x14ac:dyDescent="0.3">
      <c r="A837" s="60"/>
      <c r="B837" s="204" t="s">
        <v>0</v>
      </c>
      <c r="C837" s="198"/>
      <c r="D837" s="198"/>
      <c r="E837" s="198"/>
      <c r="F837" s="198"/>
      <c r="G837" s="198"/>
      <c r="H837" s="198"/>
      <c r="I837" s="198"/>
    </row>
    <row r="838" spans="1:9" ht="14.4" x14ac:dyDescent="0.3">
      <c r="B838" s="166" t="s">
        <v>8</v>
      </c>
      <c r="C838" s="200" t="s">
        <v>187</v>
      </c>
      <c r="D838" s="198"/>
      <c r="E838" s="198"/>
      <c r="F838" s="198"/>
      <c r="G838" s="198"/>
      <c r="H838" s="198"/>
      <c r="I838" s="198"/>
    </row>
    <row r="839" spans="1:9" ht="14.4" x14ac:dyDescent="0.3">
      <c r="D839" s="165"/>
      <c r="E839" s="165"/>
      <c r="F839" s="165"/>
      <c r="G839" s="165"/>
      <c r="H839" s="165"/>
      <c r="I839" s="165"/>
    </row>
    <row r="840" spans="1:9" ht="14.4" customHeight="1" x14ac:dyDescent="0.3">
      <c r="A840" s="177" t="s">
        <v>585</v>
      </c>
      <c r="B840" s="203" t="s">
        <v>97</v>
      </c>
      <c r="C840" s="198"/>
      <c r="D840" s="198"/>
      <c r="E840" s="198"/>
      <c r="F840" s="198"/>
      <c r="G840" s="198"/>
      <c r="H840" s="198"/>
      <c r="I840" s="198"/>
    </row>
    <row r="841" spans="1:9" ht="14.4" x14ac:dyDescent="0.3">
      <c r="D841" s="165"/>
      <c r="E841" s="165"/>
      <c r="F841" s="165"/>
      <c r="G841" s="165"/>
      <c r="H841" s="165"/>
      <c r="I841" s="165"/>
    </row>
    <row r="842" spans="1:9" ht="14.4" x14ac:dyDescent="0.3">
      <c r="A842" s="177" t="s">
        <v>586</v>
      </c>
      <c r="B842" s="203" t="s">
        <v>587</v>
      </c>
      <c r="C842" s="198"/>
      <c r="D842" s="198"/>
      <c r="E842" s="198"/>
      <c r="F842" s="198"/>
      <c r="G842" s="198"/>
      <c r="H842" s="198"/>
      <c r="I842" s="198"/>
    </row>
    <row r="843" spans="1:9" ht="14.4" x14ac:dyDescent="0.3">
      <c r="A843" s="3"/>
      <c r="B843" s="204" t="s">
        <v>6</v>
      </c>
      <c r="C843" s="198"/>
      <c r="D843" s="198"/>
      <c r="E843" s="198"/>
      <c r="F843" s="198"/>
      <c r="G843" s="198"/>
      <c r="H843" s="198"/>
      <c r="I843" s="198"/>
    </row>
    <row r="844" spans="1:9" ht="27" customHeight="1" x14ac:dyDescent="0.3">
      <c r="A844" s="60"/>
      <c r="B844" s="200" t="s">
        <v>588</v>
      </c>
      <c r="C844" s="198"/>
      <c r="D844" s="198"/>
      <c r="E844" s="198"/>
      <c r="F844" s="198"/>
      <c r="G844" s="198"/>
      <c r="H844" s="198"/>
      <c r="I844" s="198"/>
    </row>
    <row r="845" spans="1:9" ht="14.4" x14ac:dyDescent="0.3">
      <c r="A845" s="170"/>
      <c r="B845" s="168"/>
      <c r="C845" s="169"/>
      <c r="D845" s="169"/>
      <c r="E845" s="169"/>
      <c r="F845" s="169"/>
      <c r="G845" s="169"/>
      <c r="H845" s="169"/>
      <c r="I845" s="169"/>
    </row>
    <row r="846" spans="1:9" ht="14.4" x14ac:dyDescent="0.3">
      <c r="A846" s="60"/>
      <c r="B846" s="204" t="s">
        <v>0</v>
      </c>
      <c r="C846" s="198"/>
      <c r="D846" s="198"/>
      <c r="E846" s="198"/>
      <c r="F846" s="198"/>
      <c r="G846" s="198"/>
      <c r="H846" s="198"/>
      <c r="I846" s="198"/>
    </row>
    <row r="847" spans="1:9" ht="14.4" x14ac:dyDescent="0.3">
      <c r="B847" s="166" t="s">
        <v>8</v>
      </c>
      <c r="C847" s="200" t="s">
        <v>410</v>
      </c>
      <c r="D847" s="198"/>
      <c r="E847" s="198"/>
      <c r="F847" s="198"/>
      <c r="G847" s="198"/>
      <c r="H847" s="198"/>
      <c r="I847" s="198"/>
    </row>
    <row r="848" spans="1:9" ht="14.4" x14ac:dyDescent="0.3">
      <c r="B848" s="166" t="s">
        <v>8</v>
      </c>
      <c r="C848" s="200" t="s">
        <v>589</v>
      </c>
      <c r="D848" s="198"/>
      <c r="E848" s="198"/>
      <c r="F848" s="198"/>
      <c r="G848" s="198"/>
      <c r="H848" s="198"/>
      <c r="I848" s="198"/>
    </row>
    <row r="849" spans="1:9" ht="27.9" customHeight="1" x14ac:dyDescent="0.3">
      <c r="B849" s="166" t="s">
        <v>8</v>
      </c>
      <c r="C849" s="200" t="s">
        <v>590</v>
      </c>
      <c r="D849" s="198"/>
      <c r="E849" s="198"/>
      <c r="F849" s="198"/>
      <c r="G849" s="198"/>
      <c r="H849" s="198"/>
      <c r="I849" s="198"/>
    </row>
    <row r="850" spans="1:9" ht="16.5" customHeight="1" x14ac:dyDescent="0.3">
      <c r="B850" s="166" t="s">
        <v>8</v>
      </c>
      <c r="C850" s="200" t="s">
        <v>591</v>
      </c>
      <c r="D850" s="198"/>
      <c r="E850" s="198"/>
      <c r="F850" s="198"/>
      <c r="G850" s="198"/>
      <c r="H850" s="198"/>
      <c r="I850" s="198"/>
    </row>
    <row r="852" spans="1:9" ht="14.4" x14ac:dyDescent="0.3">
      <c r="A852" s="177" t="s">
        <v>592</v>
      </c>
      <c r="B852" s="203" t="s">
        <v>534</v>
      </c>
      <c r="C852" s="198"/>
      <c r="D852" s="198"/>
      <c r="E852" s="198"/>
      <c r="F852" s="198"/>
      <c r="G852" s="198"/>
      <c r="H852" s="198"/>
      <c r="I852" s="198"/>
    </row>
    <row r="853" spans="1:9" ht="14.4" x14ac:dyDescent="0.3">
      <c r="A853" s="3"/>
      <c r="B853" s="204" t="s">
        <v>6</v>
      </c>
      <c r="C853" s="198"/>
      <c r="D853" s="198"/>
      <c r="E853" s="198"/>
      <c r="F853" s="198"/>
      <c r="G853" s="198"/>
      <c r="H853" s="198"/>
      <c r="I853" s="198"/>
    </row>
    <row r="854" spans="1:9" ht="30" customHeight="1" x14ac:dyDescent="0.3">
      <c r="A854" s="60"/>
      <c r="B854" s="200" t="s">
        <v>593</v>
      </c>
      <c r="C854" s="198"/>
      <c r="D854" s="198"/>
      <c r="E854" s="198"/>
      <c r="F854" s="198"/>
      <c r="G854" s="198"/>
      <c r="H854" s="198"/>
      <c r="I854" s="198"/>
    </row>
    <row r="855" spans="1:9" ht="14.4" x14ac:dyDescent="0.3">
      <c r="A855" s="170"/>
      <c r="B855" s="205"/>
      <c r="C855" s="206"/>
      <c r="D855" s="206"/>
      <c r="E855" s="206"/>
      <c r="F855" s="206"/>
      <c r="G855" s="206"/>
      <c r="H855" s="206"/>
      <c r="I855" s="206"/>
    </row>
    <row r="856" spans="1:9" ht="14.4" x14ac:dyDescent="0.3">
      <c r="A856" s="60"/>
      <c r="B856" s="204" t="s">
        <v>0</v>
      </c>
      <c r="C856" s="198"/>
      <c r="D856" s="198"/>
      <c r="E856" s="198"/>
      <c r="F856" s="198"/>
      <c r="G856" s="198"/>
      <c r="H856" s="198"/>
      <c r="I856" s="198"/>
    </row>
    <row r="857" spans="1:9" ht="14.4" x14ac:dyDescent="0.3">
      <c r="B857" s="166" t="s">
        <v>8</v>
      </c>
      <c r="C857" s="200" t="s">
        <v>536</v>
      </c>
      <c r="D857" s="198"/>
      <c r="E857" s="198"/>
      <c r="F857" s="198"/>
      <c r="G857" s="198"/>
      <c r="H857" s="198"/>
      <c r="I857" s="198"/>
    </row>
    <row r="858" spans="1:9" ht="14.4" customHeight="1" x14ac:dyDescent="0.3">
      <c r="B858" s="166" t="s">
        <v>8</v>
      </c>
      <c r="C858" s="200" t="s">
        <v>576</v>
      </c>
      <c r="D858" s="198"/>
      <c r="E858" s="198"/>
      <c r="F858" s="198"/>
      <c r="G858" s="198"/>
      <c r="H858" s="198"/>
      <c r="I858" s="198"/>
    </row>
    <row r="859" spans="1:9" ht="14.4" x14ac:dyDescent="0.3">
      <c r="B859" s="166" t="s">
        <v>8</v>
      </c>
      <c r="C859" s="200" t="s">
        <v>578</v>
      </c>
      <c r="D859" s="198"/>
      <c r="E859" s="198"/>
      <c r="F859" s="198"/>
      <c r="G859" s="198"/>
      <c r="H859" s="198"/>
      <c r="I859" s="198"/>
    </row>
    <row r="860" spans="1:9" x14ac:dyDescent="0.3">
      <c r="A860" s="170"/>
      <c r="B860" s="168"/>
      <c r="C860" s="168"/>
      <c r="D860" s="168"/>
      <c r="E860" s="168"/>
      <c r="F860" s="168"/>
      <c r="G860" s="168"/>
      <c r="H860" s="168"/>
      <c r="I860" s="168"/>
    </row>
    <row r="861" spans="1:9" ht="14.4" x14ac:dyDescent="0.3">
      <c r="A861" s="177" t="s">
        <v>594</v>
      </c>
      <c r="B861" s="203" t="s">
        <v>539</v>
      </c>
      <c r="C861" s="198"/>
      <c r="D861" s="198"/>
      <c r="E861" s="198"/>
      <c r="F861" s="198"/>
      <c r="G861" s="198"/>
      <c r="H861" s="198"/>
      <c r="I861" s="198"/>
    </row>
    <row r="862" spans="1:9" ht="14.4" x14ac:dyDescent="0.3">
      <c r="A862" s="3"/>
      <c r="B862" s="204" t="s">
        <v>6</v>
      </c>
      <c r="C862" s="198"/>
      <c r="D862" s="198"/>
      <c r="E862" s="198"/>
      <c r="F862" s="198"/>
      <c r="G862" s="198"/>
      <c r="H862" s="198"/>
      <c r="I862" s="198"/>
    </row>
    <row r="863" spans="1:9" ht="14.4" x14ac:dyDescent="0.3">
      <c r="A863" s="60"/>
      <c r="B863" s="200" t="s">
        <v>595</v>
      </c>
      <c r="C863" s="198"/>
      <c r="D863" s="198"/>
      <c r="E863" s="198"/>
      <c r="F863" s="198"/>
      <c r="G863" s="198"/>
      <c r="H863" s="198"/>
      <c r="I863" s="198"/>
    </row>
    <row r="864" spans="1:9" ht="14.4" x14ac:dyDescent="0.3">
      <c r="A864" s="60"/>
      <c r="B864" s="178"/>
      <c r="C864" s="179"/>
      <c r="D864" s="179"/>
      <c r="E864" s="179"/>
      <c r="F864" s="179"/>
      <c r="G864" s="179"/>
      <c r="H864" s="179"/>
      <c r="I864" s="179"/>
    </row>
    <row r="865" spans="1:9" ht="14.4" x14ac:dyDescent="0.3">
      <c r="A865" s="60"/>
      <c r="B865" s="204" t="s">
        <v>0</v>
      </c>
      <c r="C865" s="198"/>
      <c r="D865" s="198"/>
      <c r="E865" s="198"/>
      <c r="F865" s="198"/>
      <c r="G865" s="198"/>
      <c r="H865" s="198"/>
      <c r="I865" s="198"/>
    </row>
    <row r="866" spans="1:9" ht="14.4" x14ac:dyDescent="0.3">
      <c r="B866" s="166" t="s">
        <v>8</v>
      </c>
      <c r="C866" s="200" t="s">
        <v>102</v>
      </c>
      <c r="D866" s="198"/>
      <c r="E866" s="198"/>
      <c r="F866" s="198"/>
      <c r="G866" s="198"/>
      <c r="H866" s="198"/>
      <c r="I866" s="198"/>
    </row>
    <row r="867" spans="1:9" ht="14.4" x14ac:dyDescent="0.3">
      <c r="B867" s="166" t="s">
        <v>8</v>
      </c>
      <c r="C867" s="200" t="s">
        <v>596</v>
      </c>
      <c r="D867" s="198"/>
      <c r="E867" s="198"/>
      <c r="F867" s="198"/>
      <c r="G867" s="198"/>
      <c r="H867" s="198"/>
      <c r="I867" s="198"/>
    </row>
    <row r="868" spans="1:9" ht="53.4" customHeight="1" x14ac:dyDescent="0.3">
      <c r="B868" s="166" t="s">
        <v>8</v>
      </c>
      <c r="C868" s="200" t="s">
        <v>597</v>
      </c>
      <c r="D868" s="198"/>
      <c r="E868" s="198"/>
      <c r="F868" s="198"/>
      <c r="G868" s="198"/>
      <c r="H868" s="198"/>
      <c r="I868" s="198"/>
    </row>
    <row r="869" spans="1:9" ht="14.4" x14ac:dyDescent="0.3">
      <c r="D869" s="165"/>
      <c r="E869" s="165"/>
      <c r="F869" s="165"/>
      <c r="H869" s="165"/>
      <c r="I869" s="165"/>
    </row>
    <row r="870" spans="1:9" x14ac:dyDescent="0.3">
      <c r="A870" s="177" t="s">
        <v>598</v>
      </c>
      <c r="B870" s="203" t="s">
        <v>599</v>
      </c>
      <c r="C870" s="203"/>
      <c r="D870" s="203"/>
      <c r="E870" s="203"/>
      <c r="F870" s="203"/>
      <c r="G870" s="203"/>
      <c r="H870" s="203"/>
      <c r="I870" s="203"/>
    </row>
    <row r="871" spans="1:9" x14ac:dyDescent="0.3">
      <c r="A871" s="3"/>
      <c r="B871" s="204" t="s">
        <v>6</v>
      </c>
      <c r="C871" s="204"/>
      <c r="D871" s="204"/>
      <c r="E871" s="204"/>
      <c r="F871" s="204"/>
      <c r="G871" s="204"/>
      <c r="H871" s="204"/>
      <c r="I871" s="204"/>
    </row>
    <row r="872" spans="1:9" ht="55.5" customHeight="1" x14ac:dyDescent="0.3">
      <c r="A872" s="60"/>
      <c r="B872" s="200" t="s">
        <v>600</v>
      </c>
      <c r="C872" s="200"/>
      <c r="D872" s="200"/>
      <c r="E872" s="200"/>
      <c r="F872" s="200"/>
      <c r="G872" s="200"/>
      <c r="H872" s="200"/>
      <c r="I872" s="200"/>
    </row>
    <row r="873" spans="1:9" x14ac:dyDescent="0.3">
      <c r="A873" s="170"/>
      <c r="B873" s="205"/>
      <c r="C873" s="205"/>
      <c r="D873" s="205"/>
      <c r="E873" s="205"/>
      <c r="F873" s="205"/>
      <c r="G873" s="205"/>
      <c r="H873" s="205"/>
      <c r="I873" s="205"/>
    </row>
    <row r="874" spans="1:9" x14ac:dyDescent="0.3">
      <c r="A874" s="60"/>
      <c r="B874" s="204" t="s">
        <v>0</v>
      </c>
      <c r="C874" s="204"/>
      <c r="D874" s="204"/>
      <c r="E874" s="204"/>
      <c r="F874" s="204"/>
      <c r="G874" s="204"/>
      <c r="H874" s="204"/>
      <c r="I874" s="204"/>
    </row>
    <row r="875" spans="1:9" x14ac:dyDescent="0.3">
      <c r="B875" s="166" t="s">
        <v>8</v>
      </c>
      <c r="C875" s="200" t="s">
        <v>601</v>
      </c>
      <c r="D875" s="200"/>
      <c r="E875" s="200"/>
      <c r="F875" s="200"/>
      <c r="G875" s="200"/>
      <c r="H875" s="200"/>
      <c r="I875" s="200"/>
    </row>
    <row r="877" spans="1:9" ht="14.4" x14ac:dyDescent="0.3">
      <c r="A877" s="177" t="s">
        <v>602</v>
      </c>
      <c r="B877" s="203" t="s">
        <v>603</v>
      </c>
      <c r="C877" s="198"/>
      <c r="D877" s="198"/>
      <c r="E877" s="198"/>
      <c r="F877" s="198"/>
      <c r="G877" s="198"/>
      <c r="H877" s="198"/>
      <c r="I877" s="198"/>
    </row>
    <row r="878" spans="1:9" ht="14.4" x14ac:dyDescent="0.3">
      <c r="A878" s="3"/>
      <c r="B878" s="204" t="s">
        <v>6</v>
      </c>
      <c r="C878" s="198"/>
      <c r="D878" s="198"/>
      <c r="E878" s="198"/>
      <c r="F878" s="198"/>
      <c r="G878" s="198"/>
      <c r="H878" s="198"/>
      <c r="I878" s="198"/>
    </row>
    <row r="879" spans="1:9" ht="29.4" customHeight="1" x14ac:dyDescent="0.3">
      <c r="A879" s="60"/>
      <c r="B879" s="200" t="s">
        <v>604</v>
      </c>
      <c r="C879" s="198"/>
      <c r="D879" s="198"/>
      <c r="E879" s="198"/>
      <c r="F879" s="198"/>
      <c r="G879" s="198"/>
      <c r="H879" s="198"/>
      <c r="I879" s="198"/>
    </row>
    <row r="880" spans="1:9" ht="14.4" x14ac:dyDescent="0.3">
      <c r="A880" s="170"/>
      <c r="B880" s="205"/>
      <c r="C880" s="206"/>
      <c r="D880" s="206"/>
      <c r="E880" s="206"/>
      <c r="F880" s="206"/>
      <c r="G880" s="206"/>
      <c r="H880" s="206"/>
      <c r="I880" s="206"/>
    </row>
    <row r="881" spans="1:9" ht="14.4" x14ac:dyDescent="0.3">
      <c r="A881" s="60"/>
      <c r="B881" s="204" t="s">
        <v>0</v>
      </c>
      <c r="C881" s="198"/>
      <c r="D881" s="198"/>
      <c r="E881" s="198"/>
      <c r="F881" s="198"/>
      <c r="G881" s="198"/>
      <c r="H881" s="198"/>
      <c r="I881" s="198"/>
    </row>
    <row r="882" spans="1:9" ht="14.4" x14ac:dyDescent="0.3">
      <c r="B882" s="166" t="s">
        <v>8</v>
      </c>
      <c r="C882" s="200" t="s">
        <v>605</v>
      </c>
      <c r="D882" s="198"/>
      <c r="E882" s="198"/>
      <c r="F882" s="198"/>
      <c r="G882" s="198"/>
      <c r="H882" s="198"/>
      <c r="I882" s="198"/>
    </row>
    <row r="883" spans="1:9" ht="14.4" x14ac:dyDescent="0.3">
      <c r="D883" s="165"/>
      <c r="E883" s="165"/>
      <c r="F883" s="165"/>
      <c r="G883" s="165"/>
      <c r="H883" s="165"/>
      <c r="I883" s="165"/>
    </row>
    <row r="884" spans="1:9" ht="16.2" x14ac:dyDescent="0.35">
      <c r="A884" s="142" t="s">
        <v>606</v>
      </c>
      <c r="B884" s="195" t="s">
        <v>607</v>
      </c>
      <c r="C884" s="196"/>
      <c r="D884" s="196"/>
      <c r="E884" s="196"/>
      <c r="F884" s="196"/>
      <c r="G884" s="196"/>
      <c r="H884" s="196"/>
      <c r="I884" s="196"/>
    </row>
    <row r="885" spans="1:9" ht="14.4" x14ac:dyDescent="0.3">
      <c r="D885" s="165"/>
      <c r="E885" s="165"/>
      <c r="F885" s="165"/>
      <c r="G885" s="165"/>
      <c r="H885" s="165"/>
      <c r="I885" s="165"/>
    </row>
    <row r="886" spans="1:9" ht="14.4" x14ac:dyDescent="0.3">
      <c r="A886" s="177" t="s">
        <v>608</v>
      </c>
      <c r="B886" s="203" t="s">
        <v>609</v>
      </c>
      <c r="C886" s="198"/>
      <c r="D886" s="198"/>
      <c r="E886" s="198"/>
      <c r="F886" s="198"/>
      <c r="G886" s="198"/>
      <c r="H886" s="198"/>
      <c r="I886" s="198"/>
    </row>
    <row r="887" spans="1:9" ht="14.4" x14ac:dyDescent="0.3">
      <c r="A887" s="3"/>
      <c r="B887" s="204" t="s">
        <v>6</v>
      </c>
      <c r="C887" s="198"/>
      <c r="D887" s="198"/>
      <c r="E887" s="198"/>
      <c r="F887" s="198"/>
      <c r="G887" s="198"/>
      <c r="H887" s="198"/>
      <c r="I887" s="198"/>
    </row>
    <row r="888" spans="1:9" ht="14.4" x14ac:dyDescent="0.3">
      <c r="A888" s="60"/>
      <c r="B888" s="200" t="s">
        <v>610</v>
      </c>
      <c r="C888" s="198"/>
      <c r="D888" s="198"/>
      <c r="E888" s="198"/>
      <c r="F888" s="198"/>
      <c r="G888" s="198"/>
      <c r="H888" s="198"/>
      <c r="I888" s="198"/>
    </row>
    <row r="889" spans="1:9" ht="14.4" x14ac:dyDescent="0.3">
      <c r="A889" s="60"/>
      <c r="B889" s="200"/>
      <c r="C889" s="198"/>
      <c r="D889" s="198"/>
      <c r="E889" s="198"/>
      <c r="F889" s="198"/>
      <c r="G889" s="198"/>
      <c r="H889" s="198"/>
      <c r="I889" s="198"/>
    </row>
    <row r="890" spans="1:9" ht="14.4" x14ac:dyDescent="0.3">
      <c r="A890" s="60"/>
      <c r="B890" s="204" t="s">
        <v>0</v>
      </c>
      <c r="C890" s="198"/>
      <c r="D890" s="198"/>
      <c r="E890" s="198"/>
      <c r="F890" s="198"/>
      <c r="G890" s="198"/>
      <c r="H890" s="198"/>
      <c r="I890" s="198"/>
    </row>
    <row r="891" spans="1:9" ht="14.4" x14ac:dyDescent="0.3">
      <c r="B891" s="166" t="s">
        <v>8</v>
      </c>
      <c r="C891" s="200" t="s">
        <v>611</v>
      </c>
      <c r="D891" s="198"/>
      <c r="E891" s="198"/>
      <c r="F891" s="198"/>
      <c r="G891" s="198"/>
      <c r="H891" s="198"/>
      <c r="I891" s="198"/>
    </row>
    <row r="892" spans="1:9" ht="28.5" customHeight="1" x14ac:dyDescent="0.3">
      <c r="B892" s="166" t="s">
        <v>8</v>
      </c>
      <c r="C892" s="200" t="s">
        <v>612</v>
      </c>
      <c r="D892" s="200"/>
      <c r="E892" s="200"/>
      <c r="F892" s="200"/>
      <c r="G892" s="200"/>
      <c r="H892" s="200"/>
      <c r="I892" s="200"/>
    </row>
    <row r="893" spans="1:9" ht="14.4" x14ac:dyDescent="0.3">
      <c r="D893" s="165"/>
      <c r="E893" s="165"/>
      <c r="F893" s="165"/>
      <c r="G893" s="165"/>
      <c r="H893" s="165"/>
      <c r="I893" s="165"/>
    </row>
    <row r="894" spans="1:9" ht="14.4" x14ac:dyDescent="0.3">
      <c r="A894" s="177" t="s">
        <v>613</v>
      </c>
      <c r="B894" s="203" t="s">
        <v>614</v>
      </c>
      <c r="C894" s="198"/>
      <c r="D894" s="198"/>
      <c r="E894" s="198"/>
      <c r="F894" s="198"/>
      <c r="G894" s="198"/>
      <c r="H894" s="198"/>
      <c r="I894" s="198"/>
    </row>
    <row r="895" spans="1:9" ht="14.4" x14ac:dyDescent="0.3">
      <c r="A895" s="3"/>
      <c r="B895" s="204" t="s">
        <v>6</v>
      </c>
      <c r="C895" s="198"/>
      <c r="D895" s="198"/>
      <c r="E895" s="198"/>
      <c r="F895" s="198"/>
      <c r="G895" s="198"/>
      <c r="H895" s="198"/>
      <c r="I895" s="198"/>
    </row>
    <row r="896" spans="1:9" ht="27.6" customHeight="1" x14ac:dyDescent="0.3">
      <c r="A896" s="60"/>
      <c r="B896" s="200" t="s">
        <v>615</v>
      </c>
      <c r="C896" s="198"/>
      <c r="D896" s="198"/>
      <c r="E896" s="198"/>
      <c r="F896" s="198"/>
      <c r="G896" s="198"/>
      <c r="H896" s="198"/>
      <c r="I896" s="198"/>
    </row>
    <row r="897" spans="1:9" ht="14.4" x14ac:dyDescent="0.3">
      <c r="A897" s="170"/>
      <c r="B897" s="205"/>
      <c r="C897" s="206"/>
      <c r="D897" s="206"/>
      <c r="E897" s="206"/>
      <c r="F897" s="206"/>
      <c r="G897" s="206"/>
      <c r="H897" s="206"/>
      <c r="I897" s="206"/>
    </row>
    <row r="898" spans="1:9" ht="14.4" x14ac:dyDescent="0.3">
      <c r="A898" s="60"/>
      <c r="B898" s="204" t="s">
        <v>0</v>
      </c>
      <c r="C898" s="198"/>
      <c r="D898" s="198"/>
      <c r="E898" s="198"/>
      <c r="F898" s="198"/>
      <c r="G898" s="198"/>
      <c r="H898" s="198"/>
      <c r="I898" s="198"/>
    </row>
    <row r="899" spans="1:9" ht="14.4" x14ac:dyDescent="0.3">
      <c r="B899" s="166" t="s">
        <v>8</v>
      </c>
      <c r="C899" s="200" t="s">
        <v>149</v>
      </c>
      <c r="D899" s="198"/>
      <c r="E899" s="198"/>
      <c r="F899" s="198"/>
      <c r="G899" s="198"/>
      <c r="H899" s="198"/>
      <c r="I899" s="198"/>
    </row>
    <row r="900" spans="1:9" x14ac:dyDescent="0.3">
      <c r="A900" s="170"/>
      <c r="B900" s="168"/>
      <c r="C900" s="168"/>
      <c r="D900" s="168"/>
      <c r="E900" s="168"/>
      <c r="F900" s="168"/>
      <c r="G900" s="168"/>
      <c r="H900" s="168"/>
      <c r="I900" s="168"/>
    </row>
    <row r="901" spans="1:9" ht="14.4" x14ac:dyDescent="0.3">
      <c r="A901" s="177" t="s">
        <v>616</v>
      </c>
      <c r="B901" s="203" t="s">
        <v>617</v>
      </c>
      <c r="C901" s="198"/>
      <c r="D901" s="198"/>
      <c r="E901" s="198"/>
      <c r="F901" s="198"/>
      <c r="G901" s="198"/>
      <c r="H901" s="198"/>
      <c r="I901" s="198"/>
    </row>
    <row r="902" spans="1:9" ht="14.4" x14ac:dyDescent="0.3">
      <c r="A902" s="3"/>
      <c r="B902" s="204" t="s">
        <v>6</v>
      </c>
      <c r="C902" s="198"/>
      <c r="D902" s="198"/>
      <c r="E902" s="198"/>
      <c r="F902" s="198"/>
      <c r="G902" s="198"/>
      <c r="H902" s="198"/>
      <c r="I902" s="198"/>
    </row>
    <row r="903" spans="1:9" ht="30.6" customHeight="1" x14ac:dyDescent="0.3">
      <c r="A903" s="60"/>
      <c r="B903" s="200" t="s">
        <v>618</v>
      </c>
      <c r="C903" s="198"/>
      <c r="D903" s="198"/>
      <c r="E903" s="198"/>
      <c r="F903" s="198"/>
      <c r="G903" s="198"/>
      <c r="H903" s="198"/>
      <c r="I903" s="198"/>
    </row>
    <row r="904" spans="1:9" ht="14.4" x14ac:dyDescent="0.3">
      <c r="A904" s="60"/>
      <c r="B904" s="178"/>
      <c r="C904" s="179"/>
      <c r="D904" s="179"/>
      <c r="E904" s="179"/>
      <c r="F904" s="179"/>
      <c r="G904" s="179"/>
      <c r="H904" s="179"/>
      <c r="I904" s="179"/>
    </row>
    <row r="905" spans="1:9" ht="14.4" x14ac:dyDescent="0.3">
      <c r="A905" s="60"/>
      <c r="B905" s="204" t="s">
        <v>0</v>
      </c>
      <c r="C905" s="198"/>
      <c r="D905" s="198"/>
      <c r="E905" s="198"/>
      <c r="F905" s="198"/>
      <c r="G905" s="198"/>
      <c r="H905" s="198"/>
      <c r="I905" s="198"/>
    </row>
    <row r="906" spans="1:9" ht="13.5" customHeight="1" x14ac:dyDescent="0.3">
      <c r="B906" s="166" t="s">
        <v>8</v>
      </c>
      <c r="C906" s="200" t="s">
        <v>149</v>
      </c>
      <c r="D906" s="198"/>
      <c r="E906" s="198"/>
      <c r="F906" s="198"/>
      <c r="G906" s="198"/>
      <c r="H906" s="198"/>
      <c r="I906" s="198"/>
    </row>
    <row r="907" spans="1:9" ht="15.9" customHeight="1" x14ac:dyDescent="0.3">
      <c r="B907" s="166" t="s">
        <v>8</v>
      </c>
      <c r="C907" s="200" t="s">
        <v>619</v>
      </c>
      <c r="D907" s="198"/>
      <c r="E907" s="198"/>
      <c r="F907" s="198"/>
      <c r="G907" s="198"/>
      <c r="H907" s="198"/>
      <c r="I907" s="198"/>
    </row>
    <row r="908" spans="1:9" ht="14.4" x14ac:dyDescent="0.3">
      <c r="D908" s="165"/>
      <c r="E908" s="165"/>
      <c r="F908" s="165"/>
      <c r="H908" s="165"/>
      <c r="I908" s="165"/>
    </row>
    <row r="909" spans="1:9" x14ac:dyDescent="0.3">
      <c r="A909" s="177" t="s">
        <v>620</v>
      </c>
      <c r="B909" s="203" t="s">
        <v>621</v>
      </c>
      <c r="C909" s="203"/>
      <c r="D909" s="203"/>
      <c r="E909" s="203"/>
      <c r="F909" s="203"/>
      <c r="G909" s="203"/>
      <c r="H909" s="203"/>
      <c r="I909" s="203"/>
    </row>
    <row r="910" spans="1:9" x14ac:dyDescent="0.3">
      <c r="A910" s="3"/>
      <c r="B910" s="204" t="s">
        <v>6</v>
      </c>
      <c r="C910" s="204"/>
      <c r="D910" s="204"/>
      <c r="E910" s="204"/>
      <c r="F910" s="204"/>
      <c r="G910" s="204"/>
      <c r="H910" s="204"/>
      <c r="I910" s="204"/>
    </row>
    <row r="911" spans="1:9" x14ac:dyDescent="0.3">
      <c r="A911" s="60"/>
      <c r="B911" s="200" t="s">
        <v>622</v>
      </c>
      <c r="C911" s="200"/>
      <c r="D911" s="200"/>
      <c r="E911" s="200"/>
      <c r="F911" s="200"/>
      <c r="G911" s="200"/>
      <c r="H911" s="200"/>
      <c r="I911" s="200"/>
    </row>
    <row r="912" spans="1:9" x14ac:dyDescent="0.3">
      <c r="A912" s="170"/>
      <c r="B912" s="205"/>
      <c r="C912" s="205"/>
      <c r="D912" s="205"/>
      <c r="E912" s="205"/>
      <c r="F912" s="205"/>
      <c r="G912" s="205"/>
      <c r="H912" s="205"/>
      <c r="I912" s="205"/>
    </row>
    <row r="913" spans="1:9" x14ac:dyDescent="0.3">
      <c r="A913" s="60"/>
      <c r="B913" s="204" t="s">
        <v>0</v>
      </c>
      <c r="C913" s="204"/>
      <c r="D913" s="204"/>
      <c r="E913" s="204"/>
      <c r="F913" s="204"/>
      <c r="G913" s="204"/>
      <c r="H913" s="204"/>
      <c r="I913" s="204"/>
    </row>
    <row r="914" spans="1:9" x14ac:dyDescent="0.3">
      <c r="B914" s="166" t="s">
        <v>8</v>
      </c>
      <c r="C914" s="200" t="s">
        <v>149</v>
      </c>
      <c r="D914" s="200"/>
      <c r="E914" s="200"/>
      <c r="F914" s="200"/>
      <c r="G914" s="200"/>
      <c r="H914" s="200"/>
      <c r="I914" s="200"/>
    </row>
    <row r="916" spans="1:9" ht="16.2" x14ac:dyDescent="0.35">
      <c r="A916" s="142" t="s">
        <v>623</v>
      </c>
      <c r="B916" s="195" t="s">
        <v>624</v>
      </c>
      <c r="C916" s="196"/>
      <c r="D916" s="196"/>
      <c r="E916" s="196"/>
      <c r="F916" s="196"/>
      <c r="G916" s="196"/>
      <c r="H916" s="196"/>
      <c r="I916" s="196"/>
    </row>
    <row r="917" spans="1:9" ht="14.4" x14ac:dyDescent="0.3">
      <c r="A917" s="170"/>
      <c r="B917" s="205"/>
      <c r="C917" s="206"/>
      <c r="D917" s="206"/>
      <c r="E917" s="206"/>
      <c r="F917" s="206"/>
      <c r="G917" s="206"/>
      <c r="H917" s="206"/>
      <c r="I917" s="206"/>
    </row>
    <row r="918" spans="1:9" ht="14.4" x14ac:dyDescent="0.3">
      <c r="A918" s="177" t="s">
        <v>625</v>
      </c>
      <c r="B918" s="203" t="s">
        <v>626</v>
      </c>
      <c r="C918" s="198"/>
      <c r="D918" s="198"/>
      <c r="E918" s="198"/>
      <c r="F918" s="198"/>
      <c r="G918" s="198"/>
      <c r="H918" s="198"/>
      <c r="I918" s="198"/>
    </row>
    <row r="919" spans="1:9" ht="14.4" x14ac:dyDescent="0.3">
      <c r="A919" s="3"/>
      <c r="B919" s="204" t="s">
        <v>6</v>
      </c>
      <c r="C919" s="198"/>
      <c r="D919" s="198"/>
      <c r="E919" s="198"/>
      <c r="F919" s="198"/>
      <c r="G919" s="198"/>
      <c r="H919" s="198"/>
      <c r="I919" s="198"/>
    </row>
    <row r="920" spans="1:9" ht="69" customHeight="1" x14ac:dyDescent="0.3">
      <c r="A920" s="60"/>
      <c r="B920" s="200" t="s">
        <v>627</v>
      </c>
      <c r="C920" s="198"/>
      <c r="D920" s="198"/>
      <c r="E920" s="198"/>
      <c r="F920" s="198"/>
      <c r="G920" s="198"/>
      <c r="H920" s="198"/>
      <c r="I920" s="198"/>
    </row>
    <row r="921" spans="1:9" ht="12.6" customHeight="1" x14ac:dyDescent="0.3">
      <c r="A921" s="60"/>
      <c r="C921" s="165"/>
      <c r="D921" s="165"/>
      <c r="E921" s="165"/>
      <c r="F921" s="165"/>
      <c r="G921" s="165"/>
      <c r="H921" s="165"/>
      <c r="I921" s="165"/>
    </row>
    <row r="922" spans="1:9" ht="30" customHeight="1" x14ac:dyDescent="0.3">
      <c r="A922" s="60"/>
      <c r="B922" s="166" t="s">
        <v>21</v>
      </c>
      <c r="C922" s="207" t="s">
        <v>628</v>
      </c>
      <c r="D922" s="207"/>
      <c r="E922" s="207"/>
      <c r="F922" s="207"/>
      <c r="G922" s="207"/>
      <c r="H922" s="207"/>
      <c r="I922" s="207"/>
    </row>
    <row r="923" spans="1:9" ht="27.9" customHeight="1" x14ac:dyDescent="0.3">
      <c r="A923" s="60"/>
      <c r="B923" s="166" t="s">
        <v>23</v>
      </c>
      <c r="C923" s="207" t="s">
        <v>629</v>
      </c>
      <c r="D923" s="207"/>
      <c r="E923" s="207"/>
      <c r="F923" s="207"/>
      <c r="G923" s="207"/>
      <c r="H923" s="207"/>
      <c r="I923" s="207"/>
    </row>
    <row r="924" spans="1:9" ht="14.4" x14ac:dyDescent="0.3">
      <c r="A924" s="170"/>
      <c r="B924" s="205"/>
      <c r="C924" s="206"/>
      <c r="D924" s="206"/>
      <c r="E924" s="206"/>
      <c r="F924" s="206"/>
      <c r="G924" s="206"/>
      <c r="H924" s="206"/>
      <c r="I924" s="206"/>
    </row>
    <row r="925" spans="1:9" ht="14.4" x14ac:dyDescent="0.3">
      <c r="A925" s="60"/>
      <c r="B925" s="204" t="s">
        <v>0</v>
      </c>
      <c r="C925" s="198"/>
      <c r="D925" s="198"/>
      <c r="E925" s="198"/>
      <c r="F925" s="198"/>
      <c r="G925" s="198"/>
      <c r="H925" s="198"/>
      <c r="I925" s="198"/>
    </row>
    <row r="926" spans="1:9" ht="14.4" x14ac:dyDescent="0.3">
      <c r="B926" s="166" t="s">
        <v>8</v>
      </c>
      <c r="C926" s="200" t="s">
        <v>70</v>
      </c>
      <c r="D926" s="198"/>
      <c r="E926" s="198"/>
      <c r="F926" s="198"/>
      <c r="G926" s="198"/>
      <c r="H926" s="198"/>
      <c r="I926" s="198"/>
    </row>
    <row r="927" spans="1:9" ht="14.4" x14ac:dyDescent="0.3">
      <c r="B927" s="166" t="s">
        <v>8</v>
      </c>
      <c r="C927" s="200" t="s">
        <v>630</v>
      </c>
      <c r="D927" s="198"/>
      <c r="E927" s="198"/>
      <c r="F927" s="198"/>
      <c r="G927" s="198"/>
      <c r="H927" s="198"/>
      <c r="I927" s="198"/>
    </row>
    <row r="928" spans="1:9" ht="54" customHeight="1" x14ac:dyDescent="0.3">
      <c r="B928" s="166" t="s">
        <v>8</v>
      </c>
      <c r="C928" s="200" t="s">
        <v>631</v>
      </c>
      <c r="D928" s="198"/>
      <c r="E928" s="198"/>
      <c r="F928" s="198"/>
      <c r="G928" s="198"/>
      <c r="H928" s="198"/>
      <c r="I928" s="198"/>
    </row>
    <row r="929" spans="1:9" ht="39.6" customHeight="1" x14ac:dyDescent="0.3">
      <c r="B929" s="166" t="s">
        <v>8</v>
      </c>
      <c r="C929" s="200" t="s">
        <v>632</v>
      </c>
      <c r="D929" s="198"/>
      <c r="E929" s="198"/>
      <c r="F929" s="198"/>
      <c r="G929" s="198"/>
      <c r="H929" s="198"/>
      <c r="I929" s="198"/>
    </row>
    <row r="930" spans="1:9" ht="14.4" x14ac:dyDescent="0.3">
      <c r="D930" s="165"/>
      <c r="E930" s="165"/>
      <c r="F930" s="165"/>
      <c r="G930" s="165"/>
      <c r="H930" s="165"/>
      <c r="I930" s="165"/>
    </row>
    <row r="931" spans="1:9" ht="14.4" x14ac:dyDescent="0.3">
      <c r="A931" s="177" t="s">
        <v>633</v>
      </c>
      <c r="B931" s="203" t="s">
        <v>634</v>
      </c>
      <c r="C931" s="198"/>
      <c r="D931" s="198"/>
      <c r="E931" s="198"/>
      <c r="F931" s="198"/>
      <c r="G931" s="198"/>
      <c r="H931" s="198"/>
      <c r="I931" s="198"/>
    </row>
    <row r="932" spans="1:9" ht="14.4" x14ac:dyDescent="0.3">
      <c r="A932" s="3"/>
      <c r="B932" s="204" t="s">
        <v>6</v>
      </c>
      <c r="C932" s="198"/>
      <c r="D932" s="198"/>
      <c r="E932" s="198"/>
      <c r="F932" s="198"/>
      <c r="G932" s="198"/>
      <c r="H932" s="198"/>
      <c r="I932" s="198"/>
    </row>
    <row r="933" spans="1:9" ht="120.6" customHeight="1" x14ac:dyDescent="0.3">
      <c r="A933" s="60"/>
      <c r="B933" s="200" t="s">
        <v>635</v>
      </c>
      <c r="C933" s="198"/>
      <c r="D933" s="198"/>
      <c r="E933" s="198"/>
      <c r="F933" s="198"/>
      <c r="G933" s="198"/>
      <c r="H933" s="198"/>
      <c r="I933" s="198"/>
    </row>
    <row r="934" spans="1:9" ht="14.4" x14ac:dyDescent="0.3">
      <c r="A934" s="60"/>
      <c r="B934" s="178"/>
      <c r="C934" s="179"/>
      <c r="D934" s="179"/>
      <c r="E934" s="179"/>
      <c r="F934" s="179"/>
      <c r="G934" s="179"/>
      <c r="H934" s="179"/>
      <c r="I934" s="179"/>
    </row>
    <row r="935" spans="1:9" ht="14.4" x14ac:dyDescent="0.3">
      <c r="A935" s="60"/>
      <c r="B935" s="204" t="s">
        <v>0</v>
      </c>
      <c r="C935" s="198"/>
      <c r="D935" s="198"/>
      <c r="E935" s="198"/>
      <c r="F935" s="198"/>
      <c r="G935" s="198"/>
      <c r="H935" s="198"/>
      <c r="I935" s="198"/>
    </row>
    <row r="936" spans="1:9" ht="14.4" x14ac:dyDescent="0.3">
      <c r="B936" s="166" t="s">
        <v>8</v>
      </c>
      <c r="C936" s="200" t="s">
        <v>70</v>
      </c>
      <c r="D936" s="198"/>
      <c r="E936" s="198"/>
      <c r="F936" s="198"/>
      <c r="G936" s="198"/>
      <c r="H936" s="198"/>
      <c r="I936" s="198"/>
    </row>
    <row r="937" spans="1:9" ht="14.4" x14ac:dyDescent="0.3">
      <c r="B937" s="166" t="s">
        <v>8</v>
      </c>
      <c r="C937" s="200" t="s">
        <v>636</v>
      </c>
      <c r="D937" s="198"/>
      <c r="E937" s="198"/>
      <c r="F937" s="198"/>
      <c r="G937" s="198"/>
      <c r="H937" s="198"/>
      <c r="I937" s="198"/>
    </row>
    <row r="938" spans="1:9" ht="14.4" x14ac:dyDescent="0.3">
      <c r="D938" s="165"/>
      <c r="E938" s="165"/>
      <c r="F938" s="165"/>
      <c r="G938" s="165"/>
      <c r="H938" s="165"/>
      <c r="I938" s="165"/>
    </row>
    <row r="939" spans="1:9" ht="14.4" x14ac:dyDescent="0.3">
      <c r="A939" s="177" t="s">
        <v>637</v>
      </c>
      <c r="B939" s="203" t="s">
        <v>638</v>
      </c>
      <c r="C939" s="198"/>
      <c r="D939" s="198"/>
      <c r="E939" s="198"/>
      <c r="F939" s="198"/>
      <c r="G939" s="198"/>
      <c r="H939" s="198"/>
      <c r="I939" s="198"/>
    </row>
    <row r="940" spans="1:9" ht="14.4" x14ac:dyDescent="0.3">
      <c r="A940" s="3"/>
      <c r="B940" s="204" t="s">
        <v>6</v>
      </c>
      <c r="C940" s="198"/>
      <c r="D940" s="198"/>
      <c r="E940" s="198"/>
      <c r="F940" s="198"/>
      <c r="G940" s="198"/>
      <c r="H940" s="198"/>
      <c r="I940" s="198"/>
    </row>
    <row r="941" spans="1:9" ht="66" customHeight="1" x14ac:dyDescent="0.3">
      <c r="A941" s="60"/>
      <c r="B941" s="200" t="s">
        <v>639</v>
      </c>
      <c r="C941" s="198"/>
      <c r="D941" s="198"/>
      <c r="E941" s="198"/>
      <c r="F941" s="198"/>
      <c r="G941" s="198"/>
      <c r="H941" s="198"/>
      <c r="I941" s="198"/>
    </row>
    <row r="942" spans="1:9" ht="14.4" x14ac:dyDescent="0.3">
      <c r="A942" s="170"/>
      <c r="B942" s="205"/>
      <c r="C942" s="206"/>
      <c r="D942" s="206"/>
      <c r="E942" s="206"/>
      <c r="F942" s="206"/>
      <c r="G942" s="206"/>
      <c r="H942" s="206"/>
      <c r="I942" s="206"/>
    </row>
    <row r="943" spans="1:9" ht="14.4" x14ac:dyDescent="0.3">
      <c r="A943" s="60"/>
      <c r="B943" s="204" t="s">
        <v>0</v>
      </c>
      <c r="C943" s="198"/>
      <c r="D943" s="198"/>
      <c r="E943" s="198"/>
      <c r="F943" s="198"/>
      <c r="G943" s="198"/>
      <c r="H943" s="198"/>
      <c r="I943" s="198"/>
    </row>
    <row r="944" spans="1:9" ht="14.4" x14ac:dyDescent="0.3">
      <c r="B944" s="166" t="s">
        <v>8</v>
      </c>
      <c r="C944" s="200" t="s">
        <v>187</v>
      </c>
      <c r="D944" s="198"/>
      <c r="E944" s="198"/>
      <c r="F944" s="198"/>
      <c r="G944" s="198"/>
      <c r="H944" s="198"/>
      <c r="I944" s="198"/>
    </row>
    <row r="945" spans="1:9" ht="14.4" x14ac:dyDescent="0.3">
      <c r="D945" s="165"/>
      <c r="E945" s="165"/>
      <c r="F945" s="165"/>
      <c r="G945" s="165"/>
      <c r="H945" s="165"/>
      <c r="I945" s="165"/>
    </row>
    <row r="946" spans="1:9" ht="16.2" x14ac:dyDescent="0.35">
      <c r="A946" s="142" t="s">
        <v>640</v>
      </c>
      <c r="B946" s="195" t="s">
        <v>641</v>
      </c>
      <c r="C946" s="196"/>
      <c r="D946" s="196"/>
      <c r="E946" s="196"/>
      <c r="F946" s="196"/>
      <c r="G946" s="196"/>
      <c r="H946" s="196"/>
      <c r="I946" s="196"/>
    </row>
    <row r="947" spans="1:9" ht="14.4" x14ac:dyDescent="0.3">
      <c r="A947" s="170"/>
      <c r="B947" s="205"/>
      <c r="C947" s="206"/>
      <c r="D947" s="206"/>
      <c r="E947" s="206"/>
      <c r="F947" s="206"/>
      <c r="G947" s="206"/>
      <c r="H947" s="206"/>
      <c r="I947" s="206"/>
    </row>
    <row r="948" spans="1:9" ht="14.4" x14ac:dyDescent="0.3">
      <c r="A948" s="177" t="s">
        <v>642</v>
      </c>
      <c r="B948" s="203" t="s">
        <v>643</v>
      </c>
      <c r="C948" s="198"/>
      <c r="D948" s="198"/>
      <c r="E948" s="198"/>
      <c r="F948" s="198"/>
      <c r="G948" s="198"/>
      <c r="H948" s="198"/>
      <c r="I948" s="198"/>
    </row>
    <row r="949" spans="1:9" ht="14.4" x14ac:dyDescent="0.3">
      <c r="A949" s="3"/>
      <c r="B949" s="204" t="s">
        <v>6</v>
      </c>
      <c r="C949" s="198"/>
      <c r="D949" s="198"/>
      <c r="E949" s="198"/>
      <c r="F949" s="198"/>
      <c r="G949" s="198"/>
      <c r="H949" s="198"/>
      <c r="I949" s="198"/>
    </row>
    <row r="950" spans="1:9" ht="14.4" x14ac:dyDescent="0.3">
      <c r="A950" s="60"/>
      <c r="B950" s="200" t="s">
        <v>644</v>
      </c>
      <c r="C950" s="198"/>
      <c r="D950" s="198"/>
      <c r="E950" s="198"/>
      <c r="F950" s="198"/>
      <c r="G950" s="198"/>
      <c r="H950" s="198"/>
      <c r="I950" s="198"/>
    </row>
    <row r="951" spans="1:9" ht="14.4" x14ac:dyDescent="0.3">
      <c r="A951" s="60"/>
      <c r="B951" s="178"/>
      <c r="C951" s="179"/>
      <c r="D951" s="179"/>
      <c r="E951" s="179"/>
      <c r="F951" s="179"/>
      <c r="G951" s="179"/>
      <c r="H951" s="179"/>
      <c r="I951" s="179"/>
    </row>
    <row r="952" spans="1:9" ht="14.4" x14ac:dyDescent="0.3">
      <c r="A952" s="60"/>
      <c r="B952" s="204" t="s">
        <v>0</v>
      </c>
      <c r="C952" s="198"/>
      <c r="D952" s="198"/>
      <c r="E952" s="198"/>
      <c r="F952" s="198"/>
      <c r="G952" s="198"/>
      <c r="H952" s="198"/>
      <c r="I952" s="198"/>
    </row>
    <row r="953" spans="1:9" ht="14.4" x14ac:dyDescent="0.3">
      <c r="B953" s="166" t="s">
        <v>8</v>
      </c>
      <c r="C953" s="200" t="s">
        <v>645</v>
      </c>
      <c r="D953" s="198"/>
      <c r="E953" s="198"/>
      <c r="F953" s="198"/>
      <c r="G953" s="198"/>
      <c r="H953" s="198"/>
      <c r="I953" s="198"/>
    </row>
    <row r="954" spans="1:9" ht="29.1" customHeight="1" x14ac:dyDescent="0.3">
      <c r="B954" s="166" t="s">
        <v>8</v>
      </c>
      <c r="C954" s="200" t="s">
        <v>646</v>
      </c>
      <c r="D954" s="198"/>
      <c r="E954" s="198"/>
      <c r="F954" s="198"/>
      <c r="G954" s="198"/>
      <c r="H954" s="198"/>
      <c r="I954" s="198"/>
    </row>
    <row r="955" spans="1:9" ht="53.4" customHeight="1" x14ac:dyDescent="0.3">
      <c r="C955" s="201" t="s">
        <v>647</v>
      </c>
      <c r="D955" s="202"/>
      <c r="E955" s="202"/>
      <c r="F955" s="202"/>
      <c r="G955" s="202"/>
      <c r="H955" s="202"/>
      <c r="I955" s="202"/>
    </row>
    <row r="956" spans="1:9" ht="14.4" x14ac:dyDescent="0.3">
      <c r="C956" s="171"/>
      <c r="D956" s="175"/>
      <c r="E956" s="175"/>
      <c r="F956" s="175"/>
      <c r="G956" s="175"/>
      <c r="H956" s="175"/>
      <c r="I956" s="175"/>
    </row>
    <row r="957" spans="1:9" x14ac:dyDescent="0.3">
      <c r="A957" s="177" t="s">
        <v>648</v>
      </c>
      <c r="B957" s="203" t="s">
        <v>649</v>
      </c>
      <c r="C957" s="203"/>
      <c r="D957" s="203"/>
      <c r="E957" s="203"/>
      <c r="F957" s="203"/>
      <c r="G957" s="203"/>
      <c r="H957" s="203"/>
      <c r="I957" s="203"/>
    </row>
    <row r="958" spans="1:9" x14ac:dyDescent="0.3">
      <c r="A958" s="3"/>
      <c r="B958" s="204" t="s">
        <v>6</v>
      </c>
      <c r="C958" s="204"/>
      <c r="D958" s="204"/>
      <c r="E958" s="204"/>
      <c r="F958" s="204"/>
      <c r="G958" s="204"/>
      <c r="H958" s="204"/>
      <c r="I958" s="204"/>
    </row>
    <row r="959" spans="1:9" ht="28.5" customHeight="1" x14ac:dyDescent="0.3">
      <c r="A959" s="60"/>
      <c r="B959" s="200" t="s">
        <v>650</v>
      </c>
      <c r="C959" s="200"/>
      <c r="D959" s="200"/>
      <c r="E959" s="200"/>
      <c r="F959" s="200"/>
      <c r="G959" s="200"/>
      <c r="H959" s="200"/>
      <c r="I959" s="200"/>
    </row>
    <row r="960" spans="1:9" x14ac:dyDescent="0.3">
      <c r="A960" s="170"/>
      <c r="B960" s="205"/>
      <c r="C960" s="205"/>
      <c r="D960" s="205"/>
      <c r="E960" s="205"/>
      <c r="F960" s="205"/>
      <c r="G960" s="205"/>
      <c r="H960" s="205"/>
      <c r="I960" s="205"/>
    </row>
    <row r="961" spans="1:9" x14ac:dyDescent="0.3">
      <c r="A961" s="60"/>
      <c r="B961" s="204" t="s">
        <v>0</v>
      </c>
      <c r="C961" s="204"/>
      <c r="D961" s="204"/>
      <c r="E961" s="204"/>
      <c r="F961" s="204"/>
      <c r="G961" s="204"/>
      <c r="H961" s="204"/>
      <c r="I961" s="204"/>
    </row>
    <row r="962" spans="1:9" x14ac:dyDescent="0.3">
      <c r="B962" s="166" t="s">
        <v>8</v>
      </c>
      <c r="C962" s="200" t="s">
        <v>651</v>
      </c>
      <c r="D962" s="200"/>
      <c r="E962" s="200"/>
      <c r="F962" s="200"/>
      <c r="G962" s="200"/>
      <c r="H962" s="200"/>
      <c r="I962" s="200"/>
    </row>
    <row r="963" spans="1:9" x14ac:dyDescent="0.3">
      <c r="B963" s="166" t="s">
        <v>8</v>
      </c>
      <c r="C963" s="200" t="s">
        <v>652</v>
      </c>
      <c r="D963" s="200"/>
      <c r="E963" s="200"/>
      <c r="F963" s="200"/>
      <c r="G963" s="200"/>
      <c r="H963" s="200"/>
      <c r="I963" s="200"/>
    </row>
  </sheetData>
  <mergeCells count="865">
    <mergeCell ref="A1:I1"/>
    <mergeCell ref="A2:I2"/>
    <mergeCell ref="B3:I3"/>
    <mergeCell ref="B4:I4"/>
    <mergeCell ref="B5:I5"/>
    <mergeCell ref="B6:I6"/>
    <mergeCell ref="B13:I13"/>
    <mergeCell ref="B15:I15"/>
    <mergeCell ref="C16:I16"/>
    <mergeCell ref="C17:I17"/>
    <mergeCell ref="C18:I18"/>
    <mergeCell ref="B19:I19"/>
    <mergeCell ref="B7:I7"/>
    <mergeCell ref="C8:I8"/>
    <mergeCell ref="B9:I9"/>
    <mergeCell ref="B10:I10"/>
    <mergeCell ref="B11:I11"/>
    <mergeCell ref="B12:I12"/>
    <mergeCell ref="C26:I26"/>
    <mergeCell ref="C27:I27"/>
    <mergeCell ref="B28:I28"/>
    <mergeCell ref="C29:I29"/>
    <mergeCell ref="C30:I30"/>
    <mergeCell ref="C31:I31"/>
    <mergeCell ref="B20:I20"/>
    <mergeCell ref="B21:I21"/>
    <mergeCell ref="C22:I22"/>
    <mergeCell ref="C23:I23"/>
    <mergeCell ref="C24:I24"/>
    <mergeCell ref="C25:I25"/>
    <mergeCell ref="C37:E37"/>
    <mergeCell ref="F37:I37"/>
    <mergeCell ref="C38:E38"/>
    <mergeCell ref="F38:I38"/>
    <mergeCell ref="C39:E39"/>
    <mergeCell ref="F39:I39"/>
    <mergeCell ref="C32:I32"/>
    <mergeCell ref="B33:I33"/>
    <mergeCell ref="B34:I34"/>
    <mergeCell ref="C35:E35"/>
    <mergeCell ref="F35:I35"/>
    <mergeCell ref="C36:E36"/>
    <mergeCell ref="F36:I36"/>
    <mergeCell ref="C47:I47"/>
    <mergeCell ref="C48:I48"/>
    <mergeCell ref="C49:I49"/>
    <mergeCell ref="B50:I50"/>
    <mergeCell ref="B51:I51"/>
    <mergeCell ref="C52:F52"/>
    <mergeCell ref="G52:I52"/>
    <mergeCell ref="B41:I41"/>
    <mergeCell ref="B42:I42"/>
    <mergeCell ref="B43:I43"/>
    <mergeCell ref="B44:I44"/>
    <mergeCell ref="B45:I45"/>
    <mergeCell ref="B46:I46"/>
    <mergeCell ref="C56:F56"/>
    <mergeCell ref="G56:I56"/>
    <mergeCell ref="C57:F57"/>
    <mergeCell ref="G57:I57"/>
    <mergeCell ref="B59:I59"/>
    <mergeCell ref="B60:I60"/>
    <mergeCell ref="C53:F53"/>
    <mergeCell ref="G53:I53"/>
    <mergeCell ref="C54:F54"/>
    <mergeCell ref="G54:I54"/>
    <mergeCell ref="C55:F55"/>
    <mergeCell ref="G55:I55"/>
    <mergeCell ref="B69:I69"/>
    <mergeCell ref="B71:I71"/>
    <mergeCell ref="B72:I72"/>
    <mergeCell ref="B73:I73"/>
    <mergeCell ref="B74:I74"/>
    <mergeCell ref="B75:I75"/>
    <mergeCell ref="B61:I61"/>
    <mergeCell ref="B62:I62"/>
    <mergeCell ref="B63:I63"/>
    <mergeCell ref="C64:I64"/>
    <mergeCell ref="C65:I65"/>
    <mergeCell ref="B67:I67"/>
    <mergeCell ref="B83:I83"/>
    <mergeCell ref="B84:I84"/>
    <mergeCell ref="B85:I85"/>
    <mergeCell ref="B86:I86"/>
    <mergeCell ref="B87:I87"/>
    <mergeCell ref="B89:I89"/>
    <mergeCell ref="C76:I76"/>
    <mergeCell ref="C77:I77"/>
    <mergeCell ref="B79:I79"/>
    <mergeCell ref="B80:I80"/>
    <mergeCell ref="B81:I81"/>
    <mergeCell ref="B82:I82"/>
    <mergeCell ref="C98:I98"/>
    <mergeCell ref="B100:I100"/>
    <mergeCell ref="B102:I102"/>
    <mergeCell ref="B103:I103"/>
    <mergeCell ref="B104:I104"/>
    <mergeCell ref="B106:I106"/>
    <mergeCell ref="C91:E91"/>
    <mergeCell ref="B93:I93"/>
    <mergeCell ref="C94:I94"/>
    <mergeCell ref="C95:I95"/>
    <mergeCell ref="C96:I96"/>
    <mergeCell ref="C97:I97"/>
    <mergeCell ref="B114:I114"/>
    <mergeCell ref="B115:I115"/>
    <mergeCell ref="B116:I116"/>
    <mergeCell ref="C117:I117"/>
    <mergeCell ref="C118:I118"/>
    <mergeCell ref="B120:I120"/>
    <mergeCell ref="C107:I107"/>
    <mergeCell ref="C108:I108"/>
    <mergeCell ref="C109:I109"/>
    <mergeCell ref="B110:I110"/>
    <mergeCell ref="B112:I112"/>
    <mergeCell ref="B113:I113"/>
    <mergeCell ref="C124:F124"/>
    <mergeCell ref="G124:I124"/>
    <mergeCell ref="C125:F125"/>
    <mergeCell ref="G125:I125"/>
    <mergeCell ref="C126:F126"/>
    <mergeCell ref="G126:I126"/>
    <mergeCell ref="C121:F121"/>
    <mergeCell ref="G121:I121"/>
    <mergeCell ref="C122:F122"/>
    <mergeCell ref="G122:I122"/>
    <mergeCell ref="C123:F123"/>
    <mergeCell ref="G123:I123"/>
    <mergeCell ref="B133:I133"/>
    <mergeCell ref="C134:I134"/>
    <mergeCell ref="C135:I135"/>
    <mergeCell ref="B137:I137"/>
    <mergeCell ref="C138:F138"/>
    <mergeCell ref="G138:I138"/>
    <mergeCell ref="C127:F127"/>
    <mergeCell ref="G127:I127"/>
    <mergeCell ref="B129:I129"/>
    <mergeCell ref="B130:I130"/>
    <mergeCell ref="B131:I131"/>
    <mergeCell ref="B132:I132"/>
    <mergeCell ref="C142:F142"/>
    <mergeCell ref="G142:I142"/>
    <mergeCell ref="C143:F143"/>
    <mergeCell ref="G143:I143"/>
    <mergeCell ref="C144:F144"/>
    <mergeCell ref="G144:I144"/>
    <mergeCell ref="C139:F139"/>
    <mergeCell ref="G139:I139"/>
    <mergeCell ref="C140:F140"/>
    <mergeCell ref="G140:I140"/>
    <mergeCell ref="C141:F141"/>
    <mergeCell ref="G141:I141"/>
    <mergeCell ref="B154:I154"/>
    <mergeCell ref="C155:I155"/>
    <mergeCell ref="C156:I156"/>
    <mergeCell ref="C157:I157"/>
    <mergeCell ref="B159:I159"/>
    <mergeCell ref="B160:I160"/>
    <mergeCell ref="B146:I146"/>
    <mergeCell ref="B148:I148"/>
    <mergeCell ref="B150:I150"/>
    <mergeCell ref="B151:I151"/>
    <mergeCell ref="B152:I152"/>
    <mergeCell ref="B153:I153"/>
    <mergeCell ref="C168:F168"/>
    <mergeCell ref="G168:I168"/>
    <mergeCell ref="C169:F169"/>
    <mergeCell ref="G169:I169"/>
    <mergeCell ref="C170:F170"/>
    <mergeCell ref="G170:I172"/>
    <mergeCell ref="C171:F171"/>
    <mergeCell ref="C172:F172"/>
    <mergeCell ref="B161:I161"/>
    <mergeCell ref="B162:I162"/>
    <mergeCell ref="B163:I163"/>
    <mergeCell ref="C164:I164"/>
    <mergeCell ref="C165:I165"/>
    <mergeCell ref="B167:I167"/>
    <mergeCell ref="B179:I179"/>
    <mergeCell ref="B180:I180"/>
    <mergeCell ref="B181:I181"/>
    <mergeCell ref="B182:I182"/>
    <mergeCell ref="C183:I183"/>
    <mergeCell ref="C184:I184"/>
    <mergeCell ref="C173:F173"/>
    <mergeCell ref="G173:I173"/>
    <mergeCell ref="C174:F174"/>
    <mergeCell ref="G174:I174"/>
    <mergeCell ref="C176:I176"/>
    <mergeCell ref="B178:I178"/>
    <mergeCell ref="B192:I192"/>
    <mergeCell ref="B193:I193"/>
    <mergeCell ref="C194:I194"/>
    <mergeCell ref="C195:I195"/>
    <mergeCell ref="C196:I196"/>
    <mergeCell ref="C197:I197"/>
    <mergeCell ref="C185:I185"/>
    <mergeCell ref="C186:I186"/>
    <mergeCell ref="C187:I187"/>
    <mergeCell ref="B189:I189"/>
    <mergeCell ref="B190:I190"/>
    <mergeCell ref="B191:I191"/>
    <mergeCell ref="B206:I206"/>
    <mergeCell ref="C207:I207"/>
    <mergeCell ref="C208:I208"/>
    <mergeCell ref="C209:I209"/>
    <mergeCell ref="C210:I210"/>
    <mergeCell ref="C211:I211"/>
    <mergeCell ref="C198:I198"/>
    <mergeCell ref="B199:I199"/>
    <mergeCell ref="B201:I201"/>
    <mergeCell ref="B202:I202"/>
    <mergeCell ref="B203:I203"/>
    <mergeCell ref="B204:I204"/>
    <mergeCell ref="C216:F216"/>
    <mergeCell ref="G216:I216"/>
    <mergeCell ref="C217:F217"/>
    <mergeCell ref="G217:I217"/>
    <mergeCell ref="C218:F218"/>
    <mergeCell ref="G218:I218"/>
    <mergeCell ref="B212:I212"/>
    <mergeCell ref="C213:F213"/>
    <mergeCell ref="G213:I213"/>
    <mergeCell ref="C214:F214"/>
    <mergeCell ref="G214:I214"/>
    <mergeCell ref="C215:F215"/>
    <mergeCell ref="G215:I215"/>
    <mergeCell ref="C222:F222"/>
    <mergeCell ref="G222:I222"/>
    <mergeCell ref="C223:F223"/>
    <mergeCell ref="G223:I223"/>
    <mergeCell ref="C224:F224"/>
    <mergeCell ref="G224:I224"/>
    <mergeCell ref="C219:F219"/>
    <mergeCell ref="G219:I219"/>
    <mergeCell ref="C220:F220"/>
    <mergeCell ref="G220:I220"/>
    <mergeCell ref="C221:F221"/>
    <mergeCell ref="G221:I221"/>
    <mergeCell ref="B231:I231"/>
    <mergeCell ref="B232:I232"/>
    <mergeCell ref="B233:I233"/>
    <mergeCell ref="C234:I234"/>
    <mergeCell ref="C235:I235"/>
    <mergeCell ref="C236:I236"/>
    <mergeCell ref="C225:F225"/>
    <mergeCell ref="G225:I225"/>
    <mergeCell ref="B227:I227"/>
    <mergeCell ref="B228:I228"/>
    <mergeCell ref="B229:I229"/>
    <mergeCell ref="B230:I230"/>
    <mergeCell ref="B249:I249"/>
    <mergeCell ref="B250:I250"/>
    <mergeCell ref="B251:I251"/>
    <mergeCell ref="B252:I252"/>
    <mergeCell ref="C253:I253"/>
    <mergeCell ref="C254:I254"/>
    <mergeCell ref="C237:I237"/>
    <mergeCell ref="B239:I239"/>
    <mergeCell ref="C244:G244"/>
    <mergeCell ref="C245:G245"/>
    <mergeCell ref="C246:G246"/>
    <mergeCell ref="B248:I248"/>
    <mergeCell ref="C262:I262"/>
    <mergeCell ref="C263:I263"/>
    <mergeCell ref="C264:I264"/>
    <mergeCell ref="B265:I265"/>
    <mergeCell ref="B266:I266"/>
    <mergeCell ref="B267:I267"/>
    <mergeCell ref="B256:I256"/>
    <mergeCell ref="B257:I257"/>
    <mergeCell ref="B258:I258"/>
    <mergeCell ref="B259:I259"/>
    <mergeCell ref="B260:I260"/>
    <mergeCell ref="C261:I261"/>
    <mergeCell ref="C274:I274"/>
    <mergeCell ref="C275:I275"/>
    <mergeCell ref="B277:I277"/>
    <mergeCell ref="B278:I278"/>
    <mergeCell ref="B279:I279"/>
    <mergeCell ref="B280:I280"/>
    <mergeCell ref="B268:I268"/>
    <mergeCell ref="B269:I269"/>
    <mergeCell ref="B270:I270"/>
    <mergeCell ref="C271:I271"/>
    <mergeCell ref="C272:I272"/>
    <mergeCell ref="C273:I273"/>
    <mergeCell ref="B289:I289"/>
    <mergeCell ref="B290:I290"/>
    <mergeCell ref="B291:I291"/>
    <mergeCell ref="C292:I292"/>
    <mergeCell ref="C293:I293"/>
    <mergeCell ref="C294:I294"/>
    <mergeCell ref="B281:I281"/>
    <mergeCell ref="C282:I282"/>
    <mergeCell ref="C283:I283"/>
    <mergeCell ref="C284:I284"/>
    <mergeCell ref="B287:I287"/>
    <mergeCell ref="B288:I288"/>
    <mergeCell ref="B302:I302"/>
    <mergeCell ref="C303:I303"/>
    <mergeCell ref="C304:I304"/>
    <mergeCell ref="C305:I305"/>
    <mergeCell ref="C306:I306"/>
    <mergeCell ref="C307:I307"/>
    <mergeCell ref="C295:I295"/>
    <mergeCell ref="C296:I296"/>
    <mergeCell ref="C297:I297"/>
    <mergeCell ref="B299:I299"/>
    <mergeCell ref="B300:I300"/>
    <mergeCell ref="B301:I301"/>
    <mergeCell ref="C315:I315"/>
    <mergeCell ref="B317:I317"/>
    <mergeCell ref="C318:I318"/>
    <mergeCell ref="C319:I319"/>
    <mergeCell ref="C320:I320"/>
    <mergeCell ref="C321:I321"/>
    <mergeCell ref="B308:I308"/>
    <mergeCell ref="B309:I309"/>
    <mergeCell ref="B310:I310"/>
    <mergeCell ref="B311:I311"/>
    <mergeCell ref="B312:I312"/>
    <mergeCell ref="B314:I314"/>
    <mergeCell ref="C329:I329"/>
    <mergeCell ref="C330:I330"/>
    <mergeCell ref="C331:I331"/>
    <mergeCell ref="B333:I333"/>
    <mergeCell ref="B334:I334"/>
    <mergeCell ref="B335:I335"/>
    <mergeCell ref="C322:I322"/>
    <mergeCell ref="B324:I324"/>
    <mergeCell ref="B325:I325"/>
    <mergeCell ref="B326:I326"/>
    <mergeCell ref="B327:I327"/>
    <mergeCell ref="B328:I328"/>
    <mergeCell ref="C342:I342"/>
    <mergeCell ref="C343:I343"/>
    <mergeCell ref="C344:I344"/>
    <mergeCell ref="C345:I345"/>
    <mergeCell ref="C346:I346"/>
    <mergeCell ref="C347:I347"/>
    <mergeCell ref="B336:I336"/>
    <mergeCell ref="B337:I337"/>
    <mergeCell ref="C338:I338"/>
    <mergeCell ref="C339:I339"/>
    <mergeCell ref="C340:I340"/>
    <mergeCell ref="C341:I341"/>
    <mergeCell ref="C354:I354"/>
    <mergeCell ref="C355:I355"/>
    <mergeCell ref="C356:I356"/>
    <mergeCell ref="C357:I357"/>
    <mergeCell ref="C358:I358"/>
    <mergeCell ref="C359:I359"/>
    <mergeCell ref="B348:I348"/>
    <mergeCell ref="B349:I349"/>
    <mergeCell ref="B350:I350"/>
    <mergeCell ref="B351:I351"/>
    <mergeCell ref="B352:I352"/>
    <mergeCell ref="C353:I353"/>
    <mergeCell ref="B369:I369"/>
    <mergeCell ref="B371:I371"/>
    <mergeCell ref="B372:I372"/>
    <mergeCell ref="B373:I373"/>
    <mergeCell ref="B374:I374"/>
    <mergeCell ref="B375:I375"/>
    <mergeCell ref="B361:I361"/>
    <mergeCell ref="B362:I362"/>
    <mergeCell ref="B363:I363"/>
    <mergeCell ref="B365:I365"/>
    <mergeCell ref="C366:I366"/>
    <mergeCell ref="C367:I367"/>
    <mergeCell ref="B383:I383"/>
    <mergeCell ref="B384:I384"/>
    <mergeCell ref="C385:I385"/>
    <mergeCell ref="B386:I386"/>
    <mergeCell ref="C387:I387"/>
    <mergeCell ref="C388:I388"/>
    <mergeCell ref="C376:I376"/>
    <mergeCell ref="C377:I377"/>
    <mergeCell ref="C378:I378"/>
    <mergeCell ref="B380:I380"/>
    <mergeCell ref="B381:I381"/>
    <mergeCell ref="B382:I382"/>
    <mergeCell ref="C396:I396"/>
    <mergeCell ref="C397:I397"/>
    <mergeCell ref="C398:I398"/>
    <mergeCell ref="C399:I399"/>
    <mergeCell ref="C400:I400"/>
    <mergeCell ref="B401:I401"/>
    <mergeCell ref="C389:I389"/>
    <mergeCell ref="B391:I391"/>
    <mergeCell ref="B392:I392"/>
    <mergeCell ref="B393:I393"/>
    <mergeCell ref="B394:I394"/>
    <mergeCell ref="B395:I395"/>
    <mergeCell ref="C408:I408"/>
    <mergeCell ref="B410:I410"/>
    <mergeCell ref="B411:I411"/>
    <mergeCell ref="B412:I412"/>
    <mergeCell ref="B414:I414"/>
    <mergeCell ref="C415:I415"/>
    <mergeCell ref="B402:I402"/>
    <mergeCell ref="B403:I403"/>
    <mergeCell ref="B404:I404"/>
    <mergeCell ref="B405:I405"/>
    <mergeCell ref="B406:I406"/>
    <mergeCell ref="C407:I407"/>
    <mergeCell ref="B423:I423"/>
    <mergeCell ref="C424:I424"/>
    <mergeCell ref="C425:I425"/>
    <mergeCell ref="B427:I427"/>
    <mergeCell ref="B429:I429"/>
    <mergeCell ref="B431:I431"/>
    <mergeCell ref="C416:I416"/>
    <mergeCell ref="C417:I417"/>
    <mergeCell ref="B419:I419"/>
    <mergeCell ref="B420:I420"/>
    <mergeCell ref="B421:I421"/>
    <mergeCell ref="B422:I422"/>
    <mergeCell ref="C439:I439"/>
    <mergeCell ref="C440:I440"/>
    <mergeCell ref="C441:I441"/>
    <mergeCell ref="B443:I443"/>
    <mergeCell ref="B444:I444"/>
    <mergeCell ref="B445:I445"/>
    <mergeCell ref="B432:I432"/>
    <mergeCell ref="B433:I433"/>
    <mergeCell ref="B434:I434"/>
    <mergeCell ref="B435:I435"/>
    <mergeCell ref="B437:I437"/>
    <mergeCell ref="C438:I438"/>
    <mergeCell ref="B453:I453"/>
    <mergeCell ref="B455:I455"/>
    <mergeCell ref="B456:I456"/>
    <mergeCell ref="B457:I457"/>
    <mergeCell ref="B458:I458"/>
    <mergeCell ref="B459:I459"/>
    <mergeCell ref="B446:I446"/>
    <mergeCell ref="B447:I447"/>
    <mergeCell ref="C448:I448"/>
    <mergeCell ref="C449:I449"/>
    <mergeCell ref="C450:I450"/>
    <mergeCell ref="C451:I451"/>
    <mergeCell ref="C466:I466"/>
    <mergeCell ref="C467:I467"/>
    <mergeCell ref="C468:I468"/>
    <mergeCell ref="B470:I470"/>
    <mergeCell ref="B471:I471"/>
    <mergeCell ref="B472:I472"/>
    <mergeCell ref="C460:I460"/>
    <mergeCell ref="C461:I461"/>
    <mergeCell ref="C462:I462"/>
    <mergeCell ref="C463:I463"/>
    <mergeCell ref="C464:I464"/>
    <mergeCell ref="C465:I465"/>
    <mergeCell ref="B480:I480"/>
    <mergeCell ref="B481:I481"/>
    <mergeCell ref="B482:I482"/>
    <mergeCell ref="B484:I484"/>
    <mergeCell ref="C485:I485"/>
    <mergeCell ref="C486:I486"/>
    <mergeCell ref="B473:I473"/>
    <mergeCell ref="B474:I474"/>
    <mergeCell ref="C475:I475"/>
    <mergeCell ref="C476:I476"/>
    <mergeCell ref="C477:I477"/>
    <mergeCell ref="C478:I478"/>
    <mergeCell ref="C495:I495"/>
    <mergeCell ref="C496:I496"/>
    <mergeCell ref="C497:I497"/>
    <mergeCell ref="B498:I498"/>
    <mergeCell ref="B499:I499"/>
    <mergeCell ref="C500:I500"/>
    <mergeCell ref="C487:I487"/>
    <mergeCell ref="B489:I489"/>
    <mergeCell ref="B490:I490"/>
    <mergeCell ref="B491:I491"/>
    <mergeCell ref="B492:I492"/>
    <mergeCell ref="B493:I493"/>
    <mergeCell ref="B508:I508"/>
    <mergeCell ref="C509:I509"/>
    <mergeCell ref="C510:I510"/>
    <mergeCell ref="C511:I511"/>
    <mergeCell ref="C512:I512"/>
    <mergeCell ref="C513:I513"/>
    <mergeCell ref="C501:I501"/>
    <mergeCell ref="C502:I502"/>
    <mergeCell ref="B504:I504"/>
    <mergeCell ref="B505:I505"/>
    <mergeCell ref="B506:I506"/>
    <mergeCell ref="B507:I507"/>
    <mergeCell ref="B521:I521"/>
    <mergeCell ref="B522:I522"/>
    <mergeCell ref="B523:I523"/>
    <mergeCell ref="C524:I524"/>
    <mergeCell ref="C525:I525"/>
    <mergeCell ref="C526:I526"/>
    <mergeCell ref="C514:I514"/>
    <mergeCell ref="C515:I515"/>
    <mergeCell ref="C516:I516"/>
    <mergeCell ref="B518:I518"/>
    <mergeCell ref="B519:I519"/>
    <mergeCell ref="B520:I520"/>
    <mergeCell ref="C533:I533"/>
    <mergeCell ref="B535:I535"/>
    <mergeCell ref="B536:I536"/>
    <mergeCell ref="B537:I537"/>
    <mergeCell ref="B539:I539"/>
    <mergeCell ref="C540:I540"/>
    <mergeCell ref="B527:I527"/>
    <mergeCell ref="B528:I528"/>
    <mergeCell ref="B529:I529"/>
    <mergeCell ref="B530:I530"/>
    <mergeCell ref="B531:I531"/>
    <mergeCell ref="C532:I532"/>
    <mergeCell ref="B549:I549"/>
    <mergeCell ref="B550:I550"/>
    <mergeCell ref="C551:I551"/>
    <mergeCell ref="C552:I552"/>
    <mergeCell ref="B554:I554"/>
    <mergeCell ref="B555:I555"/>
    <mergeCell ref="C541:I541"/>
    <mergeCell ref="C542:I542"/>
    <mergeCell ref="C544:I544"/>
    <mergeCell ref="B546:I546"/>
    <mergeCell ref="B547:I547"/>
    <mergeCell ref="B548:I548"/>
    <mergeCell ref="C562:I562"/>
    <mergeCell ref="C563:I563"/>
    <mergeCell ref="C564:I564"/>
    <mergeCell ref="C565:I565"/>
    <mergeCell ref="C566:I566"/>
    <mergeCell ref="C567:I567"/>
    <mergeCell ref="B556:I556"/>
    <mergeCell ref="B557:I557"/>
    <mergeCell ref="B558:I558"/>
    <mergeCell ref="C559:I559"/>
    <mergeCell ref="C560:I560"/>
    <mergeCell ref="C561:I561"/>
    <mergeCell ref="C576:I576"/>
    <mergeCell ref="C577:I577"/>
    <mergeCell ref="B579:I579"/>
    <mergeCell ref="B580:I580"/>
    <mergeCell ref="B581:I581"/>
    <mergeCell ref="B582:I582"/>
    <mergeCell ref="B569:I569"/>
    <mergeCell ref="B571:I571"/>
    <mergeCell ref="B572:I572"/>
    <mergeCell ref="B573:I573"/>
    <mergeCell ref="B574:I574"/>
    <mergeCell ref="B575:I575"/>
    <mergeCell ref="B590:I590"/>
    <mergeCell ref="B591:I591"/>
    <mergeCell ref="C592:I592"/>
    <mergeCell ref="C593:I593"/>
    <mergeCell ref="B595:I595"/>
    <mergeCell ref="B597:I597"/>
    <mergeCell ref="B583:I583"/>
    <mergeCell ref="C584:I584"/>
    <mergeCell ref="C585:I585"/>
    <mergeCell ref="B587:I587"/>
    <mergeCell ref="B588:I588"/>
    <mergeCell ref="B589:I589"/>
    <mergeCell ref="C605:I605"/>
    <mergeCell ref="C606:I606"/>
    <mergeCell ref="C607:I607"/>
    <mergeCell ref="B609:I609"/>
    <mergeCell ref="B610:I610"/>
    <mergeCell ref="B611:I611"/>
    <mergeCell ref="B599:I599"/>
    <mergeCell ref="B600:I600"/>
    <mergeCell ref="B601:I601"/>
    <mergeCell ref="B602:I602"/>
    <mergeCell ref="B603:I603"/>
    <mergeCell ref="C604:I604"/>
    <mergeCell ref="B620:I620"/>
    <mergeCell ref="B621:I621"/>
    <mergeCell ref="B622:I622"/>
    <mergeCell ref="C623:I623"/>
    <mergeCell ref="B625:I625"/>
    <mergeCell ref="B626:I626"/>
    <mergeCell ref="B613:I613"/>
    <mergeCell ref="C614:I614"/>
    <mergeCell ref="C615:I615"/>
    <mergeCell ref="C616:I616"/>
    <mergeCell ref="B618:I618"/>
    <mergeCell ref="B619:I619"/>
    <mergeCell ref="B634:I634"/>
    <mergeCell ref="B635:I635"/>
    <mergeCell ref="B636:I636"/>
    <mergeCell ref="B637:I637"/>
    <mergeCell ref="C639:I639"/>
    <mergeCell ref="B641:I641"/>
    <mergeCell ref="B627:I627"/>
    <mergeCell ref="B628:I628"/>
    <mergeCell ref="B629:I629"/>
    <mergeCell ref="B630:I630"/>
    <mergeCell ref="C631:I631"/>
    <mergeCell ref="B633:I633"/>
    <mergeCell ref="C649:I649"/>
    <mergeCell ref="B651:I651"/>
    <mergeCell ref="B652:I652"/>
    <mergeCell ref="B653:I653"/>
    <mergeCell ref="B655:I655"/>
    <mergeCell ref="C656:I656"/>
    <mergeCell ref="C642:I642"/>
    <mergeCell ref="B644:I644"/>
    <mergeCell ref="B645:I645"/>
    <mergeCell ref="B646:I646"/>
    <mergeCell ref="B647:I647"/>
    <mergeCell ref="B648:I648"/>
    <mergeCell ref="B666:I666"/>
    <mergeCell ref="B667:I667"/>
    <mergeCell ref="C668:I668"/>
    <mergeCell ref="C669:I669"/>
    <mergeCell ref="B671:I671"/>
    <mergeCell ref="B672:I672"/>
    <mergeCell ref="C657:I657"/>
    <mergeCell ref="C659:I659"/>
    <mergeCell ref="B661:I661"/>
    <mergeCell ref="B663:I663"/>
    <mergeCell ref="B664:I664"/>
    <mergeCell ref="B665:I665"/>
    <mergeCell ref="B680:I680"/>
    <mergeCell ref="B682:I682"/>
    <mergeCell ref="B683:I683"/>
    <mergeCell ref="B684:I684"/>
    <mergeCell ref="B685:I685"/>
    <mergeCell ref="B686:I686"/>
    <mergeCell ref="B673:I673"/>
    <mergeCell ref="B674:I674"/>
    <mergeCell ref="B675:I675"/>
    <mergeCell ref="C676:I676"/>
    <mergeCell ref="C677:I677"/>
    <mergeCell ref="B679:I679"/>
    <mergeCell ref="C694:I694"/>
    <mergeCell ref="B696:I696"/>
    <mergeCell ref="B697:I697"/>
    <mergeCell ref="B698:I698"/>
    <mergeCell ref="B700:I700"/>
    <mergeCell ref="C701:I701"/>
    <mergeCell ref="C687:I687"/>
    <mergeCell ref="B689:I689"/>
    <mergeCell ref="B690:I690"/>
    <mergeCell ref="B691:I691"/>
    <mergeCell ref="B692:I692"/>
    <mergeCell ref="B693:I693"/>
    <mergeCell ref="C709:I709"/>
    <mergeCell ref="C710:I710"/>
    <mergeCell ref="C711:I711"/>
    <mergeCell ref="C712:I712"/>
    <mergeCell ref="C713:I713"/>
    <mergeCell ref="B715:I715"/>
    <mergeCell ref="C702:I702"/>
    <mergeCell ref="B704:I704"/>
    <mergeCell ref="B705:I705"/>
    <mergeCell ref="B706:I706"/>
    <mergeCell ref="B707:I707"/>
    <mergeCell ref="B708:I708"/>
    <mergeCell ref="B723:I723"/>
    <mergeCell ref="B724:I724"/>
    <mergeCell ref="B725:I725"/>
    <mergeCell ref="C727:I727"/>
    <mergeCell ref="C728:I728"/>
    <mergeCell ref="B730:I730"/>
    <mergeCell ref="B716:I716"/>
    <mergeCell ref="B717:I717"/>
    <mergeCell ref="B718:I718"/>
    <mergeCell ref="B719:I719"/>
    <mergeCell ref="C720:I720"/>
    <mergeCell ref="B722:I722"/>
    <mergeCell ref="B738:I738"/>
    <mergeCell ref="B739:I739"/>
    <mergeCell ref="C740:I740"/>
    <mergeCell ref="C741:I741"/>
    <mergeCell ref="C742:I742"/>
    <mergeCell ref="C743:I743"/>
    <mergeCell ref="C731:I731"/>
    <mergeCell ref="C732:I732"/>
    <mergeCell ref="C733:I733"/>
    <mergeCell ref="B735:I735"/>
    <mergeCell ref="B736:I736"/>
    <mergeCell ref="B737:I737"/>
    <mergeCell ref="B752:I752"/>
    <mergeCell ref="B754:I754"/>
    <mergeCell ref="C755:I755"/>
    <mergeCell ref="C756:I756"/>
    <mergeCell ref="B758:I758"/>
    <mergeCell ref="B759:I759"/>
    <mergeCell ref="C744:I744"/>
    <mergeCell ref="C745:I745"/>
    <mergeCell ref="C747:I747"/>
    <mergeCell ref="C748:I748"/>
    <mergeCell ref="B750:I750"/>
    <mergeCell ref="B751:I751"/>
    <mergeCell ref="B766:I766"/>
    <mergeCell ref="B768:I768"/>
    <mergeCell ref="B770:I770"/>
    <mergeCell ref="B771:I771"/>
    <mergeCell ref="B772:I772"/>
    <mergeCell ref="B773:I773"/>
    <mergeCell ref="B760:I760"/>
    <mergeCell ref="B761:I761"/>
    <mergeCell ref="B762:I762"/>
    <mergeCell ref="C763:I763"/>
    <mergeCell ref="C764:I764"/>
    <mergeCell ref="C765:I765"/>
    <mergeCell ref="B782:I782"/>
    <mergeCell ref="B783:I783"/>
    <mergeCell ref="B784:I784"/>
    <mergeCell ref="B785:I785"/>
    <mergeCell ref="C786:I786"/>
    <mergeCell ref="C787:I787"/>
    <mergeCell ref="B774:I774"/>
    <mergeCell ref="C775:I775"/>
    <mergeCell ref="C776:I776"/>
    <mergeCell ref="C777:I777"/>
    <mergeCell ref="B779:I779"/>
    <mergeCell ref="B781:I781"/>
    <mergeCell ref="B796:I796"/>
    <mergeCell ref="C797:I797"/>
    <mergeCell ref="C798:I798"/>
    <mergeCell ref="B800:I800"/>
    <mergeCell ref="B802:I802"/>
    <mergeCell ref="B804:I804"/>
    <mergeCell ref="C788:I788"/>
    <mergeCell ref="B790:I790"/>
    <mergeCell ref="B792:I792"/>
    <mergeCell ref="B793:I793"/>
    <mergeCell ref="B794:I794"/>
    <mergeCell ref="B795:I795"/>
    <mergeCell ref="C811:I811"/>
    <mergeCell ref="C812:I812"/>
    <mergeCell ref="B814:I814"/>
    <mergeCell ref="B815:I815"/>
    <mergeCell ref="B816:I816"/>
    <mergeCell ref="B817:I817"/>
    <mergeCell ref="B805:I805"/>
    <mergeCell ref="B806:I806"/>
    <mergeCell ref="B807:I807"/>
    <mergeCell ref="B808:I808"/>
    <mergeCell ref="C809:I809"/>
    <mergeCell ref="C810:I810"/>
    <mergeCell ref="B825:I825"/>
    <mergeCell ref="B826:I826"/>
    <mergeCell ref="B827:I827"/>
    <mergeCell ref="B828:I828"/>
    <mergeCell ref="C829:I829"/>
    <mergeCell ref="C830:I830"/>
    <mergeCell ref="B818:I818"/>
    <mergeCell ref="C819:I819"/>
    <mergeCell ref="C820:I820"/>
    <mergeCell ref="C821:I821"/>
    <mergeCell ref="C822:I822"/>
    <mergeCell ref="B824:I824"/>
    <mergeCell ref="C838:I838"/>
    <mergeCell ref="B840:I840"/>
    <mergeCell ref="B842:I842"/>
    <mergeCell ref="B843:I843"/>
    <mergeCell ref="B844:I844"/>
    <mergeCell ref="B846:I846"/>
    <mergeCell ref="C831:I831"/>
    <mergeCell ref="B833:I833"/>
    <mergeCell ref="B834:I834"/>
    <mergeCell ref="B835:I835"/>
    <mergeCell ref="B836:I836"/>
    <mergeCell ref="B837:I837"/>
    <mergeCell ref="B854:I854"/>
    <mergeCell ref="B855:I855"/>
    <mergeCell ref="B856:I856"/>
    <mergeCell ref="C857:I857"/>
    <mergeCell ref="C858:I858"/>
    <mergeCell ref="C859:I859"/>
    <mergeCell ref="C847:I847"/>
    <mergeCell ref="C848:I848"/>
    <mergeCell ref="C849:I849"/>
    <mergeCell ref="C850:I850"/>
    <mergeCell ref="B852:I852"/>
    <mergeCell ref="B853:I853"/>
    <mergeCell ref="C868:I868"/>
    <mergeCell ref="B870:I870"/>
    <mergeCell ref="B871:I871"/>
    <mergeCell ref="B872:I872"/>
    <mergeCell ref="B873:I873"/>
    <mergeCell ref="B874:I874"/>
    <mergeCell ref="B861:I861"/>
    <mergeCell ref="B862:I862"/>
    <mergeCell ref="B863:I863"/>
    <mergeCell ref="B865:I865"/>
    <mergeCell ref="C866:I866"/>
    <mergeCell ref="C867:I867"/>
    <mergeCell ref="C882:I882"/>
    <mergeCell ref="B884:I884"/>
    <mergeCell ref="B886:I886"/>
    <mergeCell ref="B887:I887"/>
    <mergeCell ref="B888:I888"/>
    <mergeCell ref="B889:I889"/>
    <mergeCell ref="C875:I875"/>
    <mergeCell ref="B877:I877"/>
    <mergeCell ref="B878:I878"/>
    <mergeCell ref="B879:I879"/>
    <mergeCell ref="B880:I880"/>
    <mergeCell ref="B881:I881"/>
    <mergeCell ref="B897:I897"/>
    <mergeCell ref="B898:I898"/>
    <mergeCell ref="C899:I899"/>
    <mergeCell ref="B901:I901"/>
    <mergeCell ref="B902:I902"/>
    <mergeCell ref="B903:I903"/>
    <mergeCell ref="B890:I890"/>
    <mergeCell ref="C891:I891"/>
    <mergeCell ref="C892:I892"/>
    <mergeCell ref="B894:I894"/>
    <mergeCell ref="B895:I895"/>
    <mergeCell ref="B896:I896"/>
    <mergeCell ref="B912:I912"/>
    <mergeCell ref="B913:I913"/>
    <mergeCell ref="C914:I914"/>
    <mergeCell ref="B916:I916"/>
    <mergeCell ref="B917:I917"/>
    <mergeCell ref="B918:I918"/>
    <mergeCell ref="B905:I905"/>
    <mergeCell ref="C906:I906"/>
    <mergeCell ref="C907:I907"/>
    <mergeCell ref="B909:I909"/>
    <mergeCell ref="B910:I910"/>
    <mergeCell ref="B911:I911"/>
    <mergeCell ref="C926:I926"/>
    <mergeCell ref="C927:I927"/>
    <mergeCell ref="C928:I928"/>
    <mergeCell ref="C929:I929"/>
    <mergeCell ref="B931:I931"/>
    <mergeCell ref="B932:I932"/>
    <mergeCell ref="B919:I919"/>
    <mergeCell ref="B920:I920"/>
    <mergeCell ref="C922:I922"/>
    <mergeCell ref="C923:I923"/>
    <mergeCell ref="B924:I924"/>
    <mergeCell ref="B925:I925"/>
    <mergeCell ref="B941:I941"/>
    <mergeCell ref="B942:I942"/>
    <mergeCell ref="B943:I943"/>
    <mergeCell ref="C944:I944"/>
    <mergeCell ref="B946:I946"/>
    <mergeCell ref="B947:I947"/>
    <mergeCell ref="B933:I933"/>
    <mergeCell ref="B935:I935"/>
    <mergeCell ref="C936:I936"/>
    <mergeCell ref="C937:I937"/>
    <mergeCell ref="B939:I939"/>
    <mergeCell ref="B940:I940"/>
    <mergeCell ref="C962:I962"/>
    <mergeCell ref="C963:I963"/>
    <mergeCell ref="C955:I955"/>
    <mergeCell ref="B957:I957"/>
    <mergeCell ref="B958:I958"/>
    <mergeCell ref="B959:I959"/>
    <mergeCell ref="B960:I960"/>
    <mergeCell ref="B961:I961"/>
    <mergeCell ref="B948:I948"/>
    <mergeCell ref="B949:I949"/>
    <mergeCell ref="B950:I950"/>
    <mergeCell ref="B952:I952"/>
    <mergeCell ref="C953:I953"/>
    <mergeCell ref="C954:I954"/>
  </mergeCells>
  <hyperlinks>
    <hyperlink ref="C639" r:id="rId1" xr:uid="{1F08962D-FDD6-434B-8019-DC3CBEB2429B}"/>
  </hyperlinks>
  <pageMargins left="0.7" right="0.7" top="0.75" bottom="0.75" header="0.3" footer="0.3"/>
  <pageSetup paperSize="9" orientation="portrait" r:id="rId2"/>
  <ignoredErrors>
    <ignoredError sqref="A10 A3" numberStoredAsText="1"/>
  </ignoredError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
  <dimension ref="A1:I13"/>
  <sheetViews>
    <sheetView showGridLines="0" tabSelected="1" zoomScale="90" zoomScaleNormal="90" workbookViewId="0">
      <pane ySplit="3" topLeftCell="A4" activePane="bottomLeft" state="frozen"/>
      <selection sqref="A1:I1"/>
      <selection pane="bottomLeft" activeCell="A3" sqref="A3"/>
    </sheetView>
  </sheetViews>
  <sheetFormatPr defaultColWidth="9.109375" defaultRowHeight="13.8" x14ac:dyDescent="0.3"/>
  <cols>
    <col min="1" max="1" width="5.88671875" style="9" customWidth="1"/>
    <col min="2" max="2" width="5.6640625" style="10" customWidth="1"/>
    <col min="3" max="9" width="23.6640625" style="10" customWidth="1"/>
    <col min="10" max="16384" width="9.109375" style="10"/>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69" customFormat="1" ht="18.899999999999999" customHeight="1" x14ac:dyDescent="0.3">
      <c r="A3" s="87">
        <v>1</v>
      </c>
      <c r="B3" s="237" t="s">
        <v>5</v>
      </c>
      <c r="C3" s="237"/>
      <c r="D3" s="237"/>
      <c r="E3" s="237"/>
      <c r="F3" s="237"/>
      <c r="G3" s="237"/>
      <c r="H3" s="237"/>
      <c r="I3" s="237"/>
    </row>
    <row r="4" spans="1:9" s="69" customFormat="1" ht="12" customHeight="1" x14ac:dyDescent="0.3">
      <c r="A4" s="81"/>
      <c r="B4" s="82"/>
      <c r="C4" s="82"/>
      <c r="D4" s="82"/>
      <c r="E4" s="82"/>
      <c r="F4" s="82"/>
      <c r="G4" s="82"/>
      <c r="H4" s="82"/>
      <c r="I4" s="82"/>
    </row>
    <row r="5" spans="1:9" s="69" customFormat="1" ht="14.4" x14ac:dyDescent="0.3">
      <c r="A5" s="68"/>
      <c r="C5" s="238" t="s">
        <v>653</v>
      </c>
      <c r="D5" s="239"/>
      <c r="E5" s="240" t="str">
        <f>_xlfn.CONCAT(_xlfn.XLOOKUP("[S01_InstitutionDetails][0][NameAndDepartment]",Submission!$O:$O,Submission!$H:$N,""))</f>
        <v>Ministry of Economy and Sustainable Development, Institute for Environment and Nature</v>
      </c>
      <c r="F5" s="241"/>
      <c r="G5" s="241"/>
      <c r="H5" s="241"/>
      <c r="I5" s="242"/>
    </row>
    <row r="6" spans="1:9" s="69" customFormat="1" ht="14.4" x14ac:dyDescent="0.3">
      <c r="A6" s="68"/>
      <c r="C6" s="238" t="s">
        <v>654</v>
      </c>
      <c r="D6" s="239"/>
      <c r="E6" s="240" t="str">
        <f>_xlfn.CONCAT(_xlfn.XLOOKUP("[S01_InstitutionDetails][0][ContactPersonName]",Submission!$O:$O,Submission!$H:$N,""))</f>
        <v>Vana Mitrović Vudrić</v>
      </c>
      <c r="F6" s="241"/>
      <c r="G6" s="241"/>
      <c r="H6" s="241"/>
      <c r="I6" s="242"/>
    </row>
    <row r="7" spans="1:9" s="69" customFormat="1" ht="14.4" x14ac:dyDescent="0.3">
      <c r="A7" s="68"/>
      <c r="C7" s="238" t="s">
        <v>655</v>
      </c>
      <c r="D7" s="239"/>
      <c r="E7" s="240" t="str">
        <f>_xlfn.CONCAT(_xlfn.XLOOKUP("[S01_InstitutionDetails][0][ContactPersonJobTitle]",Submission!$O:$O,Submission!$H:$N,""))</f>
        <v>Head of Climate Activity Department</v>
      </c>
      <c r="F7" s="241"/>
      <c r="G7" s="241"/>
      <c r="H7" s="241"/>
      <c r="I7" s="242"/>
    </row>
    <row r="8" spans="1:9" s="69" customFormat="1" ht="14.4" x14ac:dyDescent="0.3">
      <c r="A8" s="68"/>
      <c r="C8" s="238" t="s">
        <v>656</v>
      </c>
      <c r="D8" s="239"/>
      <c r="E8" s="240" t="str">
        <f>_xlfn.CONCAT(_xlfn.XLOOKUP("[S01_InstitutionDetails][0][Address]",Submission!$O:$O,Submission!$H:$N,""))</f>
        <v>Radnička cesta 80, 10000 Zagreb</v>
      </c>
      <c r="F8" s="241"/>
      <c r="G8" s="241"/>
      <c r="H8" s="241"/>
      <c r="I8" s="242"/>
    </row>
    <row r="9" spans="1:9" s="69" customFormat="1" ht="14.4" x14ac:dyDescent="0.3">
      <c r="A9" s="68"/>
      <c r="C9" s="238" t="s">
        <v>657</v>
      </c>
      <c r="D9" s="239"/>
      <c r="E9" s="243" t="str">
        <f>_xlfn.CONCAT(_xlfn.XLOOKUP("[S01_InstitutionDetails][0][InternationalTelephoneNumber]",Submission!$O:$O,Submission!$H:$N,""))</f>
        <v>38514886849</v>
      </c>
      <c r="F9" s="244"/>
      <c r="G9" s="244"/>
      <c r="H9" s="244"/>
      <c r="I9" s="245"/>
    </row>
    <row r="10" spans="1:9" s="69" customFormat="1" ht="14.4" x14ac:dyDescent="0.3">
      <c r="A10" s="68"/>
      <c r="C10" s="238" t="s">
        <v>658</v>
      </c>
      <c r="D10" s="239"/>
      <c r="E10" s="247" t="str">
        <f>_xlfn.CONCAT(_xlfn.XLOOKUP("[S01_InstitutionDetails][0][EMail]",Submission!$O:$O,Submission!$H:$N,""))</f>
        <v>vana.mitrovicvudric@mingor.hr</v>
      </c>
      <c r="F10" s="241"/>
      <c r="G10" s="241"/>
      <c r="H10" s="241"/>
      <c r="I10" s="242"/>
    </row>
    <row r="11" spans="1:9" s="79" customFormat="1" ht="14.4" x14ac:dyDescent="0.3">
      <c r="A11" s="78"/>
      <c r="C11" s="246" t="s">
        <v>1766</v>
      </c>
      <c r="D11" s="239"/>
      <c r="E11" s="240" t="str">
        <f>_xlfn.CONCAT(_xlfn.XLOOKUP("[S01_InstitutionDetails][0][ReportingYear]",Submission!$O:$O,Submission!$H:$N,""))</f>
        <v>2021</v>
      </c>
      <c r="F11" s="241"/>
      <c r="G11" s="241"/>
      <c r="H11" s="241"/>
      <c r="I11" s="242"/>
    </row>
    <row r="13" spans="1:9" x14ac:dyDescent="0.3">
      <c r="C13" s="25"/>
    </row>
  </sheetData>
  <mergeCells count="16">
    <mergeCell ref="E8:I8"/>
    <mergeCell ref="E9:I9"/>
    <mergeCell ref="C11:D11"/>
    <mergeCell ref="E11:I11"/>
    <mergeCell ref="C8:D8"/>
    <mergeCell ref="C9:D9"/>
    <mergeCell ref="C10:D10"/>
    <mergeCell ref="E10:I10"/>
    <mergeCell ref="A1:I1"/>
    <mergeCell ref="B3:I3"/>
    <mergeCell ref="C5:D5"/>
    <mergeCell ref="C6:D6"/>
    <mergeCell ref="C7:D7"/>
    <mergeCell ref="E5:I5"/>
    <mergeCell ref="E6:I6"/>
    <mergeCell ref="E7:I7"/>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dimension ref="A1:K108"/>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3.8" outlineLevelRow="1" x14ac:dyDescent="0.3"/>
  <cols>
    <col min="1" max="1" width="5.88671875" style="78" customWidth="1"/>
    <col min="2" max="2" width="5.6640625" style="79" customWidth="1"/>
    <col min="3" max="9" width="23.6640625" style="79" customWidth="1"/>
    <col min="10" max="10" width="19.5546875" style="10" customWidth="1"/>
    <col min="11" max="16384" width="9.109375" style="10"/>
  </cols>
  <sheetData>
    <row r="1" spans="1:11" s="7" customFormat="1" ht="19.95" customHeight="1" x14ac:dyDescent="0.3">
      <c r="A1" s="193" t="s">
        <v>1792</v>
      </c>
      <c r="B1" s="193"/>
      <c r="C1" s="193"/>
      <c r="D1" s="193"/>
      <c r="E1" s="193"/>
      <c r="F1" s="193"/>
      <c r="G1" s="193"/>
      <c r="H1" s="193"/>
      <c r="I1" s="193"/>
    </row>
    <row r="2" spans="1:11" s="7" customFormat="1" ht="4.95" customHeight="1" x14ac:dyDescent="0.3">
      <c r="A2" s="68"/>
      <c r="B2" s="69"/>
      <c r="C2" s="69"/>
      <c r="D2" s="69"/>
      <c r="E2" s="69"/>
      <c r="F2" s="69"/>
      <c r="G2" s="69"/>
      <c r="H2" s="69"/>
      <c r="I2" s="69"/>
    </row>
    <row r="3" spans="1:11" s="69" customFormat="1" ht="18.75" customHeight="1" x14ac:dyDescent="0.3">
      <c r="A3" s="87">
        <v>2</v>
      </c>
      <c r="B3" s="237" t="s">
        <v>659</v>
      </c>
      <c r="C3" s="237"/>
      <c r="D3" s="237"/>
      <c r="E3" s="237"/>
      <c r="F3" s="237"/>
      <c r="G3" s="237"/>
      <c r="H3" s="237"/>
      <c r="I3" s="237"/>
    </row>
    <row r="4" spans="1:11" s="69" customFormat="1" ht="15.6" x14ac:dyDescent="0.3">
      <c r="A4" s="57" t="s">
        <v>12</v>
      </c>
      <c r="B4" s="269" t="s">
        <v>660</v>
      </c>
      <c r="C4" s="270"/>
      <c r="D4" s="270"/>
      <c r="E4" s="270"/>
      <c r="F4" s="270"/>
      <c r="G4" s="270"/>
      <c r="H4" s="270"/>
      <c r="I4" s="270"/>
    </row>
    <row r="5" spans="1:11" s="27" customFormat="1" ht="34.950000000000003" customHeight="1" x14ac:dyDescent="0.3">
      <c r="A5" s="144"/>
      <c r="B5" s="271" t="s">
        <v>661</v>
      </c>
      <c r="C5" s="272"/>
      <c r="D5" s="272"/>
      <c r="E5" s="272"/>
      <c r="F5" s="272"/>
      <c r="G5" s="272"/>
      <c r="H5" s="272"/>
      <c r="I5" s="272"/>
      <c r="K5" s="159"/>
    </row>
    <row r="6" spans="1:11" s="58" customFormat="1" ht="15.9" customHeight="1" x14ac:dyDescent="0.3">
      <c r="C6" s="67" t="s">
        <v>662</v>
      </c>
      <c r="D6" s="53" t="s">
        <v>663</v>
      </c>
      <c r="E6" s="70" t="s">
        <v>664</v>
      </c>
      <c r="F6" s="53" t="s">
        <v>665</v>
      </c>
      <c r="G6" s="53" t="s">
        <v>666</v>
      </c>
      <c r="H6" s="44" t="s">
        <v>667</v>
      </c>
      <c r="I6" s="44" t="s">
        <v>668</v>
      </c>
      <c r="J6" s="69"/>
    </row>
    <row r="7" spans="1:11" s="58" customFormat="1" ht="15.9" customHeight="1" x14ac:dyDescent="0.3">
      <c r="B7" s="79"/>
      <c r="C7" s="71" t="str">
        <f>_xlfn.CONCAT(_xlfn.XLOOKUP("[S02_CompetentAuthority][1][CAName]",Submission!$O:$O,Submission!$H:$N,""))</f>
        <v xml:space="preserve">Ministry of Economy and Sustainable Development </v>
      </c>
      <c r="D7" s="72" t="str">
        <f>_xlfn.CONCAT(_xlfn.XLOOKUP("[S02_CompetentAuthority][1][CAAbbreviation]",Submission!$O:$O,Submission!$H:$N,""))</f>
        <v>MINGOR</v>
      </c>
      <c r="E7" s="72" t="str">
        <f>_xlfn.CONCAT(_xlfn.XLOOKUP("[S02_CompetentAuthority][1][CAType]",Submission!$O:$O,Submission!$H:$N,""))</f>
        <v>Central competent authority</v>
      </c>
      <c r="F7" s="105" t="str">
        <f>_xlfn.CONCAT(_xlfn.XLOOKUP("[S02_CompetentAuthority][1][CANumber]",Submission!$O:$O,Submission!$H:$N,""))</f>
        <v/>
      </c>
      <c r="G7" s="172" t="str">
        <f>_xlfn.CONCAT(_xlfn.XLOOKUP("[S02_CompetentAuthority][1][CATelephone]",Submission!$O:$O,Submission!$H:$N,""))</f>
        <v xml:space="preserve">00385 1 3717909 </v>
      </c>
      <c r="H7" s="83" t="str">
        <f>_xlfn.CONCAT(_xlfn.XLOOKUP("[S02_CompetentAuthority][1][CAEmail]",Submission!$O:$O,Submission!$H:$N,""))</f>
        <v>ets-postrojenja@mingor.hr</v>
      </c>
      <c r="I7" s="72" t="str">
        <f>_xlfn.CONCAT(_xlfn.XLOOKUP("[S02_CompetentAuthority][1][CAWebsite]",Submission!$O:$O,Submission!$H:$N,""))</f>
        <v>https://mingor.gov.hr/</v>
      </c>
      <c r="J7" s="79"/>
    </row>
    <row r="8" spans="1:11" s="58" customFormat="1" ht="15.9" customHeight="1" x14ac:dyDescent="0.3">
      <c r="B8" s="79"/>
      <c r="C8" s="71" t="str">
        <f>_xlfn.CONCAT(_xlfn.XLOOKUP("[S02_CompetentAuthority][2][CAName]",Submission!$O:$O,Submission!$H:$N,""))</f>
        <v>State Inspectorate of the Republic of Croatia</v>
      </c>
      <c r="D8" s="72" t="str">
        <f>_xlfn.CONCAT(_xlfn.XLOOKUP("[S02_CompetentAuthority][2][CAAbbreviation]",Submission!$O:$O,Submission!$H:$N,""))</f>
        <v>DIRH</v>
      </c>
      <c r="E8" s="72" t="str">
        <f>_xlfn.CONCAT(_xlfn.XLOOKUP("[S02_CompetentAuthority][2][CAType]",Submission!$O:$O,Submission!$H:$N,""))</f>
        <v>Central competent authority</v>
      </c>
      <c r="F8" s="105" t="str">
        <f>_xlfn.CONCAT(_xlfn.XLOOKUP("[S02_CompetentAuthority][2][CANumber]",Submission!$O:$O,Submission!$H:$N,""))</f>
        <v/>
      </c>
      <c r="G8" s="172" t="str">
        <f>_xlfn.CONCAT(_xlfn.XLOOKUP("[S02_CompetentAuthority][2][CATelephone]",Submission!$O:$O,Submission!$H:$N,""))</f>
        <v>00385 1 2375100</v>
      </c>
      <c r="H8" s="83" t="str">
        <f>_xlfn.CONCAT(_xlfn.XLOOKUP("[S02_CompetentAuthority][2][CAEmail]",Submission!$O:$O,Submission!$H:$N,""))</f>
        <v>pisarnica.dirh@dirh.hr</v>
      </c>
      <c r="I8" s="72" t="str">
        <f>_xlfn.CONCAT(_xlfn.XLOOKUP("[S02_CompetentAuthority][2][CAWebsite]",Submission!$O:$O,Submission!$H:$N,""))</f>
        <v>https://dirh.gov.hr/</v>
      </c>
      <c r="J8" s="79"/>
    </row>
    <row r="9" spans="1:11" s="58" customFormat="1" ht="15.9" customHeight="1" x14ac:dyDescent="0.3">
      <c r="B9" s="79"/>
      <c r="C9" s="71" t="str">
        <f>_xlfn.CONCAT(_xlfn.XLOOKUP("[S02_CompetentAuthority][3][CAName]",Submission!$O:$O,Submission!$H:$N,""))</f>
        <v>Environmental Protection and Energy Efficiency Fund</v>
      </c>
      <c r="D9" s="72" t="str">
        <f>_xlfn.CONCAT(_xlfn.XLOOKUP("[S02_CompetentAuthority][3][CAAbbreviation]",Submission!$O:$O,Submission!$H:$N,""))</f>
        <v>FZOEU</v>
      </c>
      <c r="E9" s="72" t="str">
        <f>_xlfn.CONCAT(_xlfn.XLOOKUP("[S02_CompetentAuthority][3][CAType]",Submission!$O:$O,Submission!$H:$N,""))</f>
        <v>Central competent authority</v>
      </c>
      <c r="F9" s="105" t="str">
        <f>_xlfn.CONCAT(_xlfn.XLOOKUP("[S02_CompetentAuthority][3][CANumber]",Submission!$O:$O,Submission!$H:$N,""))</f>
        <v/>
      </c>
      <c r="G9" s="172" t="str">
        <f>_xlfn.CONCAT(_xlfn.XLOOKUP("[S02_CompetentAuthority][3][CATelephone]",Submission!$O:$O,Submission!$H:$N,""))</f>
        <v>00385 1 5391800</v>
      </c>
      <c r="H9" s="83" t="str">
        <f>_xlfn.CONCAT(_xlfn.XLOOKUP("[S02_CompetentAuthority][3][CAEmail]",Submission!$O:$O,Submission!$H:$N,""))</f>
        <v>kontakt@fzoeu.hr</v>
      </c>
      <c r="I9" s="72" t="str">
        <f>_xlfn.CONCAT(_xlfn.XLOOKUP("[S02_CompetentAuthority][3][CAWebsite]",Submission!$O:$O,Submission!$H:$N,""))</f>
        <v>https://www.fzoeu.hr/</v>
      </c>
      <c r="J9" s="79"/>
    </row>
    <row r="10" spans="1:11" s="58" customFormat="1" ht="15.9" customHeight="1" x14ac:dyDescent="0.3">
      <c r="B10" s="79"/>
      <c r="C10" s="71" t="str">
        <f>_xlfn.CONCAT(_xlfn.XLOOKUP("[S02_CompetentAuthority][4][CAName]",Submission!$O:$O,Submission!$H:$N,""))</f>
        <v/>
      </c>
      <c r="D10" s="72" t="str">
        <f>_xlfn.CONCAT(_xlfn.XLOOKUP("[S02_CompetentAuthority][4][CAAbbreviation]",Submission!$O:$O,Submission!$H:$N,""))</f>
        <v/>
      </c>
      <c r="E10" s="72" t="str">
        <f>_xlfn.CONCAT(_xlfn.XLOOKUP("[S02_CompetentAuthority][4][CAType]",Submission!$O:$O,Submission!$H:$N,""))</f>
        <v/>
      </c>
      <c r="F10" s="105" t="str">
        <f>_xlfn.CONCAT(_xlfn.XLOOKUP("[S02_CompetentAuthority][4][CANumber]",Submission!$O:$O,Submission!$H:$N,""))</f>
        <v/>
      </c>
      <c r="G10" s="172" t="str">
        <f>_xlfn.CONCAT(_xlfn.XLOOKUP("[S02_CompetentAuthority][4][CATelephone]",Submission!$O:$O,Submission!$H:$N,""))</f>
        <v/>
      </c>
      <c r="H10" s="83" t="str">
        <f>_xlfn.CONCAT(_xlfn.XLOOKUP("[S02_CompetentAuthority][4][CAEmail]",Submission!$O:$O,Submission!$H:$N,""))</f>
        <v/>
      </c>
      <c r="I10" s="72" t="str">
        <f>_xlfn.CONCAT(_xlfn.XLOOKUP("[S02_CompetentAuthority][4][CAWebsite]",Submission!$O:$O,Submission!$H:$N,""))</f>
        <v/>
      </c>
      <c r="J10" s="79"/>
    </row>
    <row r="11" spans="1:11" s="58" customFormat="1" ht="41.4" x14ac:dyDescent="0.3">
      <c r="B11" s="79"/>
      <c r="C11" s="71" t="str">
        <f>_xlfn.CONCAT(_xlfn.XLOOKUP("[S02_CompetentAuthority][5][CAName]",Submission!$O:$O,Submission!$H:$N,""))</f>
        <v/>
      </c>
      <c r="D11" s="72" t="str">
        <f>_xlfn.CONCAT(_xlfn.XLOOKUP("[S02_CompetentAuthority][5][CAAbbreviation]",Submission!$O:$O,Submission!$H:$N,""))</f>
        <v/>
      </c>
      <c r="E11" s="72" t="str">
        <f>_xlfn.CONCAT(_xlfn.XLOOKUP("[S02_CompetentAuthority][5][CAType]",Submission!$O:$O,Submission!$H:$N,""))</f>
        <v/>
      </c>
      <c r="F11" s="105" t="str">
        <f>_xlfn.CONCAT(_xlfn.XLOOKUP("[S02_CompetentAuthority][5][CANumber]",Submission!$O:$O,Submission!$H:$N,""))</f>
        <v/>
      </c>
      <c r="G11" s="172" t="str">
        <f>_xlfn.CONCAT(_xlfn.XLOOKUP("[S02_CompetentAuthority][5][CATelephone]",Submission!$O:$O,Submission!$H:$N,""))</f>
        <v/>
      </c>
      <c r="H11" s="83" t="str">
        <f>_xlfn.CONCAT(_xlfn.XLOOKUP("[S02_CompetentAuthority][5][CAEmail]",Submission!$O:$O,Submission!$H:$N,""))</f>
        <v/>
      </c>
      <c r="I11" s="72" t="str">
        <f>_xlfn.CONCAT(_xlfn.XLOOKUP("[S02_CompetentAuthority][5][CAWebsite]",Submission!$O:$O,Submission!$H:$N,""))</f>
        <v/>
      </c>
      <c r="J11" s="79"/>
    </row>
    <row r="12" spans="1:11" s="58" customFormat="1" ht="15.6" hidden="1" outlineLevel="1" x14ac:dyDescent="0.3">
      <c r="B12" s="79"/>
      <c r="C12" s="71" t="str">
        <f>_xlfn.CONCAT(_xlfn.XLOOKUP("[S02_CompetentAuthority][6][CAName]",Submission!$O:$O,Submission!$H:$N,""))</f>
        <v/>
      </c>
      <c r="D12" s="72" t="str">
        <f>_xlfn.CONCAT(_xlfn.XLOOKUP("[S02_CompetentAuthority][6][CAAbbreviation]",Submission!$O:$O,Submission!$H:$N,""))</f>
        <v/>
      </c>
      <c r="E12" s="72" t="str">
        <f>_xlfn.CONCAT(_xlfn.XLOOKUP("[S02_CompetentAuthority][6][CAType]",Submission!$O:$O,Submission!$H:$N,""))</f>
        <v/>
      </c>
      <c r="F12" s="103" t="str">
        <f>_xlfn.CONCAT(_xlfn.XLOOKUP("[S02_CompetentAuthority][6][CANumber]",Submission!$O:$O,Submission!$H:$N,""))</f>
        <v/>
      </c>
      <c r="G12" s="172" t="str">
        <f>_xlfn.CONCAT(_xlfn.XLOOKUP("[S02_CompetentAuthority][6][CATelephone]",Submission!$O:$O,Submission!$H:$N,""))</f>
        <v/>
      </c>
      <c r="H12" s="83" t="str">
        <f>_xlfn.CONCAT(_xlfn.XLOOKUP("[S02_CompetentAuthority][6][CAEmail]",Submission!$O:$O,Submission!$H:$N,""))</f>
        <v/>
      </c>
      <c r="I12" s="72" t="str">
        <f>_xlfn.CONCAT(_xlfn.XLOOKUP("[S02_CompetentAuthority][6][CAWebsite]",Submission!$O:$O,Submission!$H:$N,""))</f>
        <v/>
      </c>
      <c r="J12" s="79"/>
    </row>
    <row r="13" spans="1:11" s="58" customFormat="1" ht="27.6" hidden="1" outlineLevel="1" x14ac:dyDescent="0.3">
      <c r="B13" s="79"/>
      <c r="C13" s="71" t="str">
        <f>_xlfn.CONCAT(_xlfn.XLOOKUP("[S02_CompetentAuthority][7][CAName]",Submission!$O:$O,Submission!$H:$N,""))</f>
        <v/>
      </c>
      <c r="D13" s="72" t="str">
        <f>_xlfn.CONCAT(_xlfn.XLOOKUP("[S02_CompetentAuthority][7][CAAbbreviation]",Submission!$O:$O,Submission!$H:$N,""))</f>
        <v/>
      </c>
      <c r="E13" s="72" t="str">
        <f>_xlfn.CONCAT(_xlfn.XLOOKUP("[S02_CompetentAuthority][7][CAType]",Submission!$O:$O,Submission!$H:$N,""))</f>
        <v/>
      </c>
      <c r="F13" s="103" t="str">
        <f>_xlfn.CONCAT(_xlfn.XLOOKUP("[S02_CompetentAuthority][7][CANumber]",Submission!$O:$O,Submission!$H:$N,""))</f>
        <v/>
      </c>
      <c r="G13" s="172" t="str">
        <f>_xlfn.CONCAT(_xlfn.XLOOKUP("[S02_CompetentAuthority][7][CATelephone]",Submission!$O:$O,Submission!$H:$N,""))</f>
        <v/>
      </c>
      <c r="H13" s="83" t="str">
        <f>_xlfn.CONCAT(_xlfn.XLOOKUP("[S02_CompetentAuthority][7][CAEmail]",Submission!$O:$O,Submission!$H:$N,""))</f>
        <v/>
      </c>
      <c r="I13" s="72" t="str">
        <f>_xlfn.CONCAT(_xlfn.XLOOKUP("[S02_CompetentAuthority][7][CAWebsite]",Submission!$O:$O,Submission!$H:$N,""))</f>
        <v/>
      </c>
      <c r="J13" s="79"/>
    </row>
    <row r="14" spans="1:11" s="58" customFormat="1" ht="15.6" hidden="1" outlineLevel="1" x14ac:dyDescent="0.3">
      <c r="B14" s="79"/>
      <c r="C14" s="71" t="str">
        <f>_xlfn.CONCAT(_xlfn.XLOOKUP("[S02_CompetentAuthority][8][CAName]",Submission!$O:$O,Submission!$H:$N,""))</f>
        <v/>
      </c>
      <c r="D14" s="72" t="str">
        <f>_xlfn.CONCAT(_xlfn.XLOOKUP("[S02_CompetentAuthority][8][CAAbbreviation]",Submission!$O:$O,Submission!$H:$N,""))</f>
        <v/>
      </c>
      <c r="E14" s="72" t="str">
        <f>_xlfn.CONCAT(_xlfn.XLOOKUP("[S02_CompetentAuthority][8][CAType]",Submission!$O:$O,Submission!$H:$N,""))</f>
        <v/>
      </c>
      <c r="F14" s="103" t="str">
        <f>_xlfn.CONCAT(_xlfn.XLOOKUP("[S02_CompetentAuthority][8][CANumber]",Submission!$O:$O,Submission!$H:$N,""))</f>
        <v/>
      </c>
      <c r="G14" s="172" t="str">
        <f>_xlfn.CONCAT(_xlfn.XLOOKUP("[S02_CompetentAuthority][8][CATelephone]",Submission!$O:$O,Submission!$H:$N,""))</f>
        <v/>
      </c>
      <c r="H14" s="83" t="str">
        <f>_xlfn.CONCAT(_xlfn.XLOOKUP("[S02_CompetentAuthority][8][CAEmail]",Submission!$O:$O,Submission!$H:$N,""))</f>
        <v/>
      </c>
      <c r="I14" s="72" t="str">
        <f>_xlfn.CONCAT(_xlfn.XLOOKUP("[S02_CompetentAuthority][8][CAWebsite]",Submission!$O:$O,Submission!$H:$N,""))</f>
        <v/>
      </c>
      <c r="J14" s="79"/>
    </row>
    <row r="15" spans="1:11" s="58" customFormat="1" ht="15.6" hidden="1" outlineLevel="1" x14ac:dyDescent="0.3">
      <c r="B15" s="79"/>
      <c r="C15" s="71" t="str">
        <f>_xlfn.CONCAT(_xlfn.XLOOKUP("[S02_CompetentAuthority][9][CAName]",Submission!$O:$O,Submission!$H:$N,""))</f>
        <v/>
      </c>
      <c r="D15" s="72" t="str">
        <f>_xlfn.CONCAT(_xlfn.XLOOKUP("[S02_CompetentAuthority][9][CAAbbreviation]",Submission!$O:$O,Submission!$H:$N,""))</f>
        <v/>
      </c>
      <c r="E15" s="72" t="str">
        <f>_xlfn.CONCAT(_xlfn.XLOOKUP("[S02_CompetentAuthority][9][CAType]",Submission!$O:$O,Submission!$H:$N,""))</f>
        <v/>
      </c>
      <c r="F15" s="103" t="str">
        <f>_xlfn.CONCAT(_xlfn.XLOOKUP("[S02_CompetentAuthority][9][CANumber]",Submission!$O:$O,Submission!$H:$N,""))</f>
        <v/>
      </c>
      <c r="G15" s="172" t="str">
        <f>_xlfn.CONCAT(_xlfn.XLOOKUP("[S02_CompetentAuthority][9][CATelephone]",Submission!$O:$O,Submission!$H:$N,""))</f>
        <v/>
      </c>
      <c r="H15" s="83" t="str">
        <f>_xlfn.CONCAT(_xlfn.XLOOKUP("[S02_CompetentAuthority][9][CAEmail]",Submission!$O:$O,Submission!$H:$N,""))</f>
        <v/>
      </c>
      <c r="I15" s="72" t="str">
        <f>_xlfn.CONCAT(_xlfn.XLOOKUP("[S02_CompetentAuthority][9][CAWebsite]",Submission!$O:$O,Submission!$H:$N,""))</f>
        <v/>
      </c>
      <c r="J15" s="79"/>
    </row>
    <row r="16" spans="1:11" s="58" customFormat="1" ht="15.6" hidden="1" outlineLevel="1" x14ac:dyDescent="0.3">
      <c r="B16" s="79"/>
      <c r="C16" s="71" t="str">
        <f>_xlfn.CONCAT(_xlfn.XLOOKUP("[S02_CompetentAuthority][10][CAName]",Submission!$O:$O,Submission!$H:$N,""))</f>
        <v/>
      </c>
      <c r="D16" s="72" t="str">
        <f>_xlfn.CONCAT(_xlfn.XLOOKUP("[S02_CompetentAuthority][10][CAAbbreviation]",Submission!$O:$O,Submission!$H:$N,""))</f>
        <v/>
      </c>
      <c r="E16" s="72" t="str">
        <f>_xlfn.CONCAT(_xlfn.XLOOKUP("[S02_CompetentAuthority][10][CAType]",Submission!$O:$O,Submission!$H:$N,""))</f>
        <v/>
      </c>
      <c r="F16" s="103" t="str">
        <f>_xlfn.CONCAT(_xlfn.XLOOKUP("[S02_CompetentAuthority][10][CANumber]",Submission!$O:$O,Submission!$H:$N,""))</f>
        <v/>
      </c>
      <c r="G16" s="172" t="str">
        <f>_xlfn.CONCAT(_xlfn.XLOOKUP("[S02_CompetentAuthority][10][CATelephone]",Submission!$O:$O,Submission!$H:$N,""))</f>
        <v/>
      </c>
      <c r="H16" s="83" t="str">
        <f>_xlfn.CONCAT(_xlfn.XLOOKUP("[S02_CompetentAuthority][10][CAEmail]",Submission!$O:$O,Submission!$H:$N,""))</f>
        <v/>
      </c>
      <c r="I16" s="72" t="str">
        <f>_xlfn.CONCAT(_xlfn.XLOOKUP("[S02_CompetentAuthority][10][CAWebsite]",Submission!$O:$O,Submission!$H:$N,""))</f>
        <v/>
      </c>
      <c r="J16" s="79"/>
    </row>
    <row r="17" spans="2:11" s="58" customFormat="1" ht="15.6" hidden="1" outlineLevel="1" x14ac:dyDescent="0.3">
      <c r="B17" s="79"/>
      <c r="C17" s="71" t="str">
        <f>_xlfn.CONCAT(_xlfn.XLOOKUP("[S02_CompetentAuthority][11][CAName]",Submission!$O:$O,Submission!$H:$N,""))</f>
        <v/>
      </c>
      <c r="D17" s="72" t="str">
        <f>_xlfn.CONCAT(_xlfn.XLOOKUP("[S02_CompetentAuthority][11][CAAbbreviation]",Submission!$O:$O,Submission!$H:$N,""))</f>
        <v/>
      </c>
      <c r="E17" s="72" t="str">
        <f>_xlfn.CONCAT(_xlfn.XLOOKUP("[S02_CompetentAuthority][11][CAType]",Submission!$O:$O,Submission!$H:$N,""))</f>
        <v/>
      </c>
      <c r="F17" s="103" t="str">
        <f>_xlfn.CONCAT(_xlfn.XLOOKUP("[S02_CompetentAuthority][11][CANumber]",Submission!$O:$O,Submission!$H:$N,""))</f>
        <v/>
      </c>
      <c r="G17" s="172" t="str">
        <f>_xlfn.CONCAT(_xlfn.XLOOKUP("[S02_CompetentAuthority][11][CATelephone]",Submission!$O:$O,Submission!$H:$N,""))</f>
        <v/>
      </c>
      <c r="H17" s="83" t="str">
        <f>_xlfn.CONCAT(_xlfn.XLOOKUP("[S02_CompetentAuthority][11][CAEmail]",Submission!$O:$O,Submission!$H:$N,""))</f>
        <v/>
      </c>
      <c r="I17" s="72" t="str">
        <f>_xlfn.CONCAT(_xlfn.XLOOKUP("[S02_CompetentAuthority][11][CAWebsite]",Submission!$O:$O,Submission!$H:$N,""))</f>
        <v/>
      </c>
      <c r="J17" s="79"/>
    </row>
    <row r="18" spans="2:11" s="58" customFormat="1" ht="15.6" hidden="1" outlineLevel="1" x14ac:dyDescent="0.3">
      <c r="B18" s="79"/>
      <c r="C18" s="71" t="str">
        <f>_xlfn.CONCAT(_xlfn.XLOOKUP("[S02_CompetentAuthority][12][CAName]",Submission!$O:$O,Submission!$H:$N,""))</f>
        <v/>
      </c>
      <c r="D18" s="72" t="str">
        <f>_xlfn.CONCAT(_xlfn.XLOOKUP("[S02_CompetentAuthority][12][CAAbbreviation]",Submission!$O:$O,Submission!$H:$N,""))</f>
        <v/>
      </c>
      <c r="E18" s="72" t="str">
        <f>_xlfn.CONCAT(_xlfn.XLOOKUP("[S02_CompetentAuthority][12][CAType]",Submission!$O:$O,Submission!$H:$N,""))</f>
        <v/>
      </c>
      <c r="F18" s="103" t="str">
        <f>_xlfn.CONCAT(_xlfn.XLOOKUP("[S02_CompetentAuthority][12][CANumber]",Submission!$O:$O,Submission!$H:$N,""))</f>
        <v/>
      </c>
      <c r="G18" s="172" t="str">
        <f>_xlfn.CONCAT(_xlfn.XLOOKUP("[S02_CompetentAuthority][12][CATelephone]",Submission!$O:$O,Submission!$H:$N,""))</f>
        <v/>
      </c>
      <c r="H18" s="83" t="str">
        <f>_xlfn.CONCAT(_xlfn.XLOOKUP("[S02_CompetentAuthority][12][CAEmail]",Submission!$O:$O,Submission!$H:$N,""))</f>
        <v/>
      </c>
      <c r="I18" s="72" t="str">
        <f>_xlfn.CONCAT(_xlfn.XLOOKUP("[S02_CompetentAuthority][12][CAWebsite]",Submission!$O:$O,Submission!$H:$N,""))</f>
        <v/>
      </c>
      <c r="J18" s="79"/>
    </row>
    <row r="19" spans="2:11" s="58" customFormat="1" ht="15.6" hidden="1" outlineLevel="1" x14ac:dyDescent="0.3">
      <c r="B19" s="79"/>
      <c r="C19" s="71" t="str">
        <f>_xlfn.CONCAT(_xlfn.XLOOKUP("[S02_CompetentAuthority][13][CAName]",Submission!$O:$O,Submission!$H:$N,""))</f>
        <v/>
      </c>
      <c r="D19" s="72" t="str">
        <f>_xlfn.CONCAT(_xlfn.XLOOKUP("[S02_CompetentAuthority][13][CAAbbreviation]",Submission!$O:$O,Submission!$H:$N,""))</f>
        <v/>
      </c>
      <c r="E19" s="72" t="str">
        <f>_xlfn.CONCAT(_xlfn.XLOOKUP("[S02_CompetentAuthority][13][CAType]",Submission!$O:$O,Submission!$H:$N,""))</f>
        <v/>
      </c>
      <c r="F19" s="103" t="str">
        <f>_xlfn.CONCAT(_xlfn.XLOOKUP("[S02_CompetentAuthority][13][CANumber]",Submission!$O:$O,Submission!$H:$N,""))</f>
        <v/>
      </c>
      <c r="G19" s="172" t="str">
        <f>_xlfn.CONCAT(_xlfn.XLOOKUP("[S02_CompetentAuthority][13][CATelephone]",Submission!$O:$O,Submission!$H:$N,""))</f>
        <v/>
      </c>
      <c r="H19" s="83" t="str">
        <f>_xlfn.CONCAT(_xlfn.XLOOKUP("[S02_CompetentAuthority][13][CAEmail]",Submission!$O:$O,Submission!$H:$N,""))</f>
        <v/>
      </c>
      <c r="I19" s="72" t="str">
        <f>_xlfn.CONCAT(_xlfn.XLOOKUP("[S02_CompetentAuthority][13][CAWebsite]",Submission!$O:$O,Submission!$H:$N,""))</f>
        <v/>
      </c>
      <c r="J19" s="79"/>
    </row>
    <row r="20" spans="2:11" s="58" customFormat="1" ht="15.6" hidden="1" outlineLevel="1" x14ac:dyDescent="0.3">
      <c r="B20" s="79"/>
      <c r="C20" s="71" t="str">
        <f>_xlfn.CONCAT(_xlfn.XLOOKUP("[S02_CompetentAuthority][14][CAName]",Submission!$O:$O,Submission!$H:$N,""))</f>
        <v/>
      </c>
      <c r="D20" s="72" t="str">
        <f>_xlfn.CONCAT(_xlfn.XLOOKUP("[S02_CompetentAuthority][14][CAAbbreviation]",Submission!$O:$O,Submission!$H:$N,""))</f>
        <v/>
      </c>
      <c r="E20" s="72" t="str">
        <f>_xlfn.CONCAT(_xlfn.XLOOKUP("[S02_CompetentAuthority][14][CAType]",Submission!$O:$O,Submission!$H:$N,""))</f>
        <v/>
      </c>
      <c r="F20" s="103" t="str">
        <f>_xlfn.CONCAT(_xlfn.XLOOKUP("[S02_CompetentAuthority][14][CANumber]",Submission!$O:$O,Submission!$H:$N,""))</f>
        <v/>
      </c>
      <c r="G20" s="172" t="str">
        <f>_xlfn.CONCAT(_xlfn.XLOOKUP("[S02_CompetentAuthority][14][CATelephone]",Submission!$O:$O,Submission!$H:$N,""))</f>
        <v/>
      </c>
      <c r="H20" s="83" t="str">
        <f>_xlfn.CONCAT(_xlfn.XLOOKUP("[S02_CompetentAuthority][14][CAEmail]",Submission!$O:$O,Submission!$H:$N,""))</f>
        <v/>
      </c>
      <c r="I20" s="72" t="str">
        <f>_xlfn.CONCAT(_xlfn.XLOOKUP("[S02_CompetentAuthority][14][CAWebsite]",Submission!$O:$O,Submission!$H:$N,""))</f>
        <v/>
      </c>
      <c r="J20" s="79"/>
    </row>
    <row r="21" spans="2:11" s="58" customFormat="1" ht="15.6" hidden="1" outlineLevel="1" x14ac:dyDescent="0.3">
      <c r="B21" s="79"/>
      <c r="C21" s="71" t="str">
        <f>_xlfn.CONCAT(_xlfn.XLOOKUP("[S02_CompetentAuthority][15][CAName]",Submission!$O:$O,Submission!$H:$N,""))</f>
        <v/>
      </c>
      <c r="D21" s="72" t="str">
        <f>_xlfn.CONCAT(_xlfn.XLOOKUP("[S02_CompetentAuthority][15][CAAbbreviation]",Submission!$O:$O,Submission!$H:$N,""))</f>
        <v/>
      </c>
      <c r="E21" s="72" t="str">
        <f>_xlfn.CONCAT(_xlfn.XLOOKUP("[S02_CompetentAuthority][15][CAType]",Submission!$O:$O,Submission!$H:$N,""))</f>
        <v/>
      </c>
      <c r="F21" s="103" t="str">
        <f>_xlfn.CONCAT(_xlfn.XLOOKUP("[S02_CompetentAuthority][15][CANumber]",Submission!$O:$O,Submission!$H:$N,""))</f>
        <v/>
      </c>
      <c r="G21" s="172" t="str">
        <f>_xlfn.CONCAT(_xlfn.XLOOKUP("[S02_CompetentAuthority][15][CATelephone]",Submission!$O:$O,Submission!$H:$N,""))</f>
        <v/>
      </c>
      <c r="H21" s="83" t="str">
        <f>_xlfn.CONCAT(_xlfn.XLOOKUP("[S02_CompetentAuthority][15][CAEmail]",Submission!$O:$O,Submission!$H:$N,""))</f>
        <v/>
      </c>
      <c r="I21" s="72" t="str">
        <f>_xlfn.CONCAT(_xlfn.XLOOKUP("[S02_CompetentAuthority][15][CAWebsite]",Submission!$O:$O,Submission!$H:$N,""))</f>
        <v/>
      </c>
      <c r="J21" s="79"/>
    </row>
    <row r="22" spans="2:11" s="58" customFormat="1" ht="15.6" hidden="1" outlineLevel="1" x14ac:dyDescent="0.3">
      <c r="B22" s="79"/>
      <c r="C22" s="71" t="str">
        <f>_xlfn.CONCAT(_xlfn.XLOOKUP("[S02_CompetentAuthority][16][CAName]",Submission!$O:$O,Submission!$H:$N,""))</f>
        <v/>
      </c>
      <c r="D22" s="72" t="str">
        <f>_xlfn.CONCAT(_xlfn.XLOOKUP("[S02_CompetentAuthority][16][CAAbbreviation]",Submission!$O:$O,Submission!$H:$N,""))</f>
        <v/>
      </c>
      <c r="E22" s="72" t="str">
        <f>_xlfn.CONCAT(_xlfn.XLOOKUP("[S02_CompetentAuthority][16][CAType]",Submission!$O:$O,Submission!$H:$N,""))</f>
        <v/>
      </c>
      <c r="F22" s="103" t="str">
        <f>_xlfn.CONCAT(_xlfn.XLOOKUP("[S02_CompetentAuthority][16][CANumber]",Submission!$O:$O,Submission!$H:$N,""))</f>
        <v/>
      </c>
      <c r="G22" s="172" t="str">
        <f>_xlfn.CONCAT(_xlfn.XLOOKUP("[S02_CompetentAuthority][16][CATelephone]",Submission!$O:$O,Submission!$H:$N,""))</f>
        <v/>
      </c>
      <c r="H22" s="83" t="str">
        <f>_xlfn.CONCAT(_xlfn.XLOOKUP("[S02_CompetentAuthority][16][CAEmail]",Submission!$O:$O,Submission!$H:$N,""))</f>
        <v/>
      </c>
      <c r="I22" s="72" t="str">
        <f>_xlfn.CONCAT(_xlfn.XLOOKUP("[S02_CompetentAuthority][16][CAWebsite]",Submission!$O:$O,Submission!$H:$N,""))</f>
        <v/>
      </c>
      <c r="J22" s="79"/>
    </row>
    <row r="23" spans="2:11" s="58" customFormat="1" ht="15.6" hidden="1" outlineLevel="1" x14ac:dyDescent="0.3">
      <c r="B23" s="79"/>
      <c r="C23" s="71" t="str">
        <f>_xlfn.CONCAT(_xlfn.XLOOKUP("[S02_CompetentAuthority][17][CAName]",Submission!$O:$O,Submission!$H:$N,""))</f>
        <v/>
      </c>
      <c r="D23" s="72" t="str">
        <f>_xlfn.CONCAT(_xlfn.XLOOKUP("[S02_CompetentAuthority][17][CAAbbreviation]",Submission!$O:$O,Submission!$H:$N,""))</f>
        <v/>
      </c>
      <c r="E23" s="72" t="str">
        <f>_xlfn.CONCAT(_xlfn.XLOOKUP("[S02_CompetentAuthority][17][CAType]",Submission!$O:$O,Submission!$H:$N,""))</f>
        <v/>
      </c>
      <c r="F23" s="103" t="str">
        <f>_xlfn.CONCAT(_xlfn.XLOOKUP("[S02_CompetentAuthority][17][CANumber]",Submission!$O:$O,Submission!$H:$N,""))</f>
        <v/>
      </c>
      <c r="G23" s="172" t="str">
        <f>_xlfn.CONCAT(_xlfn.XLOOKUP("[S02_CompetentAuthority][17][CATelephone]",Submission!$O:$O,Submission!$H:$N,""))</f>
        <v/>
      </c>
      <c r="H23" s="83" t="str">
        <f>_xlfn.CONCAT(_xlfn.XLOOKUP("[S02_CompetentAuthority][17][CAEmail]",Submission!$O:$O,Submission!$H:$N,""))</f>
        <v/>
      </c>
      <c r="I23" s="72" t="str">
        <f>_xlfn.CONCAT(_xlfn.XLOOKUP("[S02_CompetentAuthority][17][CAWebsite]",Submission!$O:$O,Submission!$H:$N,""))</f>
        <v/>
      </c>
      <c r="J23" s="79"/>
    </row>
    <row r="24" spans="2:11" s="58" customFormat="1" ht="15.6" hidden="1" outlineLevel="1" x14ac:dyDescent="0.3">
      <c r="B24" s="79"/>
      <c r="C24" s="71" t="str">
        <f>_xlfn.CONCAT(_xlfn.XLOOKUP("[S02_CompetentAuthority][18][CAName]",Submission!$O:$O,Submission!$H:$N,""))</f>
        <v/>
      </c>
      <c r="D24" s="72" t="str">
        <f>_xlfn.CONCAT(_xlfn.XLOOKUP("[S02_CompetentAuthority][18][CAAbbreviation]",Submission!$O:$O,Submission!$H:$N,""))</f>
        <v/>
      </c>
      <c r="E24" s="72" t="str">
        <f>_xlfn.CONCAT(_xlfn.XLOOKUP("[S02_CompetentAuthority][18][CAType]",Submission!$O:$O,Submission!$H:$N,""))</f>
        <v/>
      </c>
      <c r="F24" s="103" t="str">
        <f>_xlfn.CONCAT(_xlfn.XLOOKUP("[S02_CompetentAuthority][18][CANumber]",Submission!$O:$O,Submission!$H:$N,""))</f>
        <v/>
      </c>
      <c r="G24" s="172" t="str">
        <f>_xlfn.CONCAT(_xlfn.XLOOKUP("[S02_CompetentAuthority][18][CATelephone]",Submission!$O:$O,Submission!$H:$N,""))</f>
        <v/>
      </c>
      <c r="H24" s="83" t="str">
        <f>_xlfn.CONCAT(_xlfn.XLOOKUP("[S02_CompetentAuthority][18][CAEmail]",Submission!$O:$O,Submission!$H:$N,""))</f>
        <v/>
      </c>
      <c r="I24" s="72" t="str">
        <f>_xlfn.CONCAT(_xlfn.XLOOKUP("[S02_CompetentAuthority][18][CAWebsite]",Submission!$O:$O,Submission!$H:$N,""))</f>
        <v/>
      </c>
      <c r="J24" s="79"/>
    </row>
    <row r="25" spans="2:11" s="58" customFormat="1" ht="15.6" hidden="1" outlineLevel="1" x14ac:dyDescent="0.3">
      <c r="B25" s="79"/>
      <c r="C25" s="71" t="str">
        <f>_xlfn.CONCAT(_xlfn.XLOOKUP("[S02_CompetentAuthority][19][CAName]",Submission!$O:$O,Submission!$H:$N,""))</f>
        <v/>
      </c>
      <c r="D25" s="72" t="str">
        <f>_xlfn.CONCAT(_xlfn.XLOOKUP("[S02_CompetentAuthority][19][CAAbbreviation]",Submission!$O:$O,Submission!$H:$N,""))</f>
        <v/>
      </c>
      <c r="E25" s="72" t="str">
        <f>_xlfn.CONCAT(_xlfn.XLOOKUP("[S02_CompetentAuthority][19][CAType]",Submission!$O:$O,Submission!$H:$N,""))</f>
        <v/>
      </c>
      <c r="F25" s="103" t="str">
        <f>_xlfn.CONCAT(_xlfn.XLOOKUP("[S02_CompetentAuthority][19][CANumber]",Submission!$O:$O,Submission!$H:$N,""))</f>
        <v/>
      </c>
      <c r="G25" s="172" t="str">
        <f>_xlfn.CONCAT(_xlfn.XLOOKUP("[S02_CompetentAuthority][19][CATelephone]",Submission!$O:$O,Submission!$H:$N,""))</f>
        <v/>
      </c>
      <c r="H25" s="83" t="str">
        <f>_xlfn.CONCAT(_xlfn.XLOOKUP("[S02_CompetentAuthority][19][CAEmail]",Submission!$O:$O,Submission!$H:$N,""))</f>
        <v/>
      </c>
      <c r="I25" s="72" t="str">
        <f>_xlfn.CONCAT(_xlfn.XLOOKUP("[S02_CompetentAuthority][19][CAWebsite]",Submission!$O:$O,Submission!$H:$N,""))</f>
        <v/>
      </c>
      <c r="J25" s="79"/>
    </row>
    <row r="26" spans="2:11" s="58" customFormat="1" ht="15.6" hidden="1" outlineLevel="1" x14ac:dyDescent="0.3">
      <c r="B26" s="79"/>
      <c r="C26" s="71" t="str">
        <f>_xlfn.CONCAT(_xlfn.XLOOKUP("[S02_CompetentAuthority][20][CAName]",Submission!$O:$O,Submission!$H:$N,""))</f>
        <v/>
      </c>
      <c r="D26" s="72" t="str">
        <f>_xlfn.CONCAT(_xlfn.XLOOKUP("[S02_CompetentAuthority][20][CAAbbreviation]",Submission!$O:$O,Submission!$H:$N,""))</f>
        <v/>
      </c>
      <c r="E26" s="72" t="str">
        <f>_xlfn.CONCAT(_xlfn.XLOOKUP("[S02_CompetentAuthority][20][CAType]",Submission!$O:$O,Submission!$H:$N,""))</f>
        <v/>
      </c>
      <c r="F26" s="103" t="str">
        <f>_xlfn.CONCAT(_xlfn.XLOOKUP("[S02_CompetentAuthority][20][CANumber]",Submission!$O:$O,Submission!$H:$N,""))</f>
        <v/>
      </c>
      <c r="G26" s="172" t="str">
        <f>_xlfn.CONCAT(_xlfn.XLOOKUP("[S02_CompetentAuthority][20][CATelephone]",Submission!$O:$O,Submission!$H:$N,""))</f>
        <v/>
      </c>
      <c r="H26" s="83" t="str">
        <f>_xlfn.CONCAT(_xlfn.XLOOKUP("[S02_CompetentAuthority][20][CAEmail]",Submission!$O:$O,Submission!$H:$N,""))</f>
        <v/>
      </c>
      <c r="I26" s="72" t="str">
        <f>_xlfn.CONCAT(_xlfn.XLOOKUP("[S02_CompetentAuthority][20][CAWebsite]",Submission!$O:$O,Submission!$H:$N,""))</f>
        <v/>
      </c>
      <c r="J26" s="79"/>
    </row>
    <row r="27" spans="2:11" s="58" customFormat="1" ht="15.6" hidden="1" outlineLevel="1" x14ac:dyDescent="0.3">
      <c r="B27" s="79"/>
      <c r="C27" s="71" t="str">
        <f>_xlfn.CONCAT(_xlfn.XLOOKUP("[S02_CompetentAuthority][21][CAName]",Submission!$O:$O,Submission!$H:$N,""))</f>
        <v/>
      </c>
      <c r="D27" s="72" t="str">
        <f>_xlfn.CONCAT(_xlfn.XLOOKUP("[S02_CompetentAuthority][21][CAAbbreviation]",Submission!$O:$O,Submission!$H:$N,""))</f>
        <v/>
      </c>
      <c r="E27" s="72" t="str">
        <f>_xlfn.CONCAT(_xlfn.XLOOKUP("[S02_CompetentAuthority][21][CAType]",Submission!$O:$O,Submission!$H:$N,""))</f>
        <v/>
      </c>
      <c r="F27" s="103" t="str">
        <f>_xlfn.CONCAT(_xlfn.XLOOKUP("[S02_CompetentAuthority][21][CANumber]",Submission!$O:$O,Submission!$H:$N,""))</f>
        <v/>
      </c>
      <c r="G27" s="172" t="str">
        <f>_xlfn.CONCAT(_xlfn.XLOOKUP("[S02_CompetentAuthority][21][CATelephone]",Submission!$O:$O,Submission!$H:$N,""))</f>
        <v/>
      </c>
      <c r="H27" s="83" t="str">
        <f>_xlfn.CONCAT(_xlfn.XLOOKUP("[S02_CompetentAuthority][21][CAEmail]",Submission!$O:$O,Submission!$H:$N,""))</f>
        <v/>
      </c>
      <c r="I27" s="72" t="str">
        <f>_xlfn.CONCAT(_xlfn.XLOOKUP("[S02_CompetentAuthority][21][CAWebsite]",Submission!$O:$O,Submission!$H:$N,""))</f>
        <v/>
      </c>
      <c r="J27" s="79"/>
    </row>
    <row r="28" spans="2:11" s="58" customFormat="1" ht="15.6" hidden="1" outlineLevel="1" x14ac:dyDescent="0.3">
      <c r="B28" s="79"/>
      <c r="C28" s="71" t="str">
        <f>_xlfn.CONCAT(_xlfn.XLOOKUP("[S02_CompetentAuthority][22][CAName]",Submission!$O:$O,Submission!$H:$N,""))</f>
        <v/>
      </c>
      <c r="D28" s="72" t="str">
        <f>_xlfn.CONCAT(_xlfn.XLOOKUP("[S02_CompetentAuthority][22][CAAbbreviation]",Submission!$O:$O,Submission!$H:$N,""))</f>
        <v/>
      </c>
      <c r="E28" s="72" t="str">
        <f>_xlfn.CONCAT(_xlfn.XLOOKUP("[S02_CompetentAuthority][22][CAType]",Submission!$O:$O,Submission!$H:$N,""))</f>
        <v/>
      </c>
      <c r="F28" s="103" t="str">
        <f>_xlfn.CONCAT(_xlfn.XLOOKUP("[S02_CompetentAuthority][22][CANumber]",Submission!$O:$O,Submission!$H:$N,""))</f>
        <v/>
      </c>
      <c r="G28" s="172" t="str">
        <f>_xlfn.CONCAT(_xlfn.XLOOKUP("[S02_CompetentAuthority][22][CATelephone]",Submission!$O:$O,Submission!$H:$N,""))</f>
        <v/>
      </c>
      <c r="H28" s="83" t="str">
        <f>_xlfn.CONCAT(_xlfn.XLOOKUP("[S02_CompetentAuthority][22][CAEmail]",Submission!$O:$O,Submission!$H:$N,""))</f>
        <v/>
      </c>
      <c r="I28" s="72" t="str">
        <f>_xlfn.CONCAT(_xlfn.XLOOKUP("[S02_CompetentAuthority][22][CAWebsite]",Submission!$O:$O,Submission!$H:$N,""))</f>
        <v/>
      </c>
      <c r="J28" s="79"/>
    </row>
    <row r="29" spans="2:11" s="58" customFormat="1" ht="15.6" collapsed="1" x14ac:dyDescent="0.3">
      <c r="B29" s="84" t="s">
        <v>2</v>
      </c>
      <c r="C29" s="74"/>
      <c r="D29" s="79"/>
      <c r="E29" s="79"/>
      <c r="F29" s="79"/>
      <c r="G29" s="79"/>
      <c r="H29" s="79"/>
      <c r="I29" s="79"/>
      <c r="J29" s="79"/>
      <c r="K29" s="69"/>
    </row>
    <row r="30" spans="2:11" s="58" customFormat="1" ht="25.2" customHeight="1" x14ac:dyDescent="0.3">
      <c r="B30" s="84"/>
      <c r="C30" s="277" t="s">
        <v>669</v>
      </c>
      <c r="D30" s="278"/>
      <c r="E30" s="278"/>
      <c r="F30" s="278"/>
      <c r="G30" s="278"/>
      <c r="H30" s="278"/>
      <c r="I30" s="278"/>
      <c r="J30" s="79"/>
      <c r="K30" s="69"/>
    </row>
    <row r="31" spans="2:11" s="58" customFormat="1" ht="15.6" x14ac:dyDescent="0.3">
      <c r="B31" s="84"/>
      <c r="C31" s="277" t="s">
        <v>670</v>
      </c>
      <c r="D31" s="278"/>
      <c r="E31" s="278"/>
      <c r="F31" s="278"/>
      <c r="G31" s="278"/>
      <c r="H31" s="278"/>
      <c r="I31" s="278"/>
      <c r="J31" s="79"/>
      <c r="K31" s="69"/>
    </row>
    <row r="32" spans="2:11" s="58" customFormat="1" ht="15.6" x14ac:dyDescent="0.3">
      <c r="B32" s="84"/>
      <c r="C32" s="277" t="s">
        <v>671</v>
      </c>
      <c r="D32" s="278"/>
      <c r="E32" s="278"/>
      <c r="F32" s="278"/>
      <c r="G32" s="278"/>
      <c r="H32" s="278"/>
      <c r="I32" s="278"/>
      <c r="J32" s="79"/>
      <c r="K32" s="69"/>
    </row>
    <row r="33" spans="1:9" s="69" customFormat="1" ht="14.4" x14ac:dyDescent="0.3"/>
    <row r="34" spans="1:9" s="58" customFormat="1" ht="45.6" customHeight="1" x14ac:dyDescent="0.3">
      <c r="A34" s="75"/>
      <c r="B34" s="274" t="s">
        <v>672</v>
      </c>
      <c r="C34" s="275"/>
      <c r="D34" s="275"/>
      <c r="E34" s="275"/>
      <c r="F34" s="275"/>
      <c r="G34" s="275"/>
      <c r="H34" s="276"/>
      <c r="I34" s="41" t="str">
        <f>_xlfn.CONCAT(_xlfn.XLOOKUP("[S02_AccreditationBodyYesNo][0][S02_AccreditationBodyYesNo]",Submission!$O:$O,Submission!$H:$N,""))</f>
        <v>Yes</v>
      </c>
    </row>
    <row r="35" spans="1:9" s="27" customFormat="1" ht="16.95" customHeight="1" x14ac:dyDescent="0.3">
      <c r="A35" s="154"/>
      <c r="B35" s="149"/>
      <c r="C35" s="248" t="s">
        <v>673</v>
      </c>
      <c r="D35" s="249"/>
      <c r="E35" s="249"/>
      <c r="F35" s="249"/>
      <c r="G35" s="249"/>
      <c r="H35" s="249"/>
      <c r="I35" s="249"/>
    </row>
    <row r="36" spans="1:9" s="58" customFormat="1" ht="15.9" customHeight="1" x14ac:dyDescent="0.3">
      <c r="A36" s="75"/>
      <c r="B36" s="76"/>
      <c r="C36" s="66"/>
      <c r="D36" s="66"/>
      <c r="E36" s="66"/>
      <c r="F36" s="66"/>
      <c r="G36" s="66"/>
      <c r="H36" s="66"/>
    </row>
    <row r="37" spans="1:9" s="58" customFormat="1" ht="19.95" customHeight="1" x14ac:dyDescent="0.3">
      <c r="A37" s="75"/>
      <c r="B37" s="273" t="s">
        <v>674</v>
      </c>
      <c r="C37" s="258"/>
      <c r="D37" s="258"/>
      <c r="E37" s="258"/>
      <c r="F37" s="258"/>
      <c r="G37" s="258"/>
      <c r="H37" s="258"/>
      <c r="I37" s="258"/>
    </row>
    <row r="38" spans="1:9" s="58" customFormat="1" ht="15.9" customHeight="1" x14ac:dyDescent="0.3">
      <c r="C38" s="265" t="s">
        <v>662</v>
      </c>
      <c r="D38" s="266"/>
      <c r="E38" s="53" t="s">
        <v>663</v>
      </c>
      <c r="F38" s="53" t="s">
        <v>675</v>
      </c>
      <c r="G38" s="44" t="s">
        <v>676</v>
      </c>
      <c r="H38" s="253" t="s">
        <v>677</v>
      </c>
      <c r="I38" s="254"/>
    </row>
    <row r="39" spans="1:9" s="58" customFormat="1" ht="15.9" customHeight="1" x14ac:dyDescent="0.3">
      <c r="C39" s="267" t="str">
        <f>_xlfn.CONCAT(_xlfn.XLOOKUP("[S02_AccreditationBody][1][AccBodyName]",Submission!$O:$O,Submission!$H:$N,""))</f>
        <v xml:space="preserve">Croatian Accreditation Agency </v>
      </c>
      <c r="D39" s="268"/>
      <c r="E39" s="72" t="str">
        <f>_xlfn.CONCAT(_xlfn.XLOOKUP("[S02_AccreditationBody][1][AccBodyAbbreviation]",Submission!$O:$O,Submission!$H:$N,""))</f>
        <v>HAA</v>
      </c>
      <c r="F39" s="172" t="str">
        <f>_xlfn.CONCAT(_xlfn.XLOOKUP("[S02_AccreditationBody][1][AccBodyTelephone]",Submission!$O:$O,Submission!$H:$N,""))</f>
        <v>38516106322</v>
      </c>
      <c r="G39" s="77" t="str">
        <f>_xlfn.CONCAT(_xlfn.XLOOKUP("[S02_AccreditationBody][1][AccBodyEmail]",Submission!$O:$O,Submission!$H:$N,""))</f>
        <v>pisarnica@akreditacija.hr</v>
      </c>
      <c r="H39" s="255" t="str">
        <f>_xlfn.CONCAT(_xlfn.XLOOKUP("[S02_AccreditationBody][1][AccBodyWebsite]",Submission!$O:$O,Submission!$H:$N,""))</f>
        <v>https://akreditacija.hr/</v>
      </c>
      <c r="I39" s="256"/>
    </row>
    <row r="40" spans="1:9" s="58" customFormat="1" ht="15.9" customHeight="1" x14ac:dyDescent="0.3">
      <c r="A40" s="75"/>
    </row>
    <row r="41" spans="1:9" s="58" customFormat="1" ht="15.6" x14ac:dyDescent="0.3">
      <c r="A41" s="75"/>
      <c r="B41" s="257" t="s">
        <v>678</v>
      </c>
      <c r="C41" s="258"/>
      <c r="D41" s="258"/>
      <c r="E41" s="258"/>
      <c r="F41" s="258"/>
      <c r="G41" s="258"/>
      <c r="H41" s="279"/>
      <c r="I41" s="41" t="str">
        <f>_xlfn.CONCAT(_xlfn.XLOOKUP("[CertificationBodySetUp][0][CertificationBodySetUp]",Submission!$O:$O,Submission!$H:$N,""))</f>
        <v>No</v>
      </c>
    </row>
    <row r="42" spans="1:9" s="58" customFormat="1" ht="20.399999999999999" customHeight="1" x14ac:dyDescent="0.3">
      <c r="A42" s="75"/>
      <c r="B42" s="257" t="s">
        <v>679</v>
      </c>
      <c r="C42" s="258"/>
      <c r="D42" s="258"/>
      <c r="E42" s="258"/>
      <c r="F42" s="258"/>
      <c r="G42" s="258"/>
      <c r="H42" s="258"/>
      <c r="I42" s="258"/>
    </row>
    <row r="43" spans="1:9" s="27" customFormat="1" ht="29.4" customHeight="1" x14ac:dyDescent="0.3">
      <c r="A43" s="154"/>
      <c r="B43" s="22"/>
      <c r="C43" s="248" t="s">
        <v>680</v>
      </c>
      <c r="D43" s="249"/>
      <c r="E43" s="249"/>
      <c r="F43" s="249"/>
      <c r="G43" s="249"/>
      <c r="H43" s="249"/>
      <c r="I43" s="249"/>
    </row>
    <row r="44" spans="1:9" s="58" customFormat="1" ht="15.9" customHeight="1" x14ac:dyDescent="0.3">
      <c r="C44" s="265" t="s">
        <v>662</v>
      </c>
      <c r="D44" s="266"/>
      <c r="E44" s="53" t="s">
        <v>663</v>
      </c>
      <c r="F44" s="53" t="s">
        <v>675</v>
      </c>
      <c r="G44" s="44" t="s">
        <v>676</v>
      </c>
      <c r="H44" s="253" t="s">
        <v>677</v>
      </c>
      <c r="I44" s="254"/>
    </row>
    <row r="45" spans="1:9" s="58" customFormat="1" ht="15.9" customHeight="1" x14ac:dyDescent="0.3">
      <c r="C45" s="267" t="str">
        <f>_xlfn.CONCAT(_xlfn.XLOOKUP("[S02_CertificationAuthExistsDetails][1][CertAuthName]",Submission!$O:$O,Submission!$H:$N,""))</f>
        <v/>
      </c>
      <c r="D45" s="268"/>
      <c r="E45" s="72" t="str">
        <f>_xlfn.CONCAT(_xlfn.XLOOKUP("[S02_CertificationAuthExistsDetails][1][CertAuthAbbreviation]",Submission!$O:$O,Submission!$H:$N,""))</f>
        <v/>
      </c>
      <c r="F45" s="172" t="str">
        <f>_xlfn.CONCAT(_xlfn.XLOOKUP("[S02_CertificationAuthExistsDetails][1][CertAuthTelephone]",Submission!$O:$O,Submission!$H:$N,""))</f>
        <v/>
      </c>
      <c r="G45" s="77" t="str">
        <f>_xlfn.CONCAT(_xlfn.XLOOKUP("[S02_CertificationAuthExistsDetails][1][CertAuthEmail]",Submission!$O:$O,Submission!$H:$N,""))</f>
        <v/>
      </c>
      <c r="H45" s="255" t="str">
        <f>_xlfn.CONCAT(_xlfn.XLOOKUP("[S02_CertificationAuthExistsDetails][1][CertAuthWebsite]",Submission!$O:$O,Submission!$H:$N,""))</f>
        <v/>
      </c>
      <c r="I45" s="256"/>
    </row>
    <row r="46" spans="1:9" s="58" customFormat="1" ht="15.9" customHeight="1" x14ac:dyDescent="0.3">
      <c r="A46" s="75"/>
    </row>
    <row r="47" spans="1:9" s="58" customFormat="1" ht="18" customHeight="1" x14ac:dyDescent="0.3">
      <c r="A47" s="75"/>
      <c r="B47" s="273" t="s">
        <v>681</v>
      </c>
      <c r="C47" s="258"/>
      <c r="D47" s="258"/>
      <c r="E47" s="258"/>
      <c r="F47" s="258"/>
      <c r="G47" s="258"/>
      <c r="H47" s="258"/>
      <c r="I47" s="258"/>
    </row>
    <row r="48" spans="1:9" s="58" customFormat="1" ht="15.9" customHeight="1" x14ac:dyDescent="0.3">
      <c r="C48" s="265" t="s">
        <v>662</v>
      </c>
      <c r="D48" s="266"/>
      <c r="E48" s="53" t="s">
        <v>663</v>
      </c>
      <c r="F48" s="53" t="s">
        <v>675</v>
      </c>
      <c r="G48" s="44" t="s">
        <v>676</v>
      </c>
      <c r="H48" s="253" t="s">
        <v>677</v>
      </c>
      <c r="I48" s="254"/>
    </row>
    <row r="49" spans="1:9" s="58" customFormat="1" ht="15.9" customHeight="1" x14ac:dyDescent="0.3">
      <c r="C49" s="267" t="str">
        <f>_xlfn.CONCAT(_xlfn.XLOOKUP("[S02_RegistryAdministrator][1][RegAdminName]",Submission!$O:$O,Submission!$H:$N,""))</f>
        <v>Tomislav Glušac</v>
      </c>
      <c r="D49" s="268"/>
      <c r="E49" s="72" t="str">
        <f>_xlfn.CONCAT(_xlfn.XLOOKUP("[S02_RegistryAdministrator][1][RegAdminAbbreviation]",Submission!$O:$O,Submission!$H:$N,""))</f>
        <v/>
      </c>
      <c r="F49" s="172" t="str">
        <f>_xlfn.CONCAT(_xlfn.XLOOKUP("[S02_RegistryAdministrator][1][RegAdminTelephone]",Submission!$O:$O,Submission!$H:$N,""))</f>
        <v>00385 1 5581660</v>
      </c>
      <c r="G49" s="77" t="str">
        <f>_xlfn.CONCAT(_xlfn.XLOOKUP("[S02_RegistryAdministrator][1][RegAdminEmail]",Submission!$O:$O,Submission!$H:$N,""))</f>
        <v>ghgregistry.admin@mingor.hr</v>
      </c>
      <c r="H49" s="255" t="str">
        <f>_xlfn.CONCAT(_xlfn.XLOOKUP("[S02_RegistryAdministrator][1][RegAdminWebsite]",Submission!$O:$O,Submission!$H:$N,""))</f>
        <v>https://www.haop.hr/hr/baze-i-portali/registar-unije-hrvatski-dio</v>
      </c>
      <c r="I49" s="256"/>
    </row>
    <row r="50" spans="1:9" s="58" customFormat="1" ht="15.9" customHeight="1" x14ac:dyDescent="0.3">
      <c r="A50" s="75"/>
    </row>
    <row r="51" spans="1:9" s="58" customFormat="1" ht="15.9" customHeight="1" x14ac:dyDescent="0.3">
      <c r="A51" s="57" t="s">
        <v>18</v>
      </c>
      <c r="B51" s="257" t="s">
        <v>682</v>
      </c>
      <c r="C51" s="258"/>
      <c r="D51" s="258"/>
      <c r="E51" s="258"/>
      <c r="F51" s="258"/>
      <c r="G51" s="258"/>
      <c r="H51" s="258"/>
      <c r="I51" s="258"/>
    </row>
    <row r="52" spans="1:9" s="79" customFormat="1" ht="13.2" customHeight="1" x14ac:dyDescent="0.3">
      <c r="A52" s="78"/>
      <c r="C52" s="280" t="s">
        <v>683</v>
      </c>
      <c r="D52" s="280"/>
      <c r="E52" s="280"/>
      <c r="F52" s="280"/>
      <c r="G52" s="280"/>
      <c r="H52" s="280"/>
      <c r="I52" s="280"/>
    </row>
    <row r="53" spans="1:9" s="79" customFormat="1" ht="14.4" x14ac:dyDescent="0.3">
      <c r="A53" s="78"/>
      <c r="C53" s="260" t="s">
        <v>684</v>
      </c>
      <c r="D53" s="261"/>
      <c r="E53" s="262"/>
      <c r="F53" s="259" t="s">
        <v>74</v>
      </c>
      <c r="G53" s="259"/>
      <c r="H53" s="259" t="s">
        <v>685</v>
      </c>
      <c r="I53" s="259"/>
    </row>
    <row r="54" spans="1:9" s="79" customFormat="1" ht="28.95" customHeight="1" x14ac:dyDescent="0.3">
      <c r="A54" s="78"/>
      <c r="C54" s="238" t="s">
        <v>686</v>
      </c>
      <c r="D54" s="263"/>
      <c r="E54" s="264"/>
      <c r="F54" s="251" t="str">
        <f>_xlfn.CONCAT(_xlfn.XLOOKUP("[S02_CompetentAuthorityRoles][1][CAForInstallationTask]",Submission!$O:$O,Submission!$H:$N,""))</f>
        <v xml:space="preserve">Ministry of Economy and Sustainable Development </v>
      </c>
      <c r="G54" s="252"/>
      <c r="H54" s="250"/>
      <c r="I54" s="250"/>
    </row>
    <row r="55" spans="1:9" s="79" customFormat="1" ht="28.95" customHeight="1" x14ac:dyDescent="0.3">
      <c r="A55" s="78"/>
      <c r="C55" s="238" t="s">
        <v>687</v>
      </c>
      <c r="D55" s="263"/>
      <c r="E55" s="264"/>
      <c r="F55" s="251" t="str">
        <f>_xlfn.CONCAT(_xlfn.XLOOKUP("[S02_CompetentAuthorityRoles][2][CAForInstallationTask]",Submission!$O:$O,Submission!$H:$N,""))</f>
        <v xml:space="preserve">Ministry of Economy and Sustainable Development </v>
      </c>
      <c r="G55" s="252"/>
      <c r="H55" s="250"/>
      <c r="I55" s="250"/>
    </row>
    <row r="56" spans="1:9" s="79" customFormat="1" ht="28.95" customHeight="1" x14ac:dyDescent="0.3">
      <c r="A56" s="78"/>
      <c r="C56" s="238" t="s">
        <v>688</v>
      </c>
      <c r="D56" s="263"/>
      <c r="E56" s="264"/>
      <c r="F56" s="251" t="str">
        <f>_xlfn.CONCAT(_xlfn.XLOOKUP("[S02_CompetentAuthorityRoles][3][CAForInstallationTask]",Submission!$O:$O,Submission!$H:$N,""))</f>
        <v xml:space="preserve">Ministry of Economy and Sustainable Development </v>
      </c>
      <c r="G56" s="252"/>
      <c r="H56" s="250"/>
      <c r="I56" s="250"/>
    </row>
    <row r="57" spans="1:9" s="79" customFormat="1" ht="28.95" customHeight="1" x14ac:dyDescent="0.3">
      <c r="A57" s="78"/>
      <c r="C57" s="238" t="s">
        <v>689</v>
      </c>
      <c r="D57" s="263"/>
      <c r="E57" s="264"/>
      <c r="F57" s="251" t="str">
        <f>_xlfn.CONCAT(_xlfn.XLOOKUP("[S02_CompetentAuthorityRoles][4][CAForInstallationTask]",Submission!$O:$O,Submission!$H:$N,""))</f>
        <v xml:space="preserve">Ministry of Economy and Sustainable Development </v>
      </c>
      <c r="G57" s="252"/>
      <c r="H57" s="250"/>
      <c r="I57" s="250"/>
    </row>
    <row r="58" spans="1:9" s="79" customFormat="1" ht="28.95" customHeight="1" x14ac:dyDescent="0.3">
      <c r="A58" s="78"/>
      <c r="C58" s="238" t="s">
        <v>690</v>
      </c>
      <c r="D58" s="263"/>
      <c r="E58" s="264"/>
      <c r="F58" s="250"/>
      <c r="G58" s="250"/>
      <c r="H58" s="251" t="str">
        <f>_xlfn.CONCAT(_xlfn.XLOOKUP("[S02_CompetentAuthorityRoles][5][CAForAviationTask]",Submission!$O:$O,Submission!$H:$N,""))</f>
        <v xml:space="preserve">Ministry of Economy and Sustainable Development </v>
      </c>
      <c r="I58" s="252"/>
    </row>
    <row r="59" spans="1:9" s="79" customFormat="1" ht="28.95" customHeight="1" x14ac:dyDescent="0.3">
      <c r="A59" s="78"/>
      <c r="C59" s="238" t="s">
        <v>691</v>
      </c>
      <c r="D59" s="263"/>
      <c r="E59" s="264"/>
      <c r="F59" s="251" t="str">
        <f>_xlfn.CONCAT(_xlfn.XLOOKUP("[S02_CompetentAuthorityRoles][6][CAForInstallationTask]",Submission!$O:$O,Submission!$H:$N,""))</f>
        <v>Environmental Protection and Energy Efficiency Fund</v>
      </c>
      <c r="G59" s="252"/>
      <c r="H59" s="251" t="str">
        <f>_xlfn.CONCAT(_xlfn.XLOOKUP("[S02_CompetentAuthorityRoles][6][CAForAviationTask]",Submission!$O:$O,Submission!$H:$N,""))</f>
        <v>Environmental Protection and Energy Efficiency Fund</v>
      </c>
      <c r="I59" s="252"/>
    </row>
    <row r="60" spans="1:9" s="79" customFormat="1" ht="28.95" customHeight="1" x14ac:dyDescent="0.3">
      <c r="A60" s="78"/>
      <c r="C60" s="238" t="s">
        <v>42</v>
      </c>
      <c r="D60" s="263"/>
      <c r="E60" s="264"/>
      <c r="F60" s="251" t="str">
        <f>_xlfn.CONCAT(_xlfn.XLOOKUP("[S02_CompetentAuthorityRoles][7][CAForInstallationTask]",Submission!$O:$O,Submission!$H:$N,""))</f>
        <v xml:space="preserve">Ministry of Economy and Sustainable Development </v>
      </c>
      <c r="G60" s="252"/>
      <c r="H60" s="251" t="str">
        <f>_xlfn.CONCAT(_xlfn.XLOOKUP("[S02_CompetentAuthorityRoles][7][CAForAviationTask]",Submission!$O:$O,Submission!$H:$N,""))</f>
        <v xml:space="preserve">Ministry of Economy and Sustainable Development </v>
      </c>
      <c r="I60" s="252"/>
    </row>
    <row r="61" spans="1:9" s="79" customFormat="1" ht="28.95" customHeight="1" x14ac:dyDescent="0.3">
      <c r="A61" s="78"/>
      <c r="C61" s="238" t="s">
        <v>692</v>
      </c>
      <c r="D61" s="263"/>
      <c r="E61" s="264"/>
      <c r="F61" s="251" t="str">
        <f>_xlfn.CONCAT(_xlfn.XLOOKUP("[S02_CompetentAuthorityRoles][8][CAForInstallationTask]",Submission!$O:$O,Submission!$H:$N,""))</f>
        <v xml:space="preserve">Ministry of Economy and Sustainable Development </v>
      </c>
      <c r="G61" s="252"/>
      <c r="H61" s="251" t="str">
        <f>_xlfn.CONCAT(_xlfn.XLOOKUP("[S02_CompetentAuthorityRoles][8][CAForAviationTask]",Submission!$O:$O,Submission!$H:$N,""))</f>
        <v xml:space="preserve">Ministry of Economy and Sustainable Development </v>
      </c>
      <c r="I61" s="252"/>
    </row>
    <row r="62" spans="1:9" s="79" customFormat="1" ht="28.95" customHeight="1" x14ac:dyDescent="0.3">
      <c r="A62" s="78"/>
      <c r="C62" s="238" t="s">
        <v>693</v>
      </c>
      <c r="D62" s="263"/>
      <c r="E62" s="264"/>
      <c r="F62" s="251" t="str">
        <f>_xlfn.CONCAT(_xlfn.XLOOKUP("[S02_CompetentAuthorityRoles][9][CAForInstallationTask]",Submission!$O:$O,Submission!$H:$N,""))</f>
        <v xml:space="preserve">Ministry of Economy and Sustainable Development </v>
      </c>
      <c r="G62" s="252"/>
      <c r="H62" s="251" t="str">
        <f>_xlfn.CONCAT(_xlfn.XLOOKUP("[S02_CompetentAuthorityRoles][9][CAForAviationTask]",Submission!$O:$O,Submission!$H:$N,""))</f>
        <v xml:space="preserve">Ministry of Economy and Sustainable Development </v>
      </c>
      <c r="I62" s="252"/>
    </row>
    <row r="63" spans="1:9" s="79" customFormat="1" ht="28.95" customHeight="1" x14ac:dyDescent="0.3">
      <c r="A63" s="78"/>
      <c r="C63" s="238" t="s">
        <v>694</v>
      </c>
      <c r="D63" s="263"/>
      <c r="E63" s="264"/>
      <c r="F63" s="251" t="str">
        <f>_xlfn.CONCAT(_xlfn.XLOOKUP("[S02_CompetentAuthorityRoles][10][CAForInstallationTask]",Submission!$O:$O,Submission!$H:$N,""))</f>
        <v xml:space="preserve">Ministry of Economy and Sustainable Development </v>
      </c>
      <c r="G63" s="252"/>
      <c r="H63" s="251" t="str">
        <f>_xlfn.CONCAT(_xlfn.XLOOKUP("[S02_CompetentAuthorityRoles][10][CAForAviationTask]",Submission!$O:$O,Submission!$H:$N,""))</f>
        <v xml:space="preserve">Ministry of Economy and Sustainable Development </v>
      </c>
      <c r="I63" s="252"/>
    </row>
    <row r="64" spans="1:9" s="79" customFormat="1" ht="28.95" customHeight="1" x14ac:dyDescent="0.3">
      <c r="A64" s="78"/>
      <c r="C64" s="238" t="s">
        <v>46</v>
      </c>
      <c r="D64" s="263"/>
      <c r="E64" s="264"/>
      <c r="F64" s="251" t="str">
        <f>_xlfn.CONCAT(_xlfn.XLOOKUP("[S02_CompetentAuthorityRoles][11][CAForInstallationTask]",Submission!$O:$O,Submission!$H:$N,""))</f>
        <v>State Inspectorate of the Republic of Croatia</v>
      </c>
      <c r="G64" s="252"/>
      <c r="H64" s="251" t="str">
        <f>_xlfn.CONCAT(_xlfn.XLOOKUP("[S02_CompetentAuthorityRoles][11][CAForAviationTask]",Submission!$O:$O,Submission!$H:$N,""))</f>
        <v>State Inspectorate of the Republic of Croatia</v>
      </c>
      <c r="I64" s="252"/>
    </row>
    <row r="65" spans="1:9" s="79" customFormat="1" ht="28.95" customHeight="1" x14ac:dyDescent="0.3">
      <c r="A65" s="78"/>
      <c r="C65" s="238" t="s">
        <v>695</v>
      </c>
      <c r="D65" s="263"/>
      <c r="E65" s="264"/>
      <c r="F65" s="251" t="str">
        <f>_xlfn.CONCAT(_xlfn.XLOOKUP("[S02_CompetentAuthorityRoles][12][CAForInstallationTask]",Submission!$O:$O,Submission!$H:$N,""))</f>
        <v xml:space="preserve">Ministry of Economy and Sustainable Development </v>
      </c>
      <c r="G65" s="252"/>
      <c r="H65" s="250"/>
      <c r="I65" s="250"/>
    </row>
    <row r="66" spans="1:9" s="79" customFormat="1" ht="28.95" customHeight="1" x14ac:dyDescent="0.3">
      <c r="A66" s="78"/>
      <c r="C66" s="238" t="s">
        <v>696</v>
      </c>
      <c r="D66" s="263"/>
      <c r="E66" s="264"/>
      <c r="F66" s="251" t="str">
        <f>_xlfn.CONCAT(_xlfn.XLOOKUP("[S02_CompetentAuthorityRoles][13][CAForInstallationTask]",Submission!$O:$O,Submission!$H:$N,""))</f>
        <v xml:space="preserve">Ministry of Economy and Sustainable Development </v>
      </c>
      <c r="G66" s="252"/>
      <c r="H66" s="250"/>
      <c r="I66" s="250"/>
    </row>
    <row r="67" spans="1:9" s="79" customFormat="1" ht="28.95" customHeight="1" x14ac:dyDescent="0.3">
      <c r="A67" s="78"/>
      <c r="C67" s="80" t="s">
        <v>697</v>
      </c>
      <c r="D67" s="286" t="str">
        <f>_xlfn.CONCAT(_xlfn.XLOOKUP("[S02_CompetentAuthorityRoles][14][OtherDescription]",Submission!$O:$O,Submission!$H:$N,""))</f>
        <v/>
      </c>
      <c r="E67" s="286"/>
      <c r="F67" s="251" t="str">
        <f>_xlfn.CONCAT(_xlfn.XLOOKUP("[S02_CompetentAuthorityRoles][14][CAForInstallationTask]",Submission!$O:$O,Submission!$H:$N,""))</f>
        <v/>
      </c>
      <c r="G67" s="252"/>
      <c r="H67" s="251" t="str">
        <f>_xlfn.CONCAT(_xlfn.XLOOKUP("[S02_CompetentAuthorityRoles][14][CAForAviationTask]",Submission!$O:$O,Submission!$H:$N,""))</f>
        <v/>
      </c>
      <c r="I67" s="252"/>
    </row>
    <row r="68" spans="1:9" s="79" customFormat="1" ht="28.95" hidden="1" customHeight="1" outlineLevel="1" x14ac:dyDescent="0.3">
      <c r="A68" s="78"/>
      <c r="C68" s="80" t="s">
        <v>697</v>
      </c>
      <c r="D68" s="286" t="str">
        <f>_xlfn.CONCAT(_xlfn.XLOOKUP("[S02_CompetentAuthorityRoles][15][OtherDescription]",Submission!$O:$O,Submission!$H:$N,""))</f>
        <v/>
      </c>
      <c r="E68" s="286"/>
      <c r="F68" s="251" t="str">
        <f>_xlfn.CONCAT(_xlfn.XLOOKUP("[S02_CompetentAuthorityRoles][15][CAForInstallationTask]",Submission!$O:$O,Submission!$H:$N,""))</f>
        <v/>
      </c>
      <c r="G68" s="252"/>
      <c r="H68" s="251" t="str">
        <f>_xlfn.CONCAT(_xlfn.XLOOKUP("[S02_CompetentAuthorityRoles][15][CAForAviationTask]",Submission!$O:$O,Submission!$H:$N,""))</f>
        <v/>
      </c>
      <c r="I68" s="252"/>
    </row>
    <row r="69" spans="1:9" s="79" customFormat="1" ht="28.95" hidden="1" customHeight="1" outlineLevel="1" x14ac:dyDescent="0.3">
      <c r="A69" s="78"/>
      <c r="C69" s="80" t="s">
        <v>697</v>
      </c>
      <c r="D69" s="286" t="str">
        <f>_xlfn.CONCAT(_xlfn.XLOOKUP("[S02_CompetentAuthorityRoles][16][OtherDescription]",Submission!$O:$O,Submission!$H:$N,""))</f>
        <v/>
      </c>
      <c r="E69" s="286"/>
      <c r="F69" s="251" t="str">
        <f>_xlfn.CONCAT(_xlfn.XLOOKUP("[S02_CompetentAuthorityRoles][16][CAForInstallationTask]",Submission!$O:$O,Submission!$H:$N,""))</f>
        <v/>
      </c>
      <c r="G69" s="252"/>
      <c r="H69" s="251" t="str">
        <f>_xlfn.CONCAT(_xlfn.XLOOKUP("[S02_CompetentAuthorityRoles][16][CAForAviationTask]",Submission!$O:$O,Submission!$H:$N,""))</f>
        <v/>
      </c>
      <c r="I69" s="252"/>
    </row>
    <row r="70" spans="1:9" s="79" customFormat="1" ht="28.95" hidden="1" customHeight="1" outlineLevel="1" x14ac:dyDescent="0.3">
      <c r="A70" s="78"/>
      <c r="C70" s="80" t="s">
        <v>697</v>
      </c>
      <c r="D70" s="286" t="str">
        <f>_xlfn.CONCAT(_xlfn.XLOOKUP("[S02_CompetentAuthorityRoles][17][OtherDescription]",Submission!$O:$O,Submission!$H:$N,""))</f>
        <v/>
      </c>
      <c r="E70" s="286"/>
      <c r="F70" s="251" t="str">
        <f>_xlfn.CONCAT(_xlfn.XLOOKUP("[S02_CompetentAuthorityRoles][17][CAForInstallationTask]",Submission!$O:$O,Submission!$H:$N,""))</f>
        <v/>
      </c>
      <c r="G70" s="252"/>
      <c r="H70" s="251" t="str">
        <f>_xlfn.CONCAT(_xlfn.XLOOKUP("[S02_CompetentAuthorityRoles][17][CAForAviationTask]",Submission!$O:$O,Submission!$H:$N,""))</f>
        <v/>
      </c>
      <c r="I70" s="252"/>
    </row>
    <row r="71" spans="1:9" s="79" customFormat="1" ht="14.4" customHeight="1" collapsed="1" x14ac:dyDescent="0.3">
      <c r="A71" s="78"/>
      <c r="B71" s="120" t="s">
        <v>2</v>
      </c>
      <c r="C71" s="73"/>
      <c r="D71" s="74"/>
      <c r="E71" s="74"/>
      <c r="F71" s="74"/>
      <c r="G71" s="74"/>
      <c r="H71" s="74"/>
      <c r="I71" s="74"/>
    </row>
    <row r="72" spans="1:9" s="79" customFormat="1" ht="29.25" customHeight="1" x14ac:dyDescent="0.3">
      <c r="A72" s="78"/>
      <c r="B72" s="73"/>
      <c r="C72" s="277" t="s">
        <v>698</v>
      </c>
      <c r="D72" s="278"/>
      <c r="E72" s="278"/>
      <c r="F72" s="278"/>
      <c r="G72" s="278"/>
      <c r="H72" s="278"/>
      <c r="I72" s="278"/>
    </row>
    <row r="73" spans="1:9" s="79" customFormat="1" ht="29.25" customHeight="1" x14ac:dyDescent="0.3">
      <c r="A73" s="78"/>
      <c r="B73" s="73"/>
      <c r="C73" s="277" t="s">
        <v>699</v>
      </c>
      <c r="D73" s="278"/>
      <c r="E73" s="278"/>
      <c r="F73" s="278"/>
      <c r="G73" s="278"/>
      <c r="H73" s="278"/>
      <c r="I73" s="278"/>
    </row>
    <row r="74" spans="1:9" s="79" customFormat="1" ht="29.25" customHeight="1" x14ac:dyDescent="0.3">
      <c r="A74" s="78"/>
      <c r="B74" s="73"/>
      <c r="C74" s="277" t="s">
        <v>700</v>
      </c>
      <c r="D74" s="278"/>
      <c r="E74" s="278"/>
      <c r="F74" s="278"/>
      <c r="G74" s="278"/>
      <c r="H74" s="278"/>
      <c r="I74" s="278"/>
    </row>
    <row r="75" spans="1:9" s="79" customFormat="1" ht="29.25" customHeight="1" x14ac:dyDescent="0.3">
      <c r="A75" s="78"/>
      <c r="B75" s="73"/>
      <c r="C75" s="277" t="s">
        <v>701</v>
      </c>
      <c r="D75" s="278"/>
      <c r="E75" s="278"/>
      <c r="F75" s="278"/>
      <c r="G75" s="278"/>
      <c r="H75" s="278"/>
      <c r="I75" s="278"/>
    </row>
    <row r="76" spans="1:9" s="79" customFormat="1" ht="17.25" customHeight="1" x14ac:dyDescent="0.3">
      <c r="A76" s="78"/>
      <c r="C76" s="277" t="s">
        <v>702</v>
      </c>
      <c r="D76" s="278"/>
      <c r="E76" s="278"/>
      <c r="F76" s="278"/>
      <c r="G76" s="278"/>
      <c r="H76" s="278"/>
      <c r="I76" s="278"/>
    </row>
    <row r="77" spans="1:9" s="79" customFormat="1" ht="17.25" customHeight="1" x14ac:dyDescent="0.3">
      <c r="A77" s="78"/>
      <c r="C77" s="277" t="s">
        <v>703</v>
      </c>
      <c r="D77" s="278"/>
      <c r="E77" s="278"/>
      <c r="F77" s="278"/>
      <c r="G77" s="278"/>
      <c r="H77" s="278"/>
      <c r="I77" s="278"/>
    </row>
    <row r="78" spans="1:9" s="79" customFormat="1" ht="12.9" customHeight="1" x14ac:dyDescent="0.3">
      <c r="A78" s="78"/>
    </row>
    <row r="79" spans="1:9" s="79" customFormat="1" ht="37.200000000000003" customHeight="1" x14ac:dyDescent="0.3">
      <c r="A79" s="57" t="s">
        <v>48</v>
      </c>
      <c r="B79" s="273" t="s">
        <v>704</v>
      </c>
      <c r="C79" s="258"/>
      <c r="D79" s="258"/>
      <c r="E79" s="258"/>
      <c r="F79" s="258"/>
      <c r="G79" s="258"/>
      <c r="H79" s="258"/>
      <c r="I79" s="258"/>
    </row>
    <row r="80" spans="1:9" s="79" customFormat="1" ht="28.95" customHeight="1" x14ac:dyDescent="0.3">
      <c r="A80" s="57"/>
      <c r="B80" s="65"/>
      <c r="C80" s="277" t="s">
        <v>705</v>
      </c>
      <c r="D80" s="278"/>
      <c r="E80" s="278"/>
      <c r="F80" s="278"/>
      <c r="G80" s="278"/>
      <c r="H80" s="278"/>
      <c r="I80" s="278"/>
    </row>
    <row r="81" spans="1:9" s="79" customFormat="1" ht="27" customHeight="1" x14ac:dyDescent="0.3">
      <c r="C81" s="260" t="s">
        <v>706</v>
      </c>
      <c r="D81" s="261"/>
      <c r="E81" s="261"/>
      <c r="F81" s="262"/>
      <c r="G81" s="287" t="s">
        <v>663</v>
      </c>
      <c r="H81" s="288"/>
      <c r="I81" s="289"/>
    </row>
    <row r="82" spans="1:9" s="79" customFormat="1" ht="12.9" customHeight="1" x14ac:dyDescent="0.3">
      <c r="A82" s="78"/>
      <c r="C82" s="286" t="str">
        <f>_xlfn.CONCAT(_xlfn.XLOOKUP("[S02_CAFocalPoint][0][CAArt70]",Submission!$O:$O,Submission!$H:$N,""))</f>
        <v xml:space="preserve">Ministry of Economy and Sustainable Development </v>
      </c>
      <c r="D82" s="286"/>
      <c r="E82" s="286"/>
      <c r="F82" s="286"/>
      <c r="G82" s="286" t="str">
        <f>_xlfn.CONCAT(_xlfn.XLOOKUP("[S02_CAFocalPoint][0][CAArt70Abbrev]",Submission!$O:$O,Submission!$H:$N,""))</f>
        <v>MINGOR</v>
      </c>
      <c r="H82" s="286"/>
      <c r="I82" s="286"/>
    </row>
    <row r="83" spans="1:9" s="79" customFormat="1" ht="12.9" customHeight="1" x14ac:dyDescent="0.3">
      <c r="A83" s="78"/>
    </row>
    <row r="84" spans="1:9" s="79" customFormat="1" ht="34.950000000000003" customHeight="1" x14ac:dyDescent="0.3">
      <c r="A84" s="78"/>
      <c r="B84" s="273" t="s">
        <v>707</v>
      </c>
      <c r="C84" s="258"/>
      <c r="D84" s="258"/>
      <c r="E84" s="258"/>
      <c r="F84" s="258"/>
      <c r="G84" s="258"/>
      <c r="H84" s="258"/>
      <c r="I84" s="258"/>
    </row>
    <row r="85" spans="1:9" s="79" customFormat="1" ht="15" customHeight="1" x14ac:dyDescent="0.3">
      <c r="A85" s="78"/>
      <c r="C85" s="260" t="s">
        <v>708</v>
      </c>
      <c r="D85" s="261"/>
      <c r="E85" s="261"/>
      <c r="F85" s="262"/>
      <c r="G85" s="67" t="s">
        <v>709</v>
      </c>
      <c r="H85" s="260" t="s">
        <v>710</v>
      </c>
      <c r="I85" s="262"/>
    </row>
    <row r="86" spans="1:9" s="79" customFormat="1" ht="24.6" customHeight="1" x14ac:dyDescent="0.3">
      <c r="A86" s="78"/>
      <c r="C86" s="246" t="s">
        <v>711</v>
      </c>
      <c r="D86" s="263"/>
      <c r="E86" s="263"/>
      <c r="F86" s="264"/>
      <c r="G86" s="64" t="str">
        <f>_xlfn.CONCAT(_xlfn.XLOOKUP("[S02_CompetentAuthorityCoordination][1][CACoordinationYesNo]",Submission!$O:$O,Submission!$H:$N,""))</f>
        <v>Yes</v>
      </c>
      <c r="H86" s="284" t="str">
        <f>_xlfn.CONCAT(_xlfn.XLOOKUP("[S02_CompetentAuthorityCoordination][1][CACoordinationComment]",Submission!$O:$O,Submission!$H:$N,""))</f>
        <v/>
      </c>
      <c r="I86" s="285"/>
    </row>
    <row r="87" spans="1:9" s="79" customFormat="1" ht="23.4" customHeight="1" x14ac:dyDescent="0.3">
      <c r="A87" s="78"/>
      <c r="C87" s="246" t="s">
        <v>712</v>
      </c>
      <c r="D87" s="263"/>
      <c r="E87" s="263"/>
      <c r="F87" s="264"/>
      <c r="G87" s="64" t="str">
        <f>_xlfn.CONCAT(_xlfn.XLOOKUP("[S02_CompetentAuthorityCoordination][2][CACoordinationYesNo]",Submission!$O:$O,Submission!$H:$N,""))</f>
        <v>No</v>
      </c>
      <c r="H87" s="284" t="str">
        <f>_xlfn.CONCAT(_xlfn.XLOOKUP("[S02_CompetentAuthorityCoordination][2][CACoordinationComment]",Submission!$O:$O,Submission!$H:$N,""))</f>
        <v>There is only one compentent autority for implementing Regulation (EU) 2018/2066 - Ministry of Economy and Sustainable Development.</v>
      </c>
      <c r="I87" s="285"/>
    </row>
    <row r="88" spans="1:9" s="79" customFormat="1" ht="23.4" customHeight="1" x14ac:dyDescent="0.3">
      <c r="A88" s="78"/>
      <c r="C88" s="246" t="s">
        <v>713</v>
      </c>
      <c r="D88" s="263"/>
      <c r="E88" s="263"/>
      <c r="F88" s="264"/>
      <c r="G88" s="64" t="str">
        <f>_xlfn.CONCAT(_xlfn.XLOOKUP("[S02_CompetentAuthorityCoordination][3][CACoordinationYesNo]",Submission!$O:$O,Submission!$H:$N,""))</f>
        <v>No</v>
      </c>
      <c r="H88" s="284" t="str">
        <f>_xlfn.CONCAT(_xlfn.XLOOKUP("[S02_CompetentAuthorityCoordination][3][CACoordinationComment]",Submission!$O:$O,Submission!$H:$N,""))</f>
        <v/>
      </c>
      <c r="I88" s="285"/>
    </row>
    <row r="89" spans="1:9" s="79" customFormat="1" ht="23.4" customHeight="1" x14ac:dyDescent="0.3">
      <c r="A89" s="78"/>
      <c r="C89" s="246" t="s">
        <v>60</v>
      </c>
      <c r="D89" s="263"/>
      <c r="E89" s="263"/>
      <c r="F89" s="264"/>
      <c r="G89" s="64" t="str">
        <f>_xlfn.CONCAT(_xlfn.XLOOKUP("[S02_CompetentAuthorityCoordination][4][CACoordinationYesNo]",Submission!$O:$O,Submission!$H:$N,""))</f>
        <v/>
      </c>
      <c r="H89" s="284" t="str">
        <f>_xlfn.CONCAT(_xlfn.XLOOKUP("[S02_CompetentAuthorityCoordination][4][CACoordinationComment]",Submission!$O:$O,Submission!$H:$N,""))</f>
        <v>n/a</v>
      </c>
      <c r="I89" s="285"/>
    </row>
    <row r="90" spans="1:9" s="79" customFormat="1" ht="23.4" customHeight="1" x14ac:dyDescent="0.3">
      <c r="A90" s="78"/>
      <c r="C90" s="246" t="s">
        <v>714</v>
      </c>
      <c r="D90" s="263"/>
      <c r="E90" s="263"/>
      <c r="F90" s="264"/>
      <c r="G90" s="64" t="str">
        <f>_xlfn.CONCAT(_xlfn.XLOOKUP("[S02_CompetentAuthorityCoordination][5][CACoordinationYesNo]",Submission!$O:$O,Submission!$H:$N,""))</f>
        <v/>
      </c>
      <c r="H90" s="284" t="str">
        <f>_xlfn.CONCAT(_xlfn.XLOOKUP("[S02_CompetentAuthorityCoordination][5][CACoordinationComment]",Submission!$O:$O,Submission!$H:$N,""))</f>
        <v>n/a</v>
      </c>
      <c r="I90" s="285"/>
    </row>
    <row r="91" spans="1:9" s="79" customFormat="1" ht="24.6" customHeight="1" x14ac:dyDescent="0.3">
      <c r="A91" s="78"/>
      <c r="C91" s="246" t="s">
        <v>715</v>
      </c>
      <c r="D91" s="263"/>
      <c r="E91" s="263"/>
      <c r="F91" s="264"/>
      <c r="G91" s="64" t="str">
        <f>_xlfn.CONCAT(_xlfn.XLOOKUP("[S02_CompetentAuthorityCoordination][6][CACoordinationYesNo]",Submission!$O:$O,Submission!$H:$N,""))</f>
        <v>Yes</v>
      </c>
      <c r="H91" s="284" t="str">
        <f>_xlfn.CONCAT(_xlfn.XLOOKUP("[S02_CompetentAuthorityCoordination][6][CACoordinationComment]",Submission!$O:$O,Submission!$H:$N,""))</f>
        <v>National Expert committee for technical issues within the framework of the EU ETS</v>
      </c>
      <c r="I91" s="285"/>
    </row>
    <row r="92" spans="1:9" s="79" customFormat="1" ht="23.4" customHeight="1" x14ac:dyDescent="0.3">
      <c r="A92" s="78"/>
      <c r="C92" s="246" t="s">
        <v>716</v>
      </c>
      <c r="D92" s="283"/>
      <c r="E92" s="239"/>
      <c r="F92" s="284" t="str">
        <f>_xlfn.CONCAT(_xlfn.XLOOKUP("[S02_CompetentAuthorityCoordination][7][OtherDescription]",Submission!$O:$O,Submission!$H:$N,""))</f>
        <v>No</v>
      </c>
      <c r="G92" s="282"/>
      <c r="H92" s="284" t="str">
        <f>_xlfn.CONCAT(_xlfn.XLOOKUP("[S02_CompetentAuthorityCoordination][7][CACoordinationComment]",Submission!$O:$O,Submission!$H:$N,""))</f>
        <v/>
      </c>
      <c r="I92" s="285"/>
    </row>
    <row r="93" spans="1:9" s="79" customFormat="1" ht="23.4" hidden="1" customHeight="1" outlineLevel="1" x14ac:dyDescent="0.3">
      <c r="A93" s="78"/>
      <c r="C93" s="246" t="s">
        <v>716</v>
      </c>
      <c r="D93" s="283"/>
      <c r="E93" s="239"/>
      <c r="F93" s="284" t="str">
        <f>_xlfn.CONCAT(_xlfn.XLOOKUP("[S02_CompetentAuthorityCoordination][8][OtherDescription]",Submission!$O:$O,Submission!$H:$N,""))</f>
        <v/>
      </c>
      <c r="G93" s="282"/>
      <c r="H93" s="284" t="str">
        <f>_xlfn.CONCAT(_xlfn.XLOOKUP("[S02_CompetentAuthorityCoordination][8][CACoordinationComment]",Submission!$O:$O,Submission!$H:$N,""))</f>
        <v/>
      </c>
      <c r="I93" s="285"/>
    </row>
    <row r="94" spans="1:9" s="79" customFormat="1" ht="23.4" hidden="1" customHeight="1" outlineLevel="1" x14ac:dyDescent="0.3">
      <c r="A94" s="78"/>
      <c r="C94" s="246" t="s">
        <v>716</v>
      </c>
      <c r="D94" s="283"/>
      <c r="E94" s="239"/>
      <c r="F94" s="284" t="str">
        <f>_xlfn.CONCAT(_xlfn.XLOOKUP("[S02_CompetentAuthorityCoordination][9][OtherDescription]",Submission!$O:$O,Submission!$H:$N,""))</f>
        <v/>
      </c>
      <c r="G94" s="282"/>
      <c r="H94" s="284" t="str">
        <f>_xlfn.CONCAT(_xlfn.XLOOKUP("[S02_CompetentAuthorityCoordination][9][CACoordinationComment]",Submission!$O:$O,Submission!$H:$N,""))</f>
        <v/>
      </c>
      <c r="I94" s="285"/>
    </row>
    <row r="95" spans="1:9" s="79" customFormat="1" ht="23.4" hidden="1" customHeight="1" outlineLevel="1" x14ac:dyDescent="0.3">
      <c r="A95" s="78"/>
      <c r="C95" s="246" t="s">
        <v>716</v>
      </c>
      <c r="D95" s="283"/>
      <c r="E95" s="239"/>
      <c r="F95" s="284" t="str">
        <f>_xlfn.CONCAT(_xlfn.XLOOKUP("[S02_CompetentAuthorityCoordination][10][OtherDescription]",Submission!$O:$O,Submission!$H:$N,""))</f>
        <v/>
      </c>
      <c r="G95" s="282"/>
      <c r="H95" s="284" t="str">
        <f>_xlfn.CONCAT(_xlfn.XLOOKUP("[S02_CompetentAuthorityCoordination][10][CACoordinationComment]",Submission!$O:$O,Submission!$H:$N,""))</f>
        <v/>
      </c>
      <c r="I95" s="285"/>
    </row>
    <row r="96" spans="1:9" s="79" customFormat="1" ht="15.9" customHeight="1" collapsed="1" x14ac:dyDescent="0.3">
      <c r="A96" s="78"/>
      <c r="B96" s="120" t="s">
        <v>2</v>
      </c>
      <c r="C96" s="74"/>
      <c r="D96" s="74"/>
      <c r="E96" s="74"/>
      <c r="F96" s="74"/>
    </row>
    <row r="97" spans="1:9" s="79" customFormat="1" ht="12.9" customHeight="1" x14ac:dyDescent="0.3">
      <c r="A97" s="78"/>
    </row>
    <row r="98" spans="1:9" s="79" customFormat="1" ht="34.950000000000003" customHeight="1" x14ac:dyDescent="0.3">
      <c r="A98" s="144" t="s">
        <v>66</v>
      </c>
      <c r="B98" s="271" t="s">
        <v>717</v>
      </c>
      <c r="C98" s="272"/>
      <c r="D98" s="272"/>
      <c r="E98" s="272"/>
      <c r="F98" s="272"/>
      <c r="G98" s="272"/>
      <c r="H98" s="272"/>
      <c r="I98" s="272"/>
    </row>
    <row r="99" spans="1:9" s="79" customFormat="1" ht="15" customHeight="1" x14ac:dyDescent="0.3">
      <c r="A99" s="78"/>
      <c r="C99" s="260" t="s">
        <v>718</v>
      </c>
      <c r="D99" s="261"/>
      <c r="E99" s="261"/>
      <c r="F99" s="262"/>
      <c r="G99" s="67" t="s">
        <v>709</v>
      </c>
      <c r="H99" s="260" t="s">
        <v>710</v>
      </c>
      <c r="I99" s="262"/>
    </row>
    <row r="100" spans="1:9" s="79" customFormat="1" ht="27.6" customHeight="1" x14ac:dyDescent="0.3">
      <c r="A100" s="78"/>
      <c r="C100" s="246" t="s">
        <v>719</v>
      </c>
      <c r="D100" s="283"/>
      <c r="E100" s="283"/>
      <c r="F100" s="239"/>
      <c r="G100" s="64" t="str">
        <f>_xlfn.CONCAT(_xlfn.XLOOKUP("[S02_InformationExchangeAccBodyAndCA][1][InfoExchangeYesNo]",Submission!$O:$O,Submission!$H:$N,""))</f>
        <v>Yes</v>
      </c>
      <c r="H100" s="281" t="str">
        <f>_xlfn.CONCAT(_xlfn.XLOOKUP("[S02_InformationExchangeAccBodyAndCA][1][InfoExchangeComment]",Submission!$O:$O,Submission!$H:$N,""))</f>
        <v>GHG working group organized by HAA.</v>
      </c>
      <c r="I100" s="282"/>
    </row>
    <row r="101" spans="1:9" s="79" customFormat="1" ht="27.6" customHeight="1" x14ac:dyDescent="0.3">
      <c r="A101" s="78"/>
      <c r="C101" s="246" t="s">
        <v>720</v>
      </c>
      <c r="D101" s="283"/>
      <c r="E101" s="283"/>
      <c r="F101" s="239"/>
      <c r="G101" s="64" t="str">
        <f>_xlfn.CONCAT(_xlfn.XLOOKUP("[S02_InformationExchangeAccBodyAndCA][2][InfoExchangeYesNo]",Submission!$O:$O,Submission!$H:$N,""))</f>
        <v>Yes</v>
      </c>
      <c r="H101" s="281" t="str">
        <f>_xlfn.CONCAT(_xlfn.XLOOKUP("[S02_InformationExchangeAccBodyAndCA][2][InfoExchangeComment]",Submission!$O:$O,Submission!$H:$N,""))</f>
        <v>GHG working group organized by HAA.</v>
      </c>
      <c r="I101" s="282"/>
    </row>
    <row r="102" spans="1:9" s="79" customFormat="1" ht="27.6" customHeight="1" x14ac:dyDescent="0.3">
      <c r="A102" s="78"/>
      <c r="C102" s="246" t="s">
        <v>721</v>
      </c>
      <c r="D102" s="283"/>
      <c r="E102" s="283"/>
      <c r="F102" s="239"/>
      <c r="G102" s="64" t="str">
        <f>_xlfn.CONCAT(_xlfn.XLOOKUP("[S02_InformationExchangeAccBodyAndCA][3][InfoExchangeYesNo]",Submission!$O:$O,Submission!$H:$N,""))</f>
        <v>Yes</v>
      </c>
      <c r="H102" s="281" t="str">
        <f>_xlfn.CONCAT(_xlfn.XLOOKUP("[S02_InformationExchangeAccBodyAndCA][3][InfoExchangeComment]",Submission!$O:$O,Submission!$H:$N,""))</f>
        <v/>
      </c>
      <c r="I102" s="282"/>
    </row>
    <row r="103" spans="1:9" s="79" customFormat="1" ht="27.6" customHeight="1" x14ac:dyDescent="0.3">
      <c r="A103" s="78"/>
      <c r="C103" s="246" t="s">
        <v>716</v>
      </c>
      <c r="D103" s="283"/>
      <c r="E103" s="239"/>
      <c r="F103" s="284" t="str">
        <f>_xlfn.CONCAT(_xlfn.XLOOKUP("[S02_InformationExchangeAccBodyAndCA][4][OtherDescription]",Submission!$O:$O,Submission!$H:$N,""))</f>
        <v>No</v>
      </c>
      <c r="G103" s="282"/>
      <c r="H103" s="281" t="str">
        <f>_xlfn.CONCAT(_xlfn.XLOOKUP("[S02_InformationExchangeAccBodyAndCA][4][InfoExchangeComment]",Submission!$O:$O,Submission!$H:$N,""))</f>
        <v/>
      </c>
      <c r="I103" s="282"/>
    </row>
    <row r="104" spans="1:9" s="79" customFormat="1" ht="27.6" hidden="1" customHeight="1" outlineLevel="1" x14ac:dyDescent="0.3">
      <c r="A104" s="78"/>
      <c r="C104" s="246" t="s">
        <v>716</v>
      </c>
      <c r="D104" s="283"/>
      <c r="E104" s="239"/>
      <c r="F104" s="284" t="str">
        <f>_xlfn.CONCAT(_xlfn.XLOOKUP("[S02_InformationExchangeAccBodyAndCA][5][OtherDescription]",Submission!$O:$O,Submission!$H:$N,""))</f>
        <v/>
      </c>
      <c r="G104" s="282"/>
      <c r="H104" s="281" t="str">
        <f>_xlfn.CONCAT(_xlfn.XLOOKUP("[S02_InformationExchangeAccBodyAndCA][5][InfoExchangeComment]",Submission!$O:$O,Submission!$H:$N,""))</f>
        <v/>
      </c>
      <c r="I104" s="282"/>
    </row>
    <row r="105" spans="1:9" s="79" customFormat="1" ht="27.6" hidden="1" customHeight="1" outlineLevel="1" x14ac:dyDescent="0.3">
      <c r="A105" s="78"/>
      <c r="C105" s="246" t="s">
        <v>716</v>
      </c>
      <c r="D105" s="283"/>
      <c r="E105" s="239"/>
      <c r="F105" s="284" t="str">
        <f>_xlfn.CONCAT(_xlfn.XLOOKUP("[S02_InformationExchangeAccBodyAndCA][6][OtherDescription]",Submission!$O:$O,Submission!$H:$N,""))</f>
        <v/>
      </c>
      <c r="G105" s="282"/>
      <c r="H105" s="281" t="str">
        <f>_xlfn.CONCAT(_xlfn.XLOOKUP("[S02_InformationExchangeAccBodyAndCA][6][InfoExchangeComment]",Submission!$O:$O,Submission!$H:$N,""))</f>
        <v/>
      </c>
      <c r="I105" s="282"/>
    </row>
    <row r="106" spans="1:9" s="79" customFormat="1" ht="27.6" hidden="1" customHeight="1" outlineLevel="1" x14ac:dyDescent="0.3">
      <c r="A106" s="78"/>
      <c r="C106" s="246" t="s">
        <v>716</v>
      </c>
      <c r="D106" s="283"/>
      <c r="E106" s="239"/>
      <c r="F106" s="284" t="str">
        <f>_xlfn.CONCAT(_xlfn.XLOOKUP("[S02_InformationExchangeAccBodyAndCA][7][OtherDescription]",Submission!$O:$O,Submission!$H:$N,""))</f>
        <v/>
      </c>
      <c r="G106" s="282"/>
      <c r="H106" s="281" t="str">
        <f>_xlfn.CONCAT(_xlfn.XLOOKUP("[S02_InformationExchangeAccBodyAndCA][7][InfoExchangeComment]",Submission!$O:$O,Submission!$H:$N,""))</f>
        <v/>
      </c>
      <c r="I106" s="282"/>
    </row>
    <row r="107" spans="1:9" s="79" customFormat="1" ht="15.9" customHeight="1" collapsed="1" x14ac:dyDescent="0.3">
      <c r="A107" s="78"/>
      <c r="B107" s="120" t="s">
        <v>2</v>
      </c>
    </row>
    <row r="108" spans="1:9" s="79" customFormat="1" x14ac:dyDescent="0.3">
      <c r="A108" s="78"/>
    </row>
  </sheetData>
  <mergeCells count="142">
    <mergeCell ref="D68:E68"/>
    <mergeCell ref="F68:G68"/>
    <mergeCell ref="H68:I68"/>
    <mergeCell ref="C94:E94"/>
    <mergeCell ref="F94:G94"/>
    <mergeCell ref="H94:I94"/>
    <mergeCell ref="C93:E93"/>
    <mergeCell ref="F93:G93"/>
    <mergeCell ref="H93:I93"/>
    <mergeCell ref="C92:E92"/>
    <mergeCell ref="F92:G92"/>
    <mergeCell ref="H92:I92"/>
    <mergeCell ref="F65:G65"/>
    <mergeCell ref="H65:I65"/>
    <mergeCell ref="H67:I67"/>
    <mergeCell ref="C76:I76"/>
    <mergeCell ref="B84:I84"/>
    <mergeCell ref="F67:G67"/>
    <mergeCell ref="D67:E67"/>
    <mergeCell ref="B79:I79"/>
    <mergeCell ref="G81:I81"/>
    <mergeCell ref="G82:I82"/>
    <mergeCell ref="C81:F81"/>
    <mergeCell ref="C82:F82"/>
    <mergeCell ref="C72:I72"/>
    <mergeCell ref="C74:I74"/>
    <mergeCell ref="C73:I73"/>
    <mergeCell ref="C75:I75"/>
    <mergeCell ref="C77:I77"/>
    <mergeCell ref="C80:I80"/>
    <mergeCell ref="D70:E70"/>
    <mergeCell ref="F70:G70"/>
    <mergeCell ref="H70:I70"/>
    <mergeCell ref="D69:E69"/>
    <mergeCell ref="F69:G69"/>
    <mergeCell ref="H69:I69"/>
    <mergeCell ref="H63:I63"/>
    <mergeCell ref="H64:I64"/>
    <mergeCell ref="H85:I85"/>
    <mergeCell ref="H86:I86"/>
    <mergeCell ref="H87:I87"/>
    <mergeCell ref="H88:I88"/>
    <mergeCell ref="F95:G95"/>
    <mergeCell ref="C86:F86"/>
    <mergeCell ref="C87:F87"/>
    <mergeCell ref="C88:F88"/>
    <mergeCell ref="C89:F89"/>
    <mergeCell ref="C90:F90"/>
    <mergeCell ref="H89:I89"/>
    <mergeCell ref="H90:I90"/>
    <mergeCell ref="H91:I91"/>
    <mergeCell ref="H95:I95"/>
    <mergeCell ref="C91:F91"/>
    <mergeCell ref="C85:F85"/>
    <mergeCell ref="C95:E95"/>
    <mergeCell ref="C66:E66"/>
    <mergeCell ref="F66:G66"/>
    <mergeCell ref="F63:G63"/>
    <mergeCell ref="F64:G64"/>
    <mergeCell ref="H66:I66"/>
    <mergeCell ref="H106:I106"/>
    <mergeCell ref="B98:I98"/>
    <mergeCell ref="H99:I99"/>
    <mergeCell ref="H100:I100"/>
    <mergeCell ref="H101:I101"/>
    <mergeCell ref="H102:I102"/>
    <mergeCell ref="C106:E106"/>
    <mergeCell ref="F106:G106"/>
    <mergeCell ref="C99:F99"/>
    <mergeCell ref="C100:F100"/>
    <mergeCell ref="C101:F101"/>
    <mergeCell ref="C102:F102"/>
    <mergeCell ref="C105:E105"/>
    <mergeCell ref="F105:G105"/>
    <mergeCell ref="H105:I105"/>
    <mergeCell ref="C103:E103"/>
    <mergeCell ref="F103:G103"/>
    <mergeCell ref="H103:I103"/>
    <mergeCell ref="C104:E104"/>
    <mergeCell ref="F104:G104"/>
    <mergeCell ref="H104:I104"/>
    <mergeCell ref="B42:I42"/>
    <mergeCell ref="B41:H41"/>
    <mergeCell ref="C43:I43"/>
    <mergeCell ref="H57:I57"/>
    <mergeCell ref="H58:I58"/>
    <mergeCell ref="H59:I59"/>
    <mergeCell ref="F60:G60"/>
    <mergeCell ref="C52:I52"/>
    <mergeCell ref="F58:G58"/>
    <mergeCell ref="F53:G53"/>
    <mergeCell ref="F57:G57"/>
    <mergeCell ref="F59:G59"/>
    <mergeCell ref="B47:I47"/>
    <mergeCell ref="C63:E63"/>
    <mergeCell ref="C64:E64"/>
    <mergeCell ref="C60:E60"/>
    <mergeCell ref="C65:E65"/>
    <mergeCell ref="C62:E62"/>
    <mergeCell ref="F62:G62"/>
    <mergeCell ref="C55:E55"/>
    <mergeCell ref="B4:I4"/>
    <mergeCell ref="B5:I5"/>
    <mergeCell ref="B37:I37"/>
    <mergeCell ref="B34:H34"/>
    <mergeCell ref="H61:I61"/>
    <mergeCell ref="H62:I62"/>
    <mergeCell ref="C57:E57"/>
    <mergeCell ref="C58:E58"/>
    <mergeCell ref="C59:E59"/>
    <mergeCell ref="C61:E61"/>
    <mergeCell ref="H60:I60"/>
    <mergeCell ref="C30:I30"/>
    <mergeCell ref="C31:I31"/>
    <mergeCell ref="C32:I32"/>
    <mergeCell ref="F61:G61"/>
    <mergeCell ref="C56:E56"/>
    <mergeCell ref="C49:D49"/>
    <mergeCell ref="A1:I1"/>
    <mergeCell ref="B3:I3"/>
    <mergeCell ref="C35:I35"/>
    <mergeCell ref="H56:I56"/>
    <mergeCell ref="F54:G54"/>
    <mergeCell ref="F55:G55"/>
    <mergeCell ref="F56:G56"/>
    <mergeCell ref="H38:I38"/>
    <mergeCell ref="H39:I39"/>
    <mergeCell ref="H45:I45"/>
    <mergeCell ref="H49:I49"/>
    <mergeCell ref="H44:I44"/>
    <mergeCell ref="H48:I48"/>
    <mergeCell ref="B51:I51"/>
    <mergeCell ref="H53:I53"/>
    <mergeCell ref="H54:I54"/>
    <mergeCell ref="H55:I55"/>
    <mergeCell ref="C53:E53"/>
    <mergeCell ref="C54:E54"/>
    <mergeCell ref="C38:D38"/>
    <mergeCell ref="C39:D39"/>
    <mergeCell ref="C44:D44"/>
    <mergeCell ref="C45:D45"/>
    <mergeCell ref="C48:D48"/>
  </mergeCells>
  <phoneticPr fontId="56" type="noConversion"/>
  <dataValidations count="2">
    <dataValidation type="list" allowBlank="1" showInputMessage="1" showErrorMessage="1" sqref="I41 I34 G86:G91 G100:G102" xr:uid="{00000000-0002-0000-0600-000000000000}">
      <formula1>Yes_No</formula1>
    </dataValidation>
    <dataValidation type="whole" operator="greaterThanOrEqual" allowBlank="1" showInputMessage="1" showErrorMessage="1" errorTitle="Invalid input" error="Please type a number greater or equal to zero" sqref="F7:F28" xr:uid="{663918B7-DB82-4510-ACF3-92441B85F523}">
      <formula1>0</formula1>
    </dataValidation>
  </dataValidations>
  <pageMargins left="0.7" right="0.7" top="0.75" bottom="0.75" header="0.3" footer="0.3"/>
  <pageSetup paperSize="9" orientation="portrait" horizontalDpi="4294967293"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1000000}">
          <x14:formula1>
            <xm:f>'Lists and version log'!$E$2:$E$6</xm:f>
          </x14:formula1>
          <xm:sqref>E7:E28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7"/>
  <dimension ref="A1:L67"/>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7" customFormat="1" ht="18.899999999999999" customHeight="1" x14ac:dyDescent="0.35">
      <c r="A3" s="62">
        <v>3</v>
      </c>
      <c r="B3" s="327" t="s">
        <v>722</v>
      </c>
      <c r="C3" s="327"/>
      <c r="D3" s="327"/>
      <c r="E3" s="327"/>
      <c r="F3" s="327"/>
      <c r="G3" s="327"/>
      <c r="H3" s="327"/>
      <c r="I3" s="327"/>
    </row>
    <row r="4" spans="1:9" s="7" customFormat="1" ht="18.899999999999999" customHeight="1" x14ac:dyDescent="0.35">
      <c r="A4" s="48" t="s">
        <v>723</v>
      </c>
      <c r="B4" s="325" t="s">
        <v>74</v>
      </c>
      <c r="C4" s="325"/>
      <c r="D4" s="325"/>
      <c r="E4" s="325"/>
      <c r="F4" s="325"/>
      <c r="G4" s="325"/>
      <c r="H4" s="325"/>
      <c r="I4" s="326"/>
    </row>
    <row r="5" spans="1:9" s="7" customFormat="1" ht="51" customHeight="1" x14ac:dyDescent="0.3">
      <c r="A5" s="12" t="s">
        <v>75</v>
      </c>
      <c r="B5" s="328" t="s">
        <v>724</v>
      </c>
      <c r="C5" s="329"/>
      <c r="D5" s="329"/>
      <c r="E5" s="329"/>
      <c r="F5" s="329"/>
      <c r="G5" s="329"/>
      <c r="H5" s="329"/>
      <c r="I5" s="329"/>
    </row>
    <row r="6" spans="1:9" s="7" customFormat="1" ht="12.6" customHeight="1" x14ac:dyDescent="0.3">
      <c r="A6" s="8"/>
      <c r="C6" s="303" t="s">
        <v>725</v>
      </c>
      <c r="D6" s="330"/>
      <c r="E6" s="330"/>
      <c r="F6" s="309"/>
      <c r="G6" s="303" t="s">
        <v>726</v>
      </c>
      <c r="H6" s="330"/>
      <c r="I6" s="309"/>
    </row>
    <row r="7" spans="1:9" s="7" customFormat="1" ht="15" customHeight="1" x14ac:dyDescent="0.3">
      <c r="A7" s="8"/>
      <c r="C7" s="320" t="s">
        <v>76</v>
      </c>
      <c r="D7" s="331"/>
      <c r="E7" s="331"/>
      <c r="F7" s="332"/>
      <c r="G7" s="333" t="str">
        <f>_xlfn.CONCAT(_xlfn.XLOOKUP("[S03_EmittingInstallations][1][NumberOfInstallations]",Submission!$O:$O,Submission!$H:$N,""))</f>
        <v>45</v>
      </c>
      <c r="H7" s="334"/>
      <c r="I7" s="335"/>
    </row>
    <row r="8" spans="1:9" s="7" customFormat="1" ht="15" customHeight="1" x14ac:dyDescent="0.3">
      <c r="A8" s="8"/>
      <c r="C8" s="320" t="s">
        <v>727</v>
      </c>
      <c r="D8" s="331"/>
      <c r="E8" s="331"/>
      <c r="F8" s="332"/>
      <c r="G8" s="333" t="str">
        <f>_xlfn.CONCAT(_xlfn.XLOOKUP("[S03_EmittingInstallations][2][NumberOfInstallations]",Submission!$O:$O,Submission!$H:$N,""))</f>
        <v>22</v>
      </c>
      <c r="H8" s="334"/>
      <c r="I8" s="335"/>
    </row>
    <row r="9" spans="1:9" s="7" customFormat="1" ht="15" customHeight="1" x14ac:dyDescent="0.3">
      <c r="A9" s="8"/>
      <c r="C9" s="320" t="s">
        <v>728</v>
      </c>
      <c r="D9" s="331"/>
      <c r="E9" s="331"/>
      <c r="F9" s="332"/>
      <c r="G9" s="333" t="str">
        <f>_xlfn.CONCAT(_xlfn.XLOOKUP("[S03_EmittingInstallations][3][NumberOfInstallations]",Submission!$O:$O,Submission!$H:$N,""))</f>
        <v>16</v>
      </c>
      <c r="H9" s="334"/>
      <c r="I9" s="335"/>
    </row>
    <row r="10" spans="1:9" s="7" customFormat="1" ht="15" customHeight="1" x14ac:dyDescent="0.3">
      <c r="A10" s="8"/>
      <c r="C10" s="320" t="s">
        <v>729</v>
      </c>
      <c r="D10" s="331"/>
      <c r="E10" s="331"/>
      <c r="F10" s="332"/>
      <c r="G10" s="333" t="str">
        <f>_xlfn.CONCAT(_xlfn.XLOOKUP("[S03_EmittingInstallations][4][NumberOfInstallations]",Submission!$O:$O,Submission!$H:$N,""))</f>
        <v>7</v>
      </c>
      <c r="H10" s="334"/>
      <c r="I10" s="335"/>
    </row>
    <row r="11" spans="1:9" s="7" customFormat="1" ht="15" customHeight="1" x14ac:dyDescent="0.3">
      <c r="A11" s="8"/>
      <c r="C11" s="320" t="s">
        <v>730</v>
      </c>
      <c r="D11" s="331"/>
      <c r="E11" s="331"/>
      <c r="F11" s="332"/>
      <c r="G11" s="333" t="str">
        <f>_xlfn.CONCAT(_xlfn.XLOOKUP("[S03_EmittingInstallations][5][NumberOfInstallations]",Submission!$O:$O,Submission!$H:$N,""))</f>
        <v>16</v>
      </c>
      <c r="H11" s="334"/>
      <c r="I11" s="335"/>
    </row>
    <row r="12" spans="1:9" s="11" customFormat="1" ht="14.4" x14ac:dyDescent="0.3"/>
    <row r="13" spans="1:9" s="7" customFormat="1" ht="20.399999999999999" customHeight="1" x14ac:dyDescent="0.3">
      <c r="A13" s="12"/>
      <c r="B13" s="340" t="s">
        <v>731</v>
      </c>
      <c r="C13" s="294"/>
      <c r="D13" s="294"/>
      <c r="E13" s="294"/>
      <c r="F13" s="294"/>
      <c r="G13" s="294"/>
      <c r="H13" s="294"/>
      <c r="I13" s="294"/>
    </row>
    <row r="14" spans="1:9" s="11" customFormat="1" ht="15" customHeight="1" x14ac:dyDescent="0.3">
      <c r="C14" s="337" t="s">
        <v>732</v>
      </c>
      <c r="D14" s="338"/>
      <c r="E14" s="338"/>
      <c r="F14" s="338"/>
      <c r="G14" s="339"/>
      <c r="H14" s="315" t="s">
        <v>709</v>
      </c>
      <c r="I14" s="336"/>
    </row>
    <row r="15" spans="1:9" s="11" customFormat="1" ht="14.4" x14ac:dyDescent="0.3">
      <c r="C15" s="300" t="s">
        <v>733</v>
      </c>
      <c r="D15" s="301"/>
      <c r="E15" s="301"/>
      <c r="F15" s="301"/>
      <c r="G15" s="302"/>
      <c r="H15" s="296" t="str">
        <f>_xlfn.CONCAT(_xlfn.XLOOKUP("[S03_ActivityPermits][1][ActivityPermitsIssued]",Submission!$O:$O,Submission!$H:$N,""))</f>
        <v>Yes</v>
      </c>
      <c r="I15" s="297"/>
    </row>
    <row r="16" spans="1:9" s="11" customFormat="1" ht="14.4" x14ac:dyDescent="0.3">
      <c r="C16" s="300" t="s">
        <v>734</v>
      </c>
      <c r="D16" s="301"/>
      <c r="E16" s="301"/>
      <c r="F16" s="301"/>
      <c r="G16" s="302"/>
      <c r="H16" s="296" t="str">
        <f>_xlfn.CONCAT(_xlfn.XLOOKUP("[S03_ActivityPermits][2][ActivityPermitsIssued]",Submission!$O:$O,Submission!$H:$N,""))</f>
        <v>Yes</v>
      </c>
      <c r="I16" s="297"/>
    </row>
    <row r="17" spans="3:9" s="11" customFormat="1" ht="14.4" x14ac:dyDescent="0.3">
      <c r="C17" s="300" t="s">
        <v>735</v>
      </c>
      <c r="D17" s="301"/>
      <c r="E17" s="301"/>
      <c r="F17" s="301"/>
      <c r="G17" s="302"/>
      <c r="H17" s="296" t="str">
        <f>_xlfn.CONCAT(_xlfn.XLOOKUP("[S03_ActivityPermits][3][ActivityPermitsIssued]",Submission!$O:$O,Submission!$H:$N,""))</f>
        <v>No</v>
      </c>
      <c r="I17" s="297"/>
    </row>
    <row r="18" spans="3:9" s="11" customFormat="1" ht="14.4" x14ac:dyDescent="0.3">
      <c r="C18" s="300" t="s">
        <v>736</v>
      </c>
      <c r="D18" s="301"/>
      <c r="E18" s="301"/>
      <c r="F18" s="301"/>
      <c r="G18" s="302"/>
      <c r="H18" s="296" t="str">
        <f>_xlfn.CONCAT(_xlfn.XLOOKUP("[S03_ActivityPermits][4][ActivityPermitsIssued]",Submission!$O:$O,Submission!$H:$N,""))</f>
        <v>No</v>
      </c>
      <c r="I18" s="297"/>
    </row>
    <row r="19" spans="3:9" s="11" customFormat="1" ht="14.4" x14ac:dyDescent="0.3">
      <c r="C19" s="300" t="s">
        <v>737</v>
      </c>
      <c r="D19" s="301"/>
      <c r="E19" s="301"/>
      <c r="F19" s="301"/>
      <c r="G19" s="302"/>
      <c r="H19" s="296" t="str">
        <f>_xlfn.CONCAT(_xlfn.XLOOKUP("[S03_ActivityPermits][5][ActivityPermitsIssued]",Submission!$O:$O,Submission!$H:$N,""))</f>
        <v>Yes</v>
      </c>
      <c r="I19" s="297"/>
    </row>
    <row r="20" spans="3:9" s="11" customFormat="1" ht="14.4" x14ac:dyDescent="0.3">
      <c r="C20" s="300" t="s">
        <v>738</v>
      </c>
      <c r="D20" s="301"/>
      <c r="E20" s="301"/>
      <c r="F20" s="301"/>
      <c r="G20" s="302"/>
      <c r="H20" s="296" t="str">
        <f>_xlfn.CONCAT(_xlfn.XLOOKUP("[S03_ActivityPermits][6][ActivityPermitsIssued]",Submission!$O:$O,Submission!$H:$N,""))</f>
        <v>No</v>
      </c>
      <c r="I20" s="297"/>
    </row>
    <row r="21" spans="3:9" s="11" customFormat="1" ht="14.4" x14ac:dyDescent="0.3">
      <c r="C21" s="300" t="s">
        <v>739</v>
      </c>
      <c r="D21" s="301"/>
      <c r="E21" s="301"/>
      <c r="F21" s="301"/>
      <c r="G21" s="302"/>
      <c r="H21" s="296" t="str">
        <f>_xlfn.CONCAT(_xlfn.XLOOKUP("[S03_ActivityPermits][7][ActivityPermitsIssued]",Submission!$O:$O,Submission!$H:$N,""))</f>
        <v>No</v>
      </c>
      <c r="I21" s="297"/>
    </row>
    <row r="22" spans="3:9" s="11" customFormat="1" ht="14.4" x14ac:dyDescent="0.3">
      <c r="C22" s="300" t="s">
        <v>740</v>
      </c>
      <c r="D22" s="301"/>
      <c r="E22" s="301"/>
      <c r="F22" s="301"/>
      <c r="G22" s="302"/>
      <c r="H22" s="296" t="str">
        <f>_xlfn.CONCAT(_xlfn.XLOOKUP("[S03_ActivityPermits][8][ActivityPermitsIssued]",Submission!$O:$O,Submission!$H:$N,""))</f>
        <v>Yes</v>
      </c>
      <c r="I22" s="297"/>
    </row>
    <row r="23" spans="3:9" s="11" customFormat="1" ht="14.4" x14ac:dyDescent="0.3">
      <c r="C23" s="300" t="s">
        <v>741</v>
      </c>
      <c r="D23" s="301"/>
      <c r="E23" s="301"/>
      <c r="F23" s="301"/>
      <c r="G23" s="302"/>
      <c r="H23" s="296" t="str">
        <f>_xlfn.CONCAT(_xlfn.XLOOKUP("[S03_ActivityPermits][9][ActivityPermitsIssued]",Submission!$O:$O,Submission!$H:$N,""))</f>
        <v>No</v>
      </c>
      <c r="I23" s="297"/>
    </row>
    <row r="24" spans="3:9" s="11" customFormat="1" ht="14.4" x14ac:dyDescent="0.3">
      <c r="C24" s="300" t="s">
        <v>742</v>
      </c>
      <c r="D24" s="301"/>
      <c r="E24" s="301"/>
      <c r="F24" s="301"/>
      <c r="G24" s="302"/>
      <c r="H24" s="296" t="str">
        <f>_xlfn.CONCAT(_xlfn.XLOOKUP("[S03_ActivityPermits][10][ActivityPermitsIssued]",Submission!$O:$O,Submission!$H:$N,""))</f>
        <v>Yes</v>
      </c>
      <c r="I24" s="297"/>
    </row>
    <row r="25" spans="3:9" s="11" customFormat="1" ht="14.4" x14ac:dyDescent="0.3">
      <c r="C25" s="300" t="s">
        <v>743</v>
      </c>
      <c r="D25" s="301"/>
      <c r="E25" s="301"/>
      <c r="F25" s="301"/>
      <c r="G25" s="302"/>
      <c r="H25" s="296" t="str">
        <f>_xlfn.CONCAT(_xlfn.XLOOKUP("[S03_ActivityPermits][11][ActivityPermitsIssued]",Submission!$O:$O,Submission!$H:$N,""))</f>
        <v>Yes</v>
      </c>
      <c r="I25" s="297"/>
    </row>
    <row r="26" spans="3:9" s="11" customFormat="1" ht="14.4" x14ac:dyDescent="0.3">
      <c r="C26" s="300" t="s">
        <v>744</v>
      </c>
      <c r="D26" s="301"/>
      <c r="E26" s="301"/>
      <c r="F26" s="301"/>
      <c r="G26" s="302"/>
      <c r="H26" s="296" t="str">
        <f>_xlfn.CONCAT(_xlfn.XLOOKUP("[S03_ActivityPermits][12][ActivityPermitsIssued]",Submission!$O:$O,Submission!$H:$N,""))</f>
        <v>Yes</v>
      </c>
      <c r="I26" s="297"/>
    </row>
    <row r="27" spans="3:9" s="11" customFormat="1" ht="14.4" x14ac:dyDescent="0.3">
      <c r="C27" s="300" t="s">
        <v>745</v>
      </c>
      <c r="D27" s="301"/>
      <c r="E27" s="301"/>
      <c r="F27" s="301"/>
      <c r="G27" s="302"/>
      <c r="H27" s="296" t="str">
        <f>_xlfn.CONCAT(_xlfn.XLOOKUP("[S03_ActivityPermits][13][ActivityPermitsIssued]",Submission!$O:$O,Submission!$H:$N,""))</f>
        <v>Yes</v>
      </c>
      <c r="I27" s="297"/>
    </row>
    <row r="28" spans="3:9" s="11" customFormat="1" ht="14.4" x14ac:dyDescent="0.3">
      <c r="C28" s="300" t="s">
        <v>746</v>
      </c>
      <c r="D28" s="301"/>
      <c r="E28" s="301"/>
      <c r="F28" s="301"/>
      <c r="G28" s="302"/>
      <c r="H28" s="296" t="str">
        <f>_xlfn.CONCAT(_xlfn.XLOOKUP("[S03_ActivityPermits][14][ActivityPermitsIssued]",Submission!$O:$O,Submission!$H:$N,""))</f>
        <v>Yes</v>
      </c>
      <c r="I28" s="297"/>
    </row>
    <row r="29" spans="3:9" s="11" customFormat="1" ht="14.4" x14ac:dyDescent="0.3">
      <c r="C29" s="300" t="s">
        <v>747</v>
      </c>
      <c r="D29" s="301"/>
      <c r="E29" s="301"/>
      <c r="F29" s="301"/>
      <c r="G29" s="302"/>
      <c r="H29" s="296" t="str">
        <f>_xlfn.CONCAT(_xlfn.XLOOKUP("[S03_ActivityPermits][15][ActivityPermitsIssued]",Submission!$O:$O,Submission!$H:$N,""))</f>
        <v>No</v>
      </c>
      <c r="I29" s="297"/>
    </row>
    <row r="30" spans="3:9" s="11" customFormat="1" ht="14.4" x14ac:dyDescent="0.3">
      <c r="C30" s="300" t="s">
        <v>748</v>
      </c>
      <c r="D30" s="301"/>
      <c r="E30" s="301"/>
      <c r="F30" s="301"/>
      <c r="G30" s="302"/>
      <c r="H30" s="296" t="str">
        <f>_xlfn.CONCAT(_xlfn.XLOOKUP("[S03_ActivityPermits][16][ActivityPermitsIssued]",Submission!$O:$O,Submission!$H:$N,""))</f>
        <v>Yes</v>
      </c>
      <c r="I30" s="297"/>
    </row>
    <row r="31" spans="3:9" s="11" customFormat="1" ht="14.4" x14ac:dyDescent="0.3">
      <c r="C31" s="300" t="s">
        <v>749</v>
      </c>
      <c r="D31" s="301"/>
      <c r="E31" s="301"/>
      <c r="F31" s="301"/>
      <c r="G31" s="302"/>
      <c r="H31" s="296" t="str">
        <f>_xlfn.CONCAT(_xlfn.XLOOKUP("[S03_ActivityPermits][17][ActivityPermitsIssued]",Submission!$O:$O,Submission!$H:$N,""))</f>
        <v>Yes</v>
      </c>
      <c r="I31" s="297"/>
    </row>
    <row r="32" spans="3:9" s="11" customFormat="1" ht="14.4" x14ac:dyDescent="0.3">
      <c r="C32" s="300" t="s">
        <v>750</v>
      </c>
      <c r="D32" s="301"/>
      <c r="E32" s="301"/>
      <c r="F32" s="301"/>
      <c r="G32" s="302"/>
      <c r="H32" s="296" t="str">
        <f>_xlfn.CONCAT(_xlfn.XLOOKUP("[S03_ActivityPermits][18][ActivityPermitsIssued]",Submission!$O:$O,Submission!$H:$N,""))</f>
        <v>Yes</v>
      </c>
      <c r="I32" s="297"/>
    </row>
    <row r="33" spans="1:9" s="11" customFormat="1" ht="14.4" x14ac:dyDescent="0.3">
      <c r="C33" s="300" t="s">
        <v>751</v>
      </c>
      <c r="D33" s="301"/>
      <c r="E33" s="301"/>
      <c r="F33" s="301"/>
      <c r="G33" s="302"/>
      <c r="H33" s="296" t="str">
        <f>_xlfn.CONCAT(_xlfn.XLOOKUP("[S03_ActivityPermits][19][ActivityPermitsIssued]",Submission!$O:$O,Submission!$H:$N,""))</f>
        <v>Yes</v>
      </c>
      <c r="I33" s="297"/>
    </row>
    <row r="34" spans="1:9" s="11" customFormat="1" ht="14.4" x14ac:dyDescent="0.3">
      <c r="C34" s="300" t="s">
        <v>752</v>
      </c>
      <c r="D34" s="301"/>
      <c r="E34" s="301"/>
      <c r="F34" s="301"/>
      <c r="G34" s="302"/>
      <c r="H34" s="296" t="str">
        <f>_xlfn.CONCAT(_xlfn.XLOOKUP("[S03_ActivityPermits][20][ActivityPermitsIssued]",Submission!$O:$O,Submission!$H:$N,""))</f>
        <v>No</v>
      </c>
      <c r="I34" s="297"/>
    </row>
    <row r="35" spans="1:9" s="11" customFormat="1" ht="14.4" x14ac:dyDescent="0.3">
      <c r="C35" s="300" t="s">
        <v>753</v>
      </c>
      <c r="D35" s="301"/>
      <c r="E35" s="301"/>
      <c r="F35" s="301"/>
      <c r="G35" s="302"/>
      <c r="H35" s="296" t="str">
        <f>_xlfn.CONCAT(_xlfn.XLOOKUP("[S03_ActivityPermits][21][ActivityPermitsIssued]",Submission!$O:$O,Submission!$H:$N,""))</f>
        <v>No</v>
      </c>
      <c r="I35" s="297"/>
    </row>
    <row r="36" spans="1:9" s="11" customFormat="1" ht="14.4" x14ac:dyDescent="0.3">
      <c r="C36" s="300" t="s">
        <v>754</v>
      </c>
      <c r="D36" s="301"/>
      <c r="E36" s="301"/>
      <c r="F36" s="301"/>
      <c r="G36" s="302"/>
      <c r="H36" s="296" t="str">
        <f>_xlfn.CONCAT(_xlfn.XLOOKUP("[S03_ActivityPermits][22][ActivityPermitsIssued]",Submission!$O:$O,Submission!$H:$N,""))</f>
        <v>Yes</v>
      </c>
      <c r="I36" s="297"/>
    </row>
    <row r="37" spans="1:9" s="11" customFormat="1" ht="14.4" x14ac:dyDescent="0.3">
      <c r="C37" s="300" t="s">
        <v>755</v>
      </c>
      <c r="D37" s="301"/>
      <c r="E37" s="301"/>
      <c r="F37" s="301"/>
      <c r="G37" s="302"/>
      <c r="H37" s="296" t="str">
        <f>_xlfn.CONCAT(_xlfn.XLOOKUP("[S03_ActivityPermits][23][ActivityPermitsIssued]",Submission!$O:$O,Submission!$H:$N,""))</f>
        <v>No</v>
      </c>
      <c r="I37" s="297"/>
    </row>
    <row r="38" spans="1:9" s="11" customFormat="1" ht="15" x14ac:dyDescent="0.3">
      <c r="C38" s="300" t="s">
        <v>756</v>
      </c>
      <c r="D38" s="301"/>
      <c r="E38" s="301"/>
      <c r="F38" s="301"/>
      <c r="G38" s="302"/>
      <c r="H38" s="296" t="str">
        <f>_xlfn.CONCAT(_xlfn.XLOOKUP("[S03_ActivityPermits][24][ActivityPermitsIssued]",Submission!$O:$O,Submission!$H:$N,""))</f>
        <v>No</v>
      </c>
      <c r="I38" s="297"/>
    </row>
    <row r="39" spans="1:9" s="11" customFormat="1" ht="15" x14ac:dyDescent="0.3">
      <c r="C39" s="300" t="s">
        <v>757</v>
      </c>
      <c r="D39" s="301"/>
      <c r="E39" s="301"/>
      <c r="F39" s="301"/>
      <c r="G39" s="302"/>
      <c r="H39" s="296" t="str">
        <f>_xlfn.CONCAT(_xlfn.XLOOKUP("[S03_ActivityPermits][25][ActivityPermitsIssued]",Submission!$O:$O,Submission!$H:$N,""))</f>
        <v>No</v>
      </c>
      <c r="I39" s="297"/>
    </row>
    <row r="40" spans="1:9" s="11" customFormat="1" ht="14.4" x14ac:dyDescent="0.3">
      <c r="C40" s="300" t="s">
        <v>758</v>
      </c>
      <c r="D40" s="301"/>
      <c r="E40" s="301"/>
      <c r="F40" s="301"/>
      <c r="G40" s="302"/>
      <c r="H40" s="296" t="str">
        <f>_xlfn.CONCAT(_xlfn.XLOOKUP("[S03_ActivityPermits][26][ActivityPermitsIssued]",Submission!$O:$O,Submission!$H:$N,""))</f>
        <v>No</v>
      </c>
      <c r="I40" s="297"/>
    </row>
    <row r="41" spans="1:9" s="11" customFormat="1" ht="14.4" x14ac:dyDescent="0.3">
      <c r="C41" s="300" t="s">
        <v>759</v>
      </c>
      <c r="D41" s="301"/>
      <c r="E41" s="301"/>
      <c r="F41" s="301"/>
      <c r="G41" s="302"/>
      <c r="H41" s="296" t="str">
        <f>_xlfn.CONCAT(_xlfn.XLOOKUP("[S03_ActivityPermits][27][ActivityPermitsIssued]",Submission!$O:$O,Submission!$H:$N,""))</f>
        <v>No</v>
      </c>
      <c r="I41" s="297"/>
    </row>
    <row r="42" spans="1:9" s="11" customFormat="1" ht="14.4" x14ac:dyDescent="0.3">
      <c r="C42" s="300" t="s">
        <v>760</v>
      </c>
      <c r="D42" s="301"/>
      <c r="E42" s="301"/>
      <c r="F42" s="301"/>
      <c r="G42" s="302"/>
      <c r="H42" s="296" t="str">
        <f>_xlfn.CONCAT(_xlfn.XLOOKUP("[S03_ActivityPermits][28][ActivityPermitsIssued]",Submission!$O:$O,Submission!$H:$N,""))</f>
        <v>No</v>
      </c>
      <c r="I42" s="297"/>
    </row>
    <row r="43" spans="1:9" s="11" customFormat="1" ht="29.25" customHeight="1" x14ac:dyDescent="0.3">
      <c r="C43" s="292" t="s">
        <v>761</v>
      </c>
      <c r="D43" s="292"/>
      <c r="E43" s="292"/>
      <c r="F43" s="292"/>
      <c r="G43" s="292"/>
      <c r="H43" s="292"/>
      <c r="I43" s="292"/>
    </row>
    <row r="44" spans="1:9" s="7" customFormat="1" ht="18.75" customHeight="1" x14ac:dyDescent="0.3">
      <c r="A44" s="8"/>
    </row>
    <row r="45" spans="1:9" ht="18" customHeight="1" x14ac:dyDescent="0.3">
      <c r="A45" s="12" t="s">
        <v>80</v>
      </c>
      <c r="B45" s="293" t="s">
        <v>762</v>
      </c>
      <c r="C45" s="294"/>
      <c r="D45" s="294"/>
      <c r="E45" s="294"/>
      <c r="F45" s="294"/>
      <c r="G45" s="294"/>
      <c r="H45" s="295"/>
      <c r="I45" s="41" t="str">
        <f>_xlfn.CONCAT(_xlfn.XLOOKUP("[InstallationsExcludedArt27][0][InstallationsExcludedArt27]",Submission!$O:$O,Submission!$H:$N,""))</f>
        <v>Yes</v>
      </c>
    </row>
    <row r="46" spans="1:9" ht="16.95" customHeight="1" x14ac:dyDescent="0.3">
      <c r="B46" s="293" t="s">
        <v>763</v>
      </c>
      <c r="C46" s="294"/>
      <c r="D46" s="294"/>
      <c r="E46" s="294"/>
      <c r="F46" s="294"/>
      <c r="G46" s="294"/>
      <c r="H46" s="294"/>
      <c r="I46" s="294"/>
    </row>
    <row r="47" spans="1:9" ht="28.2" customHeight="1" x14ac:dyDescent="0.3">
      <c r="B47" s="36" t="s">
        <v>8</v>
      </c>
      <c r="C47" s="310" t="s">
        <v>764</v>
      </c>
      <c r="D47" s="310"/>
      <c r="E47" s="310"/>
      <c r="F47" s="310"/>
      <c r="G47" s="310"/>
      <c r="H47" s="310"/>
      <c r="I47" s="310"/>
    </row>
    <row r="48" spans="1:9" ht="30.6" customHeight="1" x14ac:dyDescent="0.3">
      <c r="B48" s="36" t="s">
        <v>8</v>
      </c>
      <c r="C48" s="310" t="s">
        <v>765</v>
      </c>
      <c r="D48" s="310"/>
      <c r="E48" s="310"/>
      <c r="F48" s="310"/>
      <c r="G48" s="310"/>
      <c r="H48" s="310"/>
      <c r="I48" s="310"/>
    </row>
    <row r="49" spans="1:12" ht="31.95" customHeight="1" x14ac:dyDescent="0.3">
      <c r="B49" s="36" t="s">
        <v>8</v>
      </c>
      <c r="C49" s="314" t="s">
        <v>766</v>
      </c>
      <c r="D49" s="314"/>
      <c r="E49" s="314"/>
      <c r="F49" s="314"/>
      <c r="G49" s="314"/>
      <c r="H49" s="314"/>
      <c r="I49" s="314"/>
    </row>
    <row r="50" spans="1:12" s="7" customFormat="1" ht="42" customHeight="1" x14ac:dyDescent="0.3">
      <c r="A50" s="8"/>
      <c r="C50" s="303" t="s">
        <v>767</v>
      </c>
      <c r="D50" s="304"/>
      <c r="E50" s="305"/>
      <c r="F50" s="303" t="s">
        <v>768</v>
      </c>
      <c r="G50" s="309"/>
      <c r="H50" s="303" t="s">
        <v>769</v>
      </c>
      <c r="I50" s="309"/>
    </row>
    <row r="51" spans="1:12" s="7" customFormat="1" ht="14.4" x14ac:dyDescent="0.3">
      <c r="A51" s="8"/>
      <c r="C51" s="296" t="str">
        <f>_xlfn.CONCAT(_xlfn.XLOOKUP("[S03_InstallationsExcludedArt27Detail][1][ExclusionArticle]",Submission!$O:$O,Submission!$H:$N,""))</f>
        <v>Article 27</v>
      </c>
      <c r="D51" s="298"/>
      <c r="E51" s="299"/>
      <c r="F51" s="306" t="str">
        <f>_xlfn.CONCAT(_xlfn.XLOOKUP("[S03_InstallationsExcludedArt27Detail][1][InstallationsExcludedEmissions]",Submission!$O:$O,Submission!$H:$N,""))</f>
        <v>9151</v>
      </c>
      <c r="G51" s="307"/>
      <c r="H51" s="308" t="str">
        <f>_xlfn.CONCAT(_xlfn.XLOOKUP("[S03_InstallationsExcludedArt27Detail][1][InstallationsExceededThreshold]",Submission!$O:$O,Submission!$H:$N,""))</f>
        <v>0</v>
      </c>
      <c r="I51" s="307"/>
    </row>
    <row r="52" spans="1:12" s="7" customFormat="1" ht="14.4" x14ac:dyDescent="0.3">
      <c r="A52" s="8"/>
      <c r="C52" s="296" t="str">
        <f>_xlfn.CONCAT(_xlfn.XLOOKUP("[S03_InstallationsExcludedArt27Detail][2][ExclusionArticle]",Submission!$O:$O,Submission!$H:$N,""))</f>
        <v>Article 27a (1)</v>
      </c>
      <c r="D52" s="298"/>
      <c r="E52" s="299"/>
      <c r="F52" s="308" t="str">
        <f>_xlfn.CONCAT(_xlfn.XLOOKUP("[S03_InstallationsExcludedArt27Detail][2][InstallationsExcludedEmissions]",Submission!$O:$O,Submission!$H:$N,""))</f>
        <v>2074</v>
      </c>
      <c r="G52" s="307"/>
      <c r="H52" s="308" t="str">
        <f>_xlfn.CONCAT(_xlfn.XLOOKUP("[S03_InstallationsExcludedArt27Detail][2][InstallationsExceededThreshold]",Submission!$O:$O,Submission!$H:$N,""))</f>
        <v>0</v>
      </c>
      <c r="I52" s="307"/>
    </row>
    <row r="53" spans="1:12" s="7" customFormat="1" ht="14.4" x14ac:dyDescent="0.3">
      <c r="A53" s="8"/>
      <c r="C53" s="296" t="str">
        <f>_xlfn.CONCAT(_xlfn.XLOOKUP("[S03_InstallationsExcludedArt27Detail][3][ExclusionArticle]",Submission!$O:$O,Submission!$H:$N,""))</f>
        <v>Article 27a (3)</v>
      </c>
      <c r="D53" s="298"/>
      <c r="E53" s="299"/>
      <c r="F53" s="308" t="str">
        <f>_xlfn.CONCAT(_xlfn.XLOOKUP("[S03_InstallationsExcludedArt27Detail][3][InstallationsExcludedEmissions]",Submission!$O:$O,Submission!$H:$N,""))</f>
        <v>0</v>
      </c>
      <c r="G53" s="307"/>
      <c r="H53" s="308" t="str">
        <f>_xlfn.CONCAT(_xlfn.XLOOKUP("[S03_InstallationsExcludedArt27Detail][3][InstallationsExceededThreshold]",Submission!$O:$O,Submission!$H:$N,""))</f>
        <v>0</v>
      </c>
      <c r="I53" s="307"/>
    </row>
    <row r="54" spans="1:12" s="7" customFormat="1" ht="14.4" customHeight="1" x14ac:dyDescent="0.3">
      <c r="A54" s="8"/>
      <c r="C54" s="292" t="s">
        <v>770</v>
      </c>
      <c r="D54" s="292"/>
      <c r="E54" s="292"/>
      <c r="F54" s="292"/>
      <c r="G54" s="292"/>
      <c r="H54" s="292"/>
      <c r="I54" s="292"/>
      <c r="J54" s="19"/>
      <c r="K54" s="19"/>
      <c r="L54" s="19"/>
    </row>
    <row r="55" spans="1:12" s="38" customFormat="1" ht="14.4" x14ac:dyDescent="0.3">
      <c r="A55" s="39"/>
    </row>
    <row r="56" spans="1:12" s="7" customFormat="1" ht="18.600000000000001" customHeight="1" x14ac:dyDescent="0.3">
      <c r="A56" s="8"/>
      <c r="B56" s="293" t="s">
        <v>771</v>
      </c>
      <c r="C56" s="294"/>
      <c r="D56" s="294"/>
      <c r="E56" s="294"/>
      <c r="F56" s="294"/>
      <c r="G56" s="294"/>
      <c r="H56" s="294"/>
      <c r="I56" s="294"/>
    </row>
    <row r="57" spans="1:12" ht="15.9" customHeight="1" x14ac:dyDescent="0.3">
      <c r="A57" s="12"/>
      <c r="B57" s="40"/>
      <c r="C57" s="318"/>
      <c r="D57" s="319"/>
      <c r="E57" s="319"/>
      <c r="F57" s="303" t="s">
        <v>772</v>
      </c>
      <c r="G57" s="304"/>
      <c r="H57" s="304"/>
      <c r="I57" s="305"/>
    </row>
    <row r="58" spans="1:12" ht="15.9" customHeight="1" x14ac:dyDescent="0.3">
      <c r="A58" s="12"/>
      <c r="B58" s="40"/>
      <c r="C58" s="320" t="s">
        <v>773</v>
      </c>
      <c r="D58" s="321"/>
      <c r="E58" s="321"/>
      <c r="F58" s="322" t="str">
        <f>_xlfn.CONCAT(_xlfn.XLOOKUP("[S03_InstallationsExcludedClosed][0][ClosedArt27]",Submission!$O:$O,Submission!$H:$N,""))</f>
        <v>0</v>
      </c>
      <c r="G58" s="323"/>
      <c r="H58" s="323"/>
      <c r="I58" s="324"/>
    </row>
    <row r="59" spans="1:12" s="7" customFormat="1" ht="15" customHeight="1" x14ac:dyDescent="0.3">
      <c r="A59" s="8"/>
      <c r="C59" s="320" t="s">
        <v>774</v>
      </c>
      <c r="D59" s="321"/>
      <c r="E59" s="321"/>
      <c r="F59" s="322" t="str">
        <f>_xlfn.CONCAT(_xlfn.XLOOKUP("[S03_InstallationsExcludedClosed][0][ClosedArt27a]",Submission!$O:$O,Submission!$H:$N,""))</f>
        <v>0</v>
      </c>
      <c r="G59" s="323"/>
      <c r="H59" s="323"/>
      <c r="I59" s="324"/>
    </row>
    <row r="60" spans="1:12" s="7" customFormat="1" ht="14.4" x14ac:dyDescent="0.3">
      <c r="A60" s="8"/>
    </row>
    <row r="61" spans="1:12" s="86" customFormat="1" ht="18.899999999999999" customHeight="1" x14ac:dyDescent="0.35">
      <c r="A61" s="85" t="s">
        <v>775</v>
      </c>
      <c r="B61" s="325" t="s">
        <v>97</v>
      </c>
      <c r="C61" s="325"/>
      <c r="D61" s="325"/>
      <c r="E61" s="325"/>
      <c r="F61" s="325"/>
      <c r="G61" s="325"/>
      <c r="H61" s="325"/>
      <c r="I61" s="326"/>
    </row>
    <row r="62" spans="1:12" s="7" customFormat="1" ht="54" customHeight="1" x14ac:dyDescent="0.3">
      <c r="A62" s="12" t="s">
        <v>98</v>
      </c>
      <c r="B62" s="290" t="s">
        <v>776</v>
      </c>
      <c r="C62" s="291"/>
      <c r="D62" s="291"/>
      <c r="E62" s="291"/>
      <c r="F62" s="291"/>
      <c r="G62" s="291"/>
      <c r="H62" s="291"/>
      <c r="I62" s="291"/>
    </row>
    <row r="63" spans="1:12" s="7" customFormat="1" ht="46.2" customHeight="1" x14ac:dyDescent="0.3">
      <c r="A63" s="8"/>
      <c r="C63" s="315" t="s">
        <v>777</v>
      </c>
      <c r="D63" s="316"/>
      <c r="E63" s="316"/>
      <c r="F63" s="317"/>
      <c r="G63" s="46" t="s">
        <v>778</v>
      </c>
      <c r="H63" s="46" t="s">
        <v>779</v>
      </c>
      <c r="I63" s="46" t="s">
        <v>780</v>
      </c>
    </row>
    <row r="64" spans="1:12" ht="15.9" customHeight="1" x14ac:dyDescent="0.3">
      <c r="C64" s="311" t="s">
        <v>781</v>
      </c>
      <c r="D64" s="312"/>
      <c r="E64" s="312"/>
      <c r="F64" s="313"/>
      <c r="G64" s="132" t="str">
        <f>_xlfn.CONCAT(_xlfn.XLOOKUP("[S03_AircraftAnnex1Activities][1][NumberCommercialOperators]",Submission!$O:$O,Submission!$H:$N,""))</f>
        <v>2</v>
      </c>
      <c r="H64" s="132" t="str">
        <f>_xlfn.CONCAT(_xlfn.XLOOKUP("[S03_AircraftAnnex1Activities][1][NumberNonCommercialOperators]",Submission!$O:$O,Submission!$H:$N,""))</f>
        <v>0</v>
      </c>
      <c r="I64" s="132" t="str">
        <f>_xlfn.CONCAT(_xlfn.XLOOKUP("[S03_AircraftAnnex1Activities][1][NumberTotalOperators]",Submission!$O:$O,Submission!$H:$N,""))</f>
        <v>2</v>
      </c>
    </row>
    <row r="65" spans="3:9" ht="15.9" customHeight="1" x14ac:dyDescent="0.3">
      <c r="C65" s="311" t="s">
        <v>782</v>
      </c>
      <c r="D65" s="312"/>
      <c r="E65" s="312"/>
      <c r="F65" s="313"/>
      <c r="G65" s="132" t="str">
        <f>_xlfn.CONCAT(_xlfn.XLOOKUP("[S03_AircraftAnnex1Activities][2][NumberCommercialOperators]",Submission!$O:$O,Submission!$H:$N,""))</f>
        <v>1</v>
      </c>
      <c r="H65" s="132" t="str">
        <f>_xlfn.CONCAT(_xlfn.XLOOKUP("[S03_AircraftAnnex1Activities][2][NumberNonCommercialOperators]",Submission!$O:$O,Submission!$H:$N,""))</f>
        <v>0</v>
      </c>
      <c r="I65" s="132" t="str">
        <f>_xlfn.CONCAT(_xlfn.XLOOKUP("[S03_AircraftAnnex1Activities][2][NumberTotalOperators]",Submission!$O:$O,Submission!$H:$N,""))</f>
        <v>1</v>
      </c>
    </row>
    <row r="66" spans="3:9" ht="15.9" customHeight="1" x14ac:dyDescent="0.3">
      <c r="C66" s="311" t="s">
        <v>780</v>
      </c>
      <c r="D66" s="312"/>
      <c r="E66" s="312"/>
      <c r="F66" s="313"/>
      <c r="G66" s="132" t="str">
        <f>_xlfn.CONCAT(_xlfn.XLOOKUP("[S03_AircraftAnnex1Activities][3][NumberCommercialOperators]",Submission!$O:$O,Submission!$H:$N,""))</f>
        <v>3</v>
      </c>
      <c r="H66" s="132" t="str">
        <f>_xlfn.CONCAT(_xlfn.XLOOKUP("[S03_AircraftAnnex1Activities][3][NumberNonCommercialOperators]",Submission!$O:$O,Submission!$H:$N,""))</f>
        <v>0</v>
      </c>
      <c r="I66" s="132" t="str">
        <f>_xlfn.CONCAT(_xlfn.XLOOKUP("[S03_AircraftAnnex1Activities][3][NumberTotalOperators]",Submission!$O:$O,Submission!$H:$N,""))</f>
        <v>3</v>
      </c>
    </row>
    <row r="67" spans="3:9" ht="15.9" customHeight="1" x14ac:dyDescent="0.3"/>
  </sheetData>
  <mergeCells count="107">
    <mergeCell ref="C21:G21"/>
    <mergeCell ref="H17:I17"/>
    <mergeCell ref="H18:I18"/>
    <mergeCell ref="C11:F11"/>
    <mergeCell ref="G11:I11"/>
    <mergeCell ref="B13:I13"/>
    <mergeCell ref="C15:G15"/>
    <mergeCell ref="C17:G17"/>
    <mergeCell ref="C18:G18"/>
    <mergeCell ref="C19:G19"/>
    <mergeCell ref="C22:G22"/>
    <mergeCell ref="B3:I3"/>
    <mergeCell ref="B4:I4"/>
    <mergeCell ref="B5:I5"/>
    <mergeCell ref="C6:F6"/>
    <mergeCell ref="G6:I6"/>
    <mergeCell ref="C7:F7"/>
    <mergeCell ref="G7:I7"/>
    <mergeCell ref="C8:F8"/>
    <mergeCell ref="G8:I8"/>
    <mergeCell ref="H14:I14"/>
    <mergeCell ref="H15:I15"/>
    <mergeCell ref="C16:G16"/>
    <mergeCell ref="G9:I9"/>
    <mergeCell ref="C9:F9"/>
    <mergeCell ref="C14:G14"/>
    <mergeCell ref="H19:I19"/>
    <mergeCell ref="H20:I20"/>
    <mergeCell ref="C10:F10"/>
    <mergeCell ref="G10:I10"/>
    <mergeCell ref="H21:I21"/>
    <mergeCell ref="H22:I22"/>
    <mergeCell ref="H16:I16"/>
    <mergeCell ref="C20:G20"/>
    <mergeCell ref="C66:F66"/>
    <mergeCell ref="F53:G53"/>
    <mergeCell ref="H53:I53"/>
    <mergeCell ref="C38:G38"/>
    <mergeCell ref="C39:G39"/>
    <mergeCell ref="C40:G40"/>
    <mergeCell ref="C41:G41"/>
    <mergeCell ref="H42:I42"/>
    <mergeCell ref="H38:I38"/>
    <mergeCell ref="H39:I39"/>
    <mergeCell ref="H40:I40"/>
    <mergeCell ref="H41:I41"/>
    <mergeCell ref="C49:I49"/>
    <mergeCell ref="C63:F63"/>
    <mergeCell ref="C42:G42"/>
    <mergeCell ref="C57:E57"/>
    <mergeCell ref="C58:E58"/>
    <mergeCell ref="C59:E59"/>
    <mergeCell ref="F57:I57"/>
    <mergeCell ref="F58:I58"/>
    <mergeCell ref="F59:I59"/>
    <mergeCell ref="C64:F64"/>
    <mergeCell ref="C65:F65"/>
    <mergeCell ref="B61:I61"/>
    <mergeCell ref="B56:I56"/>
    <mergeCell ref="H50:I50"/>
    <mergeCell ref="F50:G50"/>
    <mergeCell ref="H24:I24"/>
    <mergeCell ref="H25:I25"/>
    <mergeCell ref="C47:I47"/>
    <mergeCell ref="C48:I48"/>
    <mergeCell ref="H36:I36"/>
    <mergeCell ref="H37:I37"/>
    <mergeCell ref="H35:I35"/>
    <mergeCell ref="H34:I34"/>
    <mergeCell ref="H52:I52"/>
    <mergeCell ref="H33:I33"/>
    <mergeCell ref="F52:G52"/>
    <mergeCell ref="C23:G23"/>
    <mergeCell ref="C24:G24"/>
    <mergeCell ref="C25:G25"/>
    <mergeCell ref="C26:G26"/>
    <mergeCell ref="C27:G27"/>
    <mergeCell ref="H26:I26"/>
    <mergeCell ref="H27:I27"/>
    <mergeCell ref="C32:G32"/>
    <mergeCell ref="C51:E51"/>
    <mergeCell ref="B46:I46"/>
    <mergeCell ref="H23:I23"/>
    <mergeCell ref="A1:I1"/>
    <mergeCell ref="B62:I62"/>
    <mergeCell ref="C43:I43"/>
    <mergeCell ref="C54:I54"/>
    <mergeCell ref="B45:H45"/>
    <mergeCell ref="H32:I32"/>
    <mergeCell ref="C53:E53"/>
    <mergeCell ref="H28:I28"/>
    <mergeCell ref="H29:I29"/>
    <mergeCell ref="H30:I30"/>
    <mergeCell ref="H31:I31"/>
    <mergeCell ref="C33:G33"/>
    <mergeCell ref="C34:G34"/>
    <mergeCell ref="C35:G35"/>
    <mergeCell ref="C36:G36"/>
    <mergeCell ref="C37:G37"/>
    <mergeCell ref="C28:G28"/>
    <mergeCell ref="C29:G29"/>
    <mergeCell ref="C30:G30"/>
    <mergeCell ref="C31:G31"/>
    <mergeCell ref="C50:E50"/>
    <mergeCell ref="F51:G51"/>
    <mergeCell ref="H51:I51"/>
    <mergeCell ref="C52:E52"/>
  </mergeCells>
  <dataValidations count="6">
    <dataValidation type="list" allowBlank="1" showInputMessage="1" showErrorMessage="1" sqref="I45 H15:H42" xr:uid="{00000000-0002-0000-0700-000000000000}">
      <formula1>Yes_No</formula1>
    </dataValidation>
    <dataValidation type="list" allowBlank="1" showInputMessage="1" showErrorMessage="1" sqref="C51:E53" xr:uid="{00000000-0002-0000-0700-000001000000}">
      <formula1>_3.2_col1</formula1>
    </dataValidation>
    <dataValidation type="decimal" operator="greaterThanOrEqual" allowBlank="1" showErrorMessage="1" errorTitle="Invalid input" error="Please type a whole number greater or equal to zero" sqref="G7:I11" xr:uid="{8498B115-2342-49DB-9452-CC25B0E42E73}">
      <formula1>0</formula1>
    </dataValidation>
    <dataValidation type="decimal" operator="greaterThanOrEqual" allowBlank="1" showInputMessage="1" showErrorMessage="1" error="Please type a number greater or equal to zero" sqref="F51:G53" xr:uid="{DF13D24F-19D5-4345-94F6-DF3945CD9D2D}">
      <formula1>0</formula1>
    </dataValidation>
    <dataValidation type="whole" operator="greaterThanOrEqual" allowBlank="1" showInputMessage="1" showErrorMessage="1" error="Please type a whole number greater or equal to zero" sqref="H51:I53 G64:I66" xr:uid="{15483913-551F-4BC9-879C-CB9366C683D8}">
      <formula1>0</formula1>
    </dataValidation>
    <dataValidation type="whole" operator="greaterThanOrEqual" allowBlank="1" showInputMessage="1" showErrorMessage="1" error="Please type a number greater or equal to zero" sqref="F58:I59" xr:uid="{72DB51ED-FA0D-4A81-812E-4CFCEBB2EB93}">
      <formula1>0</formula1>
    </dataValidation>
  </dataValidations>
  <pageMargins left="0.7" right="0.7" top="0.75" bottom="0.75" header="0.3" footer="0.3"/>
  <pageSetup orientation="portrait" horizontalDpi="300" verticalDpi="3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
  <dimension ref="A1:I31"/>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7" customFormat="1" ht="18.899999999999999" customHeight="1" x14ac:dyDescent="0.35">
      <c r="A3" s="62">
        <v>4</v>
      </c>
      <c r="B3" s="327" t="s">
        <v>105</v>
      </c>
      <c r="C3" s="327"/>
      <c r="D3" s="327"/>
      <c r="E3" s="327"/>
      <c r="F3" s="327"/>
      <c r="G3" s="327"/>
      <c r="H3" s="327"/>
      <c r="I3" s="327"/>
    </row>
    <row r="4" spans="1:9" s="7" customFormat="1" ht="17.399999999999999" customHeight="1" x14ac:dyDescent="0.3">
      <c r="A4" s="12"/>
      <c r="B4" s="269" t="s">
        <v>783</v>
      </c>
      <c r="C4" s="270"/>
      <c r="D4" s="270"/>
      <c r="E4" s="270"/>
      <c r="F4" s="270"/>
      <c r="G4" s="270"/>
      <c r="H4" s="270"/>
      <c r="I4" s="270"/>
    </row>
    <row r="5" spans="1:9" ht="18.600000000000001" customHeight="1" x14ac:dyDescent="0.3">
      <c r="A5" s="12" t="s">
        <v>106</v>
      </c>
      <c r="B5" s="293" t="s">
        <v>784</v>
      </c>
      <c r="C5" s="294"/>
      <c r="D5" s="294"/>
      <c r="E5" s="294"/>
      <c r="F5" s="294"/>
      <c r="G5" s="294"/>
      <c r="H5" s="294"/>
    </row>
    <row r="6" spans="1:9" x14ac:dyDescent="0.3">
      <c r="A6" s="12"/>
      <c r="B6" s="18"/>
      <c r="C6" s="248" t="s">
        <v>785</v>
      </c>
      <c r="D6" s="248"/>
      <c r="E6" s="248"/>
      <c r="F6" s="248"/>
      <c r="G6" s="248"/>
      <c r="H6" s="248"/>
      <c r="I6" s="248"/>
    </row>
    <row r="7" spans="1:9" ht="29.4" customHeight="1" x14ac:dyDescent="0.3">
      <c r="C7" s="303" t="s">
        <v>786</v>
      </c>
      <c r="D7" s="330"/>
      <c r="E7" s="330"/>
      <c r="F7" s="309"/>
      <c r="G7" s="42" t="s">
        <v>787</v>
      </c>
      <c r="H7" s="303" t="s">
        <v>710</v>
      </c>
      <c r="I7" s="309"/>
    </row>
    <row r="8" spans="1:9" s="58" customFormat="1" ht="31.95" customHeight="1" x14ac:dyDescent="0.3">
      <c r="A8" s="75"/>
      <c r="C8" s="246" t="s">
        <v>788</v>
      </c>
      <c r="D8" s="283"/>
      <c r="E8" s="283"/>
      <c r="F8" s="239"/>
      <c r="G8" s="63" t="str">
        <f>_xlfn.CONCAT(_xlfn.XLOOKUP("[S04_IEDProcedureRequirementsIntegratedYes][1][IntegrationYesNo]",Submission!$O:$O,Submission!$H:$N,""))</f>
        <v>No</v>
      </c>
      <c r="H8" s="284" t="str">
        <f>_xlfn.CONCAT(_xlfn.XLOOKUP("[S04_IEDProcedureRequirementsIntegratedYes][1][IntegrationComments]",Submission!$O:$O,Submission!$H:$N,""))</f>
        <v/>
      </c>
      <c r="I8" s="285"/>
    </row>
    <row r="9" spans="1:9" s="58" customFormat="1" ht="31.95" customHeight="1" x14ac:dyDescent="0.3">
      <c r="A9" s="75"/>
      <c r="C9" s="246" t="s">
        <v>789</v>
      </c>
      <c r="D9" s="263"/>
      <c r="E9" s="263"/>
      <c r="F9" s="264"/>
      <c r="G9" s="63" t="str">
        <f>_xlfn.CONCAT(_xlfn.XLOOKUP("[S04_IEDProcedureRequirementsIntegratedYes][2][IntegrationYesNo]",Submission!$O:$O,Submission!$H:$N,""))</f>
        <v>No</v>
      </c>
      <c r="H9" s="284" t="str">
        <f>_xlfn.CONCAT(_xlfn.XLOOKUP("[S04_IEDProcedureRequirementsIntegratedYes][2][IntegrationComments]",Submission!$O:$O,Submission!$H:$N,""))</f>
        <v/>
      </c>
      <c r="I9" s="285"/>
    </row>
    <row r="10" spans="1:9" s="58" customFormat="1" ht="31.95" customHeight="1" x14ac:dyDescent="0.3">
      <c r="A10" s="75"/>
      <c r="C10" s="246" t="s">
        <v>790</v>
      </c>
      <c r="D10" s="263"/>
      <c r="E10" s="263"/>
      <c r="F10" s="264"/>
      <c r="G10" s="63" t="str">
        <f>_xlfn.CONCAT(_xlfn.XLOOKUP("[S04_IEDProcedureRequirementsIntegratedYes][3][IntegrationYesNo]",Submission!$O:$O,Submission!$H:$N,""))</f>
        <v>Partially</v>
      </c>
      <c r="H10" s="284" t="str">
        <f>_xlfn.CONCAT(_xlfn.XLOOKUP("[S04_IEDProcedureRequirementsIntegratedYes][3][IntegrationComments]",Submission!$O:$O,Submission!$H:$N,""))</f>
        <v/>
      </c>
      <c r="I10" s="285"/>
    </row>
    <row r="11" spans="1:9" s="58" customFormat="1" ht="31.8" customHeight="1" x14ac:dyDescent="0.3">
      <c r="A11" s="75"/>
      <c r="C11" s="246" t="s">
        <v>791</v>
      </c>
      <c r="D11" s="283"/>
      <c r="E11" s="283"/>
      <c r="F11" s="239"/>
      <c r="G11" s="63" t="str">
        <f>_xlfn.CONCAT(_xlfn.XLOOKUP("[S04_IEDProcedureRequirementsIntegratedYes][4][IntegrationYesNo]",Submission!$O:$O,Submission!$H:$N,""))</f>
        <v>No</v>
      </c>
      <c r="H11" s="284" t="str">
        <f>_xlfn.CONCAT(_xlfn.XLOOKUP("[S04_IEDProcedureRequirementsIntegratedYes][4][IntegrationComments]",Submission!$O:$O,Submission!$H:$N,""))</f>
        <v/>
      </c>
      <c r="I11" s="285"/>
    </row>
    <row r="12" spans="1:9" s="58" customFormat="1" ht="31.95" customHeight="1" x14ac:dyDescent="0.3">
      <c r="A12" s="75"/>
      <c r="C12" s="246" t="s">
        <v>119</v>
      </c>
      <c r="D12" s="283"/>
      <c r="E12" s="283"/>
      <c r="F12" s="239"/>
      <c r="G12" s="63" t="str">
        <f>_xlfn.CONCAT(_xlfn.XLOOKUP("[S04_IEDProcedureRequirementsIntegratedYes][5][IntegrationYesNo]",Submission!$O:$O,Submission!$H:$N,""))</f>
        <v>No</v>
      </c>
      <c r="H12" s="284" t="str">
        <f>_xlfn.CONCAT(_xlfn.XLOOKUP("[S04_IEDProcedureRequirementsIntegratedYes][5][IntegrationComments]",Submission!$O:$O,Submission!$H:$N,""))</f>
        <v/>
      </c>
      <c r="I12" s="285"/>
    </row>
    <row r="13" spans="1:9" s="58" customFormat="1" ht="31.95" customHeight="1" x14ac:dyDescent="0.3">
      <c r="A13" s="75"/>
      <c r="C13" s="246" t="s">
        <v>792</v>
      </c>
      <c r="D13" s="263"/>
      <c r="E13" s="263"/>
      <c r="F13" s="264"/>
      <c r="G13" s="63" t="str">
        <f>_xlfn.CONCAT(_xlfn.XLOOKUP("[S04_IEDProcedureRequirementsIntegratedYes][6][IntegrationYesNo]",Submission!$O:$O,Submission!$H:$N,""))</f>
        <v>No</v>
      </c>
      <c r="H13" s="284" t="str">
        <f>_xlfn.CONCAT(_xlfn.XLOOKUP("[S04_IEDProcedureRequirementsIntegratedYes][6][IntegrationComments]",Submission!$O:$O,Submission!$H:$N,""))</f>
        <v/>
      </c>
      <c r="I13" s="285"/>
    </row>
    <row r="14" spans="1:9" s="58" customFormat="1" ht="31.95" customHeight="1" x14ac:dyDescent="0.3">
      <c r="A14" s="75"/>
      <c r="C14" s="246" t="s">
        <v>793</v>
      </c>
      <c r="D14" s="283"/>
      <c r="E14" s="283"/>
      <c r="F14" s="239"/>
      <c r="G14" s="63" t="str">
        <f>_xlfn.CONCAT(_xlfn.XLOOKUP("[S04_IEDProcedureRequirementsIntegratedYes][7][IntegrationYesNo]",Submission!$O:$O,Submission!$H:$N,""))</f>
        <v>No</v>
      </c>
      <c r="H14" s="284" t="str">
        <f>_xlfn.CONCAT(_xlfn.XLOOKUP("[S04_IEDProcedureRequirementsIntegratedYes][7][IntegrationComments]",Submission!$O:$O,Submission!$H:$N,""))</f>
        <v/>
      </c>
      <c r="I14" s="285"/>
    </row>
    <row r="15" spans="1:9" s="58" customFormat="1" ht="31.95" customHeight="1" x14ac:dyDescent="0.3">
      <c r="A15" s="75"/>
      <c r="C15" s="246" t="s">
        <v>794</v>
      </c>
      <c r="D15" s="263"/>
      <c r="E15" s="263"/>
      <c r="F15" s="263"/>
      <c r="G15" s="63" t="str">
        <f>_xlfn.CONCAT(_xlfn.XLOOKUP("[S04_IEDProcedureRequirementsIntegratedYes][8][IntegrationYesNo]",Submission!$O:$O,Submission!$H:$N,""))</f>
        <v>No</v>
      </c>
      <c r="H15" s="284" t="str">
        <f>_xlfn.CONCAT(_xlfn.XLOOKUP("[S04_IEDProcedureRequirementsIntegratedYes][8][IntegrationComments]",Submission!$O:$O,Submission!$H:$N,""))</f>
        <v/>
      </c>
      <c r="I15" s="285"/>
    </row>
    <row r="16" spans="1:9" ht="19.5" customHeight="1" x14ac:dyDescent="0.3">
      <c r="C16" s="20"/>
      <c r="D16" s="20"/>
      <c r="E16" s="20"/>
      <c r="F16" s="20"/>
      <c r="G16" s="20"/>
      <c r="H16" s="20"/>
      <c r="I16" s="20"/>
    </row>
    <row r="17" spans="1:9" ht="36" customHeight="1" x14ac:dyDescent="0.3">
      <c r="A17" s="12" t="s">
        <v>123</v>
      </c>
      <c r="B17" s="340" t="s">
        <v>795</v>
      </c>
      <c r="C17" s="294"/>
      <c r="D17" s="294"/>
      <c r="E17" s="294"/>
      <c r="F17" s="294"/>
      <c r="G17" s="294"/>
      <c r="H17" s="294"/>
      <c r="I17" s="294"/>
    </row>
    <row r="18" spans="1:9" ht="15.9" customHeight="1" x14ac:dyDescent="0.3">
      <c r="C18" s="45" t="s">
        <v>129</v>
      </c>
      <c r="D18" s="141"/>
      <c r="E18" s="141"/>
      <c r="F18" s="141"/>
      <c r="G18" s="304" t="s">
        <v>796</v>
      </c>
      <c r="H18" s="304"/>
      <c r="I18" s="305"/>
    </row>
    <row r="19" spans="1:9" ht="15.9" customHeight="1" x14ac:dyDescent="0.3">
      <c r="C19" s="320" t="s">
        <v>130</v>
      </c>
      <c r="D19" s="321"/>
      <c r="E19" s="321"/>
      <c r="F19" s="343"/>
      <c r="G19" s="344" t="str">
        <f>_xlfn.CONCAT(_xlfn.XLOOKUP("[S04_NationalLawPermitUpdate][1][PermitUpdateNationalLawDetail]",Submission!$O:$O,Submission!$H:$N,""))</f>
        <v xml:space="preserve">Yes, according to Art 33(2) Law on Climate Change and Protection of the Ozone Layer (OG 127/19) </v>
      </c>
      <c r="H19" s="345"/>
      <c r="I19" s="346"/>
    </row>
    <row r="20" spans="1:9" ht="15.9" customHeight="1" x14ac:dyDescent="0.3">
      <c r="C20" s="320" t="s">
        <v>797</v>
      </c>
      <c r="D20" s="321"/>
      <c r="E20" s="321"/>
      <c r="F20" s="343"/>
      <c r="G20" s="344" t="str">
        <f>_xlfn.CONCAT(_xlfn.XLOOKUP("[S04_NationalLawPermitUpdate][2][PermitUpdateNationalLawDetail]",Submission!$O:$O,Submission!$H:$N,""))</f>
        <v>No</v>
      </c>
      <c r="H20" s="345"/>
      <c r="I20" s="346"/>
    </row>
    <row r="21" spans="1:9" ht="15.9" customHeight="1" x14ac:dyDescent="0.3">
      <c r="C21" s="320" t="s">
        <v>134</v>
      </c>
      <c r="D21" s="321"/>
      <c r="E21" s="321"/>
      <c r="F21" s="343"/>
      <c r="G21" s="344" t="str">
        <f>_xlfn.CONCAT(_xlfn.XLOOKUP("[S04_NationalLawPermitUpdate][3][PermitUpdateNationalLawDetail]",Submission!$O:$O,Submission!$H:$N,""))</f>
        <v>Law on Climate Change and Protection of the Ozone Layer
(OG 127/19) Art. 30(2) MP is an integral part of the permit. In case of capacity increase, the MP needs to be changed (Art 32) and then the permit is changed (Art 32(8)</v>
      </c>
      <c r="H21" s="345"/>
      <c r="I21" s="346"/>
    </row>
    <row r="22" spans="1:9" ht="15.9" customHeight="1" x14ac:dyDescent="0.3">
      <c r="C22" s="320" t="s">
        <v>136</v>
      </c>
      <c r="D22" s="321"/>
      <c r="E22" s="321"/>
      <c r="F22" s="343"/>
      <c r="G22" s="344" t="str">
        <f>_xlfn.CONCAT(_xlfn.XLOOKUP("[S04_NationalLawPermitUpdate][4][PermitUpdateNationalLawDetail]",Submission!$O:$O,Submission!$H:$N,""))</f>
        <v>Law on Climate Change and Protection of the Ozone Layer
(OG 127/19) Art. 30(2) MP is an integral part of the permit. In case of capacity increase, the MP needs to be changed (Art 32) and then the permit is changed (Art 32(8)</v>
      </c>
      <c r="H22" s="345"/>
      <c r="I22" s="346"/>
    </row>
    <row r="23" spans="1:9" ht="15.9" customHeight="1" x14ac:dyDescent="0.3">
      <c r="C23" s="320" t="s">
        <v>138</v>
      </c>
      <c r="D23" s="321"/>
      <c r="E23" s="321"/>
      <c r="F23" s="343"/>
      <c r="G23" s="344" t="str">
        <f>_xlfn.CONCAT(_xlfn.XLOOKUP("[S04_NationalLawPermitUpdate][5][PermitUpdateNationalLawDetail]",Submission!$O:$O,Submission!$H:$N,""))</f>
        <v>Law on Climate Change and Protection of the Ozone Layer
(OG 127/19) Art. 30(2) MP is an integral part of the permit. In case of capacity increase, the MP needs to be changed (Art 32) and then the permit is changed (Art 32(8)</v>
      </c>
      <c r="H23" s="345"/>
      <c r="I23" s="346"/>
    </row>
    <row r="24" spans="1:9" ht="15.9" customHeight="1" x14ac:dyDescent="0.3">
      <c r="C24" s="320" t="s">
        <v>798</v>
      </c>
      <c r="D24" s="321"/>
      <c r="E24" s="321"/>
      <c r="F24" s="343"/>
      <c r="G24" s="344" t="str">
        <f>_xlfn.CONCAT(_xlfn.XLOOKUP("[S04_NationalLawPermitUpdate][6][PermitUpdateNationalLawDetail]",Submission!$O:$O,Submission!$H:$N,""))</f>
        <v xml:space="preserve">In case of a change of the operator/ownership of the installation according to Art 32(8) Law on Climate Change and Protection of the Ozone Layer (OG 127/19) </v>
      </c>
      <c r="H24" s="345"/>
      <c r="I24" s="346"/>
    </row>
    <row r="25" spans="1:9" ht="15.9" hidden="1" customHeight="1" outlineLevel="1" x14ac:dyDescent="0.3">
      <c r="C25" s="320" t="s">
        <v>799</v>
      </c>
      <c r="D25" s="321"/>
      <c r="E25" s="321"/>
      <c r="F25" s="343"/>
      <c r="G25" s="344" t="str">
        <f>_xlfn.CONCAT(_xlfn.XLOOKUP("[S04_NationalLawPermitUpdate][7][PermitUpdateNationalLawDetail]",Submission!$O:$O,Submission!$H:$N,""))</f>
        <v/>
      </c>
      <c r="H25" s="345"/>
      <c r="I25" s="346"/>
    </row>
    <row r="26" spans="1:9" ht="15.9" hidden="1" customHeight="1" outlineLevel="1" x14ac:dyDescent="0.3">
      <c r="C26" s="320" t="s">
        <v>800</v>
      </c>
      <c r="D26" s="321"/>
      <c r="E26" s="321"/>
      <c r="F26" s="343"/>
      <c r="G26" s="344" t="str">
        <f>_xlfn.CONCAT(_xlfn.XLOOKUP("[S04_NationalLawPermitUpdate][8][PermitUpdateNationalLawDetail]",Submission!$O:$O,Submission!$H:$N,""))</f>
        <v/>
      </c>
      <c r="H26" s="345"/>
      <c r="I26" s="346"/>
    </row>
    <row r="27" spans="1:9" ht="15.9" hidden="1" customHeight="1" outlineLevel="1" x14ac:dyDescent="0.3">
      <c r="C27" s="320" t="s">
        <v>801</v>
      </c>
      <c r="D27" s="321"/>
      <c r="E27" s="321"/>
      <c r="F27" s="343"/>
      <c r="G27" s="344" t="str">
        <f>_xlfn.CONCAT(_xlfn.XLOOKUP("[S04_NationalLawPermitUpdate][9][PermitUpdateNationalLawDetail]",Submission!$O:$O,Submission!$H:$N,""))</f>
        <v/>
      </c>
      <c r="H27" s="345"/>
      <c r="I27" s="346"/>
    </row>
    <row r="28" spans="1:9" ht="15.9" customHeight="1" collapsed="1" x14ac:dyDescent="0.3">
      <c r="B28" s="26" t="s">
        <v>802</v>
      </c>
      <c r="C28" s="19"/>
      <c r="D28" s="19"/>
      <c r="E28" s="19"/>
      <c r="F28" s="19"/>
      <c r="G28" s="19"/>
      <c r="H28" s="28"/>
      <c r="I28" s="28"/>
    </row>
    <row r="29" spans="1:9" ht="15.9" customHeight="1" x14ac:dyDescent="0.3"/>
    <row r="30" spans="1:9" ht="34.200000000000003" customHeight="1" x14ac:dyDescent="0.3">
      <c r="B30" s="271" t="s">
        <v>803</v>
      </c>
      <c r="C30" s="272"/>
      <c r="D30" s="272"/>
      <c r="E30" s="272"/>
      <c r="F30" s="272"/>
      <c r="G30" s="272"/>
      <c r="H30" s="272"/>
      <c r="I30" s="272"/>
    </row>
    <row r="31" spans="1:9" ht="15.9" customHeight="1" x14ac:dyDescent="0.3">
      <c r="B31" s="11"/>
      <c r="C31" s="303" t="s">
        <v>804</v>
      </c>
      <c r="D31" s="330"/>
      <c r="E31" s="330"/>
      <c r="F31" s="330"/>
      <c r="G31" s="309"/>
      <c r="H31" s="341" t="str">
        <f>_xlfn.CONCAT(_xlfn.XLOOKUP("[PermitUpdateTotalNumber][0][PermitUpdateTotalNumber]",Submission!$O:$O,Submission!$H:$N,""))</f>
        <v>11</v>
      </c>
      <c r="I31" s="342"/>
    </row>
  </sheetData>
  <mergeCells count="46">
    <mergeCell ref="C27:F27"/>
    <mergeCell ref="G18:I18"/>
    <mergeCell ref="G19:I19"/>
    <mergeCell ref="G20:I20"/>
    <mergeCell ref="G21:I21"/>
    <mergeCell ref="G22:I22"/>
    <mergeCell ref="G23:I23"/>
    <mergeCell ref="G24:I24"/>
    <mergeCell ref="G25:I25"/>
    <mergeCell ref="G26:I26"/>
    <mergeCell ref="G27:I27"/>
    <mergeCell ref="C19:F19"/>
    <mergeCell ref="C20:F20"/>
    <mergeCell ref="C21:F21"/>
    <mergeCell ref="C22:F22"/>
    <mergeCell ref="C23:F23"/>
    <mergeCell ref="H15:I15"/>
    <mergeCell ref="B4:I4"/>
    <mergeCell ref="B3:I3"/>
    <mergeCell ref="H8:I8"/>
    <mergeCell ref="H11:I11"/>
    <mergeCell ref="B5:H5"/>
    <mergeCell ref="H7:I7"/>
    <mergeCell ref="C7:F7"/>
    <mergeCell ref="C8:F8"/>
    <mergeCell ref="C11:F11"/>
    <mergeCell ref="C9:F9"/>
    <mergeCell ref="C10:F10"/>
    <mergeCell ref="H9:I9"/>
    <mergeCell ref="H10:I10"/>
    <mergeCell ref="A1:I1"/>
    <mergeCell ref="H31:I31"/>
    <mergeCell ref="C31:G31"/>
    <mergeCell ref="B17:I17"/>
    <mergeCell ref="B30:I30"/>
    <mergeCell ref="C6:I6"/>
    <mergeCell ref="H12:I12"/>
    <mergeCell ref="H14:I14"/>
    <mergeCell ref="C12:F12"/>
    <mergeCell ref="C14:F14"/>
    <mergeCell ref="C13:F13"/>
    <mergeCell ref="H13:I13"/>
    <mergeCell ref="C15:F15"/>
    <mergeCell ref="C24:F24"/>
    <mergeCell ref="C25:F25"/>
    <mergeCell ref="C26:F26"/>
  </mergeCells>
  <dataValidations count="2">
    <dataValidation type="list" allowBlank="1" showInputMessage="1" showErrorMessage="1" sqref="G8:G15" xr:uid="{00000000-0002-0000-0800-000001000000}">
      <formula1>Yes_No_Partially</formula1>
    </dataValidation>
    <dataValidation type="whole" operator="greaterThanOrEqual" allowBlank="1" showInputMessage="1" showErrorMessage="1" error="Please type a whole number greater or equal to zero" sqref="H31:I31" xr:uid="{3ED4365B-FFF9-4536-A233-FD8708902C35}">
      <formula1>0</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4"/>
  <dimension ref="A1:N1511"/>
  <sheetViews>
    <sheetView showGridLines="0" zoomScale="85" zoomScaleNormal="85"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11" width="23.6640625" style="13" customWidth="1"/>
    <col min="12"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7" customFormat="1" ht="18" x14ac:dyDescent="0.35">
      <c r="A3" s="62">
        <v>5</v>
      </c>
      <c r="B3" s="406" t="s">
        <v>805</v>
      </c>
      <c r="C3" s="406"/>
      <c r="D3" s="406"/>
      <c r="E3" s="406"/>
      <c r="F3" s="406"/>
      <c r="G3" s="406"/>
      <c r="H3" s="406"/>
      <c r="I3" s="406"/>
    </row>
    <row r="4" spans="1:9" s="7" customFormat="1" ht="18" x14ac:dyDescent="0.35">
      <c r="A4" s="85" t="s">
        <v>806</v>
      </c>
      <c r="B4" s="325" t="s">
        <v>145</v>
      </c>
      <c r="C4" s="325"/>
      <c r="D4" s="325"/>
      <c r="E4" s="325"/>
      <c r="F4" s="325"/>
      <c r="G4" s="325"/>
      <c r="H4" s="325"/>
      <c r="I4" s="326"/>
    </row>
    <row r="5" spans="1:9" s="7" customFormat="1" ht="15.9" customHeight="1" x14ac:dyDescent="0.3">
      <c r="A5" s="30" t="s">
        <v>146</v>
      </c>
      <c r="B5" s="398" t="s">
        <v>807</v>
      </c>
      <c r="C5" s="399"/>
      <c r="D5" s="399"/>
      <c r="E5" s="399"/>
      <c r="F5" s="399"/>
      <c r="G5" s="399"/>
      <c r="H5" s="399"/>
      <c r="I5" s="399"/>
    </row>
    <row r="6" spans="1:9" s="7" customFormat="1" ht="15.9" customHeight="1" x14ac:dyDescent="0.3">
      <c r="B6" s="400" t="s">
        <v>808</v>
      </c>
      <c r="C6" s="401"/>
      <c r="D6" s="401"/>
      <c r="E6" s="401"/>
      <c r="F6" s="401"/>
      <c r="G6" s="401"/>
      <c r="H6" s="402"/>
      <c r="I6" s="41" t="str">
        <f>_xlfn.CONCAT(_xlfn.XLOOKUP("[AdditionalNationalLegislation][0][AdditionalNationalLegislation]",Submission!$O:$O,Submission!$H:$N,""))</f>
        <v>No</v>
      </c>
    </row>
    <row r="7" spans="1:9" s="7" customFormat="1" ht="17.399999999999999" customHeight="1" x14ac:dyDescent="0.3">
      <c r="B7" s="273" t="s">
        <v>809</v>
      </c>
      <c r="C7" s="258"/>
      <c r="D7" s="258"/>
      <c r="E7" s="258"/>
      <c r="F7" s="258"/>
      <c r="G7" s="258"/>
      <c r="H7" s="258"/>
      <c r="I7" s="258"/>
    </row>
    <row r="8" spans="1:9" s="7" customFormat="1" ht="27" customHeight="1" x14ac:dyDescent="0.3">
      <c r="A8" s="8"/>
      <c r="C8" s="284" t="str">
        <f>_xlfn.CONCAT(_xlfn.XLOOKUP("[AdditionalNationalLegislationDetail][0][AdditionalNationalLegislationDetail]",Submission!$O:$O,Submission!$H:$N,""))</f>
        <v/>
      </c>
      <c r="D8" s="349"/>
      <c r="E8" s="349"/>
      <c r="F8" s="349"/>
      <c r="G8" s="349"/>
      <c r="H8" s="349"/>
      <c r="I8" s="282"/>
    </row>
    <row r="9" spans="1:9" s="7" customFormat="1" ht="14.4" x14ac:dyDescent="0.3">
      <c r="A9" s="8"/>
      <c r="D9" s="31"/>
      <c r="E9" s="31"/>
      <c r="F9" s="31"/>
      <c r="G9" s="31"/>
      <c r="H9" s="31"/>
      <c r="I9" s="31"/>
    </row>
    <row r="10" spans="1:9" s="7" customFormat="1" ht="15.9" customHeight="1" x14ac:dyDescent="0.3">
      <c r="A10" s="30"/>
      <c r="B10" s="400" t="s">
        <v>810</v>
      </c>
      <c r="C10" s="401"/>
      <c r="D10" s="401"/>
      <c r="E10" s="401"/>
      <c r="F10" s="401"/>
      <c r="G10" s="401"/>
      <c r="H10" s="402"/>
      <c r="I10" s="41" t="str">
        <f>_xlfn.CONCAT(_xlfn.XLOOKUP("[AdditionalNationalGuidance][0][AdditionalNationalGuidance]",Submission!$O:$O,Submission!$H:$N,""))</f>
        <v>No</v>
      </c>
    </row>
    <row r="11" spans="1:9" s="7" customFormat="1" ht="17.399999999999999" customHeight="1" x14ac:dyDescent="0.3">
      <c r="A11" s="30"/>
      <c r="B11" s="273" t="s">
        <v>811</v>
      </c>
      <c r="C11" s="258"/>
      <c r="D11" s="258"/>
      <c r="E11" s="258"/>
      <c r="F11" s="258"/>
      <c r="G11" s="258"/>
      <c r="H11" s="258"/>
      <c r="I11" s="258"/>
    </row>
    <row r="12" spans="1:9" s="7" customFormat="1" ht="15" customHeight="1" x14ac:dyDescent="0.3">
      <c r="A12" s="8"/>
      <c r="C12" s="284" t="str">
        <f>_xlfn.CONCAT(_xlfn.XLOOKUP("[AdditionalNationalGuidanceDetail][0][AdditionalNationalGuidanceDetail]",Submission!$O:$O,Submission!$H:$N,""))</f>
        <v/>
      </c>
      <c r="D12" s="349"/>
      <c r="E12" s="349"/>
      <c r="F12" s="349"/>
      <c r="G12" s="349"/>
      <c r="H12" s="349"/>
      <c r="I12" s="282"/>
    </row>
    <row r="13" spans="1:9" ht="18" customHeight="1" x14ac:dyDescent="0.3">
      <c r="A13" s="145" t="s">
        <v>152</v>
      </c>
      <c r="B13" s="377" t="s">
        <v>812</v>
      </c>
      <c r="C13" s="403"/>
      <c r="D13" s="403"/>
      <c r="E13" s="403"/>
      <c r="F13" s="403"/>
      <c r="G13" s="403"/>
      <c r="H13" s="403"/>
      <c r="I13" s="403"/>
    </row>
    <row r="14" spans="1:9" ht="37.200000000000003" customHeight="1" x14ac:dyDescent="0.3">
      <c r="A14" s="12"/>
      <c r="B14" s="271" t="s">
        <v>813</v>
      </c>
      <c r="C14" s="272"/>
      <c r="D14" s="272"/>
      <c r="E14" s="272"/>
      <c r="F14" s="272"/>
      <c r="G14" s="272"/>
      <c r="H14" s="272"/>
      <c r="I14" s="272"/>
    </row>
    <row r="15" spans="1:9" ht="15.9" customHeight="1" x14ac:dyDescent="0.3">
      <c r="A15" s="13"/>
      <c r="C15" s="371" t="s">
        <v>814</v>
      </c>
      <c r="D15" s="371"/>
      <c r="E15" s="371"/>
      <c r="F15" s="371"/>
      <c r="G15" s="42" t="s">
        <v>709</v>
      </c>
      <c r="H15" s="371" t="s">
        <v>710</v>
      </c>
      <c r="I15" s="371"/>
    </row>
    <row r="16" spans="1:9" s="58" customFormat="1" ht="32.4" customHeight="1" x14ac:dyDescent="0.3">
      <c r="C16" s="354" t="s">
        <v>815</v>
      </c>
      <c r="D16" s="354"/>
      <c r="E16" s="354"/>
      <c r="F16" s="354"/>
      <c r="G16" s="47" t="str">
        <f>_xlfn.CONCAT(_xlfn.XLOOKUP("[MeasuresStreamline][1][MeasuresStreamlineYesNo]",Submission!$O:$O,Submission!$H:$N,""))</f>
        <v>Yes</v>
      </c>
      <c r="H16" s="407" t="str">
        <f>_xlfn.CONCAT(_xlfn.XLOOKUP("[MeasuresStreamline][1][MeasuresStreamlineComments]",Submission!$O:$O,Submission!$H:$N,""))</f>
        <v/>
      </c>
      <c r="I16" s="407"/>
    </row>
    <row r="17" spans="1:9" s="58" customFormat="1" ht="32.4" customHeight="1" x14ac:dyDescent="0.3">
      <c r="C17" s="354" t="s">
        <v>816</v>
      </c>
      <c r="D17" s="354"/>
      <c r="E17" s="354"/>
      <c r="F17" s="354"/>
      <c r="G17" s="47" t="str">
        <f>_xlfn.CONCAT(_xlfn.XLOOKUP("[MeasuresStreamline][2][MeasuresStreamlineYesNo]",Submission!$O:$O,Submission!$H:$N,""))</f>
        <v>Yes</v>
      </c>
      <c r="H17" s="407" t="str">
        <f>_xlfn.CONCAT(_xlfn.XLOOKUP("[MeasuresStreamline][2][MeasuresStreamlineComments]",Submission!$O:$O,Submission!$H:$N,""))</f>
        <v/>
      </c>
      <c r="I17" s="407"/>
    </row>
    <row r="18" spans="1:9" s="58" customFormat="1" ht="32.4" customHeight="1" x14ac:dyDescent="0.3">
      <c r="C18" s="354" t="s">
        <v>817</v>
      </c>
      <c r="D18" s="354"/>
      <c r="E18" s="354"/>
      <c r="F18" s="354"/>
      <c r="G18" s="47" t="str">
        <f>_xlfn.CONCAT(_xlfn.XLOOKUP("[MeasuresStreamline][3][MeasuresStreamlineYesNo]",Submission!$O:$O,Submission!$H:$N,""))</f>
        <v>Yes</v>
      </c>
      <c r="H18" s="407" t="str">
        <f>_xlfn.CONCAT(_xlfn.XLOOKUP("[MeasuresStreamline][3][MeasuresStreamlineComments]",Submission!$O:$O,Submission!$H:$N,""))</f>
        <v/>
      </c>
      <c r="I18" s="407"/>
    </row>
    <row r="19" spans="1:9" s="58" customFormat="1" ht="32.4" customHeight="1" x14ac:dyDescent="0.3">
      <c r="C19" s="354" t="s">
        <v>818</v>
      </c>
      <c r="D19" s="354"/>
      <c r="E19" s="354"/>
      <c r="F19" s="354"/>
      <c r="G19" s="47" t="str">
        <f>_xlfn.CONCAT(_xlfn.XLOOKUP("[MeasuresStreamline][4][MeasuresStreamlineYesNo]",Submission!$O:$O,Submission!$H:$N,""))</f>
        <v>Yes</v>
      </c>
      <c r="H19" s="407" t="str">
        <f>_xlfn.CONCAT(_xlfn.XLOOKUP("[MeasuresStreamline][4][MeasuresStreamlineComments]",Submission!$O:$O,Submission!$H:$N,""))</f>
        <v/>
      </c>
      <c r="I19" s="407"/>
    </row>
    <row r="20" spans="1:9" s="58" customFormat="1" ht="32.4" customHeight="1" x14ac:dyDescent="0.3">
      <c r="C20" s="354" t="s">
        <v>819</v>
      </c>
      <c r="D20" s="354"/>
      <c r="E20" s="354"/>
      <c r="F20" s="354"/>
      <c r="G20" s="47" t="str">
        <f>_xlfn.CONCAT(_xlfn.XLOOKUP("[MeasuresStreamline][5][MeasuresStreamlineYesNo]",Submission!$O:$O,Submission!$H:$N,""))</f>
        <v>No</v>
      </c>
      <c r="H20" s="407" t="str">
        <f>_xlfn.CONCAT(_xlfn.XLOOKUP("[MeasuresStreamline][5][MeasuresStreamlineComments]",Submission!$O:$O,Submission!$H:$N,""))</f>
        <v/>
      </c>
      <c r="I20" s="407"/>
    </row>
    <row r="21" spans="1:9" s="58" customFormat="1" ht="32.4" customHeight="1" x14ac:dyDescent="0.3">
      <c r="C21" s="354" t="s">
        <v>820</v>
      </c>
      <c r="D21" s="354"/>
      <c r="E21" s="354"/>
      <c r="F21" s="354"/>
      <c r="G21" s="47" t="str">
        <f>_xlfn.CONCAT(_xlfn.XLOOKUP("[MeasuresStreamline][6][MeasuresStreamlineYesNo]",Submission!$O:$O,Submission!$H:$N,""))</f>
        <v>Yes</v>
      </c>
      <c r="H21" s="407" t="str">
        <f>_xlfn.CONCAT(_xlfn.XLOOKUP("[MeasuresStreamline][6][MeasuresStreamlineComments]",Submission!$O:$O,Submission!$H:$N,""))</f>
        <v/>
      </c>
      <c r="I21" s="407"/>
    </row>
    <row r="22" spans="1:9" s="58" customFormat="1" ht="32.4" customHeight="1" x14ac:dyDescent="0.3">
      <c r="A22" s="75"/>
      <c r="C22" s="246" t="s">
        <v>821</v>
      </c>
      <c r="D22" s="263"/>
      <c r="E22" s="263"/>
      <c r="F22" s="264"/>
      <c r="G22" s="47" t="str">
        <f>_xlfn.CONCAT(_xlfn.XLOOKUP("[MeasuresStreamline][7][MeasuresStreamlineYesNo]",Submission!$O:$O,Submission!$H:$N,""))</f>
        <v>Yes</v>
      </c>
      <c r="H22" s="407" t="str">
        <f>_xlfn.CONCAT(_xlfn.XLOOKUP("[MeasuresStreamline][7][MeasuresStreamlineComments]",Submission!$O:$O,Submission!$H:$N,""))</f>
        <v>Ordinance on the environmental pollution register (OG 3/22) Article 10.
Entities in the EU ETS that are also obliged to report to PRTR report their emissions in accordance with the Act on Climate Change and Ozone Layer Protection</v>
      </c>
      <c r="I22" s="407"/>
    </row>
    <row r="23" spans="1:9" ht="15.9" customHeight="1" x14ac:dyDescent="0.3">
      <c r="C23" s="32"/>
      <c r="D23" s="32"/>
      <c r="E23" s="32"/>
      <c r="H23" s="32"/>
      <c r="I23" s="32"/>
    </row>
    <row r="24" spans="1:9" ht="15.6" customHeight="1" x14ac:dyDescent="0.3">
      <c r="A24" s="145" t="s">
        <v>169</v>
      </c>
      <c r="B24" s="377" t="s">
        <v>822</v>
      </c>
      <c r="C24" s="403"/>
      <c r="D24" s="403"/>
      <c r="E24" s="403"/>
      <c r="F24" s="403"/>
      <c r="G24" s="403"/>
      <c r="H24" s="403"/>
      <c r="I24" s="403"/>
    </row>
    <row r="25" spans="1:9" ht="36.6" customHeight="1" x14ac:dyDescent="0.3">
      <c r="A25" s="12"/>
      <c r="B25" s="293" t="s">
        <v>823</v>
      </c>
      <c r="C25" s="294"/>
      <c r="D25" s="294"/>
      <c r="E25" s="294"/>
      <c r="F25" s="294"/>
      <c r="G25" s="294"/>
      <c r="H25" s="295"/>
      <c r="I25" s="47" t="str">
        <f>_xlfn.CONCAT(_xlfn.XLOOKUP("[CommissionTemplatesMRR][0][CommissionTemplatesMRR]",Submission!$O:$O,Submission!$H:$N,""))</f>
        <v>Yes</v>
      </c>
    </row>
    <row r="26" spans="1:9" s="7" customFormat="1" ht="36.6" customHeight="1" x14ac:dyDescent="0.3">
      <c r="A26" s="30"/>
      <c r="B26" s="273" t="s">
        <v>824</v>
      </c>
      <c r="C26" s="258"/>
      <c r="D26" s="258"/>
      <c r="E26" s="258"/>
      <c r="F26" s="258"/>
      <c r="G26" s="258"/>
      <c r="H26" s="258"/>
      <c r="I26" s="258"/>
    </row>
    <row r="27" spans="1:9" ht="28.95" customHeight="1" x14ac:dyDescent="0.3">
      <c r="C27" s="318"/>
      <c r="D27" s="404"/>
      <c r="E27" s="405"/>
      <c r="F27" s="303" t="s">
        <v>825</v>
      </c>
      <c r="G27" s="309"/>
      <c r="H27" s="303" t="s">
        <v>826</v>
      </c>
      <c r="I27" s="309"/>
    </row>
    <row r="28" spans="1:9" ht="15.9" customHeight="1" x14ac:dyDescent="0.3">
      <c r="C28" s="238" t="s">
        <v>827</v>
      </c>
      <c r="D28" s="283"/>
      <c r="E28" s="239"/>
      <c r="F28" s="281" t="str">
        <f>_xlfn.CONCAT(_xlfn.XLOOKUP("[S05_MSCustomisedTemplatesMRR1][1][SpecificTemplateOrFileFormat]",Submission!$O:$O,Submission!$H:$N,""))</f>
        <v/>
      </c>
      <c r="G28" s="347"/>
      <c r="H28" s="397" t="str">
        <f>_xlfn.CONCAT(_xlfn.XLOOKUP("[S05_MSCustomisedTemplatesMRR1][1][HowTemplateSpecific]",Submission!$O:$O,Submission!$H:$N,""))</f>
        <v/>
      </c>
      <c r="I28" s="397"/>
    </row>
    <row r="29" spans="1:9" ht="15.9" customHeight="1" x14ac:dyDescent="0.3">
      <c r="C29" s="238" t="s">
        <v>828</v>
      </c>
      <c r="D29" s="283"/>
      <c r="E29" s="239"/>
      <c r="F29" s="281" t="str">
        <f>_xlfn.CONCAT(_xlfn.XLOOKUP("[S05_MSCustomisedTemplatesMRR1][2][SpecificTemplateOrFileFormat]",Submission!$O:$O,Submission!$H:$N,""))</f>
        <v/>
      </c>
      <c r="G29" s="347"/>
      <c r="H29" s="397" t="str">
        <f>_xlfn.CONCAT(_xlfn.XLOOKUP("[S05_MSCustomisedTemplatesMRR1][2][HowTemplateSpecific]",Submission!$O:$O,Submission!$H:$N,""))</f>
        <v/>
      </c>
      <c r="I29" s="397"/>
    </row>
    <row r="30" spans="1:9" ht="15.9" customHeight="1" x14ac:dyDescent="0.3">
      <c r="C30" s="238" t="s">
        <v>829</v>
      </c>
      <c r="D30" s="283"/>
      <c r="E30" s="239"/>
      <c r="F30" s="281" t="str">
        <f>_xlfn.CONCAT(_xlfn.XLOOKUP("[S05_MSCustomisedTemplatesMRR1][3][SpecificTemplateOrFileFormat]",Submission!$O:$O,Submission!$H:$N,""))</f>
        <v/>
      </c>
      <c r="G30" s="347"/>
      <c r="H30" s="397" t="str">
        <f>_xlfn.CONCAT(_xlfn.XLOOKUP("[S05_MSCustomisedTemplatesMRR1][3][HowTemplateSpecific]",Submission!$O:$O,Submission!$H:$N,""))</f>
        <v/>
      </c>
      <c r="I30" s="397"/>
    </row>
    <row r="31" spans="1:9" ht="15.9" customHeight="1" x14ac:dyDescent="0.3">
      <c r="C31" s="238" t="s">
        <v>830</v>
      </c>
      <c r="D31" s="283"/>
      <c r="E31" s="239"/>
      <c r="F31" s="281" t="str">
        <f>_xlfn.CONCAT(_xlfn.XLOOKUP("[S05_MSCustomisedTemplatesMRR1][4][SpecificTemplateOrFileFormat]",Submission!$O:$O,Submission!$H:$N,""))</f>
        <v/>
      </c>
      <c r="G31" s="347"/>
      <c r="H31" s="397" t="str">
        <f>_xlfn.CONCAT(_xlfn.XLOOKUP("[S05_MSCustomisedTemplatesMRR1][4][HowTemplateSpecific]",Submission!$O:$O,Submission!$H:$N,""))</f>
        <v/>
      </c>
      <c r="I31" s="397"/>
    </row>
    <row r="32" spans="1:9" ht="15.9" customHeight="1" x14ac:dyDescent="0.3">
      <c r="C32" s="292" t="s">
        <v>831</v>
      </c>
      <c r="D32" s="292"/>
      <c r="E32" s="292"/>
      <c r="F32" s="292"/>
      <c r="G32" s="292"/>
      <c r="H32" s="292"/>
      <c r="I32" s="292"/>
    </row>
    <row r="33" spans="1:9" ht="15.9" customHeight="1" x14ac:dyDescent="0.3">
      <c r="B33" s="14"/>
      <c r="C33" s="14"/>
      <c r="D33" s="14"/>
      <c r="E33" s="14"/>
      <c r="F33" s="14"/>
      <c r="G33" s="14"/>
      <c r="H33" s="14"/>
      <c r="I33" s="14"/>
    </row>
    <row r="34" spans="1:9" ht="26.1" customHeight="1" x14ac:dyDescent="0.3">
      <c r="C34" s="318"/>
      <c r="D34" s="404"/>
      <c r="E34" s="405"/>
      <c r="F34" s="303" t="s">
        <v>832</v>
      </c>
      <c r="G34" s="309"/>
      <c r="H34" s="303" t="s">
        <v>826</v>
      </c>
      <c r="I34" s="309"/>
    </row>
    <row r="35" spans="1:9" ht="15.9" customHeight="1" x14ac:dyDescent="0.3">
      <c r="C35" s="238" t="s">
        <v>833</v>
      </c>
      <c r="D35" s="283"/>
      <c r="E35" s="239"/>
      <c r="F35" s="281" t="str">
        <f>_xlfn.CONCAT(_xlfn.XLOOKUP("[S05_MSCustomisedTemplatesMRR2][1][SpecificTemplateOrFileFormat]",Submission!$O:$O,Submission!$H:$N,""))</f>
        <v/>
      </c>
      <c r="G35" s="347"/>
      <c r="H35" s="397" t="str">
        <f>_xlfn.CONCAT(_xlfn.XLOOKUP("[S05_MSCustomisedTemplatesMRR2][1][HowTemplateSpecific]",Submission!$O:$O,Submission!$H:$N,""))</f>
        <v/>
      </c>
      <c r="I35" s="397"/>
    </row>
    <row r="36" spans="1:9" ht="15.9" customHeight="1" x14ac:dyDescent="0.3">
      <c r="C36" s="238" t="s">
        <v>834</v>
      </c>
      <c r="D36" s="283"/>
      <c r="E36" s="239"/>
      <c r="F36" s="281" t="str">
        <f>_xlfn.CONCAT(_xlfn.XLOOKUP("[S05_MSCustomisedTemplatesMRR2][2][SpecificTemplateOrFileFormat]",Submission!$O:$O,Submission!$H:$N,""))</f>
        <v/>
      </c>
      <c r="G36" s="347"/>
      <c r="H36" s="397" t="str">
        <f>_xlfn.CONCAT(_xlfn.XLOOKUP("[S05_MSCustomisedTemplatesMRR2][2][HowTemplateSpecific]",Submission!$O:$O,Submission!$H:$N,""))</f>
        <v/>
      </c>
      <c r="I36" s="397"/>
    </row>
    <row r="37" spans="1:9" ht="15.9" customHeight="1" x14ac:dyDescent="0.3">
      <c r="C37" s="238" t="s">
        <v>835</v>
      </c>
      <c r="D37" s="283"/>
      <c r="E37" s="239"/>
      <c r="F37" s="281" t="str">
        <f>_xlfn.CONCAT(_xlfn.XLOOKUP("[S05_MSCustomisedTemplatesMRR2][3][SpecificTemplateOrFileFormat]",Submission!$O:$O,Submission!$H:$N,""))</f>
        <v/>
      </c>
      <c r="G37" s="347"/>
      <c r="H37" s="397" t="str">
        <f>_xlfn.CONCAT(_xlfn.XLOOKUP("[S05_MSCustomisedTemplatesMRR2][3][HowTemplateSpecific]",Submission!$O:$O,Submission!$H:$N,""))</f>
        <v/>
      </c>
      <c r="I37" s="397"/>
    </row>
    <row r="38" spans="1:9" ht="15.9" customHeight="1" x14ac:dyDescent="0.3">
      <c r="C38" s="238" t="s">
        <v>836</v>
      </c>
      <c r="D38" s="283"/>
      <c r="E38" s="239"/>
      <c r="F38" s="281" t="str">
        <f>_xlfn.CONCAT(_xlfn.XLOOKUP("[S05_MSCustomisedTemplatesMRR2][4][SpecificTemplateOrFileFormat]",Submission!$O:$O,Submission!$H:$N,""))</f>
        <v/>
      </c>
      <c r="G38" s="347"/>
      <c r="H38" s="397" t="str">
        <f>_xlfn.CONCAT(_xlfn.XLOOKUP("[S05_MSCustomisedTemplatesMRR2][4][HowTemplateSpecific]",Submission!$O:$O,Submission!$H:$N,""))</f>
        <v/>
      </c>
      <c r="I38" s="397"/>
    </row>
    <row r="39" spans="1:9" ht="15.9" customHeight="1" x14ac:dyDescent="0.3">
      <c r="C39" s="292" t="s">
        <v>837</v>
      </c>
      <c r="D39" s="292"/>
      <c r="E39" s="292"/>
      <c r="F39" s="292"/>
      <c r="G39" s="292"/>
      <c r="H39" s="292"/>
      <c r="I39" s="292"/>
    </row>
    <row r="40" spans="1:9" s="10" customFormat="1" ht="14.4" x14ac:dyDescent="0.3">
      <c r="A40" s="9"/>
      <c r="C40" s="20"/>
      <c r="D40" s="24"/>
      <c r="E40" s="24"/>
      <c r="F40" s="24"/>
      <c r="G40" s="24"/>
      <c r="H40" s="24"/>
      <c r="I40" s="24"/>
    </row>
    <row r="41" spans="1:9" ht="18" customHeight="1" x14ac:dyDescent="0.3">
      <c r="A41" s="13"/>
      <c r="B41" s="271" t="s">
        <v>838</v>
      </c>
      <c r="C41" s="272"/>
      <c r="D41" s="272"/>
      <c r="E41" s="272"/>
      <c r="F41" s="272"/>
      <c r="G41" s="272"/>
      <c r="H41" s="272"/>
      <c r="I41" s="272"/>
    </row>
    <row r="42" spans="1:9" ht="15.9" customHeight="1" x14ac:dyDescent="0.3">
      <c r="A42" s="13"/>
      <c r="B42" s="7"/>
      <c r="C42" s="284" t="str">
        <f>_xlfn.CONCAT(_xlfn.XLOOKUP("[ComplyMeasuresArt74][0][ComplyMeasuresArt74]",Submission!$O:$O,Submission!$H:$N,""))</f>
        <v/>
      </c>
      <c r="D42" s="349"/>
      <c r="E42" s="349"/>
      <c r="F42" s="349"/>
      <c r="G42" s="349"/>
      <c r="H42" s="349"/>
      <c r="I42" s="282"/>
    </row>
    <row r="43" spans="1:9" ht="15.9" customHeight="1" x14ac:dyDescent="0.3">
      <c r="A43" s="13"/>
      <c r="B43" s="7"/>
      <c r="C43" s="31"/>
      <c r="D43" s="31"/>
      <c r="E43" s="31"/>
      <c r="F43" s="31"/>
      <c r="G43" s="31"/>
      <c r="H43" s="31"/>
      <c r="I43" s="31"/>
    </row>
    <row r="44" spans="1:9" ht="15.9" customHeight="1" x14ac:dyDescent="0.25">
      <c r="A44" s="12" t="s">
        <v>176</v>
      </c>
      <c r="B44" s="377" t="s">
        <v>839</v>
      </c>
      <c r="C44" s="403"/>
      <c r="D44" s="403"/>
      <c r="E44" s="403"/>
      <c r="F44" s="403"/>
      <c r="G44" s="403"/>
      <c r="H44" s="403"/>
      <c r="I44" s="403"/>
    </row>
    <row r="45" spans="1:9" s="7" customFormat="1" ht="32.1" customHeight="1" x14ac:dyDescent="0.3">
      <c r="A45" s="30"/>
      <c r="B45" s="293" t="s">
        <v>840</v>
      </c>
      <c r="C45" s="294"/>
      <c r="D45" s="294"/>
      <c r="E45" s="294"/>
      <c r="F45" s="294"/>
      <c r="G45" s="294"/>
      <c r="H45" s="295"/>
      <c r="I45" s="47" t="str">
        <f>_xlfn.CONCAT(_xlfn.XLOOKUP("[AutomatedSystemInformationExchange][0][AutomatedSystemInformationExchange]",Submission!$O:$O,Submission!$H:$N,""))</f>
        <v>No</v>
      </c>
    </row>
    <row r="46" spans="1:9" s="7" customFormat="1" ht="16.95" customHeight="1" x14ac:dyDescent="0.3">
      <c r="A46" s="30"/>
      <c r="B46" s="271" t="s">
        <v>841</v>
      </c>
      <c r="C46" s="272"/>
      <c r="D46" s="272"/>
      <c r="E46" s="272"/>
      <c r="F46" s="272"/>
      <c r="G46" s="272"/>
      <c r="H46" s="272"/>
      <c r="I46" s="272"/>
    </row>
    <row r="47" spans="1:9" s="7" customFormat="1" ht="15" customHeight="1" x14ac:dyDescent="0.3">
      <c r="A47" s="8"/>
      <c r="C47" s="284" t="str">
        <f>_xlfn.CONCAT(_xlfn.XLOOKUP("[ComplyRequirementsArt75][0][ComplyRequirementsArt75]",Submission!$O:$O,Submission!$H:$N,""))</f>
        <v/>
      </c>
      <c r="D47" s="349"/>
      <c r="E47" s="349"/>
      <c r="F47" s="349"/>
      <c r="G47" s="349"/>
      <c r="H47" s="349"/>
      <c r="I47" s="282"/>
    </row>
    <row r="48" spans="1:9" s="7" customFormat="1" ht="14.4" x14ac:dyDescent="0.3">
      <c r="A48" s="8"/>
      <c r="C48" s="33"/>
      <c r="D48" s="31"/>
      <c r="E48" s="31"/>
      <c r="F48" s="31"/>
      <c r="G48" s="31"/>
      <c r="H48" s="31"/>
      <c r="I48" s="31"/>
    </row>
    <row r="49" spans="1:9" s="7" customFormat="1" ht="14.4" x14ac:dyDescent="0.3">
      <c r="A49" s="8"/>
    </row>
    <row r="50" spans="1:9" ht="18.899999999999999" customHeight="1" x14ac:dyDescent="0.35">
      <c r="A50" s="85" t="s">
        <v>842</v>
      </c>
      <c r="B50" s="325" t="s">
        <v>74</v>
      </c>
      <c r="C50" s="325"/>
      <c r="D50" s="325"/>
      <c r="E50" s="325"/>
      <c r="F50" s="325"/>
      <c r="G50" s="325"/>
      <c r="H50" s="325"/>
      <c r="I50" s="326"/>
    </row>
    <row r="51" spans="1:9" ht="35.4" customHeight="1" x14ac:dyDescent="0.3">
      <c r="A51" s="12" t="s">
        <v>183</v>
      </c>
      <c r="B51" s="328" t="s">
        <v>843</v>
      </c>
      <c r="C51" s="329"/>
      <c r="D51" s="329"/>
      <c r="E51" s="329"/>
      <c r="F51" s="329"/>
      <c r="G51" s="329"/>
      <c r="H51" s="329"/>
      <c r="I51" s="329"/>
    </row>
    <row r="52" spans="1:9" ht="18.75" customHeight="1" x14ac:dyDescent="0.3">
      <c r="C52" s="303" t="s">
        <v>193</v>
      </c>
      <c r="D52" s="330"/>
      <c r="E52" s="309"/>
      <c r="F52" s="303" t="s">
        <v>844</v>
      </c>
      <c r="G52" s="309"/>
      <c r="H52" s="303" t="s">
        <v>845</v>
      </c>
      <c r="I52" s="309"/>
    </row>
    <row r="53" spans="1:9" ht="15.9" customHeight="1" x14ac:dyDescent="0.3">
      <c r="C53" s="238" t="s">
        <v>195</v>
      </c>
      <c r="D53" s="283"/>
      <c r="E53" s="239"/>
      <c r="F53" s="391" t="str">
        <f>_xlfn.CONCAT(_xlfn.XLOOKUP("[S05_InstallationFuelConsEmissions][1][FuelConsumption]",Submission!$O:$O,Submission!$H:$N,""))</f>
        <v>16579.1442500525</v>
      </c>
      <c r="G53" s="392"/>
      <c r="H53" s="393" t="str">
        <f>_xlfn.CONCAT(_xlfn.XLOOKUP("[S05_InstallationFuelConsEmissions][1][FuelAnnualEmissions]",Submission!$O:$O,Submission!$H:$N,""))</f>
        <v>1546135.82114902</v>
      </c>
      <c r="I53" s="394"/>
    </row>
    <row r="54" spans="1:9" ht="15.9" customHeight="1" x14ac:dyDescent="0.3">
      <c r="C54" s="238" t="s">
        <v>197</v>
      </c>
      <c r="D54" s="283"/>
      <c r="E54" s="239"/>
      <c r="F54" s="391" t="str">
        <f>_xlfn.CONCAT(_xlfn.XLOOKUP("[S05_InstallationFuelConsEmissions][2][FuelConsumption]",Submission!$O:$O,Submission!$H:$N,""))</f>
        <v>4.7868239</v>
      </c>
      <c r="G54" s="392"/>
      <c r="H54" s="393" t="str">
        <f>_xlfn.CONCAT(_xlfn.XLOOKUP("[S05_InstallationFuelConsEmissions][2][FuelAnnualEmissions]",Submission!$O:$O,Submission!$H:$N,""))</f>
        <v>460.01377679</v>
      </c>
      <c r="I54" s="394"/>
    </row>
    <row r="55" spans="1:9" ht="15.9" customHeight="1" x14ac:dyDescent="0.3">
      <c r="C55" s="238" t="s">
        <v>199</v>
      </c>
      <c r="D55" s="283"/>
      <c r="E55" s="239"/>
      <c r="F55" s="391" t="str">
        <f>_xlfn.CONCAT(_xlfn.XLOOKUP("[S05_InstallationFuelConsEmissions][3][FuelConsumption]",Submission!$O:$O,Submission!$H:$N,""))</f>
        <v/>
      </c>
      <c r="G55" s="392"/>
      <c r="H55" s="393" t="str">
        <f>_xlfn.CONCAT(_xlfn.XLOOKUP("[S05_InstallationFuelConsEmissions][3][FuelAnnualEmissions]",Submission!$O:$O,Submission!$H:$N,""))</f>
        <v/>
      </c>
      <c r="I55" s="394"/>
    </row>
    <row r="56" spans="1:9" ht="15.9" customHeight="1" x14ac:dyDescent="0.3">
      <c r="C56" s="238" t="s">
        <v>201</v>
      </c>
      <c r="D56" s="283"/>
      <c r="E56" s="239"/>
      <c r="F56" s="391" t="str">
        <f>_xlfn.CONCAT(_xlfn.XLOOKUP("[S05_InstallationFuelConsEmissions][4][FuelConsumption]",Submission!$O:$O,Submission!$H:$N,""))</f>
        <v>822.8879322288</v>
      </c>
      <c r="G56" s="392"/>
      <c r="H56" s="393" t="str">
        <f>_xlfn.CONCAT(_xlfn.XLOOKUP("[S05_InstallationFuelConsEmissions][4][FuelAnnualEmissions]",Submission!$O:$O,Submission!$H:$N,""))</f>
        <v>89065.1888616587</v>
      </c>
      <c r="I56" s="394"/>
    </row>
    <row r="57" spans="1:9" ht="15.9" customHeight="1" x14ac:dyDescent="0.3">
      <c r="C57" s="238" t="s">
        <v>846</v>
      </c>
      <c r="D57" s="283"/>
      <c r="E57" s="239"/>
      <c r="F57" s="391" t="str">
        <f>_xlfn.CONCAT(_xlfn.XLOOKUP("[S05_InstallationFuelConsEmissions][5][FuelConsumption]",Submission!$O:$O,Submission!$H:$N,""))</f>
        <v>45806.4720750845</v>
      </c>
      <c r="G57" s="392"/>
      <c r="H57" s="393" t="str">
        <f>_xlfn.CONCAT(_xlfn.XLOOKUP("[S05_InstallationFuelConsEmissions][5][FuelAnnualEmissions]",Submission!$O:$O,Submission!$H:$N,""))</f>
        <v>2536768.98914827</v>
      </c>
      <c r="I57" s="394"/>
    </row>
    <row r="58" spans="1:9" ht="15.9" customHeight="1" x14ac:dyDescent="0.3">
      <c r="C58" s="238" t="s">
        <v>847</v>
      </c>
      <c r="D58" s="283"/>
      <c r="E58" s="239"/>
      <c r="F58" s="391" t="str">
        <f>_xlfn.CONCAT(_xlfn.XLOOKUP("[S05_InstallationFuelConsEmissions][6][FuelConsumption]",Submission!$O:$O,Submission!$H:$N,""))</f>
        <v/>
      </c>
      <c r="G58" s="392"/>
      <c r="H58" s="393" t="str">
        <f>_xlfn.CONCAT(_xlfn.XLOOKUP("[S05_InstallationFuelConsEmissions][6][FuelAnnualEmissions]",Submission!$O:$O,Submission!$H:$N,""))</f>
        <v/>
      </c>
      <c r="I58" s="394"/>
    </row>
    <row r="59" spans="1:9" ht="15.9" customHeight="1" x14ac:dyDescent="0.3">
      <c r="C59" s="238" t="s">
        <v>848</v>
      </c>
      <c r="D59" s="283"/>
      <c r="E59" s="239"/>
      <c r="F59" s="391" t="str">
        <f>_xlfn.CONCAT(_xlfn.XLOOKUP("[S05_InstallationFuelConsEmissions][7][FuelConsumption]",Submission!$O:$O,Submission!$H:$N,""))</f>
        <v/>
      </c>
      <c r="G59" s="392"/>
      <c r="H59" s="393" t="str">
        <f>_xlfn.CONCAT(_xlfn.XLOOKUP("[S05_InstallationFuelConsEmissions][7][FuelAnnualEmissions]",Submission!$O:$O,Submission!$H:$N,""))</f>
        <v/>
      </c>
      <c r="I59" s="394"/>
    </row>
    <row r="60" spans="1:9" ht="15.9" customHeight="1" x14ac:dyDescent="0.3">
      <c r="C60" s="238" t="s">
        <v>207</v>
      </c>
      <c r="D60" s="283"/>
      <c r="E60" s="239"/>
      <c r="F60" s="391" t="str">
        <f>_xlfn.CONCAT(_xlfn.XLOOKUP("[S05_InstallationFuelConsEmissions][8][FuelConsumption]",Submission!$O:$O,Submission!$H:$N,""))</f>
        <v>3899.61907406</v>
      </c>
      <c r="G60" s="392"/>
      <c r="H60" s="393" t="str">
        <f>_xlfn.CONCAT(_xlfn.XLOOKUP("[S05_InstallationFuelConsEmissions][8][FuelAnnualEmissions]",Submission!$O:$O,Submission!$H:$N,""))</f>
        <v>204708.523642154</v>
      </c>
      <c r="I60" s="394"/>
    </row>
    <row r="61" spans="1:9" ht="15.9" customHeight="1" x14ac:dyDescent="0.3">
      <c r="C61" s="238" t="s">
        <v>849</v>
      </c>
      <c r="D61" s="283"/>
      <c r="E61" s="239"/>
      <c r="F61" s="391" t="str">
        <f>_xlfn.CONCAT(_xlfn.XLOOKUP("[S05_InstallationFuelConsEmissions][9][FuelConsumption]",Submission!$O:$O,Submission!$H:$N,""))</f>
        <v>301.87974611</v>
      </c>
      <c r="G61" s="392"/>
      <c r="H61" s="393" t="str">
        <f>_xlfn.CONCAT(_xlfn.XLOOKUP("[S05_InstallationFuelConsEmissions][9][FuelAnnualEmissions]",Submission!$O:$O,Submission!$H:$N,""))</f>
        <v>23997.3582378608</v>
      </c>
      <c r="I61" s="394"/>
    </row>
    <row r="62" spans="1:9" ht="15.9" customHeight="1" x14ac:dyDescent="0.3">
      <c r="C62" s="238" t="s">
        <v>211</v>
      </c>
      <c r="D62" s="283"/>
      <c r="E62" s="239"/>
      <c r="F62" s="391" t="str">
        <f>_xlfn.CONCAT(_xlfn.XLOOKUP("[S05_InstallationFuelConsEmissions][10][FuelConsumption]",Submission!$O:$O,Submission!$H:$N,""))</f>
        <v>0.00904977</v>
      </c>
      <c r="G62" s="392"/>
      <c r="H62" s="393" t="str">
        <f>_xlfn.CONCAT(_xlfn.XLOOKUP("[S05_InstallationFuelConsEmissions][10][FuelAnnualEmissions]",Submission!$O:$O,Submission!$H:$N,""))</f>
        <v>0.571040487</v>
      </c>
      <c r="I62" s="394"/>
    </row>
    <row r="63" spans="1:9" ht="15.9" customHeight="1" x14ac:dyDescent="0.3">
      <c r="C63" s="238" t="s">
        <v>212</v>
      </c>
      <c r="D63" s="283"/>
      <c r="E63" s="239"/>
      <c r="F63" s="391" t="str">
        <f>_xlfn.CONCAT(_xlfn.XLOOKUP("[S05_InstallationFuelConsEmissions][11][FuelConsumption]",Submission!$O:$O,Submission!$H:$N,""))</f>
        <v>3064.431373166</v>
      </c>
      <c r="G63" s="392"/>
      <c r="H63" s="393" t="str">
        <f>_xlfn.CONCAT(_xlfn.XLOOKUP("[S05_InstallationFuelConsEmissions][11][FuelAnnualEmissions]",Submission!$O:$O,Submission!$H:$N,""))</f>
        <v>285934.459495743</v>
      </c>
      <c r="I63" s="394"/>
    </row>
    <row r="64" spans="1:9" ht="15.9" customHeight="1" x14ac:dyDescent="0.3">
      <c r="C64" s="238" t="s">
        <v>850</v>
      </c>
      <c r="D64" s="283"/>
      <c r="E64" s="239"/>
      <c r="F64" s="391" t="str">
        <f>_xlfn.CONCAT(_xlfn.XLOOKUP("[S05_InstallationFuelConsEmissions][12][FuelConsumption]",Submission!$O:$O,Submission!$H:$N,""))</f>
        <v>1786.286</v>
      </c>
      <c r="G64" s="392"/>
      <c r="H64" s="393" t="str">
        <f>_xlfn.CONCAT(_xlfn.XLOOKUP("[S05_InstallationFuelConsEmissions][12][FuelAnnualEmissions]",Submission!$O:$O,Submission!$H:$N,""))</f>
        <v>139313.699</v>
      </c>
      <c r="I64" s="394"/>
    </row>
    <row r="65" spans="1:14" s="10" customFormat="1" ht="15" customHeight="1" x14ac:dyDescent="0.3">
      <c r="A65" s="9"/>
      <c r="C65" s="395" t="s">
        <v>851</v>
      </c>
      <c r="D65" s="396"/>
      <c r="E65" s="396"/>
      <c r="F65" s="396"/>
      <c r="G65" s="396"/>
      <c r="H65" s="396"/>
      <c r="I65" s="396"/>
      <c r="K65" s="13"/>
      <c r="L65" s="13"/>
      <c r="M65" s="13"/>
      <c r="N65" s="13"/>
    </row>
    <row r="66" spans="1:14" ht="15.9" customHeight="1" x14ac:dyDescent="0.3"/>
    <row r="67" spans="1:14" ht="34.200000000000003" customHeight="1" x14ac:dyDescent="0.3">
      <c r="A67" s="12" t="s">
        <v>215</v>
      </c>
      <c r="B67" s="273" t="s">
        <v>852</v>
      </c>
      <c r="C67" s="258"/>
      <c r="D67" s="258"/>
      <c r="E67" s="258"/>
      <c r="F67" s="258"/>
      <c r="G67" s="258"/>
      <c r="H67" s="258"/>
      <c r="I67" s="258"/>
    </row>
    <row r="68" spans="1:14" ht="28.8" x14ac:dyDescent="0.3">
      <c r="C68" s="303" t="s">
        <v>853</v>
      </c>
      <c r="D68" s="309"/>
      <c r="E68" s="303" t="s">
        <v>854</v>
      </c>
      <c r="F68" s="309"/>
      <c r="G68" s="42" t="s">
        <v>855</v>
      </c>
      <c r="H68" s="49" t="s">
        <v>856</v>
      </c>
      <c r="I68" s="50" t="s">
        <v>857</v>
      </c>
    </row>
    <row r="69" spans="1:14" ht="16.2" customHeight="1" x14ac:dyDescent="0.3">
      <c r="C69" s="387" t="str">
        <f>_xlfn.CONCAT(_xlfn.XLOOKUP("[S05_AggregateTotalEmissionsByCRF][1][CRFCategory1]",Submission!$O:$O,Submission!$H:$N,""))</f>
        <v>1A2f - Energy - Non-metallic minerals</v>
      </c>
      <c r="D69" s="388"/>
      <c r="E69" s="387" t="str">
        <f>_xlfn.CONCAT(_xlfn.XLOOKUP("[S05_AggregateTotalEmissionsByCRF][1][CRFCategory2]",Submission!$O:$O,Submission!$H:$N,""))</f>
        <v>2A1 - Process - Cement Production</v>
      </c>
      <c r="F69" s="388"/>
      <c r="G69" s="126" t="str">
        <f>_xlfn.CONCAT(_xlfn.XLOOKUP("[S05_AggregateTotalEmissionsByCRF][1][TotalEmissionsTCo2e]",Submission!$O:$O,Submission!$H:$N,""))</f>
        <v>1950372.81495214</v>
      </c>
      <c r="H69" s="126" t="str">
        <f>_xlfn.CONCAT(_xlfn.XLOOKUP("[S05_AggregateTotalEmissionsByCRF][1][TotalCombustionEmissionsTCo2e]",Submission!$O:$O,Submission!$H:$N,""))</f>
        <v>745526.084679478</v>
      </c>
      <c r="I69" s="126" t="str">
        <f>_xlfn.CONCAT(_xlfn.XLOOKUP("[S05_AggregateTotalEmissionsByCRF][1][TotalProcessEmissionsTCo2e]",Submission!$O:$O,Submission!$H:$N,""))</f>
        <v>1204846.73027266</v>
      </c>
    </row>
    <row r="70" spans="1:14" ht="16.2" customHeight="1" x14ac:dyDescent="0.3">
      <c r="C70" s="387" t="str">
        <f>_xlfn.CONCAT(_xlfn.XLOOKUP("[S05_AggregateTotalEmissionsByCRF][2][CRFCategory1]",Submission!$O:$O,Submission!$H:$N,""))</f>
        <v>1A2f - Energy - Non-metallic minerals</v>
      </c>
      <c r="D70" s="388"/>
      <c r="E70" s="389" t="str">
        <f>_xlfn.CONCAT(_xlfn.XLOOKUP("[S05_AggregateTotalEmissionsByCRF][2][CRFCategory2]",Submission!$O:$O,Submission!$H:$N,""))</f>
        <v>2A4 - Process - Other Process Uses of Carbonates</v>
      </c>
      <c r="F70" s="390"/>
      <c r="G70" s="126" t="str">
        <f>_xlfn.CONCAT(_xlfn.XLOOKUP("[S05_AggregateTotalEmissionsByCRF][2][TotalEmissionsTCo2e]",Submission!$O:$O,Submission!$H:$N,""))</f>
        <v>158984.634217708</v>
      </c>
      <c r="H70" s="126" t="str">
        <f>_xlfn.CONCAT(_xlfn.XLOOKUP("[S05_AggregateTotalEmissionsByCRF][2][TotalCombustionEmissionsTCo2e]",Submission!$O:$O,Submission!$H:$N,""))</f>
        <v>145720.271904427</v>
      </c>
      <c r="I70" s="126" t="str">
        <f>_xlfn.CONCAT(_xlfn.XLOOKUP("[S05_AggregateTotalEmissionsByCRF][2][TotalProcessEmissionsTCo2e]",Submission!$O:$O,Submission!$H:$N,""))</f>
        <v>13264.3623132801</v>
      </c>
    </row>
    <row r="71" spans="1:14" ht="16.2" customHeight="1" x14ac:dyDescent="0.3">
      <c r="C71" s="387" t="str">
        <f>_xlfn.CONCAT(_xlfn.XLOOKUP("[S05_AggregateTotalEmissionsByCRF][3][CRFCategory1]",Submission!$O:$O,Submission!$H:$N,""))</f>
        <v>1A2f - Energy - Non-metallic minerals</v>
      </c>
      <c r="D71" s="388"/>
      <c r="E71" s="389" t="str">
        <f>_xlfn.CONCAT(_xlfn.XLOOKUP("[S05_AggregateTotalEmissionsByCRF][3][CRFCategory2]",Submission!$O:$O,Submission!$H:$N,""))</f>
        <v>2A2 - Process - Lime Production</v>
      </c>
      <c r="F71" s="390"/>
      <c r="G71" s="126" t="str">
        <f>_xlfn.CONCAT(_xlfn.XLOOKUP("[S05_AggregateTotalEmissionsByCRF][3][TotalEmissionsTCo2e]",Submission!$O:$O,Submission!$H:$N,""))</f>
        <v>148899.335050919</v>
      </c>
      <c r="H71" s="126" t="str">
        <f>_xlfn.CONCAT(_xlfn.XLOOKUP("[S05_AggregateTotalEmissionsByCRF][3][TotalCombustionEmissionsTCo2e]",Submission!$O:$O,Submission!$H:$N,""))</f>
        <v>25910.5058525033</v>
      </c>
      <c r="I71" s="126" t="str">
        <f>_xlfn.CONCAT(_xlfn.XLOOKUP("[S05_AggregateTotalEmissionsByCRF][3][TotalProcessEmissionsTCo2e]",Submission!$O:$O,Submission!$H:$N,""))</f>
        <v>122988.829198416</v>
      </c>
    </row>
    <row r="72" spans="1:14" ht="16.2" customHeight="1" x14ac:dyDescent="0.3">
      <c r="C72" s="387" t="str">
        <f>_xlfn.CONCAT(_xlfn.XLOOKUP("[S05_AggregateTotalEmissionsByCRF][4][CRFCategory1]",Submission!$O:$O,Submission!$H:$N,""))</f>
        <v>1A2f - Energy - Non-metallic minerals</v>
      </c>
      <c r="D72" s="388"/>
      <c r="E72" s="389" t="str">
        <f>_xlfn.CONCAT(_xlfn.XLOOKUP("[S05_AggregateTotalEmissionsByCRF][4][CRFCategory2]",Submission!$O:$O,Submission!$H:$N,""))</f>
        <v>2A3 - Process - Glass production</v>
      </c>
      <c r="F72" s="390"/>
      <c r="G72" s="126" t="str">
        <f>_xlfn.CONCAT(_xlfn.XLOOKUP("[S05_AggregateTotalEmissionsByCRF][4][TotalEmissionsTCo2e]",Submission!$O:$O,Submission!$H:$N,""))</f>
        <v>111834.140644252</v>
      </c>
      <c r="H72" s="126" t="str">
        <f>_xlfn.CONCAT(_xlfn.XLOOKUP("[S05_AggregateTotalEmissionsByCRF][4][TotalCombustionEmissionsTCo2e]",Submission!$O:$O,Submission!$H:$N,""))</f>
        <v>82980.7483383818</v>
      </c>
      <c r="I72" s="126" t="str">
        <f>_xlfn.CONCAT(_xlfn.XLOOKUP("[S05_AggregateTotalEmissionsByCRF][4][TotalProcessEmissionsTCo2e]",Submission!$O:$O,Submission!$H:$N,""))</f>
        <v>28853.39230587</v>
      </c>
    </row>
    <row r="73" spans="1:14" ht="16.2" customHeight="1" x14ac:dyDescent="0.3">
      <c r="C73" s="387" t="str">
        <f>_xlfn.CONCAT(_xlfn.XLOOKUP("[S05_AggregateTotalEmissionsByCRF][5][CRFCategory1]",Submission!$O:$O,Submission!$H:$N,""))</f>
        <v>1A2g - Energy - Other Manufacturing Industries and Construction</v>
      </c>
      <c r="D73" s="388"/>
      <c r="E73" s="389" t="str">
        <f>_xlfn.CONCAT(_xlfn.XLOOKUP("[S05_AggregateTotalEmissionsByCRF][5][CRFCategory2]",Submission!$O:$O,Submission!$H:$N,""))</f>
        <v/>
      </c>
      <c r="F73" s="390"/>
      <c r="G73" s="126" t="str">
        <f>_xlfn.CONCAT(_xlfn.XLOOKUP("[S05_AggregateTotalEmissionsByCRF][5][TotalEmissionsTCo2e]",Submission!$O:$O,Submission!$H:$N,""))</f>
        <v>16851.052709911</v>
      </c>
      <c r="H73" s="126" t="str">
        <f>_xlfn.CONCAT(_xlfn.XLOOKUP("[S05_AggregateTotalEmissionsByCRF][5][TotalCombustionEmissionsTCo2e]",Submission!$O:$O,Submission!$H:$N,""))</f>
        <v>16851.052709911</v>
      </c>
      <c r="I73" s="126" t="str">
        <f>_xlfn.CONCAT(_xlfn.XLOOKUP("[S05_AggregateTotalEmissionsByCRF][5][TotalProcessEmissionsTCo2e]",Submission!$O:$O,Submission!$H:$N,""))</f>
        <v/>
      </c>
    </row>
    <row r="74" spans="1:14" ht="16.2" customHeight="1" x14ac:dyDescent="0.3">
      <c r="C74" s="387" t="str">
        <f>_xlfn.CONCAT(_xlfn.XLOOKUP("[S05_AggregateTotalEmissionsByCRF][6][CRFCategory1]",Submission!$O:$O,Submission!$H:$N,""))</f>
        <v>1A2e - Energy - Food Processing, Beverages and Tobacco</v>
      </c>
      <c r="D74" s="388"/>
      <c r="E74" s="389" t="str">
        <f>_xlfn.CONCAT(_xlfn.XLOOKUP("[S05_AggregateTotalEmissionsByCRF][6][CRFCategory2]",Submission!$O:$O,Submission!$H:$N,""))</f>
        <v>2H - Process - Other Industrial Process and Product Use</v>
      </c>
      <c r="F74" s="390"/>
      <c r="G74" s="126" t="str">
        <f>_xlfn.CONCAT(_xlfn.XLOOKUP("[S05_AggregateTotalEmissionsByCRF][6][TotalEmissionsTCo2e]",Submission!$O:$O,Submission!$H:$N,""))</f>
        <v>64898</v>
      </c>
      <c r="H74" s="126" t="str">
        <f>_xlfn.CONCAT(_xlfn.XLOOKUP("[S05_AggregateTotalEmissionsByCRF][6][TotalCombustionEmissionsTCo2e]",Submission!$O:$O,Submission!$H:$N,""))</f>
        <v>64898</v>
      </c>
      <c r="I74" s="126" t="str">
        <f>_xlfn.CONCAT(_xlfn.XLOOKUP("[S05_AggregateTotalEmissionsByCRF][6][TotalProcessEmissionsTCo2e]",Submission!$O:$O,Submission!$H:$N,""))</f>
        <v/>
      </c>
    </row>
    <row r="75" spans="1:14" ht="16.2" customHeight="1" x14ac:dyDescent="0.3">
      <c r="C75" s="387" t="str">
        <f>_xlfn.CONCAT(_xlfn.XLOOKUP("[S05_AggregateTotalEmissionsByCRF][7][CRFCategory1]",Submission!$O:$O,Submission!$H:$N,""))</f>
        <v>1A2d - Energy - Pulp, Paper and Print</v>
      </c>
      <c r="D75" s="388"/>
      <c r="E75" s="389" t="str">
        <f>_xlfn.CONCAT(_xlfn.XLOOKUP("[S05_AggregateTotalEmissionsByCRF][7][CRFCategory2]",Submission!$O:$O,Submission!$H:$N,""))</f>
        <v>2H - Process - Other Industrial Process and Product Use</v>
      </c>
      <c r="F75" s="390"/>
      <c r="G75" s="126" t="str">
        <f>_xlfn.CONCAT(_xlfn.XLOOKUP("[S05_AggregateTotalEmissionsByCRF][7][TotalEmissionsTCo2e]",Submission!$O:$O,Submission!$H:$N,""))</f>
        <v>100902.548615778</v>
      </c>
      <c r="H75" s="126" t="str">
        <f>_xlfn.CONCAT(_xlfn.XLOOKUP("[S05_AggregateTotalEmissionsByCRF][7][TotalCombustionEmissionsTCo2e]",Submission!$O:$O,Submission!$H:$N,""))</f>
        <v>100902.548615778</v>
      </c>
      <c r="I75" s="126" t="str">
        <f>_xlfn.CONCAT(_xlfn.XLOOKUP("[S05_AggregateTotalEmissionsByCRF][7][TotalProcessEmissionsTCo2e]",Submission!$O:$O,Submission!$H:$N,""))</f>
        <v/>
      </c>
    </row>
    <row r="76" spans="1:14" ht="16.2" customHeight="1" x14ac:dyDescent="0.3">
      <c r="C76" s="387" t="str">
        <f>_xlfn.CONCAT(_xlfn.XLOOKUP("[S05_AggregateTotalEmissionsByCRF][8][CRFCategory1]",Submission!$O:$O,Submission!$H:$N,""))</f>
        <v>1A2d - Energy - Pulp, Paper and Print</v>
      </c>
      <c r="D76" s="388"/>
      <c r="E76" s="389" t="str">
        <f>_xlfn.CONCAT(_xlfn.XLOOKUP("[S05_AggregateTotalEmissionsByCRF][8][CRFCategory2]",Submission!$O:$O,Submission!$H:$N,""))</f>
        <v>2B10 - Process - Other Chemical Industry</v>
      </c>
      <c r="F76" s="390"/>
      <c r="G76" s="126" t="str">
        <f>_xlfn.CONCAT(_xlfn.XLOOKUP("[S05_AggregateTotalEmissionsByCRF][8][TotalEmissionsTCo2e]",Submission!$O:$O,Submission!$H:$N,""))</f>
        <v>13707.6555112001</v>
      </c>
      <c r="H76" s="126" t="str">
        <f>_xlfn.CONCAT(_xlfn.XLOOKUP("[S05_AggregateTotalEmissionsByCRF][8][TotalCombustionEmissionsTCo2e]",Submission!$O:$O,Submission!$H:$N,""))</f>
        <v>13707.6555112001</v>
      </c>
      <c r="I76" s="126" t="str">
        <f>_xlfn.CONCAT(_xlfn.XLOOKUP("[S05_AggregateTotalEmissionsByCRF][8][TotalProcessEmissionsTCo2e]",Submission!$O:$O,Submission!$H:$N,""))</f>
        <v/>
      </c>
    </row>
    <row r="77" spans="1:14" ht="16.2" customHeight="1" x14ac:dyDescent="0.3">
      <c r="C77" s="387" t="str">
        <f>_xlfn.CONCAT(_xlfn.XLOOKUP("[S05_AggregateTotalEmissionsByCRF][9][CRFCategory1]",Submission!$O:$O,Submission!$H:$N,""))</f>
        <v>1A2c - Energy - Chemicals</v>
      </c>
      <c r="D77" s="388"/>
      <c r="E77" s="389" t="str">
        <f>_xlfn.CONCAT(_xlfn.XLOOKUP("[S05_AggregateTotalEmissionsByCRF][9][CRFCategory2]",Submission!$O:$O,Submission!$H:$N,""))</f>
        <v>2B1 - Process - Ammonia Production</v>
      </c>
      <c r="F77" s="390"/>
      <c r="G77" s="126" t="str">
        <f>_xlfn.CONCAT(_xlfn.XLOOKUP("[S05_AggregateTotalEmissionsByCRF][9][TotalEmissionsTCo2e]",Submission!$O:$O,Submission!$H:$N,""))</f>
        <v>362688.995780461</v>
      </c>
      <c r="H77" s="126" t="str">
        <f>_xlfn.CONCAT(_xlfn.XLOOKUP("[S05_AggregateTotalEmissionsByCRF][9][TotalCombustionEmissionsTCo2e]",Submission!$O:$O,Submission!$H:$N,""))</f>
        <v/>
      </c>
      <c r="I77" s="126" t="str">
        <f>_xlfn.CONCAT(_xlfn.XLOOKUP("[S05_AggregateTotalEmissionsByCRF][9][TotalProcessEmissionsTCo2e]",Submission!$O:$O,Submission!$H:$N,""))</f>
        <v>362688.995780461</v>
      </c>
    </row>
    <row r="78" spans="1:14" ht="16.2" customHeight="1" x14ac:dyDescent="0.3">
      <c r="C78" s="387" t="str">
        <f>_xlfn.CONCAT(_xlfn.XLOOKUP("[S05_AggregateTotalEmissionsByCRF][10][CRFCategory1]",Submission!$O:$O,Submission!$H:$N,""))</f>
        <v>1A2c - Energy - Chemicals</v>
      </c>
      <c r="D78" s="388"/>
      <c r="E78" s="389" t="str">
        <f>_xlfn.CONCAT(_xlfn.XLOOKUP("[S05_AggregateTotalEmissionsByCRF][10][CRFCategory2]",Submission!$O:$O,Submission!$H:$N,""))</f>
        <v xml:space="preserve">2B2 - Process - Nitric Acid Production </v>
      </c>
      <c r="F78" s="390"/>
      <c r="G78" s="126" t="str">
        <f>_xlfn.CONCAT(_xlfn.XLOOKUP("[S05_AggregateTotalEmissionsByCRF][10][TotalEmissionsTCo2e]",Submission!$O:$O,Submission!$H:$N,""))</f>
        <v>36274.7241980861</v>
      </c>
      <c r="H78" s="126" t="str">
        <f>_xlfn.CONCAT(_xlfn.XLOOKUP("[S05_AggregateTotalEmissionsByCRF][10][TotalCombustionEmissionsTCo2e]",Submission!$O:$O,Submission!$H:$N,""))</f>
        <v/>
      </c>
      <c r="I78" s="126" t="str">
        <f>_xlfn.CONCAT(_xlfn.XLOOKUP("[S05_AggregateTotalEmissionsByCRF][10][TotalProcessEmissionsTCo2e]",Submission!$O:$O,Submission!$H:$N,""))</f>
        <v>36274.7241980861</v>
      </c>
    </row>
    <row r="79" spans="1:14" ht="16.2" customHeight="1" x14ac:dyDescent="0.3">
      <c r="C79" s="387" t="str">
        <f>_xlfn.CONCAT(_xlfn.XLOOKUP("[S05_AggregateTotalEmissionsByCRF][11][CRFCategory1]",Submission!$O:$O,Submission!$H:$N,""))</f>
        <v>1A2c - Energy - Chemicals</v>
      </c>
      <c r="D79" s="388"/>
      <c r="E79" s="389" t="str">
        <f>_xlfn.CONCAT(_xlfn.XLOOKUP("[S05_AggregateTotalEmissionsByCRF][11][CRFCategory2]",Submission!$O:$O,Submission!$H:$N,""))</f>
        <v>2B8 - Process - Petrochemical and Carbon Black Production</v>
      </c>
      <c r="F79" s="390"/>
      <c r="G79" s="126" t="str">
        <f>_xlfn.CONCAT(_xlfn.XLOOKUP("[S05_AggregateTotalEmissionsByCRF][11][TotalEmissionsTCo2e]",Submission!$O:$O,Submission!$H:$N,""))</f>
        <v/>
      </c>
      <c r="H79" s="126" t="str">
        <f>_xlfn.CONCAT(_xlfn.XLOOKUP("[S05_AggregateTotalEmissionsByCRF][11][TotalCombustionEmissionsTCo2e]",Submission!$O:$O,Submission!$H:$N,""))</f>
        <v/>
      </c>
      <c r="I79" s="126" t="str">
        <f>_xlfn.CONCAT(_xlfn.XLOOKUP("[S05_AggregateTotalEmissionsByCRF][11][TotalProcessEmissionsTCo2e]",Submission!$O:$O,Submission!$H:$N,""))</f>
        <v/>
      </c>
    </row>
    <row r="80" spans="1:14" ht="16.2" customHeight="1" x14ac:dyDescent="0.3">
      <c r="C80" s="387" t="str">
        <f>_xlfn.CONCAT(_xlfn.XLOOKUP("[S05_AggregateTotalEmissionsByCRF][12][CRFCategory1]",Submission!$O:$O,Submission!$H:$N,""))</f>
        <v>1A2f - Energy - Non-metallic minerals</v>
      </c>
      <c r="D80" s="388"/>
      <c r="E80" s="389" t="str">
        <f>_xlfn.CONCAT(_xlfn.XLOOKUP("[S05_AggregateTotalEmissionsByCRF][12][CRFCategory2]",Submission!$O:$O,Submission!$H:$N,""))</f>
        <v/>
      </c>
      <c r="F80" s="390"/>
      <c r="G80" s="126" t="str">
        <f>_xlfn.CONCAT(_xlfn.XLOOKUP("[S05_AggregateTotalEmissionsByCRF][12][TotalEmissionsTCo2e]",Submission!$O:$O,Submission!$H:$N,""))</f>
        <v>433686.418477015</v>
      </c>
      <c r="H80" s="126" t="str">
        <f>_xlfn.CONCAT(_xlfn.XLOOKUP("[S05_AggregateTotalEmissionsByCRF][12][TotalCombustionEmissionsTCo2e]",Submission!$O:$O,Submission!$H:$N,""))</f>
        <v>433686.418477015</v>
      </c>
      <c r="I80" s="126" t="str">
        <f>_xlfn.CONCAT(_xlfn.XLOOKUP("[S05_AggregateTotalEmissionsByCRF][12][TotalProcessEmissionsTCo2e]",Submission!$O:$O,Submission!$H:$N,""))</f>
        <v/>
      </c>
    </row>
    <row r="81" spans="3:9" ht="16.2" customHeight="1" x14ac:dyDescent="0.3">
      <c r="C81" s="387" t="str">
        <f>_xlfn.CONCAT(_xlfn.XLOOKUP("[S05_AggregateTotalEmissionsByCRF][13][CRFCategory1]",Submission!$O:$O,Submission!$H:$N,""))</f>
        <v>1A2a - Energy - Iron and Steel</v>
      </c>
      <c r="D81" s="388"/>
      <c r="E81" s="389" t="str">
        <f>_xlfn.CONCAT(_xlfn.XLOOKUP("[S05_AggregateTotalEmissionsByCRF][13][CRFCategory2]",Submission!$O:$O,Submission!$H:$N,""))</f>
        <v>2C1 - Process - Iron and Steel Production</v>
      </c>
      <c r="F81" s="390"/>
      <c r="G81" s="126" t="str">
        <f>_xlfn.CONCAT(_xlfn.XLOOKUP("[S05_AggregateTotalEmissionsByCRF][13][TotalEmissionsTCo2e]",Submission!$O:$O,Submission!$H:$N,""))</f>
        <v>25511.5938539061</v>
      </c>
      <c r="H81" s="126" t="str">
        <f>_xlfn.CONCAT(_xlfn.XLOOKUP("[S05_AggregateTotalEmissionsByCRF][13][TotalCombustionEmissionsTCo2e]",Submission!$O:$O,Submission!$H:$N,""))</f>
        <v>7631.2817140896</v>
      </c>
      <c r="I81" s="126" t="str">
        <f>_xlfn.CONCAT(_xlfn.XLOOKUP("[S05_AggregateTotalEmissionsByCRF][13][TotalProcessEmissionsTCo2e]",Submission!$O:$O,Submission!$H:$N,""))</f>
        <v>17880.3121398165</v>
      </c>
    </row>
    <row r="82" spans="3:9" ht="16.2" customHeight="1" x14ac:dyDescent="0.3">
      <c r="C82" s="387" t="str">
        <f>_xlfn.CONCAT(_xlfn.XLOOKUP("[S05_AggregateTotalEmissionsByCRF][14][CRFCategory1]",Submission!$O:$O,Submission!$H:$N,""))</f>
        <v>1A2b - Energy - Non-Ferrous Metals</v>
      </c>
      <c r="D82" s="388"/>
      <c r="E82" s="389" t="str">
        <f>_xlfn.CONCAT(_xlfn.XLOOKUP("[S05_AggregateTotalEmissionsByCRF][14][CRFCategory2]",Submission!$O:$O,Submission!$H:$N,""))</f>
        <v>2C3 - Process - Aluminium Production</v>
      </c>
      <c r="F82" s="390"/>
      <c r="G82" s="126" t="str">
        <f>_xlfn.CONCAT(_xlfn.XLOOKUP("[S05_AggregateTotalEmissionsByCRF][14][TotalEmissionsTCo2e]",Submission!$O:$O,Submission!$H:$N,""))</f>
        <v>16873.824504678</v>
      </c>
      <c r="H82" s="126" t="str">
        <f>_xlfn.CONCAT(_xlfn.XLOOKUP("[S05_AggregateTotalEmissionsByCRF][14][TotalCombustionEmissionsTCo2e]",Submission!$O:$O,Submission!$H:$N,""))</f>
        <v>16873.824504678</v>
      </c>
      <c r="I82" s="126" t="str">
        <f>_xlfn.CONCAT(_xlfn.XLOOKUP("[S05_AggregateTotalEmissionsByCRF][14][TotalProcessEmissionsTCo2e]",Submission!$O:$O,Submission!$H:$N,""))</f>
        <v/>
      </c>
    </row>
    <row r="83" spans="3:9" ht="16.2" customHeight="1" x14ac:dyDescent="0.3">
      <c r="C83" s="387" t="str">
        <f>_xlfn.CONCAT(_xlfn.XLOOKUP("[S05_AggregateTotalEmissionsByCRF][15][CRFCategory1]",Submission!$O:$O,Submission!$H:$N,""))</f>
        <v>1A1c - Energy - Manufacture of Solid Fuels and Other Energy Industries</v>
      </c>
      <c r="D83" s="388"/>
      <c r="E83" s="389" t="str">
        <f>_xlfn.CONCAT(_xlfn.XLOOKUP("[S05_AggregateTotalEmissionsByCRF][15][CRFCategory2]",Submission!$O:$O,Submission!$H:$N,""))</f>
        <v/>
      </c>
      <c r="F83" s="390"/>
      <c r="G83" s="126" t="str">
        <f>_xlfn.CONCAT(_xlfn.XLOOKUP("[S05_AggregateTotalEmissionsByCRF][15][TotalEmissionsTCo2e]",Submission!$O:$O,Submission!$H:$N,""))</f>
        <v>126248.793269085</v>
      </c>
      <c r="H83" s="126" t="str">
        <f>_xlfn.CONCAT(_xlfn.XLOOKUP("[S05_AggregateTotalEmissionsByCRF][15][TotalCombustionEmissionsTCo2e]",Submission!$O:$O,Submission!$H:$N,""))</f>
        <v>126248.793269085</v>
      </c>
      <c r="I83" s="126" t="str">
        <f>_xlfn.CONCAT(_xlfn.XLOOKUP("[S05_AggregateTotalEmissionsByCRF][15][TotalProcessEmissionsTCo2e]",Submission!$O:$O,Submission!$H:$N,""))</f>
        <v/>
      </c>
    </row>
    <row r="84" spans="3:9" ht="16.2" customHeight="1" x14ac:dyDescent="0.3">
      <c r="C84" s="387" t="str">
        <f>_xlfn.CONCAT(_xlfn.XLOOKUP("[S05_AggregateTotalEmissionsByCRF][16][CRFCategory1]",Submission!$O:$O,Submission!$H:$N,""))</f>
        <v>1A1b - Energy - Petroleum Refining</v>
      </c>
      <c r="D84" s="388"/>
      <c r="E84" s="389" t="str">
        <f>_xlfn.CONCAT(_xlfn.XLOOKUP("[S05_AggregateTotalEmissionsByCRF][16][CRFCategory2]",Submission!$O:$O,Submission!$H:$N,""))</f>
        <v/>
      </c>
      <c r="F84" s="390"/>
      <c r="G84" s="126" t="str">
        <f>_xlfn.CONCAT(_xlfn.XLOOKUP("[S05_AggregateTotalEmissionsByCRF][16][TotalEmissionsTCo2e]",Submission!$O:$O,Submission!$H:$N,""))</f>
        <v>733818.91860546</v>
      </c>
      <c r="H84" s="126" t="str">
        <f>_xlfn.CONCAT(_xlfn.XLOOKUP("[S05_AggregateTotalEmissionsByCRF][16][TotalCombustionEmissionsTCo2e]",Submission!$O:$O,Submission!$H:$N,""))</f>
        <v>523485.094283174</v>
      </c>
      <c r="I84" s="126" t="str">
        <f>_xlfn.CONCAT(_xlfn.XLOOKUP("[S05_AggregateTotalEmissionsByCRF][16][TotalProcessEmissionsTCo2e]",Submission!$O:$O,Submission!$H:$N,""))</f>
        <v>210333.824322286</v>
      </c>
    </row>
    <row r="85" spans="3:9" ht="16.2" customHeight="1" x14ac:dyDescent="0.3">
      <c r="C85" s="387" t="str">
        <f>_xlfn.CONCAT(_xlfn.XLOOKUP("[S05_AggregateTotalEmissionsByCRF][17][CRFCategory1]",Submission!$O:$O,Submission!$H:$N,""))</f>
        <v>1A1a - Energy - Public Electricity and Heat Production</v>
      </c>
      <c r="D85" s="388"/>
      <c r="E85" s="389" t="str">
        <f>_xlfn.CONCAT(_xlfn.XLOOKUP("[S05_AggregateTotalEmissionsByCRF][17][CRFCategory2]",Submission!$O:$O,Submission!$H:$N,""))</f>
        <v>2A4 - Process - Other Process Uses of Carbonates</v>
      </c>
      <c r="F85" s="390"/>
      <c r="G85" s="126" t="str">
        <f>_xlfn.CONCAT(_xlfn.XLOOKUP("[S05_AggregateTotalEmissionsByCRF][17][TotalEmissionsTCo2e]",Submission!$O:$O,Submission!$H:$N,""))</f>
        <v>1221243.12668996</v>
      </c>
      <c r="H85" s="126" t="str">
        <f>_xlfn.CONCAT(_xlfn.XLOOKUP("[S05_AggregateTotalEmissionsByCRF][17][TotalCombustionEmissionsTCo2e]",Submission!$O:$O,Submission!$H:$N,""))</f>
        <v>1218978.84708996</v>
      </c>
      <c r="I85" s="126" t="str">
        <f>_xlfn.CONCAT(_xlfn.XLOOKUP("[S05_AggregateTotalEmissionsByCRF][17][TotalProcessEmissionsTCo2e]",Submission!$O:$O,Submission!$H:$N,""))</f>
        <v>2264.2796</v>
      </c>
    </row>
    <row r="86" spans="3:9" ht="16.2" customHeight="1" x14ac:dyDescent="0.3">
      <c r="C86" s="387" t="str">
        <f>_xlfn.CONCAT(_xlfn.XLOOKUP("[S05_AggregateTotalEmissionsByCRF][18][CRFCategory1]",Submission!$O:$O,Submission!$H:$N,""))</f>
        <v>1A1a - Energy - Public Electricity and Heat Production</v>
      </c>
      <c r="D86" s="388"/>
      <c r="E86" s="389" t="str">
        <f>_xlfn.CONCAT(_xlfn.XLOOKUP("[S05_AggregateTotalEmissionsByCRF][18][CRFCategory2]",Submission!$O:$O,Submission!$H:$N,""))</f>
        <v/>
      </c>
      <c r="F86" s="390"/>
      <c r="G86" s="126" t="str">
        <f>_xlfn.CONCAT(_xlfn.XLOOKUP("[S05_AggregateTotalEmissionsByCRF][18][TotalEmissionsTCo2e]",Submission!$O:$O,Submission!$H:$N,""))</f>
        <v>1473896.40717412</v>
      </c>
      <c r="H86" s="126" t="str">
        <f>_xlfn.CONCAT(_xlfn.XLOOKUP("[S05_AggregateTotalEmissionsByCRF][18][TotalCombustionEmissionsTCo2e]",Submission!$O:$O,Submission!$H:$N,""))</f>
        <v>1473896.40717412</v>
      </c>
      <c r="I86" s="126" t="str">
        <f>_xlfn.CONCAT(_xlfn.XLOOKUP("[S05_AggregateTotalEmissionsByCRF][18][TotalProcessEmissionsTCo2e]",Submission!$O:$O,Submission!$H:$N,""))</f>
        <v/>
      </c>
    </row>
    <row r="87" spans="3:9" ht="16.2" customHeight="1" x14ac:dyDescent="0.3">
      <c r="C87" s="387" t="str">
        <f>_xlfn.CONCAT(_xlfn.XLOOKUP("[S05_AggregateTotalEmissionsByCRF][19][CRFCategory1]",Submission!$O:$O,Submission!$H:$N,""))</f>
        <v/>
      </c>
      <c r="D87" s="388"/>
      <c r="E87" s="389" t="str">
        <f>_xlfn.CONCAT(_xlfn.XLOOKUP("[S05_AggregateTotalEmissionsByCRF][19][CRFCategory2]",Submission!$O:$O,Submission!$H:$N,""))</f>
        <v/>
      </c>
      <c r="F87" s="390"/>
      <c r="G87" s="126" t="str">
        <f>_xlfn.CONCAT(_xlfn.XLOOKUP("[S05_AggregateTotalEmissionsByCRF][19][TotalEmissionsTCo2e]",Submission!$O:$O,Submission!$H:$N,""))</f>
        <v/>
      </c>
      <c r="H87" s="126" t="str">
        <f>_xlfn.CONCAT(_xlfn.XLOOKUP("[S05_AggregateTotalEmissionsByCRF][19][TotalCombustionEmissionsTCo2e]",Submission!$O:$O,Submission!$H:$N,""))</f>
        <v/>
      </c>
      <c r="I87" s="126" t="str">
        <f>_xlfn.CONCAT(_xlfn.XLOOKUP("[S05_AggregateTotalEmissionsByCRF][19][TotalProcessEmissionsTCo2e]",Submission!$O:$O,Submission!$H:$N,""))</f>
        <v/>
      </c>
    </row>
    <row r="88" spans="3:9" ht="16.2" customHeight="1" x14ac:dyDescent="0.3">
      <c r="C88" s="387" t="str">
        <f>_xlfn.CONCAT(_xlfn.XLOOKUP("[S05_AggregateTotalEmissionsByCRF][20][CRFCategory1]",Submission!$O:$O,Submission!$H:$N,""))</f>
        <v/>
      </c>
      <c r="D88" s="388"/>
      <c r="E88" s="389" t="str">
        <f>_xlfn.CONCAT(_xlfn.XLOOKUP("[S05_AggregateTotalEmissionsByCRF][20][CRFCategory2]",Submission!$O:$O,Submission!$H:$N,""))</f>
        <v/>
      </c>
      <c r="F88" s="390"/>
      <c r="G88" s="126" t="str">
        <f>_xlfn.CONCAT(_xlfn.XLOOKUP("[S05_AggregateTotalEmissionsByCRF][20][TotalEmissionsTCo2e]",Submission!$O:$O,Submission!$H:$N,""))</f>
        <v/>
      </c>
      <c r="H88" s="126" t="str">
        <f>_xlfn.CONCAT(_xlfn.XLOOKUP("[S05_AggregateTotalEmissionsByCRF][20][TotalCombustionEmissionsTCo2e]",Submission!$O:$O,Submission!$H:$N,""))</f>
        <v/>
      </c>
      <c r="I88" s="126" t="str">
        <f>_xlfn.CONCAT(_xlfn.XLOOKUP("[S05_AggregateTotalEmissionsByCRF][20][TotalProcessEmissionsTCo2e]",Submission!$O:$O,Submission!$H:$N,""))</f>
        <v/>
      </c>
    </row>
    <row r="89" spans="3:9" ht="16.2" customHeight="1" x14ac:dyDescent="0.3">
      <c r="C89" s="387" t="str">
        <f>_xlfn.CONCAT(_xlfn.XLOOKUP("[S05_AggregateTotalEmissionsByCRF][21][CRFCategory1]",Submission!$O:$O,Submission!$H:$N,""))</f>
        <v/>
      </c>
      <c r="D89" s="388"/>
      <c r="E89" s="389" t="str">
        <f>_xlfn.CONCAT(_xlfn.XLOOKUP("[S05_AggregateTotalEmissionsByCRF][21][CRFCategory2]",Submission!$O:$O,Submission!$H:$N,""))</f>
        <v/>
      </c>
      <c r="F89" s="390"/>
      <c r="G89" s="126" t="str">
        <f>_xlfn.CONCAT(_xlfn.XLOOKUP("[S05_AggregateTotalEmissionsByCRF][21][TotalEmissionsTCo2e]",Submission!$O:$O,Submission!$H:$N,""))</f>
        <v/>
      </c>
      <c r="H89" s="126" t="str">
        <f>_xlfn.CONCAT(_xlfn.XLOOKUP("[S05_AggregateTotalEmissionsByCRF][21][TotalCombustionEmissionsTCo2e]",Submission!$O:$O,Submission!$H:$N,""))</f>
        <v/>
      </c>
      <c r="I89" s="126" t="str">
        <f>_xlfn.CONCAT(_xlfn.XLOOKUP("[S05_AggregateTotalEmissionsByCRF][21][TotalProcessEmissionsTCo2e]",Submission!$O:$O,Submission!$H:$N,""))</f>
        <v/>
      </c>
    </row>
    <row r="90" spans="3:9" ht="16.2" customHeight="1" x14ac:dyDescent="0.3">
      <c r="C90" s="387" t="str">
        <f>_xlfn.CONCAT(_xlfn.XLOOKUP("[S05_AggregateTotalEmissionsByCRF][22][CRFCategory1]",Submission!$O:$O,Submission!$H:$N,""))</f>
        <v/>
      </c>
      <c r="D90" s="388"/>
      <c r="E90" s="389" t="str">
        <f>_xlfn.CONCAT(_xlfn.XLOOKUP("[S05_AggregateTotalEmissionsByCRF][22][CRFCategory2]",Submission!$O:$O,Submission!$H:$N,""))</f>
        <v/>
      </c>
      <c r="F90" s="390"/>
      <c r="G90" s="126" t="str">
        <f>_xlfn.CONCAT(_xlfn.XLOOKUP("[S05_AggregateTotalEmissionsByCRF][22][TotalEmissionsTCo2e]",Submission!$O:$O,Submission!$H:$N,""))</f>
        <v/>
      </c>
      <c r="H90" s="126" t="str">
        <f>_xlfn.CONCAT(_xlfn.XLOOKUP("[S05_AggregateTotalEmissionsByCRF][22][TotalCombustionEmissionsTCo2e]",Submission!$O:$O,Submission!$H:$N,""))</f>
        <v/>
      </c>
      <c r="I90" s="126" t="str">
        <f>_xlfn.CONCAT(_xlfn.XLOOKUP("[S05_AggregateTotalEmissionsByCRF][22][TotalProcessEmissionsTCo2e]",Submission!$O:$O,Submission!$H:$N,""))</f>
        <v/>
      </c>
    </row>
    <row r="91" spans="3:9" ht="16.2" customHeight="1" x14ac:dyDescent="0.3">
      <c r="C91" s="387" t="str">
        <f>_xlfn.CONCAT(_xlfn.XLOOKUP("[S05_AggregateTotalEmissionsByCRF][23][CRFCategory1]",Submission!$O:$O,Submission!$H:$N,""))</f>
        <v/>
      </c>
      <c r="D91" s="388"/>
      <c r="E91" s="389" t="str">
        <f>_xlfn.CONCAT(_xlfn.XLOOKUP("[S05_AggregateTotalEmissionsByCRF][23][CRFCategory2]",Submission!$O:$O,Submission!$H:$N,""))</f>
        <v/>
      </c>
      <c r="F91" s="390"/>
      <c r="G91" s="126" t="str">
        <f>_xlfn.CONCAT(_xlfn.XLOOKUP("[S05_AggregateTotalEmissionsByCRF][23][TotalEmissionsTCo2e]",Submission!$O:$O,Submission!$H:$N,""))</f>
        <v/>
      </c>
      <c r="H91" s="126" t="str">
        <f>_xlfn.CONCAT(_xlfn.XLOOKUP("[S05_AggregateTotalEmissionsByCRF][23][TotalCombustionEmissionsTCo2e]",Submission!$O:$O,Submission!$H:$N,""))</f>
        <v/>
      </c>
      <c r="I91" s="126" t="str">
        <f>_xlfn.CONCAT(_xlfn.XLOOKUP("[S05_AggregateTotalEmissionsByCRF][23][TotalProcessEmissionsTCo2e]",Submission!$O:$O,Submission!$H:$N,""))</f>
        <v/>
      </c>
    </row>
    <row r="92" spans="3:9" ht="16.2" customHeight="1" x14ac:dyDescent="0.3">
      <c r="C92" s="387" t="str">
        <f>_xlfn.CONCAT(_xlfn.XLOOKUP("[S05_AggregateTotalEmissionsByCRF][24][CRFCategory1]",Submission!$O:$O,Submission!$H:$N,""))</f>
        <v/>
      </c>
      <c r="D92" s="388"/>
      <c r="E92" s="389" t="str">
        <f>_xlfn.CONCAT(_xlfn.XLOOKUP("[S05_AggregateTotalEmissionsByCRF][24][CRFCategory2]",Submission!$O:$O,Submission!$H:$N,""))</f>
        <v/>
      </c>
      <c r="F92" s="390"/>
      <c r="G92" s="126" t="str">
        <f>_xlfn.CONCAT(_xlfn.XLOOKUP("[S05_AggregateTotalEmissionsByCRF][24][TotalEmissionsTCo2e]",Submission!$O:$O,Submission!$H:$N,""))</f>
        <v/>
      </c>
      <c r="H92" s="126" t="str">
        <f>_xlfn.CONCAT(_xlfn.XLOOKUP("[S05_AggregateTotalEmissionsByCRF][24][TotalCombustionEmissionsTCo2e]",Submission!$O:$O,Submission!$H:$N,""))</f>
        <v/>
      </c>
      <c r="I92" s="126" t="str">
        <f>_xlfn.CONCAT(_xlfn.XLOOKUP("[S05_AggregateTotalEmissionsByCRF][24][TotalProcessEmissionsTCo2e]",Submission!$O:$O,Submission!$H:$N,""))</f>
        <v/>
      </c>
    </row>
    <row r="93" spans="3:9" ht="16.2" customHeight="1" x14ac:dyDescent="0.3">
      <c r="C93" s="387" t="str">
        <f>_xlfn.CONCAT(_xlfn.XLOOKUP("[S05_AggregateTotalEmissionsByCRF][25][CRFCategory1]",Submission!$O:$O,Submission!$H:$N,""))</f>
        <v/>
      </c>
      <c r="D93" s="388"/>
      <c r="E93" s="389" t="str">
        <f>_xlfn.CONCAT(_xlfn.XLOOKUP("[S05_AggregateTotalEmissionsByCRF][25][CRFCategory2]",Submission!$O:$O,Submission!$H:$N,""))</f>
        <v/>
      </c>
      <c r="F93" s="390"/>
      <c r="G93" s="126" t="str">
        <f>_xlfn.CONCAT(_xlfn.XLOOKUP("[S05_AggregateTotalEmissionsByCRF][25][TotalEmissionsTCo2e]",Submission!$O:$O,Submission!$H:$N,""))</f>
        <v/>
      </c>
      <c r="H93" s="126" t="str">
        <f>_xlfn.CONCAT(_xlfn.XLOOKUP("[S05_AggregateTotalEmissionsByCRF][25][TotalCombustionEmissionsTCo2e]",Submission!$O:$O,Submission!$H:$N,""))</f>
        <v/>
      </c>
      <c r="I93" s="126" t="str">
        <f>_xlfn.CONCAT(_xlfn.XLOOKUP("[S05_AggregateTotalEmissionsByCRF][25][TotalProcessEmissionsTCo2e]",Submission!$O:$O,Submission!$H:$N,""))</f>
        <v/>
      </c>
    </row>
    <row r="94" spans="3:9" ht="16.2" customHeight="1" x14ac:dyDescent="0.3">
      <c r="C94" s="387" t="str">
        <f>_xlfn.CONCAT(_xlfn.XLOOKUP("[S05_AggregateTotalEmissionsByCRF][26][CRFCategory1]",Submission!$O:$O,Submission!$H:$N,""))</f>
        <v/>
      </c>
      <c r="D94" s="388"/>
      <c r="E94" s="389" t="str">
        <f>_xlfn.CONCAT(_xlfn.XLOOKUP("[S05_AggregateTotalEmissionsByCRF][26][CRFCategory2]",Submission!$O:$O,Submission!$H:$N,""))</f>
        <v/>
      </c>
      <c r="F94" s="390"/>
      <c r="G94" s="126" t="str">
        <f>_xlfn.CONCAT(_xlfn.XLOOKUP("[S05_AggregateTotalEmissionsByCRF][26][TotalEmissionsTCo2e]",Submission!$O:$O,Submission!$H:$N,""))</f>
        <v/>
      </c>
      <c r="H94" s="126" t="str">
        <f>_xlfn.CONCAT(_xlfn.XLOOKUP("[S05_AggregateTotalEmissionsByCRF][26][TotalCombustionEmissionsTCo2e]",Submission!$O:$O,Submission!$H:$N,""))</f>
        <v/>
      </c>
      <c r="I94" s="126" t="str">
        <f>_xlfn.CONCAT(_xlfn.XLOOKUP("[S05_AggregateTotalEmissionsByCRF][26][TotalProcessEmissionsTCo2e]",Submission!$O:$O,Submission!$H:$N,""))</f>
        <v/>
      </c>
    </row>
    <row r="95" spans="3:9" ht="16.2" customHeight="1" x14ac:dyDescent="0.3">
      <c r="C95" s="387" t="str">
        <f>_xlfn.CONCAT(_xlfn.XLOOKUP("[S05_AggregateTotalEmissionsByCRF][27][CRFCategory1]",Submission!$O:$O,Submission!$H:$N,""))</f>
        <v/>
      </c>
      <c r="D95" s="388"/>
      <c r="E95" s="389" t="str">
        <f>_xlfn.CONCAT(_xlfn.XLOOKUP("[S05_AggregateTotalEmissionsByCRF][27][CRFCategory2]",Submission!$O:$O,Submission!$H:$N,""))</f>
        <v/>
      </c>
      <c r="F95" s="390"/>
      <c r="G95" s="126" t="str">
        <f>_xlfn.CONCAT(_xlfn.XLOOKUP("[S05_AggregateTotalEmissionsByCRF][27][TotalEmissionsTCo2e]",Submission!$O:$O,Submission!$H:$N,""))</f>
        <v/>
      </c>
      <c r="H95" s="126" t="str">
        <f>_xlfn.CONCAT(_xlfn.XLOOKUP("[S05_AggregateTotalEmissionsByCRF][27][TotalCombustionEmissionsTCo2e]",Submission!$O:$O,Submission!$H:$N,""))</f>
        <v/>
      </c>
      <c r="I95" s="126" t="str">
        <f>_xlfn.CONCAT(_xlfn.XLOOKUP("[S05_AggregateTotalEmissionsByCRF][27][TotalProcessEmissionsTCo2e]",Submission!$O:$O,Submission!$H:$N,""))</f>
        <v/>
      </c>
    </row>
    <row r="96" spans="3:9" ht="16.2" customHeight="1" x14ac:dyDescent="0.3">
      <c r="C96" s="387" t="str">
        <f>_xlfn.CONCAT(_xlfn.XLOOKUP("[S05_AggregateTotalEmissionsByCRF][28][CRFCategory1]",Submission!$O:$O,Submission!$H:$N,""))</f>
        <v/>
      </c>
      <c r="D96" s="388"/>
      <c r="E96" s="389" t="str">
        <f>_xlfn.CONCAT(_xlfn.XLOOKUP("[S05_AggregateTotalEmissionsByCRF][28][CRFCategory2]",Submission!$O:$O,Submission!$H:$N,""))</f>
        <v/>
      </c>
      <c r="F96" s="390"/>
      <c r="G96" s="126" t="str">
        <f>_xlfn.CONCAT(_xlfn.XLOOKUP("[S05_AggregateTotalEmissionsByCRF][28][TotalEmissionsTCo2e]",Submission!$O:$O,Submission!$H:$N,""))</f>
        <v/>
      </c>
      <c r="H96" s="126" t="str">
        <f>_xlfn.CONCAT(_xlfn.XLOOKUP("[S05_AggregateTotalEmissionsByCRF][28][TotalCombustionEmissionsTCo2e]",Submission!$O:$O,Submission!$H:$N,""))</f>
        <v/>
      </c>
      <c r="I96" s="126" t="str">
        <f>_xlfn.CONCAT(_xlfn.XLOOKUP("[S05_AggregateTotalEmissionsByCRF][28][TotalProcessEmissionsTCo2e]",Submission!$O:$O,Submission!$H:$N,""))</f>
        <v/>
      </c>
    </row>
    <row r="97" spans="3:9" ht="16.2" customHeight="1" x14ac:dyDescent="0.3">
      <c r="C97" s="387" t="str">
        <f>_xlfn.CONCAT(_xlfn.XLOOKUP("[S05_AggregateTotalEmissionsByCRF][29][CRFCategory1]",Submission!$O:$O,Submission!$H:$N,""))</f>
        <v/>
      </c>
      <c r="D97" s="388"/>
      <c r="E97" s="389" t="str">
        <f>_xlfn.CONCAT(_xlfn.XLOOKUP("[S05_AggregateTotalEmissionsByCRF][29][CRFCategory2]",Submission!$O:$O,Submission!$H:$N,""))</f>
        <v/>
      </c>
      <c r="F97" s="390"/>
      <c r="G97" s="126" t="str">
        <f>_xlfn.CONCAT(_xlfn.XLOOKUP("[S05_AggregateTotalEmissionsByCRF][29][TotalEmissionsTCo2e]",Submission!$O:$O,Submission!$H:$N,""))</f>
        <v/>
      </c>
      <c r="H97" s="126" t="str">
        <f>_xlfn.CONCAT(_xlfn.XLOOKUP("[S05_AggregateTotalEmissionsByCRF][29][TotalCombustionEmissionsTCo2e]",Submission!$O:$O,Submission!$H:$N,""))</f>
        <v/>
      </c>
      <c r="I97" s="126" t="str">
        <f>_xlfn.CONCAT(_xlfn.XLOOKUP("[S05_AggregateTotalEmissionsByCRF][29][TotalProcessEmissionsTCo2e]",Submission!$O:$O,Submission!$H:$N,""))</f>
        <v/>
      </c>
    </row>
    <row r="98" spans="3:9" ht="16.2" customHeight="1" x14ac:dyDescent="0.3">
      <c r="C98" s="387" t="str">
        <f>_xlfn.CONCAT(_xlfn.XLOOKUP("[S05_AggregateTotalEmissionsByCRF][30][CRFCategory1]",Submission!$O:$O,Submission!$H:$N,""))</f>
        <v/>
      </c>
      <c r="D98" s="388"/>
      <c r="E98" s="389" t="str">
        <f>_xlfn.CONCAT(_xlfn.XLOOKUP("[S05_AggregateTotalEmissionsByCRF][30][CRFCategory2]",Submission!$O:$O,Submission!$H:$N,""))</f>
        <v/>
      </c>
      <c r="F98" s="390"/>
      <c r="G98" s="126" t="str">
        <f>_xlfn.CONCAT(_xlfn.XLOOKUP("[S05_AggregateTotalEmissionsByCRF][30][TotalEmissionsTCo2e]",Submission!$O:$O,Submission!$H:$N,""))</f>
        <v/>
      </c>
      <c r="H98" s="126" t="str">
        <f>_xlfn.CONCAT(_xlfn.XLOOKUP("[S05_AggregateTotalEmissionsByCRF][30][TotalCombustionEmissionsTCo2e]",Submission!$O:$O,Submission!$H:$N,""))</f>
        <v/>
      </c>
      <c r="I98" s="126" t="str">
        <f>_xlfn.CONCAT(_xlfn.XLOOKUP("[S05_AggregateTotalEmissionsByCRF][30][TotalProcessEmissionsTCo2e]",Submission!$O:$O,Submission!$H:$N,""))</f>
        <v/>
      </c>
    </row>
    <row r="99" spans="3:9" ht="16.2" customHeight="1" x14ac:dyDescent="0.3">
      <c r="C99" s="387" t="str">
        <f>_xlfn.CONCAT(_xlfn.XLOOKUP("[S05_AggregateTotalEmissionsByCRF][31][CRFCategory1]",Submission!$O:$O,Submission!$H:$N,""))</f>
        <v/>
      </c>
      <c r="D99" s="388"/>
      <c r="E99" s="389" t="str">
        <f>_xlfn.CONCAT(_xlfn.XLOOKUP("[S05_AggregateTotalEmissionsByCRF][31][CRFCategory2]",Submission!$O:$O,Submission!$H:$N,""))</f>
        <v/>
      </c>
      <c r="F99" s="390"/>
      <c r="G99" s="126" t="str">
        <f>_xlfn.CONCAT(_xlfn.XLOOKUP("[S05_AggregateTotalEmissionsByCRF][31][TotalEmissionsTCo2e]",Submission!$O:$O,Submission!$H:$N,""))</f>
        <v/>
      </c>
      <c r="H99" s="126" t="str">
        <f>_xlfn.CONCAT(_xlfn.XLOOKUP("[S05_AggregateTotalEmissionsByCRF][31][TotalCombustionEmissionsTCo2e]",Submission!$O:$O,Submission!$H:$N,""))</f>
        <v/>
      </c>
      <c r="I99" s="126" t="str">
        <f>_xlfn.CONCAT(_xlfn.XLOOKUP("[S05_AggregateTotalEmissionsByCRF][31][TotalProcessEmissionsTCo2e]",Submission!$O:$O,Submission!$H:$N,""))</f>
        <v/>
      </c>
    </row>
    <row r="100" spans="3:9" ht="16.2" customHeight="1" x14ac:dyDescent="0.3">
      <c r="C100" s="387" t="str">
        <f>_xlfn.CONCAT(_xlfn.XLOOKUP("[S05_AggregateTotalEmissionsByCRF][32][CRFCategory1]",Submission!$O:$O,Submission!$H:$N,""))</f>
        <v/>
      </c>
      <c r="D100" s="388"/>
      <c r="E100" s="389" t="str">
        <f>_xlfn.CONCAT(_xlfn.XLOOKUP("[S05_AggregateTotalEmissionsByCRF][32][CRFCategory2]",Submission!$O:$O,Submission!$H:$N,""))</f>
        <v/>
      </c>
      <c r="F100" s="390"/>
      <c r="G100" s="126" t="str">
        <f>_xlfn.CONCAT(_xlfn.XLOOKUP("[S05_AggregateTotalEmissionsByCRF][32][TotalEmissionsTCo2e]",Submission!$O:$O,Submission!$H:$N,""))</f>
        <v/>
      </c>
      <c r="H100" s="126" t="str">
        <f>_xlfn.CONCAT(_xlfn.XLOOKUP("[S05_AggregateTotalEmissionsByCRF][32][TotalCombustionEmissionsTCo2e]",Submission!$O:$O,Submission!$H:$N,""))</f>
        <v/>
      </c>
      <c r="I100" s="126" t="str">
        <f>_xlfn.CONCAT(_xlfn.XLOOKUP("[S05_AggregateTotalEmissionsByCRF][32][TotalProcessEmissionsTCo2e]",Submission!$O:$O,Submission!$H:$N,""))</f>
        <v/>
      </c>
    </row>
    <row r="101" spans="3:9" ht="16.2" hidden="1" customHeight="1" outlineLevel="1" x14ac:dyDescent="0.3">
      <c r="C101" s="387" t="str">
        <f>_xlfn.CONCAT(_xlfn.XLOOKUP("[S05_AggregateTotalEmissionsByCRF][33][CRFCategory1]",Submission!$O:$O,Submission!$H:$N,""))</f>
        <v/>
      </c>
      <c r="D101" s="388"/>
      <c r="E101" s="389" t="str">
        <f>_xlfn.CONCAT(_xlfn.XLOOKUP("[S05_AggregateTotalEmissionsByCRF][33][CRFCategory2]",Submission!$O:$O,Submission!$H:$N,""))</f>
        <v/>
      </c>
      <c r="F101" s="390"/>
      <c r="G101" s="126" t="str">
        <f>_xlfn.CONCAT(_xlfn.XLOOKUP("[S05_AggregateTotalEmissionsByCRF][33][TotalEmissionsTCo2e]",Submission!$O:$O,Submission!$H:$N,""))</f>
        <v/>
      </c>
      <c r="H101" s="126" t="str">
        <f>_xlfn.CONCAT(_xlfn.XLOOKUP("[S05_AggregateTotalEmissionsByCRF][33][TotalCombustionEmissionsTCo2e]",Submission!$O:$O,Submission!$H:$N,""))</f>
        <v/>
      </c>
      <c r="I101" s="126" t="str">
        <f>_xlfn.CONCAT(_xlfn.XLOOKUP("[S05_AggregateTotalEmissionsByCRF][33][TotalProcessEmissionsTCo2e]",Submission!$O:$O,Submission!$H:$N,""))</f>
        <v/>
      </c>
    </row>
    <row r="102" spans="3:9" ht="16.2" hidden="1" customHeight="1" outlineLevel="1" x14ac:dyDescent="0.3">
      <c r="C102" s="387" t="str">
        <f>_xlfn.CONCAT(_xlfn.XLOOKUP("[S05_AggregateTotalEmissionsByCRF][34][CRFCategory1]",Submission!$O:$O,Submission!$H:$N,""))</f>
        <v/>
      </c>
      <c r="D102" s="388"/>
      <c r="E102" s="389" t="str">
        <f>_xlfn.CONCAT(_xlfn.XLOOKUP("[S05_AggregateTotalEmissionsByCRF][34][CRFCategory2]",Submission!$O:$O,Submission!$H:$N,""))</f>
        <v/>
      </c>
      <c r="F102" s="390"/>
      <c r="G102" s="126" t="str">
        <f>_xlfn.CONCAT(_xlfn.XLOOKUP("[S05_AggregateTotalEmissionsByCRF][34][TotalEmissionsTCo2e]",Submission!$O:$O,Submission!$H:$N,""))</f>
        <v/>
      </c>
      <c r="H102" s="126" t="str">
        <f>_xlfn.CONCAT(_xlfn.XLOOKUP("[S05_AggregateTotalEmissionsByCRF][34][TotalCombustionEmissionsTCo2e]",Submission!$O:$O,Submission!$H:$N,""))</f>
        <v/>
      </c>
      <c r="I102" s="126" t="str">
        <f>_xlfn.CONCAT(_xlfn.XLOOKUP("[S05_AggregateTotalEmissionsByCRF][34][TotalProcessEmissionsTCo2e]",Submission!$O:$O,Submission!$H:$N,""))</f>
        <v/>
      </c>
    </row>
    <row r="103" spans="3:9" ht="16.2" hidden="1" customHeight="1" outlineLevel="1" x14ac:dyDescent="0.3">
      <c r="C103" s="387" t="str">
        <f>_xlfn.CONCAT(_xlfn.XLOOKUP("[S05_AggregateTotalEmissionsByCRF][35][CRFCategory1]",Submission!$O:$O,Submission!$H:$N,""))</f>
        <v/>
      </c>
      <c r="D103" s="388"/>
      <c r="E103" s="389" t="str">
        <f>_xlfn.CONCAT(_xlfn.XLOOKUP("[S05_AggregateTotalEmissionsByCRF][35][CRFCategory2]",Submission!$O:$O,Submission!$H:$N,""))</f>
        <v/>
      </c>
      <c r="F103" s="390"/>
      <c r="G103" s="126" t="str">
        <f>_xlfn.CONCAT(_xlfn.XLOOKUP("[S05_AggregateTotalEmissionsByCRF][35][TotalEmissionsTCo2e]",Submission!$O:$O,Submission!$H:$N,""))</f>
        <v/>
      </c>
      <c r="H103" s="126" t="str">
        <f>_xlfn.CONCAT(_xlfn.XLOOKUP("[S05_AggregateTotalEmissionsByCRF][35][TotalCombustionEmissionsTCo2e]",Submission!$O:$O,Submission!$H:$N,""))</f>
        <v/>
      </c>
      <c r="I103" s="126" t="str">
        <f>_xlfn.CONCAT(_xlfn.XLOOKUP("[S05_AggregateTotalEmissionsByCRF][35][TotalProcessEmissionsTCo2e]",Submission!$O:$O,Submission!$H:$N,""))</f>
        <v/>
      </c>
    </row>
    <row r="104" spans="3:9" ht="16.2" hidden="1" customHeight="1" outlineLevel="1" x14ac:dyDescent="0.3">
      <c r="C104" s="387" t="str">
        <f>_xlfn.CONCAT(_xlfn.XLOOKUP("[S05_AggregateTotalEmissionsByCRF][36][CRFCategory1]",Submission!$O:$O,Submission!$H:$N,""))</f>
        <v/>
      </c>
      <c r="D104" s="388"/>
      <c r="E104" s="389" t="str">
        <f>_xlfn.CONCAT(_xlfn.XLOOKUP("[S05_AggregateTotalEmissionsByCRF][36][CRFCategory2]",Submission!$O:$O,Submission!$H:$N,""))</f>
        <v/>
      </c>
      <c r="F104" s="390"/>
      <c r="G104" s="126" t="str">
        <f>_xlfn.CONCAT(_xlfn.XLOOKUP("[S05_AggregateTotalEmissionsByCRF][36][TotalEmissionsTCo2e]",Submission!$O:$O,Submission!$H:$N,""))</f>
        <v/>
      </c>
      <c r="H104" s="126" t="str">
        <f>_xlfn.CONCAT(_xlfn.XLOOKUP("[S05_AggregateTotalEmissionsByCRF][36][TotalCombustionEmissionsTCo2e]",Submission!$O:$O,Submission!$H:$N,""))</f>
        <v/>
      </c>
      <c r="I104" s="126" t="str">
        <f>_xlfn.CONCAT(_xlfn.XLOOKUP("[S05_AggregateTotalEmissionsByCRF][36][TotalProcessEmissionsTCo2e]",Submission!$O:$O,Submission!$H:$N,""))</f>
        <v/>
      </c>
    </row>
    <row r="105" spans="3:9" ht="16.2" hidden="1" customHeight="1" outlineLevel="1" x14ac:dyDescent="0.3">
      <c r="C105" s="387" t="str">
        <f>_xlfn.CONCAT(_xlfn.XLOOKUP("[S05_AggregateTotalEmissionsByCRF][37][CRFCategory1]",Submission!$O:$O,Submission!$H:$N,""))</f>
        <v/>
      </c>
      <c r="D105" s="388"/>
      <c r="E105" s="389" t="str">
        <f>_xlfn.CONCAT(_xlfn.XLOOKUP("[S05_AggregateTotalEmissionsByCRF][37][CRFCategory2]",Submission!$O:$O,Submission!$H:$N,""))</f>
        <v/>
      </c>
      <c r="F105" s="390"/>
      <c r="G105" s="126" t="str">
        <f>_xlfn.CONCAT(_xlfn.XLOOKUP("[S05_AggregateTotalEmissionsByCRF][37][TotalEmissionsTCo2e]",Submission!$O:$O,Submission!$H:$N,""))</f>
        <v/>
      </c>
      <c r="H105" s="126" t="str">
        <f>_xlfn.CONCAT(_xlfn.XLOOKUP("[S05_AggregateTotalEmissionsByCRF][37][TotalCombustionEmissionsTCo2e]",Submission!$O:$O,Submission!$H:$N,""))</f>
        <v/>
      </c>
      <c r="I105" s="126" t="str">
        <f>_xlfn.CONCAT(_xlfn.XLOOKUP("[S05_AggregateTotalEmissionsByCRF][37][TotalProcessEmissionsTCo2e]",Submission!$O:$O,Submission!$H:$N,""))</f>
        <v/>
      </c>
    </row>
    <row r="106" spans="3:9" ht="16.2" hidden="1" customHeight="1" outlineLevel="1" x14ac:dyDescent="0.3">
      <c r="C106" s="387" t="str">
        <f>_xlfn.CONCAT(_xlfn.XLOOKUP("[S05_AggregateTotalEmissionsByCRF][38][CRFCategory1]",Submission!$O:$O,Submission!$H:$N,""))</f>
        <v/>
      </c>
      <c r="D106" s="388"/>
      <c r="E106" s="389" t="str">
        <f>_xlfn.CONCAT(_xlfn.XLOOKUP("[S05_AggregateTotalEmissionsByCRF][38][CRFCategory2]",Submission!$O:$O,Submission!$H:$N,""))</f>
        <v/>
      </c>
      <c r="F106" s="390"/>
      <c r="G106" s="126" t="str">
        <f>_xlfn.CONCAT(_xlfn.XLOOKUP("[S05_AggregateTotalEmissionsByCRF][38][TotalEmissionsTCo2e]",Submission!$O:$O,Submission!$H:$N,""))</f>
        <v/>
      </c>
      <c r="H106" s="126" t="str">
        <f>_xlfn.CONCAT(_xlfn.XLOOKUP("[S05_AggregateTotalEmissionsByCRF][38][TotalCombustionEmissionsTCo2e]",Submission!$O:$O,Submission!$H:$N,""))</f>
        <v/>
      </c>
      <c r="I106" s="126" t="str">
        <f>_xlfn.CONCAT(_xlfn.XLOOKUP("[S05_AggregateTotalEmissionsByCRF][38][TotalProcessEmissionsTCo2e]",Submission!$O:$O,Submission!$H:$N,""))</f>
        <v/>
      </c>
    </row>
    <row r="107" spans="3:9" ht="16.2" hidden="1" customHeight="1" outlineLevel="1" x14ac:dyDescent="0.3">
      <c r="C107" s="387" t="str">
        <f>_xlfn.CONCAT(_xlfn.XLOOKUP("[S05_AggregateTotalEmissionsByCRF][39][CRFCategory1]",Submission!$O:$O,Submission!$H:$N,""))</f>
        <v/>
      </c>
      <c r="D107" s="388"/>
      <c r="E107" s="389" t="str">
        <f>_xlfn.CONCAT(_xlfn.XLOOKUP("[S05_AggregateTotalEmissionsByCRF][39][CRFCategory2]",Submission!$O:$O,Submission!$H:$N,""))</f>
        <v/>
      </c>
      <c r="F107" s="390"/>
      <c r="G107" s="126" t="str">
        <f>_xlfn.CONCAT(_xlfn.XLOOKUP("[S05_AggregateTotalEmissionsByCRF][39][TotalEmissionsTCo2e]",Submission!$O:$O,Submission!$H:$N,""))</f>
        <v/>
      </c>
      <c r="H107" s="126" t="str">
        <f>_xlfn.CONCAT(_xlfn.XLOOKUP("[S05_AggregateTotalEmissionsByCRF][39][TotalCombustionEmissionsTCo2e]",Submission!$O:$O,Submission!$H:$N,""))</f>
        <v/>
      </c>
      <c r="I107" s="126" t="str">
        <f>_xlfn.CONCAT(_xlfn.XLOOKUP("[S05_AggregateTotalEmissionsByCRF][39][TotalProcessEmissionsTCo2e]",Submission!$O:$O,Submission!$H:$N,""))</f>
        <v/>
      </c>
    </row>
    <row r="108" spans="3:9" ht="16.2" hidden="1" customHeight="1" outlineLevel="1" x14ac:dyDescent="0.3">
      <c r="C108" s="387" t="str">
        <f>_xlfn.CONCAT(_xlfn.XLOOKUP("[S05_AggregateTotalEmissionsByCRF][40][CRFCategory1]",Submission!$O:$O,Submission!$H:$N,""))</f>
        <v/>
      </c>
      <c r="D108" s="388"/>
      <c r="E108" s="389" t="str">
        <f>_xlfn.CONCAT(_xlfn.XLOOKUP("[S05_AggregateTotalEmissionsByCRF][40][CRFCategory2]",Submission!$O:$O,Submission!$H:$N,""))</f>
        <v/>
      </c>
      <c r="F108" s="390"/>
      <c r="G108" s="126" t="str">
        <f>_xlfn.CONCAT(_xlfn.XLOOKUP("[S05_AggregateTotalEmissionsByCRF][40][TotalEmissionsTCo2e]",Submission!$O:$O,Submission!$H:$N,""))</f>
        <v/>
      </c>
      <c r="H108" s="126" t="str">
        <f>_xlfn.CONCAT(_xlfn.XLOOKUP("[S05_AggregateTotalEmissionsByCRF][40][TotalCombustionEmissionsTCo2e]",Submission!$O:$O,Submission!$H:$N,""))</f>
        <v/>
      </c>
      <c r="I108" s="126" t="str">
        <f>_xlfn.CONCAT(_xlfn.XLOOKUP("[S05_AggregateTotalEmissionsByCRF][40][TotalProcessEmissionsTCo2e]",Submission!$O:$O,Submission!$H:$N,""))</f>
        <v/>
      </c>
    </row>
    <row r="109" spans="3:9" ht="16.2" hidden="1" customHeight="1" outlineLevel="1" x14ac:dyDescent="0.3">
      <c r="C109" s="387" t="str">
        <f>_xlfn.CONCAT(_xlfn.XLOOKUP("[S05_AggregateTotalEmissionsByCRF][41][CRFCategory1]",Submission!$O:$O,Submission!$H:$N,""))</f>
        <v/>
      </c>
      <c r="D109" s="388"/>
      <c r="E109" s="389" t="str">
        <f>_xlfn.CONCAT(_xlfn.XLOOKUP("[S05_AggregateTotalEmissionsByCRF][41][CRFCategory2]",Submission!$O:$O,Submission!$H:$N,""))</f>
        <v/>
      </c>
      <c r="F109" s="390"/>
      <c r="G109" s="126" t="str">
        <f>_xlfn.CONCAT(_xlfn.XLOOKUP("[S05_AggregateTotalEmissionsByCRF][41][TotalEmissionsTCo2e]",Submission!$O:$O,Submission!$H:$N,""))</f>
        <v/>
      </c>
      <c r="H109" s="126" t="str">
        <f>_xlfn.CONCAT(_xlfn.XLOOKUP("[S05_AggregateTotalEmissionsByCRF][41][TotalCombustionEmissionsTCo2e]",Submission!$O:$O,Submission!$H:$N,""))</f>
        <v/>
      </c>
      <c r="I109" s="126" t="str">
        <f>_xlfn.CONCAT(_xlfn.XLOOKUP("[S05_AggregateTotalEmissionsByCRF][41][TotalProcessEmissionsTCo2e]",Submission!$O:$O,Submission!$H:$N,""))</f>
        <v/>
      </c>
    </row>
    <row r="110" spans="3:9" ht="16.2" hidden="1" customHeight="1" outlineLevel="1" x14ac:dyDescent="0.3">
      <c r="C110" s="387" t="str">
        <f>_xlfn.CONCAT(_xlfn.XLOOKUP("[S05_AggregateTotalEmissionsByCRF][42][CRFCategory1]",Submission!$O:$O,Submission!$H:$N,""))</f>
        <v/>
      </c>
      <c r="D110" s="388"/>
      <c r="E110" s="389" t="str">
        <f>_xlfn.CONCAT(_xlfn.XLOOKUP("[S05_AggregateTotalEmissionsByCRF][42][CRFCategory2]",Submission!$O:$O,Submission!$H:$N,""))</f>
        <v/>
      </c>
      <c r="F110" s="390"/>
      <c r="G110" s="126" t="str">
        <f>_xlfn.CONCAT(_xlfn.XLOOKUP("[S05_AggregateTotalEmissionsByCRF][42][TotalEmissionsTCo2e]",Submission!$O:$O,Submission!$H:$N,""))</f>
        <v/>
      </c>
      <c r="H110" s="126" t="str">
        <f>_xlfn.CONCAT(_xlfn.XLOOKUP("[S05_AggregateTotalEmissionsByCRF][42][TotalCombustionEmissionsTCo2e]",Submission!$O:$O,Submission!$H:$N,""))</f>
        <v/>
      </c>
      <c r="I110" s="126" t="str">
        <f>_xlfn.CONCAT(_xlfn.XLOOKUP("[S05_AggregateTotalEmissionsByCRF][42][TotalProcessEmissionsTCo2e]",Submission!$O:$O,Submission!$H:$N,""))</f>
        <v/>
      </c>
    </row>
    <row r="111" spans="3:9" ht="16.2" hidden="1" customHeight="1" outlineLevel="1" x14ac:dyDescent="0.3">
      <c r="C111" s="387" t="str">
        <f>_xlfn.CONCAT(_xlfn.XLOOKUP("[S05_AggregateTotalEmissionsByCRF][43][CRFCategory1]",Submission!$O:$O,Submission!$H:$N,""))</f>
        <v/>
      </c>
      <c r="D111" s="388"/>
      <c r="E111" s="389" t="str">
        <f>_xlfn.CONCAT(_xlfn.XLOOKUP("[S05_AggregateTotalEmissionsByCRF][43][CRFCategory2]",Submission!$O:$O,Submission!$H:$N,""))</f>
        <v/>
      </c>
      <c r="F111" s="390"/>
      <c r="G111" s="126" t="str">
        <f>_xlfn.CONCAT(_xlfn.XLOOKUP("[S05_AggregateTotalEmissionsByCRF][43][TotalEmissionsTCo2e]",Submission!$O:$O,Submission!$H:$N,""))</f>
        <v/>
      </c>
      <c r="H111" s="126" t="str">
        <f>_xlfn.CONCAT(_xlfn.XLOOKUP("[S05_AggregateTotalEmissionsByCRF][43][TotalCombustionEmissionsTCo2e]",Submission!$O:$O,Submission!$H:$N,""))</f>
        <v/>
      </c>
      <c r="I111" s="126" t="str">
        <f>_xlfn.CONCAT(_xlfn.XLOOKUP("[S05_AggregateTotalEmissionsByCRF][43][TotalProcessEmissionsTCo2e]",Submission!$O:$O,Submission!$H:$N,""))</f>
        <v/>
      </c>
    </row>
    <row r="112" spans="3:9" ht="16.2" hidden="1" customHeight="1" outlineLevel="1" x14ac:dyDescent="0.3">
      <c r="C112" s="387" t="str">
        <f>_xlfn.CONCAT(_xlfn.XLOOKUP("[S05_AggregateTotalEmissionsByCRF][44][CRFCategory1]",Submission!$O:$O,Submission!$H:$N,""))</f>
        <v/>
      </c>
      <c r="D112" s="388"/>
      <c r="E112" s="389" t="str">
        <f>_xlfn.CONCAT(_xlfn.XLOOKUP("[S05_AggregateTotalEmissionsByCRF][44][CRFCategory2]",Submission!$O:$O,Submission!$H:$N,""))</f>
        <v/>
      </c>
      <c r="F112" s="390"/>
      <c r="G112" s="126" t="str">
        <f>_xlfn.CONCAT(_xlfn.XLOOKUP("[S05_AggregateTotalEmissionsByCRF][44][TotalEmissionsTCo2e]",Submission!$O:$O,Submission!$H:$N,""))</f>
        <v/>
      </c>
      <c r="H112" s="126" t="str">
        <f>_xlfn.CONCAT(_xlfn.XLOOKUP("[S05_AggregateTotalEmissionsByCRF][44][TotalCombustionEmissionsTCo2e]",Submission!$O:$O,Submission!$H:$N,""))</f>
        <v/>
      </c>
      <c r="I112" s="126" t="str">
        <f>_xlfn.CONCAT(_xlfn.XLOOKUP("[S05_AggregateTotalEmissionsByCRF][44][TotalProcessEmissionsTCo2e]",Submission!$O:$O,Submission!$H:$N,""))</f>
        <v/>
      </c>
    </row>
    <row r="113" spans="3:9" ht="16.2" hidden="1" customHeight="1" outlineLevel="1" x14ac:dyDescent="0.3">
      <c r="C113" s="387" t="str">
        <f>_xlfn.CONCAT(_xlfn.XLOOKUP("[S05_AggregateTotalEmissionsByCRF][45][CRFCategory1]",Submission!$O:$O,Submission!$H:$N,""))</f>
        <v/>
      </c>
      <c r="D113" s="388"/>
      <c r="E113" s="389" t="str">
        <f>_xlfn.CONCAT(_xlfn.XLOOKUP("[S05_AggregateTotalEmissionsByCRF][45][CRFCategory2]",Submission!$O:$O,Submission!$H:$N,""))</f>
        <v/>
      </c>
      <c r="F113" s="390"/>
      <c r="G113" s="126" t="str">
        <f>_xlfn.CONCAT(_xlfn.XLOOKUP("[S05_AggregateTotalEmissionsByCRF][45][TotalEmissionsTCo2e]",Submission!$O:$O,Submission!$H:$N,""))</f>
        <v/>
      </c>
      <c r="H113" s="126" t="str">
        <f>_xlfn.CONCAT(_xlfn.XLOOKUP("[S05_AggregateTotalEmissionsByCRF][45][TotalCombustionEmissionsTCo2e]",Submission!$O:$O,Submission!$H:$N,""))</f>
        <v/>
      </c>
      <c r="I113" s="126" t="str">
        <f>_xlfn.CONCAT(_xlfn.XLOOKUP("[S05_AggregateTotalEmissionsByCRF][45][TotalProcessEmissionsTCo2e]",Submission!$O:$O,Submission!$H:$N,""))</f>
        <v/>
      </c>
    </row>
    <row r="114" spans="3:9" ht="16.2" hidden="1" customHeight="1" outlineLevel="1" x14ac:dyDescent="0.3">
      <c r="C114" s="387" t="str">
        <f>_xlfn.CONCAT(_xlfn.XLOOKUP("[S05_AggregateTotalEmissionsByCRF][46][CRFCategory1]",Submission!$O:$O,Submission!$H:$N,""))</f>
        <v/>
      </c>
      <c r="D114" s="388"/>
      <c r="E114" s="389" t="str">
        <f>_xlfn.CONCAT(_xlfn.XLOOKUP("[S05_AggregateTotalEmissionsByCRF][46][CRFCategory2]",Submission!$O:$O,Submission!$H:$N,""))</f>
        <v/>
      </c>
      <c r="F114" s="390"/>
      <c r="G114" s="126" t="str">
        <f>_xlfn.CONCAT(_xlfn.XLOOKUP("[S05_AggregateTotalEmissionsByCRF][46][TotalEmissionsTCo2e]",Submission!$O:$O,Submission!$H:$N,""))</f>
        <v/>
      </c>
      <c r="H114" s="126" t="str">
        <f>_xlfn.CONCAT(_xlfn.XLOOKUP("[S05_AggregateTotalEmissionsByCRF][46][TotalCombustionEmissionsTCo2e]",Submission!$O:$O,Submission!$H:$N,""))</f>
        <v/>
      </c>
      <c r="I114" s="126" t="str">
        <f>_xlfn.CONCAT(_xlfn.XLOOKUP("[S05_AggregateTotalEmissionsByCRF][46][TotalProcessEmissionsTCo2e]",Submission!$O:$O,Submission!$H:$N,""))</f>
        <v/>
      </c>
    </row>
    <row r="115" spans="3:9" ht="16.2" hidden="1" customHeight="1" outlineLevel="1" x14ac:dyDescent="0.3">
      <c r="C115" s="387" t="str">
        <f>_xlfn.CONCAT(_xlfn.XLOOKUP("[S05_AggregateTotalEmissionsByCRF][47][CRFCategory1]",Submission!$O:$O,Submission!$H:$N,""))</f>
        <v/>
      </c>
      <c r="D115" s="388"/>
      <c r="E115" s="389" t="str">
        <f>_xlfn.CONCAT(_xlfn.XLOOKUP("[S05_AggregateTotalEmissionsByCRF][47][CRFCategory2]",Submission!$O:$O,Submission!$H:$N,""))</f>
        <v/>
      </c>
      <c r="F115" s="390"/>
      <c r="G115" s="126" t="str">
        <f>_xlfn.CONCAT(_xlfn.XLOOKUP("[S05_AggregateTotalEmissionsByCRF][47][TotalEmissionsTCo2e]",Submission!$O:$O,Submission!$H:$N,""))</f>
        <v/>
      </c>
      <c r="H115" s="126" t="str">
        <f>_xlfn.CONCAT(_xlfn.XLOOKUP("[S05_AggregateTotalEmissionsByCRF][47][TotalCombustionEmissionsTCo2e]",Submission!$O:$O,Submission!$H:$N,""))</f>
        <v/>
      </c>
      <c r="I115" s="126" t="str">
        <f>_xlfn.CONCAT(_xlfn.XLOOKUP("[S05_AggregateTotalEmissionsByCRF][47][TotalProcessEmissionsTCo2e]",Submission!$O:$O,Submission!$H:$N,""))</f>
        <v/>
      </c>
    </row>
    <row r="116" spans="3:9" ht="16.2" hidden="1" customHeight="1" outlineLevel="1" x14ac:dyDescent="0.3">
      <c r="C116" s="387" t="str">
        <f>_xlfn.CONCAT(_xlfn.XLOOKUP("[S05_AggregateTotalEmissionsByCRF][48][CRFCategory1]",Submission!$O:$O,Submission!$H:$N,""))</f>
        <v/>
      </c>
      <c r="D116" s="388"/>
      <c r="E116" s="389" t="str">
        <f>_xlfn.CONCAT(_xlfn.XLOOKUP("[S05_AggregateTotalEmissionsByCRF][48][CRFCategory2]",Submission!$O:$O,Submission!$H:$N,""))</f>
        <v/>
      </c>
      <c r="F116" s="390"/>
      <c r="G116" s="126" t="str">
        <f>_xlfn.CONCAT(_xlfn.XLOOKUP("[S05_AggregateTotalEmissionsByCRF][48][TotalEmissionsTCo2e]",Submission!$O:$O,Submission!$H:$N,""))</f>
        <v/>
      </c>
      <c r="H116" s="126" t="str">
        <f>_xlfn.CONCAT(_xlfn.XLOOKUP("[S05_AggregateTotalEmissionsByCRF][48][TotalCombustionEmissionsTCo2e]",Submission!$O:$O,Submission!$H:$N,""))</f>
        <v/>
      </c>
      <c r="I116" s="126" t="str">
        <f>_xlfn.CONCAT(_xlfn.XLOOKUP("[S05_AggregateTotalEmissionsByCRF][48][TotalProcessEmissionsTCo2e]",Submission!$O:$O,Submission!$H:$N,""))</f>
        <v/>
      </c>
    </row>
    <row r="117" spans="3:9" ht="16.2" hidden="1" customHeight="1" outlineLevel="1" x14ac:dyDescent="0.3">
      <c r="C117" s="387" t="str">
        <f>_xlfn.CONCAT(_xlfn.XLOOKUP("[S05_AggregateTotalEmissionsByCRF][49][CRFCategory1]",Submission!$O:$O,Submission!$H:$N,""))</f>
        <v/>
      </c>
      <c r="D117" s="388"/>
      <c r="E117" s="389" t="str">
        <f>_xlfn.CONCAT(_xlfn.XLOOKUP("[S05_AggregateTotalEmissionsByCRF][49][CRFCategory2]",Submission!$O:$O,Submission!$H:$N,""))</f>
        <v/>
      </c>
      <c r="F117" s="390"/>
      <c r="G117" s="126" t="str">
        <f>_xlfn.CONCAT(_xlfn.XLOOKUP("[S05_AggregateTotalEmissionsByCRF][49][TotalEmissionsTCo2e]",Submission!$O:$O,Submission!$H:$N,""))</f>
        <v/>
      </c>
      <c r="H117" s="126" t="str">
        <f>_xlfn.CONCAT(_xlfn.XLOOKUP("[S05_AggregateTotalEmissionsByCRF][49][TotalCombustionEmissionsTCo2e]",Submission!$O:$O,Submission!$H:$N,""))</f>
        <v/>
      </c>
      <c r="I117" s="126" t="str">
        <f>_xlfn.CONCAT(_xlfn.XLOOKUP("[S05_AggregateTotalEmissionsByCRF][49][TotalProcessEmissionsTCo2e]",Submission!$O:$O,Submission!$H:$N,""))</f>
        <v/>
      </c>
    </row>
    <row r="118" spans="3:9" ht="16.2" hidden="1" customHeight="1" outlineLevel="1" x14ac:dyDescent="0.3">
      <c r="C118" s="387" t="str">
        <f>_xlfn.CONCAT(_xlfn.XLOOKUP("[S05_AggregateTotalEmissionsByCRF][50][CRFCategory1]",Submission!$O:$O,Submission!$H:$N,""))</f>
        <v/>
      </c>
      <c r="D118" s="388"/>
      <c r="E118" s="389" t="str">
        <f>_xlfn.CONCAT(_xlfn.XLOOKUP("[S05_AggregateTotalEmissionsByCRF][50][CRFCategory2]",Submission!$O:$O,Submission!$H:$N,""))</f>
        <v/>
      </c>
      <c r="F118" s="390"/>
      <c r="G118" s="126" t="str">
        <f>_xlfn.CONCAT(_xlfn.XLOOKUP("[S05_AggregateTotalEmissionsByCRF][50][TotalEmissionsTCo2e]",Submission!$O:$O,Submission!$H:$N,""))</f>
        <v/>
      </c>
      <c r="H118" s="126" t="str">
        <f>_xlfn.CONCAT(_xlfn.XLOOKUP("[S05_AggregateTotalEmissionsByCRF][50][TotalCombustionEmissionsTCo2e]",Submission!$O:$O,Submission!$H:$N,""))</f>
        <v/>
      </c>
      <c r="I118" s="126" t="str">
        <f>_xlfn.CONCAT(_xlfn.XLOOKUP("[S05_AggregateTotalEmissionsByCRF][50][TotalProcessEmissionsTCo2e]",Submission!$O:$O,Submission!$H:$N,""))</f>
        <v/>
      </c>
    </row>
    <row r="119" spans="3:9" ht="16.2" hidden="1" customHeight="1" outlineLevel="1" x14ac:dyDescent="0.3">
      <c r="C119" s="387" t="str">
        <f>_xlfn.CONCAT(_xlfn.XLOOKUP("[S05_AggregateTotalEmissionsByCRF][51][CRFCategory1]",Submission!$O:$O,Submission!$H:$N,""))</f>
        <v/>
      </c>
      <c r="D119" s="388"/>
      <c r="E119" s="389" t="str">
        <f>_xlfn.CONCAT(_xlfn.XLOOKUP("[S05_AggregateTotalEmissionsByCRF][51][CRFCategory2]",Submission!$O:$O,Submission!$H:$N,""))</f>
        <v/>
      </c>
      <c r="F119" s="390"/>
      <c r="G119" s="126" t="str">
        <f>_xlfn.CONCAT(_xlfn.XLOOKUP("[S05_AggregateTotalEmissionsByCRF][51][TotalEmissionsTCo2e]",Submission!$O:$O,Submission!$H:$N,""))</f>
        <v/>
      </c>
      <c r="H119" s="126" t="str">
        <f>_xlfn.CONCAT(_xlfn.XLOOKUP("[S05_AggregateTotalEmissionsByCRF][51][TotalCombustionEmissionsTCo2e]",Submission!$O:$O,Submission!$H:$N,""))</f>
        <v/>
      </c>
      <c r="I119" s="126" t="str">
        <f>_xlfn.CONCAT(_xlfn.XLOOKUP("[S05_AggregateTotalEmissionsByCRF][51][TotalProcessEmissionsTCo2e]",Submission!$O:$O,Submission!$H:$N,""))</f>
        <v/>
      </c>
    </row>
    <row r="120" spans="3:9" ht="16.2" hidden="1" customHeight="1" outlineLevel="1" x14ac:dyDescent="0.3">
      <c r="C120" s="387" t="str">
        <f>_xlfn.CONCAT(_xlfn.XLOOKUP("[S05_AggregateTotalEmissionsByCRF][52][CRFCategory1]",Submission!$O:$O,Submission!$H:$N,""))</f>
        <v/>
      </c>
      <c r="D120" s="388"/>
      <c r="E120" s="389" t="str">
        <f>_xlfn.CONCAT(_xlfn.XLOOKUP("[S05_AggregateTotalEmissionsByCRF][52][CRFCategory2]",Submission!$O:$O,Submission!$H:$N,""))</f>
        <v/>
      </c>
      <c r="F120" s="390"/>
      <c r="G120" s="126" t="str">
        <f>_xlfn.CONCAT(_xlfn.XLOOKUP("[S05_AggregateTotalEmissionsByCRF][52][TotalEmissionsTCo2e]",Submission!$O:$O,Submission!$H:$N,""))</f>
        <v/>
      </c>
      <c r="H120" s="126" t="str">
        <f>_xlfn.CONCAT(_xlfn.XLOOKUP("[S05_AggregateTotalEmissionsByCRF][52][TotalCombustionEmissionsTCo2e]",Submission!$O:$O,Submission!$H:$N,""))</f>
        <v/>
      </c>
      <c r="I120" s="126" t="str">
        <f>_xlfn.CONCAT(_xlfn.XLOOKUP("[S05_AggregateTotalEmissionsByCRF][52][TotalProcessEmissionsTCo2e]",Submission!$O:$O,Submission!$H:$N,""))</f>
        <v/>
      </c>
    </row>
    <row r="121" spans="3:9" ht="16.2" hidden="1" customHeight="1" outlineLevel="1" x14ac:dyDescent="0.3">
      <c r="C121" s="387" t="str">
        <f>_xlfn.CONCAT(_xlfn.XLOOKUP("[S05_AggregateTotalEmissionsByCRF][53][CRFCategory1]",Submission!$O:$O,Submission!$H:$N,""))</f>
        <v/>
      </c>
      <c r="D121" s="388"/>
      <c r="E121" s="389" t="str">
        <f>_xlfn.CONCAT(_xlfn.XLOOKUP("[S05_AggregateTotalEmissionsByCRF][53][CRFCategory2]",Submission!$O:$O,Submission!$H:$N,""))</f>
        <v/>
      </c>
      <c r="F121" s="390"/>
      <c r="G121" s="126" t="str">
        <f>_xlfn.CONCAT(_xlfn.XLOOKUP("[S05_AggregateTotalEmissionsByCRF][53][TotalEmissionsTCo2e]",Submission!$O:$O,Submission!$H:$N,""))</f>
        <v/>
      </c>
      <c r="H121" s="126" t="str">
        <f>_xlfn.CONCAT(_xlfn.XLOOKUP("[S05_AggregateTotalEmissionsByCRF][53][TotalCombustionEmissionsTCo2e]",Submission!$O:$O,Submission!$H:$N,""))</f>
        <v/>
      </c>
      <c r="I121" s="126" t="str">
        <f>_xlfn.CONCAT(_xlfn.XLOOKUP("[S05_AggregateTotalEmissionsByCRF][53][TotalProcessEmissionsTCo2e]",Submission!$O:$O,Submission!$H:$N,""))</f>
        <v/>
      </c>
    </row>
    <row r="122" spans="3:9" ht="16.2" hidden="1" customHeight="1" outlineLevel="1" x14ac:dyDescent="0.3">
      <c r="C122" s="387" t="str">
        <f>_xlfn.CONCAT(_xlfn.XLOOKUP("[S05_AggregateTotalEmissionsByCRF][54][CRFCategory1]",Submission!$O:$O,Submission!$H:$N,""))</f>
        <v/>
      </c>
      <c r="D122" s="388"/>
      <c r="E122" s="389" t="str">
        <f>_xlfn.CONCAT(_xlfn.XLOOKUP("[S05_AggregateTotalEmissionsByCRF][54][CRFCategory2]",Submission!$O:$O,Submission!$H:$N,""))</f>
        <v/>
      </c>
      <c r="F122" s="390"/>
      <c r="G122" s="126" t="str">
        <f>_xlfn.CONCAT(_xlfn.XLOOKUP("[S05_AggregateTotalEmissionsByCRF][54][TotalEmissionsTCo2e]",Submission!$O:$O,Submission!$H:$N,""))</f>
        <v/>
      </c>
      <c r="H122" s="126" t="str">
        <f>_xlfn.CONCAT(_xlfn.XLOOKUP("[S05_AggregateTotalEmissionsByCRF][54][TotalCombustionEmissionsTCo2e]",Submission!$O:$O,Submission!$H:$N,""))</f>
        <v/>
      </c>
      <c r="I122" s="126" t="str">
        <f>_xlfn.CONCAT(_xlfn.XLOOKUP("[S05_AggregateTotalEmissionsByCRF][54][TotalProcessEmissionsTCo2e]",Submission!$O:$O,Submission!$H:$N,""))</f>
        <v/>
      </c>
    </row>
    <row r="123" spans="3:9" ht="16.2" hidden="1" customHeight="1" outlineLevel="1" x14ac:dyDescent="0.3">
      <c r="C123" s="387" t="str">
        <f>_xlfn.CONCAT(_xlfn.XLOOKUP("[S05_AggregateTotalEmissionsByCRF][55][CRFCategory1]",Submission!$O:$O,Submission!$H:$N,""))</f>
        <v/>
      </c>
      <c r="D123" s="388"/>
      <c r="E123" s="389" t="str">
        <f>_xlfn.CONCAT(_xlfn.XLOOKUP("[S05_AggregateTotalEmissionsByCRF][55][CRFCategory2]",Submission!$O:$O,Submission!$H:$N,""))</f>
        <v/>
      </c>
      <c r="F123" s="390"/>
      <c r="G123" s="126" t="str">
        <f>_xlfn.CONCAT(_xlfn.XLOOKUP("[S05_AggregateTotalEmissionsByCRF][55][TotalEmissionsTCo2e]",Submission!$O:$O,Submission!$H:$N,""))</f>
        <v/>
      </c>
      <c r="H123" s="126" t="str">
        <f>_xlfn.CONCAT(_xlfn.XLOOKUP("[S05_AggregateTotalEmissionsByCRF][55][TotalCombustionEmissionsTCo2e]",Submission!$O:$O,Submission!$H:$N,""))</f>
        <v/>
      </c>
      <c r="I123" s="126" t="str">
        <f>_xlfn.CONCAT(_xlfn.XLOOKUP("[S05_AggregateTotalEmissionsByCRF][55][TotalProcessEmissionsTCo2e]",Submission!$O:$O,Submission!$H:$N,""))</f>
        <v/>
      </c>
    </row>
    <row r="124" spans="3:9" ht="16.2" hidden="1" customHeight="1" outlineLevel="1" x14ac:dyDescent="0.3">
      <c r="C124" s="387" t="str">
        <f>_xlfn.CONCAT(_xlfn.XLOOKUP("[S05_AggregateTotalEmissionsByCRF][56][CRFCategory1]",Submission!$O:$O,Submission!$H:$N,""))</f>
        <v/>
      </c>
      <c r="D124" s="388"/>
      <c r="E124" s="389" t="str">
        <f>_xlfn.CONCAT(_xlfn.XLOOKUP("[S05_AggregateTotalEmissionsByCRF][56][CRFCategory2]",Submission!$O:$O,Submission!$H:$N,""))</f>
        <v/>
      </c>
      <c r="F124" s="390"/>
      <c r="G124" s="126" t="str">
        <f>_xlfn.CONCAT(_xlfn.XLOOKUP("[S05_AggregateTotalEmissionsByCRF][56][TotalEmissionsTCo2e]",Submission!$O:$O,Submission!$H:$N,""))</f>
        <v/>
      </c>
      <c r="H124" s="126" t="str">
        <f>_xlfn.CONCAT(_xlfn.XLOOKUP("[S05_AggregateTotalEmissionsByCRF][56][TotalCombustionEmissionsTCo2e]",Submission!$O:$O,Submission!$H:$N,""))</f>
        <v/>
      </c>
      <c r="I124" s="126" t="str">
        <f>_xlfn.CONCAT(_xlfn.XLOOKUP("[S05_AggregateTotalEmissionsByCRF][56][TotalProcessEmissionsTCo2e]",Submission!$O:$O,Submission!$H:$N,""))</f>
        <v/>
      </c>
    </row>
    <row r="125" spans="3:9" ht="16.2" hidden="1" customHeight="1" outlineLevel="1" x14ac:dyDescent="0.3">
      <c r="C125" s="387" t="str">
        <f>_xlfn.CONCAT(_xlfn.XLOOKUP("[S05_AggregateTotalEmissionsByCRF][57][CRFCategory1]",Submission!$O:$O,Submission!$H:$N,""))</f>
        <v/>
      </c>
      <c r="D125" s="388"/>
      <c r="E125" s="389" t="str">
        <f>_xlfn.CONCAT(_xlfn.XLOOKUP("[S05_AggregateTotalEmissionsByCRF][57][CRFCategory2]",Submission!$O:$O,Submission!$H:$N,""))</f>
        <v/>
      </c>
      <c r="F125" s="390"/>
      <c r="G125" s="126" t="str">
        <f>_xlfn.CONCAT(_xlfn.XLOOKUP("[S05_AggregateTotalEmissionsByCRF][57][TotalEmissionsTCo2e]",Submission!$O:$O,Submission!$H:$N,""))</f>
        <v/>
      </c>
      <c r="H125" s="126" t="str">
        <f>_xlfn.CONCAT(_xlfn.XLOOKUP("[S05_AggregateTotalEmissionsByCRF][57][TotalCombustionEmissionsTCo2e]",Submission!$O:$O,Submission!$H:$N,""))</f>
        <v/>
      </c>
      <c r="I125" s="126" t="str">
        <f>_xlfn.CONCAT(_xlfn.XLOOKUP("[S05_AggregateTotalEmissionsByCRF][57][TotalProcessEmissionsTCo2e]",Submission!$O:$O,Submission!$H:$N,""))</f>
        <v/>
      </c>
    </row>
    <row r="126" spans="3:9" ht="16.2" hidden="1" customHeight="1" outlineLevel="1" x14ac:dyDescent="0.3">
      <c r="C126" s="387" t="str">
        <f>_xlfn.CONCAT(_xlfn.XLOOKUP("[S05_AggregateTotalEmissionsByCRF][58][CRFCategory1]",Submission!$O:$O,Submission!$H:$N,""))</f>
        <v/>
      </c>
      <c r="D126" s="388"/>
      <c r="E126" s="389" t="str">
        <f>_xlfn.CONCAT(_xlfn.XLOOKUP("[S05_AggregateTotalEmissionsByCRF][58][CRFCategory2]",Submission!$O:$O,Submission!$H:$N,""))</f>
        <v/>
      </c>
      <c r="F126" s="390"/>
      <c r="G126" s="126" t="str">
        <f>_xlfn.CONCAT(_xlfn.XLOOKUP("[S05_AggregateTotalEmissionsByCRF][58][TotalEmissionsTCo2e]",Submission!$O:$O,Submission!$H:$N,""))</f>
        <v/>
      </c>
      <c r="H126" s="126" t="str">
        <f>_xlfn.CONCAT(_xlfn.XLOOKUP("[S05_AggregateTotalEmissionsByCRF][58][TotalCombustionEmissionsTCo2e]",Submission!$O:$O,Submission!$H:$N,""))</f>
        <v/>
      </c>
      <c r="I126" s="126" t="str">
        <f>_xlfn.CONCAT(_xlfn.XLOOKUP("[S05_AggregateTotalEmissionsByCRF][58][TotalProcessEmissionsTCo2e]",Submission!$O:$O,Submission!$H:$N,""))</f>
        <v/>
      </c>
    </row>
    <row r="127" spans="3:9" ht="16.2" hidden="1" customHeight="1" outlineLevel="1" x14ac:dyDescent="0.3">
      <c r="C127" s="387" t="str">
        <f>_xlfn.CONCAT(_xlfn.XLOOKUP("[S05_AggregateTotalEmissionsByCRF][59][CRFCategory1]",Submission!$O:$O,Submission!$H:$N,""))</f>
        <v/>
      </c>
      <c r="D127" s="388"/>
      <c r="E127" s="389" t="str">
        <f>_xlfn.CONCAT(_xlfn.XLOOKUP("[S05_AggregateTotalEmissionsByCRF][59][CRFCategory2]",Submission!$O:$O,Submission!$H:$N,""))</f>
        <v/>
      </c>
      <c r="F127" s="390"/>
      <c r="G127" s="126" t="str">
        <f>_xlfn.CONCAT(_xlfn.XLOOKUP("[S05_AggregateTotalEmissionsByCRF][59][TotalEmissionsTCo2e]",Submission!$O:$O,Submission!$H:$N,""))</f>
        <v/>
      </c>
      <c r="H127" s="126" t="str">
        <f>_xlfn.CONCAT(_xlfn.XLOOKUP("[S05_AggregateTotalEmissionsByCRF][59][TotalCombustionEmissionsTCo2e]",Submission!$O:$O,Submission!$H:$N,""))</f>
        <v/>
      </c>
      <c r="I127" s="126" t="str">
        <f>_xlfn.CONCAT(_xlfn.XLOOKUP("[S05_AggregateTotalEmissionsByCRF][59][TotalProcessEmissionsTCo2e]",Submission!$O:$O,Submission!$H:$N,""))</f>
        <v/>
      </c>
    </row>
    <row r="128" spans="3:9" ht="16.2" hidden="1" customHeight="1" outlineLevel="1" x14ac:dyDescent="0.3">
      <c r="C128" s="387" t="str">
        <f>_xlfn.CONCAT(_xlfn.XLOOKUP("[S05_AggregateTotalEmissionsByCRF][60][CRFCategory1]",Submission!$O:$O,Submission!$H:$N,""))</f>
        <v/>
      </c>
      <c r="D128" s="388"/>
      <c r="E128" s="389" t="str">
        <f>_xlfn.CONCAT(_xlfn.XLOOKUP("[S05_AggregateTotalEmissionsByCRF][60][CRFCategory2]",Submission!$O:$O,Submission!$H:$N,""))</f>
        <v/>
      </c>
      <c r="F128" s="390"/>
      <c r="G128" s="126" t="str">
        <f>_xlfn.CONCAT(_xlfn.XLOOKUP("[S05_AggregateTotalEmissionsByCRF][60][TotalEmissionsTCo2e]",Submission!$O:$O,Submission!$H:$N,""))</f>
        <v/>
      </c>
      <c r="H128" s="126" t="str">
        <f>_xlfn.CONCAT(_xlfn.XLOOKUP("[S05_AggregateTotalEmissionsByCRF][60][TotalCombustionEmissionsTCo2e]",Submission!$O:$O,Submission!$H:$N,""))</f>
        <v/>
      </c>
      <c r="I128" s="126" t="str">
        <f>_xlfn.CONCAT(_xlfn.XLOOKUP("[S05_AggregateTotalEmissionsByCRF][60][TotalProcessEmissionsTCo2e]",Submission!$O:$O,Submission!$H:$N,""))</f>
        <v/>
      </c>
    </row>
    <row r="129" spans="3:9" ht="16.2" hidden="1" customHeight="1" outlineLevel="1" x14ac:dyDescent="0.3">
      <c r="C129" s="387" t="str">
        <f>_xlfn.CONCAT(_xlfn.XLOOKUP("[S05_AggregateTotalEmissionsByCRF][61][CRFCategory1]",Submission!$O:$O,Submission!$H:$N,""))</f>
        <v/>
      </c>
      <c r="D129" s="388"/>
      <c r="E129" s="389" t="str">
        <f>_xlfn.CONCAT(_xlfn.XLOOKUP("[S05_AggregateTotalEmissionsByCRF][61][CRFCategory2]",Submission!$O:$O,Submission!$H:$N,""))</f>
        <v/>
      </c>
      <c r="F129" s="390"/>
      <c r="G129" s="126" t="str">
        <f>_xlfn.CONCAT(_xlfn.XLOOKUP("[S05_AggregateTotalEmissionsByCRF][61][TotalEmissionsTCo2e]",Submission!$O:$O,Submission!$H:$N,""))</f>
        <v/>
      </c>
      <c r="H129" s="126" t="str">
        <f>_xlfn.CONCAT(_xlfn.XLOOKUP("[S05_AggregateTotalEmissionsByCRF][61][TotalCombustionEmissionsTCo2e]",Submission!$O:$O,Submission!$H:$N,""))</f>
        <v/>
      </c>
      <c r="I129" s="126" t="str">
        <f>_xlfn.CONCAT(_xlfn.XLOOKUP("[S05_AggregateTotalEmissionsByCRF][61][TotalProcessEmissionsTCo2e]",Submission!$O:$O,Submission!$H:$N,""))</f>
        <v/>
      </c>
    </row>
    <row r="130" spans="3:9" ht="16.2" hidden="1" customHeight="1" outlineLevel="1" x14ac:dyDescent="0.3">
      <c r="C130" s="387" t="str">
        <f>_xlfn.CONCAT(_xlfn.XLOOKUP("[S05_AggregateTotalEmissionsByCRF][62][CRFCategory1]",Submission!$O:$O,Submission!$H:$N,""))</f>
        <v/>
      </c>
      <c r="D130" s="388"/>
      <c r="E130" s="389" t="str">
        <f>_xlfn.CONCAT(_xlfn.XLOOKUP("[S05_AggregateTotalEmissionsByCRF][62][CRFCategory2]",Submission!$O:$O,Submission!$H:$N,""))</f>
        <v/>
      </c>
      <c r="F130" s="390"/>
      <c r="G130" s="126" t="str">
        <f>_xlfn.CONCAT(_xlfn.XLOOKUP("[S05_AggregateTotalEmissionsByCRF][62][TotalEmissionsTCo2e]",Submission!$O:$O,Submission!$H:$N,""))</f>
        <v/>
      </c>
      <c r="H130" s="126" t="str">
        <f>_xlfn.CONCAT(_xlfn.XLOOKUP("[S05_AggregateTotalEmissionsByCRF][62][TotalCombustionEmissionsTCo2e]",Submission!$O:$O,Submission!$H:$N,""))</f>
        <v/>
      </c>
      <c r="I130" s="126" t="str">
        <f>_xlfn.CONCAT(_xlfn.XLOOKUP("[S05_AggregateTotalEmissionsByCRF][62][TotalProcessEmissionsTCo2e]",Submission!$O:$O,Submission!$H:$N,""))</f>
        <v/>
      </c>
    </row>
    <row r="131" spans="3:9" ht="16.2" hidden="1" customHeight="1" outlineLevel="1" x14ac:dyDescent="0.3">
      <c r="C131" s="387" t="str">
        <f>_xlfn.CONCAT(_xlfn.XLOOKUP("[S05_AggregateTotalEmissionsByCRF][63][CRFCategory1]",Submission!$O:$O,Submission!$H:$N,""))</f>
        <v/>
      </c>
      <c r="D131" s="388"/>
      <c r="E131" s="389" t="str">
        <f>_xlfn.CONCAT(_xlfn.XLOOKUP("[S05_AggregateTotalEmissionsByCRF][63][CRFCategory2]",Submission!$O:$O,Submission!$H:$N,""))</f>
        <v/>
      </c>
      <c r="F131" s="390"/>
      <c r="G131" s="126" t="str">
        <f>_xlfn.CONCAT(_xlfn.XLOOKUP("[S05_AggregateTotalEmissionsByCRF][63][TotalEmissionsTCo2e]",Submission!$O:$O,Submission!$H:$N,""))</f>
        <v/>
      </c>
      <c r="H131" s="126" t="str">
        <f>_xlfn.CONCAT(_xlfn.XLOOKUP("[S05_AggregateTotalEmissionsByCRF][63][TotalCombustionEmissionsTCo2e]",Submission!$O:$O,Submission!$H:$N,""))</f>
        <v/>
      </c>
      <c r="I131" s="126" t="str">
        <f>_xlfn.CONCAT(_xlfn.XLOOKUP("[S05_AggregateTotalEmissionsByCRF][63][TotalProcessEmissionsTCo2e]",Submission!$O:$O,Submission!$H:$N,""))</f>
        <v/>
      </c>
    </row>
    <row r="132" spans="3:9" ht="16.2" hidden="1" customHeight="1" outlineLevel="1" x14ac:dyDescent="0.3">
      <c r="C132" s="387" t="str">
        <f>_xlfn.CONCAT(_xlfn.XLOOKUP("[S05_AggregateTotalEmissionsByCRF][64][CRFCategory1]",Submission!$O:$O,Submission!$H:$N,""))</f>
        <v/>
      </c>
      <c r="D132" s="388"/>
      <c r="E132" s="389" t="str">
        <f>_xlfn.CONCAT(_xlfn.XLOOKUP("[S05_AggregateTotalEmissionsByCRF][64][CRFCategory2]",Submission!$O:$O,Submission!$H:$N,""))</f>
        <v/>
      </c>
      <c r="F132" s="390"/>
      <c r="G132" s="126" t="str">
        <f>_xlfn.CONCAT(_xlfn.XLOOKUP("[S05_AggregateTotalEmissionsByCRF][64][TotalEmissionsTCo2e]",Submission!$O:$O,Submission!$H:$N,""))</f>
        <v/>
      </c>
      <c r="H132" s="126" t="str">
        <f>_xlfn.CONCAT(_xlfn.XLOOKUP("[S05_AggregateTotalEmissionsByCRF][64][TotalCombustionEmissionsTCo2e]",Submission!$O:$O,Submission!$H:$N,""))</f>
        <v/>
      </c>
      <c r="I132" s="126" t="str">
        <f>_xlfn.CONCAT(_xlfn.XLOOKUP("[S05_AggregateTotalEmissionsByCRF][64][TotalProcessEmissionsTCo2e]",Submission!$O:$O,Submission!$H:$N,""))</f>
        <v/>
      </c>
    </row>
    <row r="133" spans="3:9" ht="16.2" hidden="1" customHeight="1" outlineLevel="1" x14ac:dyDescent="0.3">
      <c r="C133" s="387" t="str">
        <f>_xlfn.CONCAT(_xlfn.XLOOKUP("[S05_AggregateTotalEmissionsByCRF][65][CRFCategory1]",Submission!$O:$O,Submission!$H:$N,""))</f>
        <v/>
      </c>
      <c r="D133" s="388"/>
      <c r="E133" s="389" t="str">
        <f>_xlfn.CONCAT(_xlfn.XLOOKUP("[S05_AggregateTotalEmissionsByCRF][65][CRFCategory2]",Submission!$O:$O,Submission!$H:$N,""))</f>
        <v/>
      </c>
      <c r="F133" s="390"/>
      <c r="G133" s="126" t="str">
        <f>_xlfn.CONCAT(_xlfn.XLOOKUP("[S05_AggregateTotalEmissionsByCRF][65][TotalEmissionsTCo2e]",Submission!$O:$O,Submission!$H:$N,""))</f>
        <v/>
      </c>
      <c r="H133" s="126" t="str">
        <f>_xlfn.CONCAT(_xlfn.XLOOKUP("[S05_AggregateTotalEmissionsByCRF][65][TotalCombustionEmissionsTCo2e]",Submission!$O:$O,Submission!$H:$N,""))</f>
        <v/>
      </c>
      <c r="I133" s="126" t="str">
        <f>_xlfn.CONCAT(_xlfn.XLOOKUP("[S05_AggregateTotalEmissionsByCRF][65][TotalProcessEmissionsTCo2e]",Submission!$O:$O,Submission!$H:$N,""))</f>
        <v/>
      </c>
    </row>
    <row r="134" spans="3:9" ht="16.2" hidden="1" customHeight="1" outlineLevel="1" x14ac:dyDescent="0.3">
      <c r="C134" s="387" t="str">
        <f>_xlfn.CONCAT(_xlfn.XLOOKUP("[S05_AggregateTotalEmissionsByCRF][66][CRFCategory1]",Submission!$O:$O,Submission!$H:$N,""))</f>
        <v/>
      </c>
      <c r="D134" s="388"/>
      <c r="E134" s="389" t="str">
        <f>_xlfn.CONCAT(_xlfn.XLOOKUP("[S05_AggregateTotalEmissionsByCRF][66][CRFCategory2]",Submission!$O:$O,Submission!$H:$N,""))</f>
        <v/>
      </c>
      <c r="F134" s="390"/>
      <c r="G134" s="126" t="str">
        <f>_xlfn.CONCAT(_xlfn.XLOOKUP("[S05_AggregateTotalEmissionsByCRF][66][TotalEmissionsTCo2e]",Submission!$O:$O,Submission!$H:$N,""))</f>
        <v/>
      </c>
      <c r="H134" s="126" t="str">
        <f>_xlfn.CONCAT(_xlfn.XLOOKUP("[S05_AggregateTotalEmissionsByCRF][66][TotalCombustionEmissionsTCo2e]",Submission!$O:$O,Submission!$H:$N,""))</f>
        <v/>
      </c>
      <c r="I134" s="126" t="str">
        <f>_xlfn.CONCAT(_xlfn.XLOOKUP("[S05_AggregateTotalEmissionsByCRF][66][TotalProcessEmissionsTCo2e]",Submission!$O:$O,Submission!$H:$N,""))</f>
        <v/>
      </c>
    </row>
    <row r="135" spans="3:9" ht="16.2" hidden="1" customHeight="1" outlineLevel="1" x14ac:dyDescent="0.3">
      <c r="C135" s="387" t="str">
        <f>_xlfn.CONCAT(_xlfn.XLOOKUP("[S05_AggregateTotalEmissionsByCRF][67][CRFCategory1]",Submission!$O:$O,Submission!$H:$N,""))</f>
        <v/>
      </c>
      <c r="D135" s="388"/>
      <c r="E135" s="389" t="str">
        <f>_xlfn.CONCAT(_xlfn.XLOOKUP("[S05_AggregateTotalEmissionsByCRF][67][CRFCategory2]",Submission!$O:$O,Submission!$H:$N,""))</f>
        <v/>
      </c>
      <c r="F135" s="390"/>
      <c r="G135" s="126" t="str">
        <f>_xlfn.CONCAT(_xlfn.XLOOKUP("[S05_AggregateTotalEmissionsByCRF][67][TotalEmissionsTCo2e]",Submission!$O:$O,Submission!$H:$N,""))</f>
        <v/>
      </c>
      <c r="H135" s="126" t="str">
        <f>_xlfn.CONCAT(_xlfn.XLOOKUP("[S05_AggregateTotalEmissionsByCRF][67][TotalCombustionEmissionsTCo2e]",Submission!$O:$O,Submission!$H:$N,""))</f>
        <v/>
      </c>
      <c r="I135" s="126" t="str">
        <f>_xlfn.CONCAT(_xlfn.XLOOKUP("[S05_AggregateTotalEmissionsByCRF][67][TotalProcessEmissionsTCo2e]",Submission!$O:$O,Submission!$H:$N,""))</f>
        <v/>
      </c>
    </row>
    <row r="136" spans="3:9" ht="16.2" hidden="1" customHeight="1" outlineLevel="1" x14ac:dyDescent="0.3">
      <c r="C136" s="387" t="str">
        <f>_xlfn.CONCAT(_xlfn.XLOOKUP("[S05_AggregateTotalEmissionsByCRF][68][CRFCategory1]",Submission!$O:$O,Submission!$H:$N,""))</f>
        <v/>
      </c>
      <c r="D136" s="388"/>
      <c r="E136" s="389" t="str">
        <f>_xlfn.CONCAT(_xlfn.XLOOKUP("[S05_AggregateTotalEmissionsByCRF][68][CRFCategory2]",Submission!$O:$O,Submission!$H:$N,""))</f>
        <v/>
      </c>
      <c r="F136" s="390"/>
      <c r="G136" s="126" t="str">
        <f>_xlfn.CONCAT(_xlfn.XLOOKUP("[S05_AggregateTotalEmissionsByCRF][68][TotalEmissionsTCo2e]",Submission!$O:$O,Submission!$H:$N,""))</f>
        <v/>
      </c>
      <c r="H136" s="126" t="str">
        <f>_xlfn.CONCAT(_xlfn.XLOOKUP("[S05_AggregateTotalEmissionsByCRF][68][TotalCombustionEmissionsTCo2e]",Submission!$O:$O,Submission!$H:$N,""))</f>
        <v/>
      </c>
      <c r="I136" s="126" t="str">
        <f>_xlfn.CONCAT(_xlfn.XLOOKUP("[S05_AggregateTotalEmissionsByCRF][68][TotalProcessEmissionsTCo2e]",Submission!$O:$O,Submission!$H:$N,""))</f>
        <v/>
      </c>
    </row>
    <row r="137" spans="3:9" ht="16.2" hidden="1" customHeight="1" outlineLevel="1" x14ac:dyDescent="0.3">
      <c r="C137" s="387" t="str">
        <f>_xlfn.CONCAT(_xlfn.XLOOKUP("[S05_AggregateTotalEmissionsByCRF][69][CRFCategory1]",Submission!$O:$O,Submission!$H:$N,""))</f>
        <v/>
      </c>
      <c r="D137" s="388"/>
      <c r="E137" s="389" t="str">
        <f>_xlfn.CONCAT(_xlfn.XLOOKUP("[S05_AggregateTotalEmissionsByCRF][69][CRFCategory2]",Submission!$O:$O,Submission!$H:$N,""))</f>
        <v/>
      </c>
      <c r="F137" s="390"/>
      <c r="G137" s="126" t="str">
        <f>_xlfn.CONCAT(_xlfn.XLOOKUP("[S05_AggregateTotalEmissionsByCRF][69][TotalEmissionsTCo2e]",Submission!$O:$O,Submission!$H:$N,""))</f>
        <v/>
      </c>
      <c r="H137" s="126" t="str">
        <f>_xlfn.CONCAT(_xlfn.XLOOKUP("[S05_AggregateTotalEmissionsByCRF][69][TotalCombustionEmissionsTCo2e]",Submission!$O:$O,Submission!$H:$N,""))</f>
        <v/>
      </c>
      <c r="I137" s="126" t="str">
        <f>_xlfn.CONCAT(_xlfn.XLOOKUP("[S05_AggregateTotalEmissionsByCRF][69][TotalProcessEmissionsTCo2e]",Submission!$O:$O,Submission!$H:$N,""))</f>
        <v/>
      </c>
    </row>
    <row r="138" spans="3:9" ht="16.2" hidden="1" customHeight="1" outlineLevel="1" x14ac:dyDescent="0.3">
      <c r="C138" s="387" t="str">
        <f>_xlfn.CONCAT(_xlfn.XLOOKUP("[S05_AggregateTotalEmissionsByCRF][70][CRFCategory1]",Submission!$O:$O,Submission!$H:$N,""))</f>
        <v/>
      </c>
      <c r="D138" s="388"/>
      <c r="E138" s="389" t="str">
        <f>_xlfn.CONCAT(_xlfn.XLOOKUP("[S05_AggregateTotalEmissionsByCRF][70][CRFCategory2]",Submission!$O:$O,Submission!$H:$N,""))</f>
        <v/>
      </c>
      <c r="F138" s="390"/>
      <c r="G138" s="126" t="str">
        <f>_xlfn.CONCAT(_xlfn.XLOOKUP("[S05_AggregateTotalEmissionsByCRF][70][TotalEmissionsTCo2e]",Submission!$O:$O,Submission!$H:$N,""))</f>
        <v/>
      </c>
      <c r="H138" s="126" t="str">
        <f>_xlfn.CONCAT(_xlfn.XLOOKUP("[S05_AggregateTotalEmissionsByCRF][70][TotalCombustionEmissionsTCo2e]",Submission!$O:$O,Submission!$H:$N,""))</f>
        <v/>
      </c>
      <c r="I138" s="126" t="str">
        <f>_xlfn.CONCAT(_xlfn.XLOOKUP("[S05_AggregateTotalEmissionsByCRF][70][TotalProcessEmissionsTCo2e]",Submission!$O:$O,Submission!$H:$N,""))</f>
        <v/>
      </c>
    </row>
    <row r="139" spans="3:9" ht="16.2" hidden="1" customHeight="1" outlineLevel="1" x14ac:dyDescent="0.3">
      <c r="C139" s="387" t="str">
        <f>_xlfn.CONCAT(_xlfn.XLOOKUP("[S05_AggregateTotalEmissionsByCRF][71][CRFCategory1]",Submission!$O:$O,Submission!$H:$N,""))</f>
        <v/>
      </c>
      <c r="D139" s="388"/>
      <c r="E139" s="389" t="str">
        <f>_xlfn.CONCAT(_xlfn.XLOOKUP("[S05_AggregateTotalEmissionsByCRF][71][CRFCategory2]",Submission!$O:$O,Submission!$H:$N,""))</f>
        <v/>
      </c>
      <c r="F139" s="390"/>
      <c r="G139" s="126" t="str">
        <f>_xlfn.CONCAT(_xlfn.XLOOKUP("[S05_AggregateTotalEmissionsByCRF][71][TotalEmissionsTCo2e]",Submission!$O:$O,Submission!$H:$N,""))</f>
        <v/>
      </c>
      <c r="H139" s="126" t="str">
        <f>_xlfn.CONCAT(_xlfn.XLOOKUP("[S05_AggregateTotalEmissionsByCRF][71][TotalCombustionEmissionsTCo2e]",Submission!$O:$O,Submission!$H:$N,""))</f>
        <v/>
      </c>
      <c r="I139" s="126" t="str">
        <f>_xlfn.CONCAT(_xlfn.XLOOKUP("[S05_AggregateTotalEmissionsByCRF][71][TotalProcessEmissionsTCo2e]",Submission!$O:$O,Submission!$H:$N,""))</f>
        <v/>
      </c>
    </row>
    <row r="140" spans="3:9" ht="16.2" hidden="1" customHeight="1" outlineLevel="1" x14ac:dyDescent="0.3">
      <c r="C140" s="387" t="str">
        <f>_xlfn.CONCAT(_xlfn.XLOOKUP("[S05_AggregateTotalEmissionsByCRF][72][CRFCategory1]",Submission!$O:$O,Submission!$H:$N,""))</f>
        <v/>
      </c>
      <c r="D140" s="388"/>
      <c r="E140" s="389" t="str">
        <f>_xlfn.CONCAT(_xlfn.XLOOKUP("[S05_AggregateTotalEmissionsByCRF][72][CRFCategory2]",Submission!$O:$O,Submission!$H:$N,""))</f>
        <v/>
      </c>
      <c r="F140" s="390"/>
      <c r="G140" s="126" t="str">
        <f>_xlfn.CONCAT(_xlfn.XLOOKUP("[S05_AggregateTotalEmissionsByCRF][72][TotalEmissionsTCo2e]",Submission!$O:$O,Submission!$H:$N,""))</f>
        <v/>
      </c>
      <c r="H140" s="126" t="str">
        <f>_xlfn.CONCAT(_xlfn.XLOOKUP("[S05_AggregateTotalEmissionsByCRF][72][TotalCombustionEmissionsTCo2e]",Submission!$O:$O,Submission!$H:$N,""))</f>
        <v/>
      </c>
      <c r="I140" s="126" t="str">
        <f>_xlfn.CONCAT(_xlfn.XLOOKUP("[S05_AggregateTotalEmissionsByCRF][72][TotalProcessEmissionsTCo2e]",Submission!$O:$O,Submission!$H:$N,""))</f>
        <v/>
      </c>
    </row>
    <row r="141" spans="3:9" ht="16.2" hidden="1" customHeight="1" outlineLevel="1" x14ac:dyDescent="0.3">
      <c r="C141" s="387" t="str">
        <f>_xlfn.CONCAT(_xlfn.XLOOKUP("[S05_AggregateTotalEmissionsByCRF][73][CRFCategory1]",Submission!$O:$O,Submission!$H:$N,""))</f>
        <v/>
      </c>
      <c r="D141" s="388"/>
      <c r="E141" s="389" t="str">
        <f>_xlfn.CONCAT(_xlfn.XLOOKUP("[S05_AggregateTotalEmissionsByCRF][73][CRFCategory2]",Submission!$O:$O,Submission!$H:$N,""))</f>
        <v/>
      </c>
      <c r="F141" s="390"/>
      <c r="G141" s="126" t="str">
        <f>_xlfn.CONCAT(_xlfn.XLOOKUP("[S05_AggregateTotalEmissionsByCRF][73][TotalEmissionsTCo2e]",Submission!$O:$O,Submission!$H:$N,""))</f>
        <v/>
      </c>
      <c r="H141" s="126" t="str">
        <f>_xlfn.CONCAT(_xlfn.XLOOKUP("[S05_AggregateTotalEmissionsByCRF][73][TotalCombustionEmissionsTCo2e]",Submission!$O:$O,Submission!$H:$N,""))</f>
        <v/>
      </c>
      <c r="I141" s="126" t="str">
        <f>_xlfn.CONCAT(_xlfn.XLOOKUP("[S05_AggregateTotalEmissionsByCRF][73][TotalProcessEmissionsTCo2e]",Submission!$O:$O,Submission!$H:$N,""))</f>
        <v/>
      </c>
    </row>
    <row r="142" spans="3:9" ht="16.2" hidden="1" customHeight="1" outlineLevel="1" x14ac:dyDescent="0.3">
      <c r="C142" s="387" t="str">
        <f>_xlfn.CONCAT(_xlfn.XLOOKUP("[S05_AggregateTotalEmissionsByCRF][74][CRFCategory1]",Submission!$O:$O,Submission!$H:$N,""))</f>
        <v/>
      </c>
      <c r="D142" s="388"/>
      <c r="E142" s="389" t="str">
        <f>_xlfn.CONCAT(_xlfn.XLOOKUP("[S05_AggregateTotalEmissionsByCRF][74][CRFCategory2]",Submission!$O:$O,Submission!$H:$N,""))</f>
        <v/>
      </c>
      <c r="F142" s="390"/>
      <c r="G142" s="126" t="str">
        <f>_xlfn.CONCAT(_xlfn.XLOOKUP("[S05_AggregateTotalEmissionsByCRF][74][TotalEmissionsTCo2e]",Submission!$O:$O,Submission!$H:$N,""))</f>
        <v/>
      </c>
      <c r="H142" s="126" t="str">
        <f>_xlfn.CONCAT(_xlfn.XLOOKUP("[S05_AggregateTotalEmissionsByCRF][74][TotalCombustionEmissionsTCo2e]",Submission!$O:$O,Submission!$H:$N,""))</f>
        <v/>
      </c>
      <c r="I142" s="126" t="str">
        <f>_xlfn.CONCAT(_xlfn.XLOOKUP("[S05_AggregateTotalEmissionsByCRF][74][TotalProcessEmissionsTCo2e]",Submission!$O:$O,Submission!$H:$N,""))</f>
        <v/>
      </c>
    </row>
    <row r="143" spans="3:9" ht="16.2" hidden="1" customHeight="1" outlineLevel="1" x14ac:dyDescent="0.3">
      <c r="C143" s="387" t="str">
        <f>_xlfn.CONCAT(_xlfn.XLOOKUP("[S05_AggregateTotalEmissionsByCRF][75][CRFCategory1]",Submission!$O:$O,Submission!$H:$N,""))</f>
        <v/>
      </c>
      <c r="D143" s="388"/>
      <c r="E143" s="389" t="str">
        <f>_xlfn.CONCAT(_xlfn.XLOOKUP("[S05_AggregateTotalEmissionsByCRF][75][CRFCategory2]",Submission!$O:$O,Submission!$H:$N,""))</f>
        <v/>
      </c>
      <c r="F143" s="390"/>
      <c r="G143" s="126" t="str">
        <f>_xlfn.CONCAT(_xlfn.XLOOKUP("[S05_AggregateTotalEmissionsByCRF][75][TotalEmissionsTCo2e]",Submission!$O:$O,Submission!$H:$N,""))</f>
        <v/>
      </c>
      <c r="H143" s="126" t="str">
        <f>_xlfn.CONCAT(_xlfn.XLOOKUP("[S05_AggregateTotalEmissionsByCRF][75][TotalCombustionEmissionsTCo2e]",Submission!$O:$O,Submission!$H:$N,""))</f>
        <v/>
      </c>
      <c r="I143" s="126" t="str">
        <f>_xlfn.CONCAT(_xlfn.XLOOKUP("[S05_AggregateTotalEmissionsByCRF][75][TotalProcessEmissionsTCo2e]",Submission!$O:$O,Submission!$H:$N,""))</f>
        <v/>
      </c>
    </row>
    <row r="144" spans="3:9" ht="16.2" hidden="1" customHeight="1" outlineLevel="1" x14ac:dyDescent="0.3">
      <c r="C144" s="387" t="str">
        <f>_xlfn.CONCAT(_xlfn.XLOOKUP("[S05_AggregateTotalEmissionsByCRF][76][CRFCategory1]",Submission!$O:$O,Submission!$H:$N,""))</f>
        <v/>
      </c>
      <c r="D144" s="388"/>
      <c r="E144" s="389" t="str">
        <f>_xlfn.CONCAT(_xlfn.XLOOKUP("[S05_AggregateTotalEmissionsByCRF][76][CRFCategory2]",Submission!$O:$O,Submission!$H:$N,""))</f>
        <v/>
      </c>
      <c r="F144" s="390"/>
      <c r="G144" s="126" t="str">
        <f>_xlfn.CONCAT(_xlfn.XLOOKUP("[S05_AggregateTotalEmissionsByCRF][76][TotalEmissionsTCo2e]",Submission!$O:$O,Submission!$H:$N,""))</f>
        <v/>
      </c>
      <c r="H144" s="126" t="str">
        <f>_xlfn.CONCAT(_xlfn.XLOOKUP("[S05_AggregateTotalEmissionsByCRF][76][TotalCombustionEmissionsTCo2e]",Submission!$O:$O,Submission!$H:$N,""))</f>
        <v/>
      </c>
      <c r="I144" s="126" t="str">
        <f>_xlfn.CONCAT(_xlfn.XLOOKUP("[S05_AggregateTotalEmissionsByCRF][76][TotalProcessEmissionsTCo2e]",Submission!$O:$O,Submission!$H:$N,""))</f>
        <v/>
      </c>
    </row>
    <row r="145" spans="3:9" ht="16.2" hidden="1" customHeight="1" outlineLevel="1" x14ac:dyDescent="0.3">
      <c r="C145" s="387" t="str">
        <f>_xlfn.CONCAT(_xlfn.XLOOKUP("[S05_AggregateTotalEmissionsByCRF][77][CRFCategory1]",Submission!$O:$O,Submission!$H:$N,""))</f>
        <v/>
      </c>
      <c r="D145" s="388"/>
      <c r="E145" s="389" t="str">
        <f>_xlfn.CONCAT(_xlfn.XLOOKUP("[S05_AggregateTotalEmissionsByCRF][77][CRFCategory2]",Submission!$O:$O,Submission!$H:$N,""))</f>
        <v/>
      </c>
      <c r="F145" s="390"/>
      <c r="G145" s="126" t="str">
        <f>_xlfn.CONCAT(_xlfn.XLOOKUP("[S05_AggregateTotalEmissionsByCRF][77][TotalEmissionsTCo2e]",Submission!$O:$O,Submission!$H:$N,""))</f>
        <v/>
      </c>
      <c r="H145" s="126" t="str">
        <f>_xlfn.CONCAT(_xlfn.XLOOKUP("[S05_AggregateTotalEmissionsByCRF][77][TotalCombustionEmissionsTCo2e]",Submission!$O:$O,Submission!$H:$N,""))</f>
        <v/>
      </c>
      <c r="I145" s="126" t="str">
        <f>_xlfn.CONCAT(_xlfn.XLOOKUP("[S05_AggregateTotalEmissionsByCRF][77][TotalProcessEmissionsTCo2e]",Submission!$O:$O,Submission!$H:$N,""))</f>
        <v/>
      </c>
    </row>
    <row r="146" spans="3:9" ht="16.2" hidden="1" customHeight="1" outlineLevel="1" x14ac:dyDescent="0.3">
      <c r="C146" s="387" t="str">
        <f>_xlfn.CONCAT(_xlfn.XLOOKUP("[S05_AggregateTotalEmissionsByCRF][78][CRFCategory1]",Submission!$O:$O,Submission!$H:$N,""))</f>
        <v/>
      </c>
      <c r="D146" s="388"/>
      <c r="E146" s="389" t="str">
        <f>_xlfn.CONCAT(_xlfn.XLOOKUP("[S05_AggregateTotalEmissionsByCRF][78][CRFCategory2]",Submission!$O:$O,Submission!$H:$N,""))</f>
        <v/>
      </c>
      <c r="F146" s="390"/>
      <c r="G146" s="126" t="str">
        <f>_xlfn.CONCAT(_xlfn.XLOOKUP("[S05_AggregateTotalEmissionsByCRF][78][TotalEmissionsTCo2e]",Submission!$O:$O,Submission!$H:$N,""))</f>
        <v/>
      </c>
      <c r="H146" s="126" t="str">
        <f>_xlfn.CONCAT(_xlfn.XLOOKUP("[S05_AggregateTotalEmissionsByCRF][78][TotalCombustionEmissionsTCo2e]",Submission!$O:$O,Submission!$H:$N,""))</f>
        <v/>
      </c>
      <c r="I146" s="126" t="str">
        <f>_xlfn.CONCAT(_xlfn.XLOOKUP("[S05_AggregateTotalEmissionsByCRF][78][TotalProcessEmissionsTCo2e]",Submission!$O:$O,Submission!$H:$N,""))</f>
        <v/>
      </c>
    </row>
    <row r="147" spans="3:9" ht="16.2" hidden="1" customHeight="1" outlineLevel="1" x14ac:dyDescent="0.3">
      <c r="C147" s="387" t="str">
        <f>_xlfn.CONCAT(_xlfn.XLOOKUP("[S05_AggregateTotalEmissionsByCRF][79][CRFCategory1]",Submission!$O:$O,Submission!$H:$N,""))</f>
        <v/>
      </c>
      <c r="D147" s="388"/>
      <c r="E147" s="389" t="str">
        <f>_xlfn.CONCAT(_xlfn.XLOOKUP("[S05_AggregateTotalEmissionsByCRF][79][CRFCategory2]",Submission!$O:$O,Submission!$H:$N,""))</f>
        <v/>
      </c>
      <c r="F147" s="390"/>
      <c r="G147" s="126" t="str">
        <f>_xlfn.CONCAT(_xlfn.XLOOKUP("[S05_AggregateTotalEmissionsByCRF][79][TotalEmissionsTCo2e]",Submission!$O:$O,Submission!$H:$N,""))</f>
        <v/>
      </c>
      <c r="H147" s="126" t="str">
        <f>_xlfn.CONCAT(_xlfn.XLOOKUP("[S05_AggregateTotalEmissionsByCRF][79][TotalCombustionEmissionsTCo2e]",Submission!$O:$O,Submission!$H:$N,""))</f>
        <v/>
      </c>
      <c r="I147" s="126" t="str">
        <f>_xlfn.CONCAT(_xlfn.XLOOKUP("[S05_AggregateTotalEmissionsByCRF][79][TotalProcessEmissionsTCo2e]",Submission!$O:$O,Submission!$H:$N,""))</f>
        <v/>
      </c>
    </row>
    <row r="148" spans="3:9" ht="16.2" hidden="1" customHeight="1" outlineLevel="1" x14ac:dyDescent="0.3">
      <c r="C148" s="387" t="str">
        <f>_xlfn.CONCAT(_xlfn.XLOOKUP("[S05_AggregateTotalEmissionsByCRF][80][CRFCategory1]",Submission!$O:$O,Submission!$H:$N,""))</f>
        <v/>
      </c>
      <c r="D148" s="388"/>
      <c r="E148" s="389" t="str">
        <f>_xlfn.CONCAT(_xlfn.XLOOKUP("[S05_AggregateTotalEmissionsByCRF][80][CRFCategory2]",Submission!$O:$O,Submission!$H:$N,""))</f>
        <v/>
      </c>
      <c r="F148" s="390"/>
      <c r="G148" s="126" t="str">
        <f>_xlfn.CONCAT(_xlfn.XLOOKUP("[S05_AggregateTotalEmissionsByCRF][80][TotalEmissionsTCo2e]",Submission!$O:$O,Submission!$H:$N,""))</f>
        <v/>
      </c>
      <c r="H148" s="126" t="str">
        <f>_xlfn.CONCAT(_xlfn.XLOOKUP("[S05_AggregateTotalEmissionsByCRF][80][TotalCombustionEmissionsTCo2e]",Submission!$O:$O,Submission!$H:$N,""))</f>
        <v/>
      </c>
      <c r="I148" s="126" t="str">
        <f>_xlfn.CONCAT(_xlfn.XLOOKUP("[S05_AggregateTotalEmissionsByCRF][80][TotalProcessEmissionsTCo2e]",Submission!$O:$O,Submission!$H:$N,""))</f>
        <v/>
      </c>
    </row>
    <row r="149" spans="3:9" ht="16.2" hidden="1" customHeight="1" outlineLevel="1" x14ac:dyDescent="0.3">
      <c r="C149" s="387" t="str">
        <f>_xlfn.CONCAT(_xlfn.XLOOKUP("[S05_AggregateTotalEmissionsByCRF][81][CRFCategory1]",Submission!$O:$O,Submission!$H:$N,""))</f>
        <v/>
      </c>
      <c r="D149" s="388"/>
      <c r="E149" s="389" t="str">
        <f>_xlfn.CONCAT(_xlfn.XLOOKUP("[S05_AggregateTotalEmissionsByCRF][81][CRFCategory2]",Submission!$O:$O,Submission!$H:$N,""))</f>
        <v/>
      </c>
      <c r="F149" s="390"/>
      <c r="G149" s="126" t="str">
        <f>_xlfn.CONCAT(_xlfn.XLOOKUP("[S05_AggregateTotalEmissionsByCRF][81][TotalEmissionsTCo2e]",Submission!$O:$O,Submission!$H:$N,""))</f>
        <v/>
      </c>
      <c r="H149" s="126" t="str">
        <f>_xlfn.CONCAT(_xlfn.XLOOKUP("[S05_AggregateTotalEmissionsByCRF][81][TotalCombustionEmissionsTCo2e]",Submission!$O:$O,Submission!$H:$N,""))</f>
        <v/>
      </c>
      <c r="I149" s="126" t="str">
        <f>_xlfn.CONCAT(_xlfn.XLOOKUP("[S05_AggregateTotalEmissionsByCRF][81][TotalProcessEmissionsTCo2e]",Submission!$O:$O,Submission!$H:$N,""))</f>
        <v/>
      </c>
    </row>
    <row r="150" spans="3:9" ht="16.2" hidden="1" customHeight="1" outlineLevel="1" x14ac:dyDescent="0.3">
      <c r="C150" s="387" t="str">
        <f>_xlfn.CONCAT(_xlfn.XLOOKUP("[S05_AggregateTotalEmissionsByCRF][82][CRFCategory1]",Submission!$O:$O,Submission!$H:$N,""))</f>
        <v/>
      </c>
      <c r="D150" s="388"/>
      <c r="E150" s="389" t="str">
        <f>_xlfn.CONCAT(_xlfn.XLOOKUP("[S05_AggregateTotalEmissionsByCRF][82][CRFCategory2]",Submission!$O:$O,Submission!$H:$N,""))</f>
        <v/>
      </c>
      <c r="F150" s="390"/>
      <c r="G150" s="126" t="str">
        <f>_xlfn.CONCAT(_xlfn.XLOOKUP("[S05_AggregateTotalEmissionsByCRF][82][TotalEmissionsTCo2e]",Submission!$O:$O,Submission!$H:$N,""))</f>
        <v/>
      </c>
      <c r="H150" s="126" t="str">
        <f>_xlfn.CONCAT(_xlfn.XLOOKUP("[S05_AggregateTotalEmissionsByCRF][82][TotalCombustionEmissionsTCo2e]",Submission!$O:$O,Submission!$H:$N,""))</f>
        <v/>
      </c>
      <c r="I150" s="126" t="str">
        <f>_xlfn.CONCAT(_xlfn.XLOOKUP("[S05_AggregateTotalEmissionsByCRF][82][TotalProcessEmissionsTCo2e]",Submission!$O:$O,Submission!$H:$N,""))</f>
        <v/>
      </c>
    </row>
    <row r="151" spans="3:9" ht="16.2" hidden="1" customHeight="1" outlineLevel="1" x14ac:dyDescent="0.3">
      <c r="C151" s="387" t="str">
        <f>_xlfn.CONCAT(_xlfn.XLOOKUP("[S05_AggregateTotalEmissionsByCRF][83][CRFCategory1]",Submission!$O:$O,Submission!$H:$N,""))</f>
        <v/>
      </c>
      <c r="D151" s="388"/>
      <c r="E151" s="389" t="str">
        <f>_xlfn.CONCAT(_xlfn.XLOOKUP("[S05_AggregateTotalEmissionsByCRF][83][CRFCategory2]",Submission!$O:$O,Submission!$H:$N,""))</f>
        <v/>
      </c>
      <c r="F151" s="390"/>
      <c r="G151" s="126" t="str">
        <f>_xlfn.CONCAT(_xlfn.XLOOKUP("[S05_AggregateTotalEmissionsByCRF][83][TotalEmissionsTCo2e]",Submission!$O:$O,Submission!$H:$N,""))</f>
        <v/>
      </c>
      <c r="H151" s="126" t="str">
        <f>_xlfn.CONCAT(_xlfn.XLOOKUP("[S05_AggregateTotalEmissionsByCRF][83][TotalCombustionEmissionsTCo2e]",Submission!$O:$O,Submission!$H:$N,""))</f>
        <v/>
      </c>
      <c r="I151" s="126" t="str">
        <f>_xlfn.CONCAT(_xlfn.XLOOKUP("[S05_AggregateTotalEmissionsByCRF][83][TotalProcessEmissionsTCo2e]",Submission!$O:$O,Submission!$H:$N,""))</f>
        <v/>
      </c>
    </row>
    <row r="152" spans="3:9" ht="16.2" hidden="1" customHeight="1" outlineLevel="1" x14ac:dyDescent="0.3">
      <c r="C152" s="387" t="str">
        <f>_xlfn.CONCAT(_xlfn.XLOOKUP("[S05_AggregateTotalEmissionsByCRF][84][CRFCategory1]",Submission!$O:$O,Submission!$H:$N,""))</f>
        <v/>
      </c>
      <c r="D152" s="388"/>
      <c r="E152" s="389" t="str">
        <f>_xlfn.CONCAT(_xlfn.XLOOKUP("[S05_AggregateTotalEmissionsByCRF][84][CRFCategory2]",Submission!$O:$O,Submission!$H:$N,""))</f>
        <v/>
      </c>
      <c r="F152" s="390"/>
      <c r="G152" s="126" t="str">
        <f>_xlfn.CONCAT(_xlfn.XLOOKUP("[S05_AggregateTotalEmissionsByCRF][84][TotalEmissionsTCo2e]",Submission!$O:$O,Submission!$H:$N,""))</f>
        <v/>
      </c>
      <c r="H152" s="126" t="str">
        <f>_xlfn.CONCAT(_xlfn.XLOOKUP("[S05_AggregateTotalEmissionsByCRF][84][TotalCombustionEmissionsTCo2e]",Submission!$O:$O,Submission!$H:$N,""))</f>
        <v/>
      </c>
      <c r="I152" s="126" t="str">
        <f>_xlfn.CONCAT(_xlfn.XLOOKUP("[S05_AggregateTotalEmissionsByCRF][84][TotalProcessEmissionsTCo2e]",Submission!$O:$O,Submission!$H:$N,""))</f>
        <v/>
      </c>
    </row>
    <row r="153" spans="3:9" ht="16.2" hidden="1" customHeight="1" outlineLevel="1" x14ac:dyDescent="0.3">
      <c r="C153" s="387" t="str">
        <f>_xlfn.CONCAT(_xlfn.XLOOKUP("[S05_AggregateTotalEmissionsByCRF][85][CRFCategory1]",Submission!$O:$O,Submission!$H:$N,""))</f>
        <v/>
      </c>
      <c r="D153" s="388"/>
      <c r="E153" s="389" t="str">
        <f>_xlfn.CONCAT(_xlfn.XLOOKUP("[S05_AggregateTotalEmissionsByCRF][85][CRFCategory2]",Submission!$O:$O,Submission!$H:$N,""))</f>
        <v/>
      </c>
      <c r="F153" s="390"/>
      <c r="G153" s="126" t="str">
        <f>_xlfn.CONCAT(_xlfn.XLOOKUP("[S05_AggregateTotalEmissionsByCRF][85][TotalEmissionsTCo2e]",Submission!$O:$O,Submission!$H:$N,""))</f>
        <v/>
      </c>
      <c r="H153" s="126" t="str">
        <f>_xlfn.CONCAT(_xlfn.XLOOKUP("[S05_AggregateTotalEmissionsByCRF][85][TotalCombustionEmissionsTCo2e]",Submission!$O:$O,Submission!$H:$N,""))</f>
        <v/>
      </c>
      <c r="I153" s="126" t="str">
        <f>_xlfn.CONCAT(_xlfn.XLOOKUP("[S05_AggregateTotalEmissionsByCRF][85][TotalProcessEmissionsTCo2e]",Submission!$O:$O,Submission!$H:$N,""))</f>
        <v/>
      </c>
    </row>
    <row r="154" spans="3:9" ht="16.2" hidden="1" customHeight="1" outlineLevel="1" x14ac:dyDescent="0.3">
      <c r="C154" s="387" t="str">
        <f>_xlfn.CONCAT(_xlfn.XLOOKUP("[S05_AggregateTotalEmissionsByCRF][86][CRFCategory1]",Submission!$O:$O,Submission!$H:$N,""))</f>
        <v/>
      </c>
      <c r="D154" s="388"/>
      <c r="E154" s="389" t="str">
        <f>_xlfn.CONCAT(_xlfn.XLOOKUP("[S05_AggregateTotalEmissionsByCRF][86][CRFCategory2]",Submission!$O:$O,Submission!$H:$N,""))</f>
        <v/>
      </c>
      <c r="F154" s="390"/>
      <c r="G154" s="126" t="str">
        <f>_xlfn.CONCAT(_xlfn.XLOOKUP("[S05_AggregateTotalEmissionsByCRF][86][TotalEmissionsTCo2e]",Submission!$O:$O,Submission!$H:$N,""))</f>
        <v/>
      </c>
      <c r="H154" s="126" t="str">
        <f>_xlfn.CONCAT(_xlfn.XLOOKUP("[S05_AggregateTotalEmissionsByCRF][86][TotalCombustionEmissionsTCo2e]",Submission!$O:$O,Submission!$H:$N,""))</f>
        <v/>
      </c>
      <c r="I154" s="126" t="str">
        <f>_xlfn.CONCAT(_xlfn.XLOOKUP("[S05_AggregateTotalEmissionsByCRF][86][TotalProcessEmissionsTCo2e]",Submission!$O:$O,Submission!$H:$N,""))</f>
        <v/>
      </c>
    </row>
    <row r="155" spans="3:9" ht="16.2" hidden="1" customHeight="1" outlineLevel="1" x14ac:dyDescent="0.3">
      <c r="C155" s="387" t="str">
        <f>_xlfn.CONCAT(_xlfn.XLOOKUP("[S05_AggregateTotalEmissionsByCRF][87][CRFCategory1]",Submission!$O:$O,Submission!$H:$N,""))</f>
        <v/>
      </c>
      <c r="D155" s="388"/>
      <c r="E155" s="389" t="str">
        <f>_xlfn.CONCAT(_xlfn.XLOOKUP("[S05_AggregateTotalEmissionsByCRF][87][CRFCategory2]",Submission!$O:$O,Submission!$H:$N,""))</f>
        <v/>
      </c>
      <c r="F155" s="390"/>
      <c r="G155" s="126" t="str">
        <f>_xlfn.CONCAT(_xlfn.XLOOKUP("[S05_AggregateTotalEmissionsByCRF][87][TotalEmissionsTCo2e]",Submission!$O:$O,Submission!$H:$N,""))</f>
        <v/>
      </c>
      <c r="H155" s="126" t="str">
        <f>_xlfn.CONCAT(_xlfn.XLOOKUP("[S05_AggregateTotalEmissionsByCRF][87][TotalCombustionEmissionsTCo2e]",Submission!$O:$O,Submission!$H:$N,""))</f>
        <v/>
      </c>
      <c r="I155" s="126" t="str">
        <f>_xlfn.CONCAT(_xlfn.XLOOKUP("[S05_AggregateTotalEmissionsByCRF][87][TotalProcessEmissionsTCo2e]",Submission!$O:$O,Submission!$H:$N,""))</f>
        <v/>
      </c>
    </row>
    <row r="156" spans="3:9" ht="16.2" hidden="1" customHeight="1" outlineLevel="1" x14ac:dyDescent="0.3">
      <c r="C156" s="387" t="str">
        <f>_xlfn.CONCAT(_xlfn.XLOOKUP("[S05_AggregateTotalEmissionsByCRF][88][CRFCategory1]",Submission!$O:$O,Submission!$H:$N,""))</f>
        <v/>
      </c>
      <c r="D156" s="388"/>
      <c r="E156" s="389" t="str">
        <f>_xlfn.CONCAT(_xlfn.XLOOKUP("[S05_AggregateTotalEmissionsByCRF][88][CRFCategory2]",Submission!$O:$O,Submission!$H:$N,""))</f>
        <v/>
      </c>
      <c r="F156" s="390"/>
      <c r="G156" s="126" t="str">
        <f>_xlfn.CONCAT(_xlfn.XLOOKUP("[S05_AggregateTotalEmissionsByCRF][88][TotalEmissionsTCo2e]",Submission!$O:$O,Submission!$H:$N,""))</f>
        <v/>
      </c>
      <c r="H156" s="126" t="str">
        <f>_xlfn.CONCAT(_xlfn.XLOOKUP("[S05_AggregateTotalEmissionsByCRF][88][TotalCombustionEmissionsTCo2e]",Submission!$O:$O,Submission!$H:$N,""))</f>
        <v/>
      </c>
      <c r="I156" s="126" t="str">
        <f>_xlfn.CONCAT(_xlfn.XLOOKUP("[S05_AggregateTotalEmissionsByCRF][88][TotalProcessEmissionsTCo2e]",Submission!$O:$O,Submission!$H:$N,""))</f>
        <v/>
      </c>
    </row>
    <row r="157" spans="3:9" ht="16.2" hidden="1" customHeight="1" outlineLevel="1" x14ac:dyDescent="0.3">
      <c r="C157" s="387" t="str">
        <f>_xlfn.CONCAT(_xlfn.XLOOKUP("[S05_AggregateTotalEmissionsByCRF][89][CRFCategory1]",Submission!$O:$O,Submission!$H:$N,""))</f>
        <v/>
      </c>
      <c r="D157" s="388"/>
      <c r="E157" s="389" t="str">
        <f>_xlfn.CONCAT(_xlfn.XLOOKUP("[S05_AggregateTotalEmissionsByCRF][89][CRFCategory2]",Submission!$O:$O,Submission!$H:$N,""))</f>
        <v/>
      </c>
      <c r="F157" s="390"/>
      <c r="G157" s="126" t="str">
        <f>_xlfn.CONCAT(_xlfn.XLOOKUP("[S05_AggregateTotalEmissionsByCRF][89][TotalEmissionsTCo2e]",Submission!$O:$O,Submission!$H:$N,""))</f>
        <v/>
      </c>
      <c r="H157" s="126" t="str">
        <f>_xlfn.CONCAT(_xlfn.XLOOKUP("[S05_AggregateTotalEmissionsByCRF][89][TotalCombustionEmissionsTCo2e]",Submission!$O:$O,Submission!$H:$N,""))</f>
        <v/>
      </c>
      <c r="I157" s="126" t="str">
        <f>_xlfn.CONCAT(_xlfn.XLOOKUP("[S05_AggregateTotalEmissionsByCRF][89][TotalProcessEmissionsTCo2e]",Submission!$O:$O,Submission!$H:$N,""))</f>
        <v/>
      </c>
    </row>
    <row r="158" spans="3:9" ht="16.2" hidden="1" customHeight="1" outlineLevel="1" x14ac:dyDescent="0.3">
      <c r="C158" s="387" t="str">
        <f>_xlfn.CONCAT(_xlfn.XLOOKUP("[S05_AggregateTotalEmissionsByCRF][90][CRFCategory1]",Submission!$O:$O,Submission!$H:$N,""))</f>
        <v/>
      </c>
      <c r="D158" s="388"/>
      <c r="E158" s="389" t="str">
        <f>_xlfn.CONCAT(_xlfn.XLOOKUP("[S05_AggregateTotalEmissionsByCRF][90][CRFCategory2]",Submission!$O:$O,Submission!$H:$N,""))</f>
        <v/>
      </c>
      <c r="F158" s="390"/>
      <c r="G158" s="126" t="str">
        <f>_xlfn.CONCAT(_xlfn.XLOOKUP("[S05_AggregateTotalEmissionsByCRF][90][TotalEmissionsTCo2e]",Submission!$O:$O,Submission!$H:$N,""))</f>
        <v/>
      </c>
      <c r="H158" s="126" t="str">
        <f>_xlfn.CONCAT(_xlfn.XLOOKUP("[S05_AggregateTotalEmissionsByCRF][90][TotalCombustionEmissionsTCo2e]",Submission!$O:$O,Submission!$H:$N,""))</f>
        <v/>
      </c>
      <c r="I158" s="126" t="str">
        <f>_xlfn.CONCAT(_xlfn.XLOOKUP("[S05_AggregateTotalEmissionsByCRF][90][TotalProcessEmissionsTCo2e]",Submission!$O:$O,Submission!$H:$N,""))</f>
        <v/>
      </c>
    </row>
    <row r="159" spans="3:9" ht="16.2" hidden="1" customHeight="1" outlineLevel="1" x14ac:dyDescent="0.3">
      <c r="C159" s="387" t="str">
        <f>_xlfn.CONCAT(_xlfn.XLOOKUP("[S05_AggregateTotalEmissionsByCRF][91][CRFCategory1]",Submission!$O:$O,Submission!$H:$N,""))</f>
        <v/>
      </c>
      <c r="D159" s="388"/>
      <c r="E159" s="389" t="str">
        <f>_xlfn.CONCAT(_xlfn.XLOOKUP("[S05_AggregateTotalEmissionsByCRF][91][CRFCategory2]",Submission!$O:$O,Submission!$H:$N,""))</f>
        <v/>
      </c>
      <c r="F159" s="390"/>
      <c r="G159" s="126" t="str">
        <f>_xlfn.CONCAT(_xlfn.XLOOKUP("[S05_AggregateTotalEmissionsByCRF][91][TotalEmissionsTCo2e]",Submission!$O:$O,Submission!$H:$N,""))</f>
        <v/>
      </c>
      <c r="H159" s="126" t="str">
        <f>_xlfn.CONCAT(_xlfn.XLOOKUP("[S05_AggregateTotalEmissionsByCRF][91][TotalCombustionEmissionsTCo2e]",Submission!$O:$O,Submission!$H:$N,""))</f>
        <v/>
      </c>
      <c r="I159" s="126" t="str">
        <f>_xlfn.CONCAT(_xlfn.XLOOKUP("[S05_AggregateTotalEmissionsByCRF][91][TotalProcessEmissionsTCo2e]",Submission!$O:$O,Submission!$H:$N,""))</f>
        <v/>
      </c>
    </row>
    <row r="160" spans="3:9" ht="16.2" hidden="1" customHeight="1" outlineLevel="1" x14ac:dyDescent="0.3">
      <c r="C160" s="387" t="str">
        <f>_xlfn.CONCAT(_xlfn.XLOOKUP("[S05_AggregateTotalEmissionsByCRF][92][CRFCategory1]",Submission!$O:$O,Submission!$H:$N,""))</f>
        <v/>
      </c>
      <c r="D160" s="388"/>
      <c r="E160" s="389" t="str">
        <f>_xlfn.CONCAT(_xlfn.XLOOKUP("[S05_AggregateTotalEmissionsByCRF][92][CRFCategory2]",Submission!$O:$O,Submission!$H:$N,""))</f>
        <v/>
      </c>
      <c r="F160" s="390"/>
      <c r="G160" s="126" t="str">
        <f>_xlfn.CONCAT(_xlfn.XLOOKUP("[S05_AggregateTotalEmissionsByCRF][92][TotalEmissionsTCo2e]",Submission!$O:$O,Submission!$H:$N,""))</f>
        <v/>
      </c>
      <c r="H160" s="126" t="str">
        <f>_xlfn.CONCAT(_xlfn.XLOOKUP("[S05_AggregateTotalEmissionsByCRF][92][TotalCombustionEmissionsTCo2e]",Submission!$O:$O,Submission!$H:$N,""))</f>
        <v/>
      </c>
      <c r="I160" s="126" t="str">
        <f>_xlfn.CONCAT(_xlfn.XLOOKUP("[S05_AggregateTotalEmissionsByCRF][92][TotalProcessEmissionsTCo2e]",Submission!$O:$O,Submission!$H:$N,""))</f>
        <v/>
      </c>
    </row>
    <row r="161" spans="3:9" ht="16.2" hidden="1" customHeight="1" outlineLevel="1" x14ac:dyDescent="0.3">
      <c r="C161" s="387" t="str">
        <f>_xlfn.CONCAT(_xlfn.XLOOKUP("[S05_AggregateTotalEmissionsByCRF][93][CRFCategory1]",Submission!$O:$O,Submission!$H:$N,""))</f>
        <v/>
      </c>
      <c r="D161" s="388"/>
      <c r="E161" s="389" t="str">
        <f>_xlfn.CONCAT(_xlfn.XLOOKUP("[S05_AggregateTotalEmissionsByCRF][93][CRFCategory2]",Submission!$O:$O,Submission!$H:$N,""))</f>
        <v/>
      </c>
      <c r="F161" s="390"/>
      <c r="G161" s="126" t="str">
        <f>_xlfn.CONCAT(_xlfn.XLOOKUP("[S05_AggregateTotalEmissionsByCRF][93][TotalEmissionsTCo2e]",Submission!$O:$O,Submission!$H:$N,""))</f>
        <v/>
      </c>
      <c r="H161" s="126" t="str">
        <f>_xlfn.CONCAT(_xlfn.XLOOKUP("[S05_AggregateTotalEmissionsByCRF][93][TotalCombustionEmissionsTCo2e]",Submission!$O:$O,Submission!$H:$N,""))</f>
        <v/>
      </c>
      <c r="I161" s="126" t="str">
        <f>_xlfn.CONCAT(_xlfn.XLOOKUP("[S05_AggregateTotalEmissionsByCRF][93][TotalProcessEmissionsTCo2e]",Submission!$O:$O,Submission!$H:$N,""))</f>
        <v/>
      </c>
    </row>
    <row r="162" spans="3:9" ht="16.2" hidden="1" customHeight="1" outlineLevel="1" x14ac:dyDescent="0.3">
      <c r="C162" s="387" t="str">
        <f>_xlfn.CONCAT(_xlfn.XLOOKUP("[S05_AggregateTotalEmissionsByCRF][94][CRFCategory1]",Submission!$O:$O,Submission!$H:$N,""))</f>
        <v/>
      </c>
      <c r="D162" s="388"/>
      <c r="E162" s="389" t="str">
        <f>_xlfn.CONCAT(_xlfn.XLOOKUP("[S05_AggregateTotalEmissionsByCRF][94][CRFCategory2]",Submission!$O:$O,Submission!$H:$N,""))</f>
        <v/>
      </c>
      <c r="F162" s="390"/>
      <c r="G162" s="126" t="str">
        <f>_xlfn.CONCAT(_xlfn.XLOOKUP("[S05_AggregateTotalEmissionsByCRF][94][TotalEmissionsTCo2e]",Submission!$O:$O,Submission!$H:$N,""))</f>
        <v/>
      </c>
      <c r="H162" s="126" t="str">
        <f>_xlfn.CONCAT(_xlfn.XLOOKUP("[S05_AggregateTotalEmissionsByCRF][94][TotalCombustionEmissionsTCo2e]",Submission!$O:$O,Submission!$H:$N,""))</f>
        <v/>
      </c>
      <c r="I162" s="126" t="str">
        <f>_xlfn.CONCAT(_xlfn.XLOOKUP("[S05_AggregateTotalEmissionsByCRF][94][TotalProcessEmissionsTCo2e]",Submission!$O:$O,Submission!$H:$N,""))</f>
        <v/>
      </c>
    </row>
    <row r="163" spans="3:9" ht="16.2" hidden="1" customHeight="1" outlineLevel="1" x14ac:dyDescent="0.3">
      <c r="C163" s="387" t="str">
        <f>_xlfn.CONCAT(_xlfn.XLOOKUP("[S05_AggregateTotalEmissionsByCRF][95][CRFCategory1]",Submission!$O:$O,Submission!$H:$N,""))</f>
        <v/>
      </c>
      <c r="D163" s="388"/>
      <c r="E163" s="389" t="str">
        <f>_xlfn.CONCAT(_xlfn.XLOOKUP("[S05_AggregateTotalEmissionsByCRF][95][CRFCategory2]",Submission!$O:$O,Submission!$H:$N,""))</f>
        <v/>
      </c>
      <c r="F163" s="390"/>
      <c r="G163" s="126" t="str">
        <f>_xlfn.CONCAT(_xlfn.XLOOKUP("[S05_AggregateTotalEmissionsByCRF][95][TotalEmissionsTCo2e]",Submission!$O:$O,Submission!$H:$N,""))</f>
        <v/>
      </c>
      <c r="H163" s="126" t="str">
        <f>_xlfn.CONCAT(_xlfn.XLOOKUP("[S05_AggregateTotalEmissionsByCRF][95][TotalCombustionEmissionsTCo2e]",Submission!$O:$O,Submission!$H:$N,""))</f>
        <v/>
      </c>
      <c r="I163" s="126" t="str">
        <f>_xlfn.CONCAT(_xlfn.XLOOKUP("[S05_AggregateTotalEmissionsByCRF][95][TotalProcessEmissionsTCo2e]",Submission!$O:$O,Submission!$H:$N,""))</f>
        <v/>
      </c>
    </row>
    <row r="164" spans="3:9" ht="16.2" hidden="1" customHeight="1" outlineLevel="1" x14ac:dyDescent="0.3">
      <c r="C164" s="387" t="str">
        <f>_xlfn.CONCAT(_xlfn.XLOOKUP("[S05_AggregateTotalEmissionsByCRF][96][CRFCategory1]",Submission!$O:$O,Submission!$H:$N,""))</f>
        <v/>
      </c>
      <c r="D164" s="388"/>
      <c r="E164" s="389" t="str">
        <f>_xlfn.CONCAT(_xlfn.XLOOKUP("[S05_AggregateTotalEmissionsByCRF][96][CRFCategory2]",Submission!$O:$O,Submission!$H:$N,""))</f>
        <v/>
      </c>
      <c r="F164" s="390"/>
      <c r="G164" s="126" t="str">
        <f>_xlfn.CONCAT(_xlfn.XLOOKUP("[S05_AggregateTotalEmissionsByCRF][96][TotalEmissionsTCo2e]",Submission!$O:$O,Submission!$H:$N,""))</f>
        <v/>
      </c>
      <c r="H164" s="126" t="str">
        <f>_xlfn.CONCAT(_xlfn.XLOOKUP("[S05_AggregateTotalEmissionsByCRF][96][TotalCombustionEmissionsTCo2e]",Submission!$O:$O,Submission!$H:$N,""))</f>
        <v/>
      </c>
      <c r="I164" s="126" t="str">
        <f>_xlfn.CONCAT(_xlfn.XLOOKUP("[S05_AggregateTotalEmissionsByCRF][96][TotalProcessEmissionsTCo2e]",Submission!$O:$O,Submission!$H:$N,""))</f>
        <v/>
      </c>
    </row>
    <row r="165" spans="3:9" ht="16.2" hidden="1" customHeight="1" outlineLevel="1" x14ac:dyDescent="0.3">
      <c r="C165" s="387" t="str">
        <f>_xlfn.CONCAT(_xlfn.XLOOKUP("[S05_AggregateTotalEmissionsByCRF][97][CRFCategory1]",Submission!$O:$O,Submission!$H:$N,""))</f>
        <v/>
      </c>
      <c r="D165" s="388"/>
      <c r="E165" s="389" t="str">
        <f>_xlfn.CONCAT(_xlfn.XLOOKUP("[S05_AggregateTotalEmissionsByCRF][97][CRFCategory2]",Submission!$O:$O,Submission!$H:$N,""))</f>
        <v/>
      </c>
      <c r="F165" s="390"/>
      <c r="G165" s="126" t="str">
        <f>_xlfn.CONCAT(_xlfn.XLOOKUP("[S05_AggregateTotalEmissionsByCRF][97][TotalEmissionsTCo2e]",Submission!$O:$O,Submission!$H:$N,""))</f>
        <v/>
      </c>
      <c r="H165" s="126" t="str">
        <f>_xlfn.CONCAT(_xlfn.XLOOKUP("[S05_AggregateTotalEmissionsByCRF][97][TotalCombustionEmissionsTCo2e]",Submission!$O:$O,Submission!$H:$N,""))</f>
        <v/>
      </c>
      <c r="I165" s="126" t="str">
        <f>_xlfn.CONCAT(_xlfn.XLOOKUP("[S05_AggregateTotalEmissionsByCRF][97][TotalProcessEmissionsTCo2e]",Submission!$O:$O,Submission!$H:$N,""))</f>
        <v/>
      </c>
    </row>
    <row r="166" spans="3:9" ht="16.2" hidden="1" customHeight="1" outlineLevel="1" x14ac:dyDescent="0.3">
      <c r="C166" s="387" t="str">
        <f>_xlfn.CONCAT(_xlfn.XLOOKUP("[S05_AggregateTotalEmissionsByCRF][98][CRFCategory1]",Submission!$O:$O,Submission!$H:$N,""))</f>
        <v/>
      </c>
      <c r="D166" s="388"/>
      <c r="E166" s="389" t="str">
        <f>_xlfn.CONCAT(_xlfn.XLOOKUP("[S05_AggregateTotalEmissionsByCRF][98][CRFCategory2]",Submission!$O:$O,Submission!$H:$N,""))</f>
        <v/>
      </c>
      <c r="F166" s="390"/>
      <c r="G166" s="126" t="str">
        <f>_xlfn.CONCAT(_xlfn.XLOOKUP("[S05_AggregateTotalEmissionsByCRF][98][TotalEmissionsTCo2e]",Submission!$O:$O,Submission!$H:$N,""))</f>
        <v/>
      </c>
      <c r="H166" s="126" t="str">
        <f>_xlfn.CONCAT(_xlfn.XLOOKUP("[S05_AggregateTotalEmissionsByCRF][98][TotalCombustionEmissionsTCo2e]",Submission!$O:$O,Submission!$H:$N,""))</f>
        <v/>
      </c>
      <c r="I166" s="126" t="str">
        <f>_xlfn.CONCAT(_xlfn.XLOOKUP("[S05_AggregateTotalEmissionsByCRF][98][TotalProcessEmissionsTCo2e]",Submission!$O:$O,Submission!$H:$N,""))</f>
        <v/>
      </c>
    </row>
    <row r="167" spans="3:9" ht="16.2" hidden="1" customHeight="1" outlineLevel="1" x14ac:dyDescent="0.3">
      <c r="C167" s="387" t="str">
        <f>_xlfn.CONCAT(_xlfn.XLOOKUP("[S05_AggregateTotalEmissionsByCRF][99][CRFCategory1]",Submission!$O:$O,Submission!$H:$N,""))</f>
        <v/>
      </c>
      <c r="D167" s="388"/>
      <c r="E167" s="389" t="str">
        <f>_xlfn.CONCAT(_xlfn.XLOOKUP("[S05_AggregateTotalEmissionsByCRF][99][CRFCategory2]",Submission!$O:$O,Submission!$H:$N,""))</f>
        <v/>
      </c>
      <c r="F167" s="390"/>
      <c r="G167" s="126" t="str">
        <f>_xlfn.CONCAT(_xlfn.XLOOKUP("[S05_AggregateTotalEmissionsByCRF][99][TotalEmissionsTCo2e]",Submission!$O:$O,Submission!$H:$N,""))</f>
        <v/>
      </c>
      <c r="H167" s="126" t="str">
        <f>_xlfn.CONCAT(_xlfn.XLOOKUP("[S05_AggregateTotalEmissionsByCRF][99][TotalCombustionEmissionsTCo2e]",Submission!$O:$O,Submission!$H:$N,""))</f>
        <v/>
      </c>
      <c r="I167" s="126" t="str">
        <f>_xlfn.CONCAT(_xlfn.XLOOKUP("[S05_AggregateTotalEmissionsByCRF][99][TotalProcessEmissionsTCo2e]",Submission!$O:$O,Submission!$H:$N,""))</f>
        <v/>
      </c>
    </row>
    <row r="168" spans="3:9" ht="16.2" hidden="1" customHeight="1" outlineLevel="1" x14ac:dyDescent="0.3">
      <c r="C168" s="387" t="str">
        <f>_xlfn.CONCAT(_xlfn.XLOOKUP("[S05_AggregateTotalEmissionsByCRF][100][CRFCategory1]",Submission!$O:$O,Submission!$H:$N,""))</f>
        <v/>
      </c>
      <c r="D168" s="388"/>
      <c r="E168" s="389" t="str">
        <f>_xlfn.CONCAT(_xlfn.XLOOKUP("[S05_AggregateTotalEmissionsByCRF][100][CRFCategory2]",Submission!$O:$O,Submission!$H:$N,""))</f>
        <v/>
      </c>
      <c r="F168" s="390"/>
      <c r="G168" s="126" t="str">
        <f>_xlfn.CONCAT(_xlfn.XLOOKUP("[S05_AggregateTotalEmissionsByCRF][100][TotalEmissionsTCo2e]",Submission!$O:$O,Submission!$H:$N,""))</f>
        <v/>
      </c>
      <c r="H168" s="126" t="str">
        <f>_xlfn.CONCAT(_xlfn.XLOOKUP("[S05_AggregateTotalEmissionsByCRF][100][TotalCombustionEmissionsTCo2e]",Submission!$O:$O,Submission!$H:$N,""))</f>
        <v/>
      </c>
      <c r="I168" s="126" t="str">
        <f>_xlfn.CONCAT(_xlfn.XLOOKUP("[S05_AggregateTotalEmissionsByCRF][100][TotalProcessEmissionsTCo2e]",Submission!$O:$O,Submission!$H:$N,""))</f>
        <v/>
      </c>
    </row>
    <row r="169" spans="3:9" ht="16.2" hidden="1" customHeight="1" outlineLevel="1" x14ac:dyDescent="0.3">
      <c r="C169" s="387" t="str">
        <f>_xlfn.CONCAT(_xlfn.XLOOKUP("[S05_AggregateTotalEmissionsByCRF][101][CRFCategory1]",Submission!$O:$O,Submission!$H:$N,""))</f>
        <v/>
      </c>
      <c r="D169" s="388"/>
      <c r="E169" s="389" t="str">
        <f>_xlfn.CONCAT(_xlfn.XLOOKUP("[S05_AggregateTotalEmissionsByCRF][101][CRFCategory2]",Submission!$O:$O,Submission!$H:$N,""))</f>
        <v/>
      </c>
      <c r="F169" s="390"/>
      <c r="G169" s="126" t="str">
        <f>_xlfn.CONCAT(_xlfn.XLOOKUP("[S05_AggregateTotalEmissionsByCRF][101][TotalEmissionsTCo2e]",Submission!$O:$O,Submission!$H:$N,""))</f>
        <v/>
      </c>
      <c r="H169" s="126" t="str">
        <f>_xlfn.CONCAT(_xlfn.XLOOKUP("[S05_AggregateTotalEmissionsByCRF][101][TotalCombustionEmissionsTCo2e]",Submission!$O:$O,Submission!$H:$N,""))</f>
        <v/>
      </c>
      <c r="I169" s="126" t="str">
        <f>_xlfn.CONCAT(_xlfn.XLOOKUP("[S05_AggregateTotalEmissionsByCRF][101][TotalProcessEmissionsTCo2e]",Submission!$O:$O,Submission!$H:$N,""))</f>
        <v/>
      </c>
    </row>
    <row r="170" spans="3:9" ht="16.2" hidden="1" customHeight="1" outlineLevel="1" x14ac:dyDescent="0.3">
      <c r="C170" s="387" t="str">
        <f>_xlfn.CONCAT(_xlfn.XLOOKUP("[S05_AggregateTotalEmissionsByCRF][102][CRFCategory1]",Submission!$O:$O,Submission!$H:$N,""))</f>
        <v/>
      </c>
      <c r="D170" s="388"/>
      <c r="E170" s="389" t="str">
        <f>_xlfn.CONCAT(_xlfn.XLOOKUP("[S05_AggregateTotalEmissionsByCRF][102][CRFCategory2]",Submission!$O:$O,Submission!$H:$N,""))</f>
        <v/>
      </c>
      <c r="F170" s="390"/>
      <c r="G170" s="126" t="str">
        <f>_xlfn.CONCAT(_xlfn.XLOOKUP("[S05_AggregateTotalEmissionsByCRF][102][TotalEmissionsTCo2e]",Submission!$O:$O,Submission!$H:$N,""))</f>
        <v/>
      </c>
      <c r="H170" s="126" t="str">
        <f>_xlfn.CONCAT(_xlfn.XLOOKUP("[S05_AggregateTotalEmissionsByCRF][102][TotalCombustionEmissionsTCo2e]",Submission!$O:$O,Submission!$H:$N,""))</f>
        <v/>
      </c>
      <c r="I170" s="126" t="str">
        <f>_xlfn.CONCAT(_xlfn.XLOOKUP("[S05_AggregateTotalEmissionsByCRF][102][TotalProcessEmissionsTCo2e]",Submission!$O:$O,Submission!$H:$N,""))</f>
        <v/>
      </c>
    </row>
    <row r="171" spans="3:9" ht="16.2" hidden="1" customHeight="1" outlineLevel="1" x14ac:dyDescent="0.3">
      <c r="C171" s="387" t="str">
        <f>_xlfn.CONCAT(_xlfn.XLOOKUP("[S05_AggregateTotalEmissionsByCRF][103][CRFCategory1]",Submission!$O:$O,Submission!$H:$N,""))</f>
        <v/>
      </c>
      <c r="D171" s="388"/>
      <c r="E171" s="389" t="str">
        <f>_xlfn.CONCAT(_xlfn.XLOOKUP("[S05_AggregateTotalEmissionsByCRF][103][CRFCategory2]",Submission!$O:$O,Submission!$H:$N,""))</f>
        <v/>
      </c>
      <c r="F171" s="390"/>
      <c r="G171" s="126" t="str">
        <f>_xlfn.CONCAT(_xlfn.XLOOKUP("[S05_AggregateTotalEmissionsByCRF][103][TotalEmissionsTCo2e]",Submission!$O:$O,Submission!$H:$N,""))</f>
        <v/>
      </c>
      <c r="H171" s="126" t="str">
        <f>_xlfn.CONCAT(_xlfn.XLOOKUP("[S05_AggregateTotalEmissionsByCRF][103][TotalCombustionEmissionsTCo2e]",Submission!$O:$O,Submission!$H:$N,""))</f>
        <v/>
      </c>
      <c r="I171" s="126" t="str">
        <f>_xlfn.CONCAT(_xlfn.XLOOKUP("[S05_AggregateTotalEmissionsByCRF][103][TotalProcessEmissionsTCo2e]",Submission!$O:$O,Submission!$H:$N,""))</f>
        <v/>
      </c>
    </row>
    <row r="172" spans="3:9" ht="16.2" hidden="1" customHeight="1" outlineLevel="1" x14ac:dyDescent="0.3">
      <c r="C172" s="387" t="str">
        <f>_xlfn.CONCAT(_xlfn.XLOOKUP("[S05_AggregateTotalEmissionsByCRF][104][CRFCategory1]",Submission!$O:$O,Submission!$H:$N,""))</f>
        <v/>
      </c>
      <c r="D172" s="388"/>
      <c r="E172" s="389" t="str">
        <f>_xlfn.CONCAT(_xlfn.XLOOKUP("[S05_AggregateTotalEmissionsByCRF][104][CRFCategory2]",Submission!$O:$O,Submission!$H:$N,""))</f>
        <v/>
      </c>
      <c r="F172" s="390"/>
      <c r="G172" s="126" t="str">
        <f>_xlfn.CONCAT(_xlfn.XLOOKUP("[S05_AggregateTotalEmissionsByCRF][104][TotalEmissionsTCo2e]",Submission!$O:$O,Submission!$H:$N,""))</f>
        <v/>
      </c>
      <c r="H172" s="126" t="str">
        <f>_xlfn.CONCAT(_xlfn.XLOOKUP("[S05_AggregateTotalEmissionsByCRF][104][TotalCombustionEmissionsTCo2e]",Submission!$O:$O,Submission!$H:$N,""))</f>
        <v/>
      </c>
      <c r="I172" s="126" t="str">
        <f>_xlfn.CONCAT(_xlfn.XLOOKUP("[S05_AggregateTotalEmissionsByCRF][104][TotalProcessEmissionsTCo2e]",Submission!$O:$O,Submission!$H:$N,""))</f>
        <v/>
      </c>
    </row>
    <row r="173" spans="3:9" ht="16.2" hidden="1" customHeight="1" outlineLevel="1" x14ac:dyDescent="0.3">
      <c r="C173" s="387" t="str">
        <f>_xlfn.CONCAT(_xlfn.XLOOKUP("[S05_AggregateTotalEmissionsByCRF][105][CRFCategory1]",Submission!$O:$O,Submission!$H:$N,""))</f>
        <v/>
      </c>
      <c r="D173" s="388"/>
      <c r="E173" s="389" t="str">
        <f>_xlfn.CONCAT(_xlfn.XLOOKUP("[S05_AggregateTotalEmissionsByCRF][105][CRFCategory2]",Submission!$O:$O,Submission!$H:$N,""))</f>
        <v/>
      </c>
      <c r="F173" s="390"/>
      <c r="G173" s="126" t="str">
        <f>_xlfn.CONCAT(_xlfn.XLOOKUP("[S05_AggregateTotalEmissionsByCRF][105][TotalEmissionsTCo2e]",Submission!$O:$O,Submission!$H:$N,""))</f>
        <v/>
      </c>
      <c r="H173" s="126" t="str">
        <f>_xlfn.CONCAT(_xlfn.XLOOKUP("[S05_AggregateTotalEmissionsByCRF][105][TotalCombustionEmissionsTCo2e]",Submission!$O:$O,Submission!$H:$N,""))</f>
        <v/>
      </c>
      <c r="I173" s="126" t="str">
        <f>_xlfn.CONCAT(_xlfn.XLOOKUP("[S05_AggregateTotalEmissionsByCRF][105][TotalProcessEmissionsTCo2e]",Submission!$O:$O,Submission!$H:$N,""))</f>
        <v/>
      </c>
    </row>
    <row r="174" spans="3:9" ht="16.2" hidden="1" customHeight="1" outlineLevel="1" x14ac:dyDescent="0.3">
      <c r="C174" s="387" t="str">
        <f>_xlfn.CONCAT(_xlfn.XLOOKUP("[S05_AggregateTotalEmissionsByCRF][106][CRFCategory1]",Submission!$O:$O,Submission!$H:$N,""))</f>
        <v/>
      </c>
      <c r="D174" s="388"/>
      <c r="E174" s="389" t="str">
        <f>_xlfn.CONCAT(_xlfn.XLOOKUP("[S05_AggregateTotalEmissionsByCRF][106][CRFCategory2]",Submission!$O:$O,Submission!$H:$N,""))</f>
        <v/>
      </c>
      <c r="F174" s="390"/>
      <c r="G174" s="126" t="str">
        <f>_xlfn.CONCAT(_xlfn.XLOOKUP("[S05_AggregateTotalEmissionsByCRF][106][TotalEmissionsTCo2e]",Submission!$O:$O,Submission!$H:$N,""))</f>
        <v/>
      </c>
      <c r="H174" s="126" t="str">
        <f>_xlfn.CONCAT(_xlfn.XLOOKUP("[S05_AggregateTotalEmissionsByCRF][106][TotalCombustionEmissionsTCo2e]",Submission!$O:$O,Submission!$H:$N,""))</f>
        <v/>
      </c>
      <c r="I174" s="126" t="str">
        <f>_xlfn.CONCAT(_xlfn.XLOOKUP("[S05_AggregateTotalEmissionsByCRF][106][TotalProcessEmissionsTCo2e]",Submission!$O:$O,Submission!$H:$N,""))</f>
        <v/>
      </c>
    </row>
    <row r="175" spans="3:9" ht="16.2" hidden="1" customHeight="1" outlineLevel="1" x14ac:dyDescent="0.3">
      <c r="C175" s="387" t="str">
        <f>_xlfn.CONCAT(_xlfn.XLOOKUP("[S05_AggregateTotalEmissionsByCRF][107][CRFCategory1]",Submission!$O:$O,Submission!$H:$N,""))</f>
        <v/>
      </c>
      <c r="D175" s="388"/>
      <c r="E175" s="389" t="str">
        <f>_xlfn.CONCAT(_xlfn.XLOOKUP("[S05_AggregateTotalEmissionsByCRF][107][CRFCategory2]",Submission!$O:$O,Submission!$H:$N,""))</f>
        <v/>
      </c>
      <c r="F175" s="390"/>
      <c r="G175" s="126" t="str">
        <f>_xlfn.CONCAT(_xlfn.XLOOKUP("[S05_AggregateTotalEmissionsByCRF][107][TotalEmissionsTCo2e]",Submission!$O:$O,Submission!$H:$N,""))</f>
        <v/>
      </c>
      <c r="H175" s="126" t="str">
        <f>_xlfn.CONCAT(_xlfn.XLOOKUP("[S05_AggregateTotalEmissionsByCRF][107][TotalCombustionEmissionsTCo2e]",Submission!$O:$O,Submission!$H:$N,""))</f>
        <v/>
      </c>
      <c r="I175" s="126" t="str">
        <f>_xlfn.CONCAT(_xlfn.XLOOKUP("[S05_AggregateTotalEmissionsByCRF][107][TotalProcessEmissionsTCo2e]",Submission!$O:$O,Submission!$H:$N,""))</f>
        <v/>
      </c>
    </row>
    <row r="176" spans="3:9" ht="16.2" hidden="1" customHeight="1" outlineLevel="1" x14ac:dyDescent="0.3">
      <c r="C176" s="387" t="str">
        <f>_xlfn.CONCAT(_xlfn.XLOOKUP("[S05_AggregateTotalEmissionsByCRF][108][CRFCategory1]",Submission!$O:$O,Submission!$H:$N,""))</f>
        <v/>
      </c>
      <c r="D176" s="388"/>
      <c r="E176" s="389" t="str">
        <f>_xlfn.CONCAT(_xlfn.XLOOKUP("[S05_AggregateTotalEmissionsByCRF][108][CRFCategory2]",Submission!$O:$O,Submission!$H:$N,""))</f>
        <v/>
      </c>
      <c r="F176" s="390"/>
      <c r="G176" s="126" t="str">
        <f>_xlfn.CONCAT(_xlfn.XLOOKUP("[S05_AggregateTotalEmissionsByCRF][108][TotalEmissionsTCo2e]",Submission!$O:$O,Submission!$H:$N,""))</f>
        <v/>
      </c>
      <c r="H176" s="126" t="str">
        <f>_xlfn.CONCAT(_xlfn.XLOOKUP("[S05_AggregateTotalEmissionsByCRF][108][TotalCombustionEmissionsTCo2e]",Submission!$O:$O,Submission!$H:$N,""))</f>
        <v/>
      </c>
      <c r="I176" s="126" t="str">
        <f>_xlfn.CONCAT(_xlfn.XLOOKUP("[S05_AggregateTotalEmissionsByCRF][108][TotalProcessEmissionsTCo2e]",Submission!$O:$O,Submission!$H:$N,""))</f>
        <v/>
      </c>
    </row>
    <row r="177" spans="3:9" ht="16.2" hidden="1" customHeight="1" outlineLevel="1" x14ac:dyDescent="0.3">
      <c r="C177" s="387" t="str">
        <f>_xlfn.CONCAT(_xlfn.XLOOKUP("[S05_AggregateTotalEmissionsByCRF][109][CRFCategory1]",Submission!$O:$O,Submission!$H:$N,""))</f>
        <v/>
      </c>
      <c r="D177" s="388"/>
      <c r="E177" s="389" t="str">
        <f>_xlfn.CONCAT(_xlfn.XLOOKUP("[S05_AggregateTotalEmissionsByCRF][109][CRFCategory2]",Submission!$O:$O,Submission!$H:$N,""))</f>
        <v/>
      </c>
      <c r="F177" s="390"/>
      <c r="G177" s="126" t="str">
        <f>_xlfn.CONCAT(_xlfn.XLOOKUP("[S05_AggregateTotalEmissionsByCRF][109][TotalEmissionsTCo2e]",Submission!$O:$O,Submission!$H:$N,""))</f>
        <v/>
      </c>
      <c r="H177" s="126" t="str">
        <f>_xlfn.CONCAT(_xlfn.XLOOKUP("[S05_AggregateTotalEmissionsByCRF][109][TotalCombustionEmissionsTCo2e]",Submission!$O:$O,Submission!$H:$N,""))</f>
        <v/>
      </c>
      <c r="I177" s="126" t="str">
        <f>_xlfn.CONCAT(_xlfn.XLOOKUP("[S05_AggregateTotalEmissionsByCRF][109][TotalProcessEmissionsTCo2e]",Submission!$O:$O,Submission!$H:$N,""))</f>
        <v/>
      </c>
    </row>
    <row r="178" spans="3:9" ht="16.2" hidden="1" customHeight="1" outlineLevel="1" x14ac:dyDescent="0.3">
      <c r="C178" s="387" t="str">
        <f>_xlfn.CONCAT(_xlfn.XLOOKUP("[S05_AggregateTotalEmissionsByCRF][110][CRFCategory1]",Submission!$O:$O,Submission!$H:$N,""))</f>
        <v/>
      </c>
      <c r="D178" s="388"/>
      <c r="E178" s="389" t="str">
        <f>_xlfn.CONCAT(_xlfn.XLOOKUP("[S05_AggregateTotalEmissionsByCRF][110][CRFCategory2]",Submission!$O:$O,Submission!$H:$N,""))</f>
        <v/>
      </c>
      <c r="F178" s="390"/>
      <c r="G178" s="126" t="str">
        <f>_xlfn.CONCAT(_xlfn.XLOOKUP("[S05_AggregateTotalEmissionsByCRF][110][TotalEmissionsTCo2e]",Submission!$O:$O,Submission!$H:$N,""))</f>
        <v/>
      </c>
      <c r="H178" s="126" t="str">
        <f>_xlfn.CONCAT(_xlfn.XLOOKUP("[S05_AggregateTotalEmissionsByCRF][110][TotalCombustionEmissionsTCo2e]",Submission!$O:$O,Submission!$H:$N,""))</f>
        <v/>
      </c>
      <c r="I178" s="126" t="str">
        <f>_xlfn.CONCAT(_xlfn.XLOOKUP("[S05_AggregateTotalEmissionsByCRF][110][TotalProcessEmissionsTCo2e]",Submission!$O:$O,Submission!$H:$N,""))</f>
        <v/>
      </c>
    </row>
    <row r="179" spans="3:9" ht="16.2" hidden="1" customHeight="1" outlineLevel="1" x14ac:dyDescent="0.3">
      <c r="C179" s="387" t="str">
        <f>_xlfn.CONCAT(_xlfn.XLOOKUP("[S05_AggregateTotalEmissionsByCRF][111][CRFCategory1]",Submission!$O:$O,Submission!$H:$N,""))</f>
        <v/>
      </c>
      <c r="D179" s="388"/>
      <c r="E179" s="389" t="str">
        <f>_xlfn.CONCAT(_xlfn.XLOOKUP("[S05_AggregateTotalEmissionsByCRF][111][CRFCategory2]",Submission!$O:$O,Submission!$H:$N,""))</f>
        <v/>
      </c>
      <c r="F179" s="390"/>
      <c r="G179" s="126" t="str">
        <f>_xlfn.CONCAT(_xlfn.XLOOKUP("[S05_AggregateTotalEmissionsByCRF][111][TotalEmissionsTCo2e]",Submission!$O:$O,Submission!$H:$N,""))</f>
        <v/>
      </c>
      <c r="H179" s="126" t="str">
        <f>_xlfn.CONCAT(_xlfn.XLOOKUP("[S05_AggregateTotalEmissionsByCRF][111][TotalCombustionEmissionsTCo2e]",Submission!$O:$O,Submission!$H:$N,""))</f>
        <v/>
      </c>
      <c r="I179" s="126" t="str">
        <f>_xlfn.CONCAT(_xlfn.XLOOKUP("[S05_AggregateTotalEmissionsByCRF][111][TotalProcessEmissionsTCo2e]",Submission!$O:$O,Submission!$H:$N,""))</f>
        <v/>
      </c>
    </row>
    <row r="180" spans="3:9" ht="16.2" hidden="1" customHeight="1" outlineLevel="1" x14ac:dyDescent="0.3">
      <c r="C180" s="387" t="str">
        <f>_xlfn.CONCAT(_xlfn.XLOOKUP("[S05_AggregateTotalEmissionsByCRF][112][CRFCategory1]",Submission!$O:$O,Submission!$H:$N,""))</f>
        <v/>
      </c>
      <c r="D180" s="388"/>
      <c r="E180" s="389" t="str">
        <f>_xlfn.CONCAT(_xlfn.XLOOKUP("[S05_AggregateTotalEmissionsByCRF][112][CRFCategory2]",Submission!$O:$O,Submission!$H:$N,""))</f>
        <v/>
      </c>
      <c r="F180" s="390"/>
      <c r="G180" s="126" t="str">
        <f>_xlfn.CONCAT(_xlfn.XLOOKUP("[S05_AggregateTotalEmissionsByCRF][112][TotalEmissionsTCo2e]",Submission!$O:$O,Submission!$H:$N,""))</f>
        <v/>
      </c>
      <c r="H180" s="126" t="str">
        <f>_xlfn.CONCAT(_xlfn.XLOOKUP("[S05_AggregateTotalEmissionsByCRF][112][TotalCombustionEmissionsTCo2e]",Submission!$O:$O,Submission!$H:$N,""))</f>
        <v/>
      </c>
      <c r="I180" s="126" t="str">
        <f>_xlfn.CONCAT(_xlfn.XLOOKUP("[S05_AggregateTotalEmissionsByCRF][112][TotalProcessEmissionsTCo2e]",Submission!$O:$O,Submission!$H:$N,""))</f>
        <v/>
      </c>
    </row>
    <row r="181" spans="3:9" ht="16.2" hidden="1" customHeight="1" outlineLevel="1" x14ac:dyDescent="0.3">
      <c r="C181" s="387" t="str">
        <f>_xlfn.CONCAT(_xlfn.XLOOKUP("[S05_AggregateTotalEmissionsByCRF][113][CRFCategory1]",Submission!$O:$O,Submission!$H:$N,""))</f>
        <v/>
      </c>
      <c r="D181" s="388"/>
      <c r="E181" s="389" t="str">
        <f>_xlfn.CONCAT(_xlfn.XLOOKUP("[S05_AggregateTotalEmissionsByCRF][113][CRFCategory2]",Submission!$O:$O,Submission!$H:$N,""))</f>
        <v/>
      </c>
      <c r="F181" s="390"/>
      <c r="G181" s="126" t="str">
        <f>_xlfn.CONCAT(_xlfn.XLOOKUP("[S05_AggregateTotalEmissionsByCRF][113][TotalEmissionsTCo2e]",Submission!$O:$O,Submission!$H:$N,""))</f>
        <v/>
      </c>
      <c r="H181" s="126" t="str">
        <f>_xlfn.CONCAT(_xlfn.XLOOKUP("[S05_AggregateTotalEmissionsByCRF][113][TotalCombustionEmissionsTCo2e]",Submission!$O:$O,Submission!$H:$N,""))</f>
        <v/>
      </c>
      <c r="I181" s="126" t="str">
        <f>_xlfn.CONCAT(_xlfn.XLOOKUP("[S05_AggregateTotalEmissionsByCRF][113][TotalProcessEmissionsTCo2e]",Submission!$O:$O,Submission!$H:$N,""))</f>
        <v/>
      </c>
    </row>
    <row r="182" spans="3:9" ht="16.2" hidden="1" customHeight="1" outlineLevel="1" x14ac:dyDescent="0.3">
      <c r="C182" s="387" t="str">
        <f>_xlfn.CONCAT(_xlfn.XLOOKUP("[S05_AggregateTotalEmissionsByCRF][114][CRFCategory1]",Submission!$O:$O,Submission!$H:$N,""))</f>
        <v/>
      </c>
      <c r="D182" s="388"/>
      <c r="E182" s="389" t="str">
        <f>_xlfn.CONCAT(_xlfn.XLOOKUP("[S05_AggregateTotalEmissionsByCRF][114][CRFCategory2]",Submission!$O:$O,Submission!$H:$N,""))</f>
        <v/>
      </c>
      <c r="F182" s="390"/>
      <c r="G182" s="126" t="str">
        <f>_xlfn.CONCAT(_xlfn.XLOOKUP("[S05_AggregateTotalEmissionsByCRF][114][TotalEmissionsTCo2e]",Submission!$O:$O,Submission!$H:$N,""))</f>
        <v/>
      </c>
      <c r="H182" s="126" t="str">
        <f>_xlfn.CONCAT(_xlfn.XLOOKUP("[S05_AggregateTotalEmissionsByCRF][114][TotalCombustionEmissionsTCo2e]",Submission!$O:$O,Submission!$H:$N,""))</f>
        <v/>
      </c>
      <c r="I182" s="126" t="str">
        <f>_xlfn.CONCAT(_xlfn.XLOOKUP("[S05_AggregateTotalEmissionsByCRF][114][TotalProcessEmissionsTCo2e]",Submission!$O:$O,Submission!$H:$N,""))</f>
        <v/>
      </c>
    </row>
    <row r="183" spans="3:9" ht="16.2" hidden="1" customHeight="1" outlineLevel="1" x14ac:dyDescent="0.3">
      <c r="C183" s="387" t="str">
        <f>_xlfn.CONCAT(_xlfn.XLOOKUP("[S05_AggregateTotalEmissionsByCRF][115][CRFCategory1]",Submission!$O:$O,Submission!$H:$N,""))</f>
        <v/>
      </c>
      <c r="D183" s="388"/>
      <c r="E183" s="389" t="str">
        <f>_xlfn.CONCAT(_xlfn.XLOOKUP("[S05_AggregateTotalEmissionsByCRF][115][CRFCategory2]",Submission!$O:$O,Submission!$H:$N,""))</f>
        <v/>
      </c>
      <c r="F183" s="390"/>
      <c r="G183" s="126" t="str">
        <f>_xlfn.CONCAT(_xlfn.XLOOKUP("[S05_AggregateTotalEmissionsByCRF][115][TotalEmissionsTCo2e]",Submission!$O:$O,Submission!$H:$N,""))</f>
        <v/>
      </c>
      <c r="H183" s="126" t="str">
        <f>_xlfn.CONCAT(_xlfn.XLOOKUP("[S05_AggregateTotalEmissionsByCRF][115][TotalCombustionEmissionsTCo2e]",Submission!$O:$O,Submission!$H:$N,""))</f>
        <v/>
      </c>
      <c r="I183" s="126" t="str">
        <f>_xlfn.CONCAT(_xlfn.XLOOKUP("[S05_AggregateTotalEmissionsByCRF][115][TotalProcessEmissionsTCo2e]",Submission!$O:$O,Submission!$H:$N,""))</f>
        <v/>
      </c>
    </row>
    <row r="184" spans="3:9" ht="16.2" hidden="1" customHeight="1" outlineLevel="1" x14ac:dyDescent="0.3">
      <c r="C184" s="387" t="str">
        <f>_xlfn.CONCAT(_xlfn.XLOOKUP("[S05_AggregateTotalEmissionsByCRF][116][CRFCategory1]",Submission!$O:$O,Submission!$H:$N,""))</f>
        <v/>
      </c>
      <c r="D184" s="388"/>
      <c r="E184" s="389" t="str">
        <f>_xlfn.CONCAT(_xlfn.XLOOKUP("[S05_AggregateTotalEmissionsByCRF][116][CRFCategory2]",Submission!$O:$O,Submission!$H:$N,""))</f>
        <v/>
      </c>
      <c r="F184" s="390"/>
      <c r="G184" s="126" t="str">
        <f>_xlfn.CONCAT(_xlfn.XLOOKUP("[S05_AggregateTotalEmissionsByCRF][116][TotalEmissionsTCo2e]",Submission!$O:$O,Submission!$H:$N,""))</f>
        <v/>
      </c>
      <c r="H184" s="126" t="str">
        <f>_xlfn.CONCAT(_xlfn.XLOOKUP("[S05_AggregateTotalEmissionsByCRF][116][TotalCombustionEmissionsTCo2e]",Submission!$O:$O,Submission!$H:$N,""))</f>
        <v/>
      </c>
      <c r="I184" s="126" t="str">
        <f>_xlfn.CONCAT(_xlfn.XLOOKUP("[S05_AggregateTotalEmissionsByCRF][116][TotalProcessEmissionsTCo2e]",Submission!$O:$O,Submission!$H:$N,""))</f>
        <v/>
      </c>
    </row>
    <row r="185" spans="3:9" ht="16.2" hidden="1" customHeight="1" outlineLevel="1" x14ac:dyDescent="0.3">
      <c r="C185" s="387" t="str">
        <f>_xlfn.CONCAT(_xlfn.XLOOKUP("[S05_AggregateTotalEmissionsByCRF][117][CRFCategory1]",Submission!$O:$O,Submission!$H:$N,""))</f>
        <v/>
      </c>
      <c r="D185" s="388"/>
      <c r="E185" s="389" t="str">
        <f>_xlfn.CONCAT(_xlfn.XLOOKUP("[S05_AggregateTotalEmissionsByCRF][117][CRFCategory2]",Submission!$O:$O,Submission!$H:$N,""))</f>
        <v/>
      </c>
      <c r="F185" s="390"/>
      <c r="G185" s="126" t="str">
        <f>_xlfn.CONCAT(_xlfn.XLOOKUP("[S05_AggregateTotalEmissionsByCRF][117][TotalEmissionsTCo2e]",Submission!$O:$O,Submission!$H:$N,""))</f>
        <v/>
      </c>
      <c r="H185" s="126" t="str">
        <f>_xlfn.CONCAT(_xlfn.XLOOKUP("[S05_AggregateTotalEmissionsByCRF][117][TotalCombustionEmissionsTCo2e]",Submission!$O:$O,Submission!$H:$N,""))</f>
        <v/>
      </c>
      <c r="I185" s="126" t="str">
        <f>_xlfn.CONCAT(_xlfn.XLOOKUP("[S05_AggregateTotalEmissionsByCRF][117][TotalProcessEmissionsTCo2e]",Submission!$O:$O,Submission!$H:$N,""))</f>
        <v/>
      </c>
    </row>
    <row r="186" spans="3:9" ht="16.2" hidden="1" customHeight="1" outlineLevel="1" x14ac:dyDescent="0.3">
      <c r="C186" s="387" t="str">
        <f>_xlfn.CONCAT(_xlfn.XLOOKUP("[S05_AggregateTotalEmissionsByCRF][118][CRFCategory1]",Submission!$O:$O,Submission!$H:$N,""))</f>
        <v/>
      </c>
      <c r="D186" s="388"/>
      <c r="E186" s="389" t="str">
        <f>_xlfn.CONCAT(_xlfn.XLOOKUP("[S05_AggregateTotalEmissionsByCRF][118][CRFCategory2]",Submission!$O:$O,Submission!$H:$N,""))</f>
        <v/>
      </c>
      <c r="F186" s="390"/>
      <c r="G186" s="126" t="str">
        <f>_xlfn.CONCAT(_xlfn.XLOOKUP("[S05_AggregateTotalEmissionsByCRF][118][TotalEmissionsTCo2e]",Submission!$O:$O,Submission!$H:$N,""))</f>
        <v/>
      </c>
      <c r="H186" s="126" t="str">
        <f>_xlfn.CONCAT(_xlfn.XLOOKUP("[S05_AggregateTotalEmissionsByCRF][118][TotalCombustionEmissionsTCo2e]",Submission!$O:$O,Submission!$H:$N,""))</f>
        <v/>
      </c>
      <c r="I186" s="126" t="str">
        <f>_xlfn.CONCAT(_xlfn.XLOOKUP("[S05_AggregateTotalEmissionsByCRF][118][TotalProcessEmissionsTCo2e]",Submission!$O:$O,Submission!$H:$N,""))</f>
        <v/>
      </c>
    </row>
    <row r="187" spans="3:9" ht="16.2" hidden="1" customHeight="1" outlineLevel="1" x14ac:dyDescent="0.3">
      <c r="C187" s="387" t="str">
        <f>_xlfn.CONCAT(_xlfn.XLOOKUP("[S05_AggregateTotalEmissionsByCRF][119][CRFCategory1]",Submission!$O:$O,Submission!$H:$N,""))</f>
        <v/>
      </c>
      <c r="D187" s="388"/>
      <c r="E187" s="389" t="str">
        <f>_xlfn.CONCAT(_xlfn.XLOOKUP("[S05_AggregateTotalEmissionsByCRF][119][CRFCategory2]",Submission!$O:$O,Submission!$H:$N,""))</f>
        <v/>
      </c>
      <c r="F187" s="390"/>
      <c r="G187" s="126" t="str">
        <f>_xlfn.CONCAT(_xlfn.XLOOKUP("[S05_AggregateTotalEmissionsByCRF][119][TotalEmissionsTCo2e]",Submission!$O:$O,Submission!$H:$N,""))</f>
        <v/>
      </c>
      <c r="H187" s="126" t="str">
        <f>_xlfn.CONCAT(_xlfn.XLOOKUP("[S05_AggregateTotalEmissionsByCRF][119][TotalCombustionEmissionsTCo2e]",Submission!$O:$O,Submission!$H:$N,""))</f>
        <v/>
      </c>
      <c r="I187" s="126" t="str">
        <f>_xlfn.CONCAT(_xlfn.XLOOKUP("[S05_AggregateTotalEmissionsByCRF][119][TotalProcessEmissionsTCo2e]",Submission!$O:$O,Submission!$H:$N,""))</f>
        <v/>
      </c>
    </row>
    <row r="188" spans="3:9" ht="16.2" hidden="1" customHeight="1" outlineLevel="1" x14ac:dyDescent="0.3">
      <c r="C188" s="387" t="str">
        <f>_xlfn.CONCAT(_xlfn.XLOOKUP("[S05_AggregateTotalEmissionsByCRF][120][CRFCategory1]",Submission!$O:$O,Submission!$H:$N,""))</f>
        <v/>
      </c>
      <c r="D188" s="388"/>
      <c r="E188" s="389" t="str">
        <f>_xlfn.CONCAT(_xlfn.XLOOKUP("[S05_AggregateTotalEmissionsByCRF][120][CRFCategory2]",Submission!$O:$O,Submission!$H:$N,""))</f>
        <v/>
      </c>
      <c r="F188" s="390"/>
      <c r="G188" s="126" t="str">
        <f>_xlfn.CONCAT(_xlfn.XLOOKUP("[S05_AggregateTotalEmissionsByCRF][120][TotalEmissionsTCo2e]",Submission!$O:$O,Submission!$H:$N,""))</f>
        <v/>
      </c>
      <c r="H188" s="126" t="str">
        <f>_xlfn.CONCAT(_xlfn.XLOOKUP("[S05_AggregateTotalEmissionsByCRF][120][TotalCombustionEmissionsTCo2e]",Submission!$O:$O,Submission!$H:$N,""))</f>
        <v/>
      </c>
      <c r="I188" s="126" t="str">
        <f>_xlfn.CONCAT(_xlfn.XLOOKUP("[S05_AggregateTotalEmissionsByCRF][120][TotalProcessEmissionsTCo2e]",Submission!$O:$O,Submission!$H:$N,""))</f>
        <v/>
      </c>
    </row>
    <row r="189" spans="3:9" ht="16.2" hidden="1" customHeight="1" outlineLevel="1" x14ac:dyDescent="0.3">
      <c r="C189" s="387" t="str">
        <f>_xlfn.CONCAT(_xlfn.XLOOKUP("[S05_AggregateTotalEmissionsByCRF][121][CRFCategory1]",Submission!$O:$O,Submission!$H:$N,""))</f>
        <v/>
      </c>
      <c r="D189" s="388"/>
      <c r="E189" s="389" t="str">
        <f>_xlfn.CONCAT(_xlfn.XLOOKUP("[S05_AggregateTotalEmissionsByCRF][121][CRFCategory2]",Submission!$O:$O,Submission!$H:$N,""))</f>
        <v/>
      </c>
      <c r="F189" s="390"/>
      <c r="G189" s="126" t="str">
        <f>_xlfn.CONCAT(_xlfn.XLOOKUP("[S05_AggregateTotalEmissionsByCRF][121][TotalEmissionsTCo2e]",Submission!$O:$O,Submission!$H:$N,""))</f>
        <v/>
      </c>
      <c r="H189" s="126" t="str">
        <f>_xlfn.CONCAT(_xlfn.XLOOKUP("[S05_AggregateTotalEmissionsByCRF][121][TotalCombustionEmissionsTCo2e]",Submission!$O:$O,Submission!$H:$N,""))</f>
        <v/>
      </c>
      <c r="I189" s="126" t="str">
        <f>_xlfn.CONCAT(_xlfn.XLOOKUP("[S05_AggregateTotalEmissionsByCRF][121][TotalProcessEmissionsTCo2e]",Submission!$O:$O,Submission!$H:$N,""))</f>
        <v/>
      </c>
    </row>
    <row r="190" spans="3:9" ht="16.2" hidden="1" customHeight="1" outlineLevel="1" x14ac:dyDescent="0.3">
      <c r="C190" s="387" t="str">
        <f>_xlfn.CONCAT(_xlfn.XLOOKUP("[S05_AggregateTotalEmissionsByCRF][122][CRFCategory1]",Submission!$O:$O,Submission!$H:$N,""))</f>
        <v/>
      </c>
      <c r="D190" s="388"/>
      <c r="E190" s="389" t="str">
        <f>_xlfn.CONCAT(_xlfn.XLOOKUP("[S05_AggregateTotalEmissionsByCRF][122][CRFCategory2]",Submission!$O:$O,Submission!$H:$N,""))</f>
        <v/>
      </c>
      <c r="F190" s="390"/>
      <c r="G190" s="126" t="str">
        <f>_xlfn.CONCAT(_xlfn.XLOOKUP("[S05_AggregateTotalEmissionsByCRF][122][TotalEmissionsTCo2e]",Submission!$O:$O,Submission!$H:$N,""))</f>
        <v/>
      </c>
      <c r="H190" s="126" t="str">
        <f>_xlfn.CONCAT(_xlfn.XLOOKUP("[S05_AggregateTotalEmissionsByCRF][122][TotalCombustionEmissionsTCo2e]",Submission!$O:$O,Submission!$H:$N,""))</f>
        <v/>
      </c>
      <c r="I190" s="126" t="str">
        <f>_xlfn.CONCAT(_xlfn.XLOOKUP("[S05_AggregateTotalEmissionsByCRF][122][TotalProcessEmissionsTCo2e]",Submission!$O:$O,Submission!$H:$N,""))</f>
        <v/>
      </c>
    </row>
    <row r="191" spans="3:9" ht="16.2" hidden="1" customHeight="1" outlineLevel="1" x14ac:dyDescent="0.3">
      <c r="C191" s="387" t="str">
        <f>_xlfn.CONCAT(_xlfn.XLOOKUP("[S05_AggregateTotalEmissionsByCRF][123][CRFCategory1]",Submission!$O:$O,Submission!$H:$N,""))</f>
        <v/>
      </c>
      <c r="D191" s="388"/>
      <c r="E191" s="389" t="str">
        <f>_xlfn.CONCAT(_xlfn.XLOOKUP("[S05_AggregateTotalEmissionsByCRF][123][CRFCategory2]",Submission!$O:$O,Submission!$H:$N,""))</f>
        <v/>
      </c>
      <c r="F191" s="390"/>
      <c r="G191" s="126" t="str">
        <f>_xlfn.CONCAT(_xlfn.XLOOKUP("[S05_AggregateTotalEmissionsByCRF][123][TotalEmissionsTCo2e]",Submission!$O:$O,Submission!$H:$N,""))</f>
        <v/>
      </c>
      <c r="H191" s="126" t="str">
        <f>_xlfn.CONCAT(_xlfn.XLOOKUP("[S05_AggregateTotalEmissionsByCRF][123][TotalCombustionEmissionsTCo2e]",Submission!$O:$O,Submission!$H:$N,""))</f>
        <v/>
      </c>
      <c r="I191" s="126" t="str">
        <f>_xlfn.CONCAT(_xlfn.XLOOKUP("[S05_AggregateTotalEmissionsByCRF][123][TotalProcessEmissionsTCo2e]",Submission!$O:$O,Submission!$H:$N,""))</f>
        <v/>
      </c>
    </row>
    <row r="192" spans="3:9" ht="16.2" hidden="1" customHeight="1" outlineLevel="1" x14ac:dyDescent="0.3">
      <c r="C192" s="387" t="str">
        <f>_xlfn.CONCAT(_xlfn.XLOOKUP("[S05_AggregateTotalEmissionsByCRF][124][CRFCategory1]",Submission!$O:$O,Submission!$H:$N,""))</f>
        <v/>
      </c>
      <c r="D192" s="388"/>
      <c r="E192" s="389" t="str">
        <f>_xlfn.CONCAT(_xlfn.XLOOKUP("[S05_AggregateTotalEmissionsByCRF][124][CRFCategory2]",Submission!$O:$O,Submission!$H:$N,""))</f>
        <v/>
      </c>
      <c r="F192" s="390"/>
      <c r="G192" s="126" t="str">
        <f>_xlfn.CONCAT(_xlfn.XLOOKUP("[S05_AggregateTotalEmissionsByCRF][124][TotalEmissionsTCo2e]",Submission!$O:$O,Submission!$H:$N,""))</f>
        <v/>
      </c>
      <c r="H192" s="126" t="str">
        <f>_xlfn.CONCAT(_xlfn.XLOOKUP("[S05_AggregateTotalEmissionsByCRF][124][TotalCombustionEmissionsTCo2e]",Submission!$O:$O,Submission!$H:$N,""))</f>
        <v/>
      </c>
      <c r="I192" s="126" t="str">
        <f>_xlfn.CONCAT(_xlfn.XLOOKUP("[S05_AggregateTotalEmissionsByCRF][124][TotalProcessEmissionsTCo2e]",Submission!$O:$O,Submission!$H:$N,""))</f>
        <v/>
      </c>
    </row>
    <row r="193" spans="1:9" ht="16.2" hidden="1" customHeight="1" outlineLevel="1" x14ac:dyDescent="0.3">
      <c r="C193" s="387" t="str">
        <f>_xlfn.CONCAT(_xlfn.XLOOKUP("[S05_AggregateTotalEmissionsByCRF][125][CRFCategory1]",Submission!$O:$O,Submission!$H:$N,""))</f>
        <v/>
      </c>
      <c r="D193" s="388"/>
      <c r="E193" s="389" t="str">
        <f>_xlfn.CONCAT(_xlfn.XLOOKUP("[S05_AggregateTotalEmissionsByCRF][125][CRFCategory2]",Submission!$O:$O,Submission!$H:$N,""))</f>
        <v/>
      </c>
      <c r="F193" s="390"/>
      <c r="G193" s="126" t="str">
        <f>_xlfn.CONCAT(_xlfn.XLOOKUP("[S05_AggregateTotalEmissionsByCRF][125][TotalEmissionsTCo2e]",Submission!$O:$O,Submission!$H:$N,""))</f>
        <v/>
      </c>
      <c r="H193" s="126" t="str">
        <f>_xlfn.CONCAT(_xlfn.XLOOKUP("[S05_AggregateTotalEmissionsByCRF][125][TotalCombustionEmissionsTCo2e]",Submission!$O:$O,Submission!$H:$N,""))</f>
        <v/>
      </c>
      <c r="I193" s="126" t="str">
        <f>_xlfn.CONCAT(_xlfn.XLOOKUP("[S05_AggregateTotalEmissionsByCRF][125][TotalProcessEmissionsTCo2e]",Submission!$O:$O,Submission!$H:$N,""))</f>
        <v/>
      </c>
    </row>
    <row r="194" spans="1:9" ht="16.2" hidden="1" customHeight="1" outlineLevel="1" x14ac:dyDescent="0.3">
      <c r="C194" s="387" t="str">
        <f>_xlfn.CONCAT(_xlfn.XLOOKUP("[S05_AggregateTotalEmissionsByCRF][126][CRFCategory1]",Submission!$O:$O,Submission!$H:$N,""))</f>
        <v/>
      </c>
      <c r="D194" s="388"/>
      <c r="E194" s="389" t="str">
        <f>_xlfn.CONCAT(_xlfn.XLOOKUP("[S05_AggregateTotalEmissionsByCRF][126][CRFCategory2]",Submission!$O:$O,Submission!$H:$N,""))</f>
        <v/>
      </c>
      <c r="F194" s="390"/>
      <c r="G194" s="126" t="str">
        <f>_xlfn.CONCAT(_xlfn.XLOOKUP("[S05_AggregateTotalEmissionsByCRF][126][TotalEmissionsTCo2e]",Submission!$O:$O,Submission!$H:$N,""))</f>
        <v/>
      </c>
      <c r="H194" s="126" t="str">
        <f>_xlfn.CONCAT(_xlfn.XLOOKUP("[S05_AggregateTotalEmissionsByCRF][126][TotalCombustionEmissionsTCo2e]",Submission!$O:$O,Submission!$H:$N,""))</f>
        <v/>
      </c>
      <c r="I194" s="126" t="str">
        <f>_xlfn.CONCAT(_xlfn.XLOOKUP("[S05_AggregateTotalEmissionsByCRF][126][TotalProcessEmissionsTCo2e]",Submission!$O:$O,Submission!$H:$N,""))</f>
        <v/>
      </c>
    </row>
    <row r="195" spans="1:9" ht="16.2" hidden="1" customHeight="1" outlineLevel="1" x14ac:dyDescent="0.3">
      <c r="C195" s="387" t="str">
        <f>_xlfn.CONCAT(_xlfn.XLOOKUP("[S05_AggregateTotalEmissionsByCRF][127][CRFCategory1]",Submission!$O:$O,Submission!$H:$N,""))</f>
        <v/>
      </c>
      <c r="D195" s="388"/>
      <c r="E195" s="389" t="str">
        <f>_xlfn.CONCAT(_xlfn.XLOOKUP("[S05_AggregateTotalEmissionsByCRF][127][CRFCategory2]",Submission!$O:$O,Submission!$H:$N,""))</f>
        <v/>
      </c>
      <c r="F195" s="390"/>
      <c r="G195" s="126" t="str">
        <f>_xlfn.CONCAT(_xlfn.XLOOKUP("[S05_AggregateTotalEmissionsByCRF][127][TotalEmissionsTCo2e]",Submission!$O:$O,Submission!$H:$N,""))</f>
        <v/>
      </c>
      <c r="H195" s="126" t="str">
        <f>_xlfn.CONCAT(_xlfn.XLOOKUP("[S05_AggregateTotalEmissionsByCRF][127][TotalCombustionEmissionsTCo2e]",Submission!$O:$O,Submission!$H:$N,""))</f>
        <v/>
      </c>
      <c r="I195" s="126" t="str">
        <f>_xlfn.CONCAT(_xlfn.XLOOKUP("[S05_AggregateTotalEmissionsByCRF][127][TotalProcessEmissionsTCo2e]",Submission!$O:$O,Submission!$H:$N,""))</f>
        <v/>
      </c>
    </row>
    <row r="196" spans="1:9" ht="16.2" hidden="1" customHeight="1" outlineLevel="1" x14ac:dyDescent="0.3">
      <c r="C196" s="387" t="str">
        <f>_xlfn.CONCAT(_xlfn.XLOOKUP("[S05_AggregateTotalEmissionsByCRF][128][CRFCategory1]",Submission!$O:$O,Submission!$H:$N,""))</f>
        <v/>
      </c>
      <c r="D196" s="388"/>
      <c r="E196" s="389" t="str">
        <f>_xlfn.CONCAT(_xlfn.XLOOKUP("[S05_AggregateTotalEmissionsByCRF][128][CRFCategory2]",Submission!$O:$O,Submission!$H:$N,""))</f>
        <v/>
      </c>
      <c r="F196" s="390"/>
      <c r="G196" s="126" t="str">
        <f>_xlfn.CONCAT(_xlfn.XLOOKUP("[S05_AggregateTotalEmissionsByCRF][128][TotalEmissionsTCo2e]",Submission!$O:$O,Submission!$H:$N,""))</f>
        <v/>
      </c>
      <c r="H196" s="126" t="str">
        <f>_xlfn.CONCAT(_xlfn.XLOOKUP("[S05_AggregateTotalEmissionsByCRF][128][TotalCombustionEmissionsTCo2e]",Submission!$O:$O,Submission!$H:$N,""))</f>
        <v/>
      </c>
      <c r="I196" s="126" t="str">
        <f>_xlfn.CONCAT(_xlfn.XLOOKUP("[S05_AggregateTotalEmissionsByCRF][128][TotalProcessEmissionsTCo2e]",Submission!$O:$O,Submission!$H:$N,""))</f>
        <v/>
      </c>
    </row>
    <row r="197" spans="1:9" ht="16.2" hidden="1" customHeight="1" outlineLevel="1" x14ac:dyDescent="0.3">
      <c r="C197" s="387" t="str">
        <f>_xlfn.CONCAT(_xlfn.XLOOKUP("[S05_AggregateTotalEmissionsByCRF][129][CRFCategory1]",Submission!$O:$O,Submission!$H:$N,""))</f>
        <v/>
      </c>
      <c r="D197" s="388"/>
      <c r="E197" s="389" t="str">
        <f>_xlfn.CONCAT(_xlfn.XLOOKUP("[S05_AggregateTotalEmissionsByCRF][129][CRFCategory2]",Submission!$O:$O,Submission!$H:$N,""))</f>
        <v/>
      </c>
      <c r="F197" s="390"/>
      <c r="G197" s="126" t="str">
        <f>_xlfn.CONCAT(_xlfn.XLOOKUP("[S05_AggregateTotalEmissionsByCRF][129][TotalEmissionsTCo2e]",Submission!$O:$O,Submission!$H:$N,""))</f>
        <v/>
      </c>
      <c r="H197" s="126" t="str">
        <f>_xlfn.CONCAT(_xlfn.XLOOKUP("[S05_AggregateTotalEmissionsByCRF][129][TotalCombustionEmissionsTCo2e]",Submission!$O:$O,Submission!$H:$N,""))</f>
        <v/>
      </c>
      <c r="I197" s="126" t="str">
        <f>_xlfn.CONCAT(_xlfn.XLOOKUP("[S05_AggregateTotalEmissionsByCRF][129][TotalProcessEmissionsTCo2e]",Submission!$O:$O,Submission!$H:$N,""))</f>
        <v/>
      </c>
    </row>
    <row r="198" spans="1:9" ht="16.2" hidden="1" customHeight="1" outlineLevel="1" x14ac:dyDescent="0.3">
      <c r="C198" s="387" t="str">
        <f>_xlfn.CONCAT(_xlfn.XLOOKUP("[S05_AggregateTotalEmissionsByCRF][130][CRFCategory1]",Submission!$O:$O,Submission!$H:$N,""))</f>
        <v/>
      </c>
      <c r="D198" s="388"/>
      <c r="E198" s="389" t="str">
        <f>_xlfn.CONCAT(_xlfn.XLOOKUP("[S05_AggregateTotalEmissionsByCRF][130][CRFCategory2]",Submission!$O:$O,Submission!$H:$N,""))</f>
        <v/>
      </c>
      <c r="F198" s="390"/>
      <c r="G198" s="126" t="str">
        <f>_xlfn.CONCAT(_xlfn.XLOOKUP("[S05_AggregateTotalEmissionsByCRF][130][TotalEmissionsTCo2e]",Submission!$O:$O,Submission!$H:$N,""))</f>
        <v/>
      </c>
      <c r="H198" s="126" t="str">
        <f>_xlfn.CONCAT(_xlfn.XLOOKUP("[S05_AggregateTotalEmissionsByCRF][130][TotalCombustionEmissionsTCo2e]",Submission!$O:$O,Submission!$H:$N,""))</f>
        <v/>
      </c>
      <c r="I198" s="126" t="str">
        <f>_xlfn.CONCAT(_xlfn.XLOOKUP("[S05_AggregateTotalEmissionsByCRF][130][TotalProcessEmissionsTCo2e]",Submission!$O:$O,Submission!$H:$N,""))</f>
        <v/>
      </c>
    </row>
    <row r="199" spans="1:9" ht="15.9" customHeight="1" collapsed="1" x14ac:dyDescent="0.3">
      <c r="B199" s="26" t="s">
        <v>802</v>
      </c>
      <c r="C199" s="19"/>
      <c r="D199" s="19"/>
      <c r="E199" s="19"/>
      <c r="F199" s="19"/>
      <c r="G199" s="19"/>
      <c r="H199" s="28"/>
      <c r="I199" s="28"/>
    </row>
    <row r="200" spans="1:9" ht="15.9" customHeight="1" x14ac:dyDescent="0.3">
      <c r="B200" s="16"/>
      <c r="C200" s="19"/>
      <c r="D200" s="19"/>
      <c r="E200" s="19"/>
      <c r="F200" s="19"/>
      <c r="G200" s="19"/>
      <c r="H200" s="28"/>
      <c r="I200" s="28"/>
    </row>
    <row r="201" spans="1:9" ht="34.200000000000003" customHeight="1" x14ac:dyDescent="0.3">
      <c r="A201" s="12" t="s">
        <v>237</v>
      </c>
      <c r="B201" s="271" t="s">
        <v>858</v>
      </c>
      <c r="C201" s="272"/>
      <c r="D201" s="272"/>
      <c r="E201" s="272"/>
      <c r="F201" s="272"/>
      <c r="G201" s="272"/>
      <c r="H201" s="272"/>
      <c r="I201" s="272"/>
    </row>
    <row r="202" spans="1:9" ht="30" customHeight="1" x14ac:dyDescent="0.3">
      <c r="A202" s="13"/>
      <c r="B202" s="34"/>
      <c r="C202" s="351" t="s">
        <v>859</v>
      </c>
      <c r="D202" s="352"/>
      <c r="E202" s="352"/>
      <c r="F202" s="352"/>
      <c r="G202" s="353"/>
      <c r="H202" s="45" t="s">
        <v>860</v>
      </c>
      <c r="I202" s="42" t="s">
        <v>861</v>
      </c>
    </row>
    <row r="203" spans="1:9" ht="15.9" customHeight="1" x14ac:dyDescent="0.3">
      <c r="A203" s="13"/>
      <c r="B203" s="34"/>
      <c r="C203" s="281" t="str">
        <f>_xlfn.CONCAT(_xlfn.XLOOKUP("[S05_DefaultValues][1][InstallationCategory]",Submission!$O:$O,Submission!$H:$N,""))</f>
        <v>Category C installation</v>
      </c>
      <c r="D203" s="350"/>
      <c r="E203" s="350"/>
      <c r="F203" s="350"/>
      <c r="G203" s="347"/>
      <c r="H203" s="123" t="str">
        <f>_xlfn.CONCAT(_xlfn.XLOOKUP("[S05_DefaultValues][1][FuelMaterialType]",Submission!$O:$O,Submission!$H:$N,""))</f>
        <v>Other solid biomass</v>
      </c>
      <c r="I203" s="106" t="str">
        <f>_xlfn.CONCAT(_xlfn.XLOOKUP("[S05_DefaultValues][1][InstallationNumber]",Submission!$O:$O,Submission!$H:$N,""))</f>
        <v>1</v>
      </c>
    </row>
    <row r="204" spans="1:9" ht="15.9" customHeight="1" x14ac:dyDescent="0.3">
      <c r="A204" s="13"/>
      <c r="B204" s="34"/>
      <c r="C204" s="281" t="str">
        <f>_xlfn.CONCAT(_xlfn.XLOOKUP("[S05_DefaultValues][2][InstallationCategory]",Submission!$O:$O,Submission!$H:$N,""))</f>
        <v>Category C installation</v>
      </c>
      <c r="D204" s="350"/>
      <c r="E204" s="350"/>
      <c r="F204" s="350"/>
      <c r="G204" s="347"/>
      <c r="H204" s="123" t="str">
        <f>_xlfn.CONCAT(_xlfn.XLOOKUP("[S05_DefaultValues][2][FuelMaterialType]",Submission!$O:$O,Submission!$H:$N,""))</f>
        <v>Solid wood</v>
      </c>
      <c r="I204" s="106" t="str">
        <f>_xlfn.CONCAT(_xlfn.XLOOKUP("[S05_DefaultValues][2][InstallationNumber]",Submission!$O:$O,Submission!$H:$N,""))</f>
        <v>1</v>
      </c>
    </row>
    <row r="205" spans="1:9" ht="15.9" customHeight="1" x14ac:dyDescent="0.3">
      <c r="A205" s="13"/>
      <c r="B205" s="34"/>
      <c r="C205" s="281" t="str">
        <f>_xlfn.CONCAT(_xlfn.XLOOKUP("[S05_DefaultValues][3][InstallationCategory]",Submission!$O:$O,Submission!$H:$N,""))</f>
        <v>Category C installation</v>
      </c>
      <c r="D205" s="350"/>
      <c r="E205" s="350"/>
      <c r="F205" s="350"/>
      <c r="G205" s="347"/>
      <c r="H205" s="123" t="str">
        <f>_xlfn.CONCAT(_xlfn.XLOOKUP("[S05_DefaultValues][3][FuelMaterialType]",Submission!$O:$O,Submission!$H:$N,""))</f>
        <v>CKD - dust</v>
      </c>
      <c r="I205" s="106" t="str">
        <f>_xlfn.CONCAT(_xlfn.XLOOKUP("[S05_DefaultValues][3][InstallationNumber]",Submission!$O:$O,Submission!$H:$N,""))</f>
        <v>1</v>
      </c>
    </row>
    <row r="206" spans="1:9" ht="15.9" customHeight="1" x14ac:dyDescent="0.3">
      <c r="A206" s="13"/>
      <c r="B206" s="34"/>
      <c r="C206" s="281" t="str">
        <f>_xlfn.CONCAT(_xlfn.XLOOKUP("[S05_DefaultValues][4][InstallationCategory]",Submission!$O:$O,Submission!$H:$N,""))</f>
        <v>Category C installation</v>
      </c>
      <c r="D206" s="350"/>
      <c r="E206" s="350"/>
      <c r="F206" s="350"/>
      <c r="G206" s="347"/>
      <c r="H206" s="123" t="str">
        <f>_xlfn.CONCAT(_xlfn.XLOOKUP("[S05_DefaultValues][4][FuelMaterialType]",Submission!$O:$O,Submission!$H:$N,""))</f>
        <v>Limestone</v>
      </c>
      <c r="I206" s="106" t="str">
        <f>_xlfn.CONCAT(_xlfn.XLOOKUP("[S05_DefaultValues][4][InstallationNumber]",Submission!$O:$O,Submission!$H:$N,""))</f>
        <v>1</v>
      </c>
    </row>
    <row r="207" spans="1:9" ht="15.9" customHeight="1" x14ac:dyDescent="0.3">
      <c r="A207" s="13"/>
      <c r="B207" s="34"/>
      <c r="C207" s="281" t="str">
        <f>_xlfn.CONCAT(_xlfn.XLOOKUP("[S05_DefaultValues][5][InstallationCategory]",Submission!$O:$O,Submission!$H:$N,""))</f>
        <v>Category C installation</v>
      </c>
      <c r="D207" s="350"/>
      <c r="E207" s="350"/>
      <c r="F207" s="350"/>
      <c r="G207" s="347"/>
      <c r="H207" s="123" t="str">
        <f>_xlfn.CONCAT(_xlfn.XLOOKUP("[S05_DefaultValues][5][FuelMaterialType]",Submission!$O:$O,Submission!$H:$N,""))</f>
        <v>Acetylene</v>
      </c>
      <c r="I207" s="106" t="str">
        <f>_xlfn.CONCAT(_xlfn.XLOOKUP("[S05_DefaultValues][5][InstallationNumber]",Submission!$O:$O,Submission!$H:$N,""))</f>
        <v>2</v>
      </c>
    </row>
    <row r="208" spans="1:9" ht="15.9" customHeight="1" x14ac:dyDescent="0.3">
      <c r="A208" s="13"/>
      <c r="B208" s="34"/>
      <c r="C208" s="281" t="str">
        <f>_xlfn.CONCAT(_xlfn.XLOOKUP("[S05_DefaultValues][6][InstallationCategory]",Submission!$O:$O,Submission!$H:$N,""))</f>
        <v>Category C installation</v>
      </c>
      <c r="D208" s="350"/>
      <c r="E208" s="350"/>
      <c r="F208" s="350"/>
      <c r="G208" s="347"/>
      <c r="H208" s="123" t="str">
        <f>_xlfn.CONCAT(_xlfn.XLOOKUP("[S05_DefaultValues][6][FuelMaterialType]",Submission!$O:$O,Submission!$H:$N,""))</f>
        <v>Refinery gas</v>
      </c>
      <c r="I208" s="106" t="str">
        <f>_xlfn.CONCAT(_xlfn.XLOOKUP("[S05_DefaultValues][6][InstallationNumber]",Submission!$O:$O,Submission!$H:$N,""))</f>
        <v>1</v>
      </c>
    </row>
    <row r="209" spans="1:9" ht="15.9" customHeight="1" x14ac:dyDescent="0.3">
      <c r="A209" s="13"/>
      <c r="B209" s="34"/>
      <c r="C209" s="281" t="str">
        <f>_xlfn.CONCAT(_xlfn.XLOOKUP("[S05_DefaultValues][7][InstallationCategory]",Submission!$O:$O,Submission!$H:$N,""))</f>
        <v>Category C installation</v>
      </c>
      <c r="D209" s="350"/>
      <c r="E209" s="350"/>
      <c r="F209" s="350"/>
      <c r="G209" s="347"/>
      <c r="H209" s="123" t="str">
        <f>_xlfn.CONCAT(_xlfn.XLOOKUP("[S05_DefaultValues][7][FuelMaterialType]",Submission!$O:$O,Submission!$H:$N,""))</f>
        <v>Waste tires</v>
      </c>
      <c r="I209" s="106" t="str">
        <f>_xlfn.CONCAT(_xlfn.XLOOKUP("[S05_DefaultValues][7][InstallationNumber]",Submission!$O:$O,Submission!$H:$N,""))</f>
        <v>1</v>
      </c>
    </row>
    <row r="210" spans="1:9" ht="15.9" customHeight="1" x14ac:dyDescent="0.3">
      <c r="A210" s="13"/>
      <c r="B210" s="34"/>
      <c r="C210" s="281" t="str">
        <f>_xlfn.CONCAT(_xlfn.XLOOKUP("[S05_DefaultValues][8][InstallationCategory]",Submission!$O:$O,Submission!$H:$N,""))</f>
        <v>Category B installation</v>
      </c>
      <c r="D210" s="350"/>
      <c r="E210" s="350"/>
      <c r="F210" s="350"/>
      <c r="G210" s="347"/>
      <c r="H210" s="123" t="str">
        <f>_xlfn.CONCAT(_xlfn.XLOOKUP("[S05_DefaultValues][8][FuelMaterialType]",Submission!$O:$O,Submission!$H:$N,""))</f>
        <v>Waste oils</v>
      </c>
      <c r="I210" s="106" t="str">
        <f>_xlfn.CONCAT(_xlfn.XLOOKUP("[S05_DefaultValues][8][InstallationNumber]",Submission!$O:$O,Submission!$H:$N,""))</f>
        <v>1</v>
      </c>
    </row>
    <row r="211" spans="1:9" ht="15.9" customHeight="1" x14ac:dyDescent="0.3">
      <c r="A211" s="13"/>
      <c r="B211" s="34"/>
      <c r="C211" s="281" t="str">
        <f>_xlfn.CONCAT(_xlfn.XLOOKUP("[S05_DefaultValues][9][InstallationCategory]",Submission!$O:$O,Submission!$H:$N,""))</f>
        <v>Category B installation</v>
      </c>
      <c r="D211" s="350"/>
      <c r="E211" s="350"/>
      <c r="F211" s="350"/>
      <c r="G211" s="347"/>
      <c r="H211" s="123" t="str">
        <f>_xlfn.CONCAT(_xlfn.XLOOKUP("[S05_DefaultValues][9][FuelMaterialType]",Submission!$O:$O,Submission!$H:$N,""))</f>
        <v>Urea</v>
      </c>
      <c r="I211" s="106" t="str">
        <f>_xlfn.CONCAT(_xlfn.XLOOKUP("[S05_DefaultValues][9][InstallationNumber]",Submission!$O:$O,Submission!$H:$N,""))</f>
        <v>1</v>
      </c>
    </row>
    <row r="212" spans="1:9" ht="15.9" customHeight="1" x14ac:dyDescent="0.3">
      <c r="A212" s="13"/>
      <c r="B212" s="34"/>
      <c r="C212" s="281" t="str">
        <f>_xlfn.CONCAT(_xlfn.XLOOKUP("[S05_DefaultValues][10][InstallationCategory]",Submission!$O:$O,Submission!$H:$N,""))</f>
        <v>Category B installation</v>
      </c>
      <c r="D212" s="350"/>
      <c r="E212" s="350"/>
      <c r="F212" s="350"/>
      <c r="G212" s="347"/>
      <c r="H212" s="123" t="str">
        <f>_xlfn.CONCAT(_xlfn.XLOOKUP("[S05_DefaultValues][10][FuelMaterialType]",Submission!$O:$O,Submission!$H:$N,""))</f>
        <v>Waste tires</v>
      </c>
      <c r="I212" s="106" t="str">
        <f>_xlfn.CONCAT(_xlfn.XLOOKUP("[S05_DefaultValues][10][InstallationNumber]",Submission!$O:$O,Submission!$H:$N,""))</f>
        <v>2</v>
      </c>
    </row>
    <row r="213" spans="1:9" ht="15.9" customHeight="1" x14ac:dyDescent="0.3">
      <c r="A213" s="13"/>
      <c r="B213" s="34"/>
      <c r="C213" s="281" t="str">
        <f>_xlfn.CONCAT(_xlfn.XLOOKUP("[S05_DefaultValues][11][InstallationCategory]",Submission!$O:$O,Submission!$H:$N,""))</f>
        <v>Category B installation</v>
      </c>
      <c r="D213" s="350"/>
      <c r="E213" s="350"/>
      <c r="F213" s="350"/>
      <c r="G213" s="347"/>
      <c r="H213" s="123" t="str">
        <f>_xlfn.CONCAT(_xlfn.XLOOKUP("[S05_DefaultValues][11][FuelMaterialType]",Submission!$O:$O,Submission!$H:$N,""))</f>
        <v>Acetylene</v>
      </c>
      <c r="I213" s="106" t="str">
        <f>_xlfn.CONCAT(_xlfn.XLOOKUP("[S05_DefaultValues][11][InstallationNumber]",Submission!$O:$O,Submission!$H:$N,""))</f>
        <v>7</v>
      </c>
    </row>
    <row r="214" spans="1:9" ht="15.9" customHeight="1" x14ac:dyDescent="0.3">
      <c r="A214" s="13"/>
      <c r="B214" s="34"/>
      <c r="C214" s="281" t="str">
        <f>_xlfn.CONCAT(_xlfn.XLOOKUP("[S05_DefaultValues][12][InstallationCategory]",Submission!$O:$O,Submission!$H:$N,""))</f>
        <v>Category B installation</v>
      </c>
      <c r="D214" s="350"/>
      <c r="E214" s="350"/>
      <c r="F214" s="350"/>
      <c r="G214" s="347"/>
      <c r="H214" s="123" t="str">
        <f>_xlfn.CONCAT(_xlfn.XLOOKUP("[S05_DefaultValues][12][FuelMaterialType]",Submission!$O:$O,Submission!$H:$N,""))</f>
        <v>Mixture of hydrocarbons</v>
      </c>
      <c r="I214" s="106" t="str">
        <f>_xlfn.CONCAT(_xlfn.XLOOKUP("[S05_DefaultValues][12][InstallationNumber]",Submission!$O:$O,Submission!$H:$N,""))</f>
        <v>2</v>
      </c>
    </row>
    <row r="215" spans="1:9" ht="15.9" customHeight="1" x14ac:dyDescent="0.3">
      <c r="A215" s="13"/>
      <c r="B215" s="34"/>
      <c r="C215" s="281" t="str">
        <f>_xlfn.CONCAT(_xlfn.XLOOKUP("[S05_DefaultValues][13][InstallationCategory]",Submission!$O:$O,Submission!$H:$N,""))</f>
        <v>Category B installation</v>
      </c>
      <c r="D215" s="350"/>
      <c r="E215" s="350"/>
      <c r="F215" s="350"/>
      <c r="G215" s="347"/>
      <c r="H215" s="123" t="str">
        <f>_xlfn.CONCAT(_xlfn.XLOOKUP("[S05_DefaultValues][13][FuelMaterialType]",Submission!$O:$O,Submission!$H:$N,""))</f>
        <v>Dolomite</v>
      </c>
      <c r="I215" s="106" t="str">
        <f>_xlfn.CONCAT(_xlfn.XLOOKUP("[S05_DefaultValues][13][InstallationNumber]",Submission!$O:$O,Submission!$H:$N,""))</f>
        <v>1</v>
      </c>
    </row>
    <row r="216" spans="1:9" ht="15.9" customHeight="1" x14ac:dyDescent="0.3">
      <c r="A216" s="13"/>
      <c r="B216" s="34"/>
      <c r="C216" s="281" t="str">
        <f>_xlfn.CONCAT(_xlfn.XLOOKUP("[S05_DefaultValues][14][InstallationCategory]",Submission!$O:$O,Submission!$H:$N,""))</f>
        <v>Category B installation</v>
      </c>
      <c r="D216" s="350"/>
      <c r="E216" s="350"/>
      <c r="F216" s="350"/>
      <c r="G216" s="347"/>
      <c r="H216" s="123" t="str">
        <f>_xlfn.CONCAT(_xlfn.XLOOKUP("[S05_DefaultValues][14][FuelMaterialType]",Submission!$O:$O,Submission!$H:$N,""))</f>
        <v>Waste  wood</v>
      </c>
      <c r="I216" s="106" t="str">
        <f>_xlfn.CONCAT(_xlfn.XLOOKUP("[S05_DefaultValues][14][InstallationNumber]",Submission!$O:$O,Submission!$H:$N,""))</f>
        <v>4</v>
      </c>
    </row>
    <row r="217" spans="1:9" ht="15.9" customHeight="1" x14ac:dyDescent="0.3">
      <c r="A217" s="13"/>
      <c r="B217" s="34"/>
      <c r="C217" s="281" t="str">
        <f>_xlfn.CONCAT(_xlfn.XLOOKUP("[S05_DefaultValues][15][InstallationCategory]",Submission!$O:$O,Submission!$H:$N,""))</f>
        <v>Category B installation</v>
      </c>
      <c r="D217" s="350"/>
      <c r="E217" s="350"/>
      <c r="F217" s="350"/>
      <c r="G217" s="347"/>
      <c r="H217" s="123" t="str">
        <f>_xlfn.CONCAT(_xlfn.XLOOKUP("[S05_DefaultValues][15][FuelMaterialType]",Submission!$O:$O,Submission!$H:$N,""))</f>
        <v>Other solid fuels</v>
      </c>
      <c r="I217" s="106" t="str">
        <f>_xlfn.CONCAT(_xlfn.XLOOKUP("[S05_DefaultValues][15][InstallationNumber]",Submission!$O:$O,Submission!$H:$N,""))</f>
        <v>1</v>
      </c>
    </row>
    <row r="218" spans="1:9" ht="15.9" customHeight="1" x14ac:dyDescent="0.3">
      <c r="A218" s="13"/>
      <c r="B218" s="34"/>
      <c r="C218" s="281" t="str">
        <f>_xlfn.CONCAT(_xlfn.XLOOKUP("[S05_DefaultValues][16][InstallationCategory]",Submission!$O:$O,Submission!$H:$N,""))</f>
        <v>Category B installation</v>
      </c>
      <c r="D218" s="350"/>
      <c r="E218" s="350"/>
      <c r="F218" s="350"/>
      <c r="G218" s="347"/>
      <c r="H218" s="123" t="str">
        <f>_xlfn.CONCAT(_xlfn.XLOOKUP("[S05_DefaultValues][16][FuelMaterialType]",Submission!$O:$O,Submission!$H:$N,""))</f>
        <v>Biogas</v>
      </c>
      <c r="I218" s="106" t="str">
        <f>_xlfn.CONCAT(_xlfn.XLOOKUP("[S05_DefaultValues][16][InstallationNumber]",Submission!$O:$O,Submission!$H:$N,""))</f>
        <v>2</v>
      </c>
    </row>
    <row r="219" spans="1:9" ht="15.9" customHeight="1" x14ac:dyDescent="0.3">
      <c r="A219" s="13"/>
      <c r="B219" s="34"/>
      <c r="C219" s="281" t="str">
        <f>_xlfn.CONCAT(_xlfn.XLOOKUP("[S05_DefaultValues][17][InstallationCategory]",Submission!$O:$O,Submission!$H:$N,""))</f>
        <v>Category B installation</v>
      </c>
      <c r="D219" s="350"/>
      <c r="E219" s="350"/>
      <c r="F219" s="350"/>
      <c r="G219" s="347"/>
      <c r="H219" s="123" t="str">
        <f>_xlfn.CONCAT(_xlfn.XLOOKUP("[S05_DefaultValues][17][FuelMaterialType]",Submission!$O:$O,Submission!$H:$N,""))</f>
        <v>tetrahydrothiophene</v>
      </c>
      <c r="I219" s="106" t="str">
        <f>_xlfn.CONCAT(_xlfn.XLOOKUP("[S05_DefaultValues][17][InstallationNumber]",Submission!$O:$O,Submission!$H:$N,""))</f>
        <v>1</v>
      </c>
    </row>
    <row r="220" spans="1:9" ht="15.9" customHeight="1" x14ac:dyDescent="0.3">
      <c r="A220" s="13"/>
      <c r="B220" s="34"/>
      <c r="C220" s="281" t="str">
        <f>_xlfn.CONCAT(_xlfn.XLOOKUP("[S05_DefaultValues][18][InstallationCategory]",Submission!$O:$O,Submission!$H:$N,""))</f>
        <v>Category B installation</v>
      </c>
      <c r="D220" s="350"/>
      <c r="E220" s="350"/>
      <c r="F220" s="350"/>
      <c r="G220" s="347"/>
      <c r="H220" s="123" t="str">
        <f>_xlfn.CONCAT(_xlfn.XLOOKUP("[S05_DefaultValues][18][FuelMaterialType]",Submission!$O:$O,Submission!$H:$N,""))</f>
        <v>Biogas</v>
      </c>
      <c r="I220" s="106" t="str">
        <f>_xlfn.CONCAT(_xlfn.XLOOKUP("[S05_DefaultValues][18][InstallationNumber]",Submission!$O:$O,Submission!$H:$N,""))</f>
        <v>4</v>
      </c>
    </row>
    <row r="221" spans="1:9" ht="15.9" customHeight="1" x14ac:dyDescent="0.3">
      <c r="A221" s="13"/>
      <c r="B221" s="34"/>
      <c r="C221" s="281" t="str">
        <f>_xlfn.CONCAT(_xlfn.XLOOKUP("[S05_DefaultValues][19][InstallationCategory]",Submission!$O:$O,Submission!$H:$N,""))</f>
        <v>Category B installation</v>
      </c>
      <c r="D221" s="350"/>
      <c r="E221" s="350"/>
      <c r="F221" s="350"/>
      <c r="G221" s="347"/>
      <c r="H221" s="123" t="str">
        <f>_xlfn.CONCAT(_xlfn.XLOOKUP("[S05_DefaultValues][19][FuelMaterialType]",Submission!$O:$O,Submission!$H:$N,""))</f>
        <v>tetrahydrothiophene</v>
      </c>
      <c r="I221" s="106" t="str">
        <f>_xlfn.CONCAT(_xlfn.XLOOKUP("[S05_DefaultValues][19][InstallationNumber]",Submission!$O:$O,Submission!$H:$N,""))</f>
        <v>1</v>
      </c>
    </row>
    <row r="222" spans="1:9" ht="15.9" customHeight="1" x14ac:dyDescent="0.3">
      <c r="A222" s="13"/>
      <c r="B222" s="34"/>
      <c r="C222" s="281" t="str">
        <f>_xlfn.CONCAT(_xlfn.XLOOKUP("[S05_DefaultValues][20][InstallationCategory]",Submission!$O:$O,Submission!$H:$N,""))</f>
        <v>Category B installation</v>
      </c>
      <c r="D222" s="350"/>
      <c r="E222" s="350"/>
      <c r="F222" s="350"/>
      <c r="G222" s="347"/>
      <c r="H222" s="123" t="str">
        <f>_xlfn.CONCAT(_xlfn.XLOOKUP("[S05_DefaultValues][20][FuelMaterialType]",Submission!$O:$O,Submission!$H:$N,""))</f>
        <v>sewage sludge</v>
      </c>
      <c r="I222" s="106" t="str">
        <f>_xlfn.CONCAT(_xlfn.XLOOKUP("[S05_DefaultValues][20][InstallationNumber]",Submission!$O:$O,Submission!$H:$N,""))</f>
        <v>1</v>
      </c>
    </row>
    <row r="223" spans="1:9" ht="15.9" customHeight="1" x14ac:dyDescent="0.3">
      <c r="A223" s="13"/>
      <c r="B223" s="34"/>
      <c r="C223" s="281" t="str">
        <f>_xlfn.CONCAT(_xlfn.XLOOKUP("[S05_DefaultValues][21][InstallationCategory]",Submission!$O:$O,Submission!$H:$N,""))</f>
        <v>Category A installation</v>
      </c>
      <c r="D223" s="350"/>
      <c r="E223" s="350"/>
      <c r="F223" s="350"/>
      <c r="G223" s="347"/>
      <c r="H223" s="123" t="str">
        <f>_xlfn.CONCAT(_xlfn.XLOOKUP("[S05_DefaultValues][21][FuelMaterialType]",Submission!$O:$O,Submission!$H:$N,""))</f>
        <v>Mixed biomass/Wood biomass</v>
      </c>
      <c r="I223" s="106" t="str">
        <f>_xlfn.CONCAT(_xlfn.XLOOKUP("[S05_DefaultValues][21][InstallationNumber]",Submission!$O:$O,Submission!$H:$N,""))</f>
        <v>1</v>
      </c>
    </row>
    <row r="224" spans="1:9" ht="15.9" customHeight="1" x14ac:dyDescent="0.3">
      <c r="A224" s="13"/>
      <c r="B224" s="34"/>
      <c r="C224" s="281" t="str">
        <f>_xlfn.CONCAT(_xlfn.XLOOKUP("[S05_DefaultValues][22][InstallationCategory]",Submission!$O:$O,Submission!$H:$N,""))</f>
        <v>Category A installation</v>
      </c>
      <c r="D224" s="350"/>
      <c r="E224" s="350"/>
      <c r="F224" s="350"/>
      <c r="G224" s="347"/>
      <c r="H224" s="123" t="str">
        <f>_xlfn.CONCAT(_xlfn.XLOOKUP("[S05_DefaultValues][22][FuelMaterialType]",Submission!$O:$O,Submission!$H:$N,""))</f>
        <v>Acetylene</v>
      </c>
      <c r="I224" s="106" t="str">
        <f>_xlfn.CONCAT(_xlfn.XLOOKUP("[S05_DefaultValues][22][InstallationNumber]",Submission!$O:$O,Submission!$H:$N,""))</f>
        <v>3</v>
      </c>
    </row>
    <row r="225" spans="1:9" ht="15.9" customHeight="1" x14ac:dyDescent="0.3">
      <c r="A225" s="13"/>
      <c r="B225" s="34"/>
      <c r="C225" s="281" t="str">
        <f>_xlfn.CONCAT(_xlfn.XLOOKUP("[S05_DefaultValues][23][InstallationCategory]",Submission!$O:$O,Submission!$H:$N,""))</f>
        <v>Installation with low emissions</v>
      </c>
      <c r="D225" s="350"/>
      <c r="E225" s="350"/>
      <c r="F225" s="350"/>
      <c r="G225" s="347"/>
      <c r="H225" s="123" t="str">
        <f>_xlfn.CONCAT(_xlfn.XLOOKUP("[S05_DefaultValues][23][FuelMaterialType]",Submission!$O:$O,Submission!$H:$N,""))</f>
        <v>Solid wood</v>
      </c>
      <c r="I225" s="106" t="str">
        <f>_xlfn.CONCAT(_xlfn.XLOOKUP("[S05_DefaultValues][23][InstallationNumber]",Submission!$O:$O,Submission!$H:$N,""))</f>
        <v>6</v>
      </c>
    </row>
    <row r="226" spans="1:9" ht="15.9" customHeight="1" x14ac:dyDescent="0.3">
      <c r="A226" s="13"/>
      <c r="B226" s="34"/>
      <c r="C226" s="281" t="str">
        <f>_xlfn.CONCAT(_xlfn.XLOOKUP("[S05_DefaultValues][24][InstallationCategory]",Submission!$O:$O,Submission!$H:$N,""))</f>
        <v>Installation with low emissions</v>
      </c>
      <c r="D226" s="350"/>
      <c r="E226" s="350"/>
      <c r="F226" s="350"/>
      <c r="G226" s="347"/>
      <c r="H226" s="123" t="str">
        <f>_xlfn.CONCAT(_xlfn.XLOOKUP("[S05_DefaultValues][24][FuelMaterialType]",Submission!$O:$O,Submission!$H:$N,""))</f>
        <v>Other solid biomass</v>
      </c>
      <c r="I226" s="106" t="str">
        <f>_xlfn.CONCAT(_xlfn.XLOOKUP("[S05_DefaultValues][24][InstallationNumber]",Submission!$O:$O,Submission!$H:$N,""))</f>
        <v>14</v>
      </c>
    </row>
    <row r="227" spans="1:9" ht="15.9" customHeight="1" x14ac:dyDescent="0.3">
      <c r="A227" s="13"/>
      <c r="B227" s="34"/>
      <c r="C227" s="281" t="str">
        <f>_xlfn.CONCAT(_xlfn.XLOOKUP("[S05_DefaultValues][25][InstallationCategory]",Submission!$O:$O,Submission!$H:$N,""))</f>
        <v>Installation with low emissions</v>
      </c>
      <c r="D227" s="350"/>
      <c r="E227" s="350"/>
      <c r="F227" s="350"/>
      <c r="G227" s="347"/>
      <c r="H227" s="123" t="str">
        <f>_xlfn.CONCAT(_xlfn.XLOOKUP("[S05_DefaultValues][25][FuelMaterialType]",Submission!$O:$O,Submission!$H:$N,""))</f>
        <v>Other solid biomass</v>
      </c>
      <c r="I227" s="106" t="str">
        <f>_xlfn.CONCAT(_xlfn.XLOOKUP("[S05_DefaultValues][25][InstallationNumber]",Submission!$O:$O,Submission!$H:$N,""))</f>
        <v>4</v>
      </c>
    </row>
    <row r="228" spans="1:9" ht="15.9" customHeight="1" x14ac:dyDescent="0.3">
      <c r="A228" s="13"/>
      <c r="B228" s="34"/>
      <c r="C228" s="281" t="str">
        <f>_xlfn.CONCAT(_xlfn.XLOOKUP("[S05_DefaultValues][26][InstallationCategory]",Submission!$O:$O,Submission!$H:$N,""))</f>
        <v>Installation with low emissions</v>
      </c>
      <c r="D228" s="350"/>
      <c r="E228" s="350"/>
      <c r="F228" s="350"/>
      <c r="G228" s="347"/>
      <c r="H228" s="123" t="str">
        <f>_xlfn.CONCAT(_xlfn.XLOOKUP("[S05_DefaultValues][26][FuelMaterialType]",Submission!$O:$O,Submission!$H:$N,""))</f>
        <v>Acetylene</v>
      </c>
      <c r="I228" s="106" t="str">
        <f>_xlfn.CONCAT(_xlfn.XLOOKUP("[S05_DefaultValues][26][InstallationNumber]",Submission!$O:$O,Submission!$H:$N,""))</f>
        <v>11</v>
      </c>
    </row>
    <row r="229" spans="1:9" ht="15.9" customHeight="1" x14ac:dyDescent="0.3">
      <c r="A229" s="13"/>
      <c r="B229" s="34"/>
      <c r="C229" s="281" t="str">
        <f>_xlfn.CONCAT(_xlfn.XLOOKUP("[S05_DefaultValues][27][InstallationCategory]",Submission!$O:$O,Submission!$H:$N,""))</f>
        <v>Installation with low emissions</v>
      </c>
      <c r="D229" s="350"/>
      <c r="E229" s="350"/>
      <c r="F229" s="350"/>
      <c r="G229" s="347"/>
      <c r="H229" s="123" t="str">
        <f>_xlfn.CONCAT(_xlfn.XLOOKUP("[S05_DefaultValues][27][FuelMaterialType]",Submission!$O:$O,Submission!$H:$N,""))</f>
        <v>Biogas</v>
      </c>
      <c r="I229" s="106" t="str">
        <f>_xlfn.CONCAT(_xlfn.XLOOKUP("[S05_DefaultValues][27][InstallationNumber]",Submission!$O:$O,Submission!$H:$N,""))</f>
        <v>1</v>
      </c>
    </row>
    <row r="230" spans="1:9" ht="15.9" customHeight="1" x14ac:dyDescent="0.3">
      <c r="A230" s="13"/>
      <c r="B230" s="34"/>
      <c r="C230" s="281" t="str">
        <f>_xlfn.CONCAT(_xlfn.XLOOKUP("[S05_DefaultValues][28][InstallationCategory]",Submission!$O:$O,Submission!$H:$N,""))</f>
        <v/>
      </c>
      <c r="D230" s="350"/>
      <c r="E230" s="350"/>
      <c r="F230" s="350"/>
      <c r="G230" s="347"/>
      <c r="H230" s="123" t="str">
        <f>_xlfn.CONCAT(_xlfn.XLOOKUP("[S05_DefaultValues][28][FuelMaterialType]",Submission!$O:$O,Submission!$H:$N,""))</f>
        <v/>
      </c>
      <c r="I230" s="106" t="str">
        <f>_xlfn.CONCAT(_xlfn.XLOOKUP("[S05_DefaultValues][28][InstallationNumber]",Submission!$O:$O,Submission!$H:$N,""))</f>
        <v/>
      </c>
    </row>
    <row r="231" spans="1:9" ht="15.9" customHeight="1" x14ac:dyDescent="0.3">
      <c r="A231" s="13"/>
      <c r="B231" s="34"/>
      <c r="C231" s="281" t="str">
        <f>_xlfn.CONCAT(_xlfn.XLOOKUP("[S05_DefaultValues][29][InstallationCategory]",Submission!$O:$O,Submission!$H:$N,""))</f>
        <v/>
      </c>
      <c r="D231" s="350"/>
      <c r="E231" s="350"/>
      <c r="F231" s="350"/>
      <c r="G231" s="347"/>
      <c r="H231" s="123" t="str">
        <f>_xlfn.CONCAT(_xlfn.XLOOKUP("[S05_DefaultValues][29][FuelMaterialType]",Submission!$O:$O,Submission!$H:$N,""))</f>
        <v/>
      </c>
      <c r="I231" s="106" t="str">
        <f>_xlfn.CONCAT(_xlfn.XLOOKUP("[S05_DefaultValues][29][InstallationNumber]",Submission!$O:$O,Submission!$H:$N,""))</f>
        <v/>
      </c>
    </row>
    <row r="232" spans="1:9" ht="15.9" customHeight="1" x14ac:dyDescent="0.3">
      <c r="A232" s="13"/>
      <c r="B232" s="34"/>
      <c r="C232" s="281" t="str">
        <f>_xlfn.CONCAT(_xlfn.XLOOKUP("[S05_DefaultValues][30][InstallationCategory]",Submission!$O:$O,Submission!$H:$N,""))</f>
        <v/>
      </c>
      <c r="D232" s="350"/>
      <c r="E232" s="350"/>
      <c r="F232" s="350"/>
      <c r="G232" s="347"/>
      <c r="H232" s="123" t="str">
        <f>_xlfn.CONCAT(_xlfn.XLOOKUP("[S05_DefaultValues][30][FuelMaterialType]",Submission!$O:$O,Submission!$H:$N,""))</f>
        <v/>
      </c>
      <c r="I232" s="106" t="str">
        <f>_xlfn.CONCAT(_xlfn.XLOOKUP("[S05_DefaultValues][30][InstallationNumber]",Submission!$O:$O,Submission!$H:$N,""))</f>
        <v/>
      </c>
    </row>
    <row r="233" spans="1:9" ht="15.9" customHeight="1" x14ac:dyDescent="0.3">
      <c r="A233" s="13"/>
      <c r="B233" s="34"/>
      <c r="C233" s="281" t="str">
        <f>_xlfn.CONCAT(_xlfn.XLOOKUP("[S05_DefaultValues][31][InstallationCategory]",Submission!$O:$O,Submission!$H:$N,""))</f>
        <v/>
      </c>
      <c r="D233" s="350"/>
      <c r="E233" s="350"/>
      <c r="F233" s="350"/>
      <c r="G233" s="347"/>
      <c r="H233" s="123" t="str">
        <f>_xlfn.CONCAT(_xlfn.XLOOKUP("[S05_DefaultValues][31][FuelMaterialType]",Submission!$O:$O,Submission!$H:$N,""))</f>
        <v/>
      </c>
      <c r="I233" s="106" t="str">
        <f>_xlfn.CONCAT(_xlfn.XLOOKUP("[S05_DefaultValues][31][InstallationNumber]",Submission!$O:$O,Submission!$H:$N,""))</f>
        <v/>
      </c>
    </row>
    <row r="234" spans="1:9" ht="15.9" customHeight="1" x14ac:dyDescent="0.3">
      <c r="A234" s="13"/>
      <c r="B234" s="34"/>
      <c r="C234" s="281" t="str">
        <f>_xlfn.CONCAT(_xlfn.XLOOKUP("[S05_DefaultValues][32][InstallationCategory]",Submission!$O:$O,Submission!$H:$N,""))</f>
        <v/>
      </c>
      <c r="D234" s="350"/>
      <c r="E234" s="350"/>
      <c r="F234" s="350"/>
      <c r="G234" s="347"/>
      <c r="H234" s="123" t="str">
        <f>_xlfn.CONCAT(_xlfn.XLOOKUP("[S05_DefaultValues][32][FuelMaterialType]",Submission!$O:$O,Submission!$H:$N,""))</f>
        <v/>
      </c>
      <c r="I234" s="106" t="str">
        <f>_xlfn.CONCAT(_xlfn.XLOOKUP("[S05_DefaultValues][32][InstallationNumber]",Submission!$O:$O,Submission!$H:$N,""))</f>
        <v/>
      </c>
    </row>
    <row r="235" spans="1:9" ht="15.9" customHeight="1" x14ac:dyDescent="0.3">
      <c r="A235" s="13"/>
      <c r="B235" s="34"/>
      <c r="C235" s="281" t="str">
        <f>_xlfn.CONCAT(_xlfn.XLOOKUP("[S05_DefaultValues][33][InstallationCategory]",Submission!$O:$O,Submission!$H:$N,""))</f>
        <v/>
      </c>
      <c r="D235" s="350"/>
      <c r="E235" s="350"/>
      <c r="F235" s="350"/>
      <c r="G235" s="347"/>
      <c r="H235" s="123" t="str">
        <f>_xlfn.CONCAT(_xlfn.XLOOKUP("[S05_DefaultValues][33][FuelMaterialType]",Submission!$O:$O,Submission!$H:$N,""))</f>
        <v/>
      </c>
      <c r="I235" s="106" t="str">
        <f>_xlfn.CONCAT(_xlfn.XLOOKUP("[S05_DefaultValues][33][InstallationNumber]",Submission!$O:$O,Submission!$H:$N,""))</f>
        <v/>
      </c>
    </row>
    <row r="236" spans="1:9" ht="15.9" customHeight="1" x14ac:dyDescent="0.3">
      <c r="A236" s="13"/>
      <c r="B236" s="34"/>
      <c r="C236" s="281" t="str">
        <f>_xlfn.CONCAT(_xlfn.XLOOKUP("[S05_DefaultValues][34][InstallationCategory]",Submission!$O:$O,Submission!$H:$N,""))</f>
        <v/>
      </c>
      <c r="D236" s="350"/>
      <c r="E236" s="350"/>
      <c r="F236" s="350"/>
      <c r="G236" s="347"/>
      <c r="H236" s="123" t="str">
        <f>_xlfn.CONCAT(_xlfn.XLOOKUP("[S05_DefaultValues][34][FuelMaterialType]",Submission!$O:$O,Submission!$H:$N,""))</f>
        <v/>
      </c>
      <c r="I236" s="106" t="str">
        <f>_xlfn.CONCAT(_xlfn.XLOOKUP("[S05_DefaultValues][34][InstallationNumber]",Submission!$O:$O,Submission!$H:$N,""))</f>
        <v/>
      </c>
    </row>
    <row r="237" spans="1:9" ht="15.9" customHeight="1" x14ac:dyDescent="0.3">
      <c r="A237" s="13"/>
      <c r="B237" s="34"/>
      <c r="C237" s="281" t="str">
        <f>_xlfn.CONCAT(_xlfn.XLOOKUP("[S05_DefaultValues][35][InstallationCategory]",Submission!$O:$O,Submission!$H:$N,""))</f>
        <v/>
      </c>
      <c r="D237" s="350"/>
      <c r="E237" s="350"/>
      <c r="F237" s="350"/>
      <c r="G237" s="347"/>
      <c r="H237" s="123" t="str">
        <f>_xlfn.CONCAT(_xlfn.XLOOKUP("[S05_DefaultValues][35][FuelMaterialType]",Submission!$O:$O,Submission!$H:$N,""))</f>
        <v/>
      </c>
      <c r="I237" s="106" t="str">
        <f>_xlfn.CONCAT(_xlfn.XLOOKUP("[S05_DefaultValues][35][InstallationNumber]",Submission!$O:$O,Submission!$H:$N,""))</f>
        <v/>
      </c>
    </row>
    <row r="238" spans="1:9" ht="15.9" customHeight="1" x14ac:dyDescent="0.3">
      <c r="A238" s="13"/>
      <c r="B238" s="34"/>
      <c r="C238" s="281" t="str">
        <f>_xlfn.CONCAT(_xlfn.XLOOKUP("[S05_DefaultValues][36][InstallationCategory]",Submission!$O:$O,Submission!$H:$N,""))</f>
        <v/>
      </c>
      <c r="D238" s="350"/>
      <c r="E238" s="350"/>
      <c r="F238" s="350"/>
      <c r="G238" s="347"/>
      <c r="H238" s="123" t="str">
        <f>_xlfn.CONCAT(_xlfn.XLOOKUP("[S05_DefaultValues][36][FuelMaterialType]",Submission!$O:$O,Submission!$H:$N,""))</f>
        <v/>
      </c>
      <c r="I238" s="106" t="str">
        <f>_xlfn.CONCAT(_xlfn.XLOOKUP("[S05_DefaultValues][36][InstallationNumber]",Submission!$O:$O,Submission!$H:$N,""))</f>
        <v/>
      </c>
    </row>
    <row r="239" spans="1:9" ht="15.9" customHeight="1" x14ac:dyDescent="0.3">
      <c r="A239" s="13"/>
      <c r="B239" s="34"/>
      <c r="C239" s="281" t="str">
        <f>_xlfn.CONCAT(_xlfn.XLOOKUP("[S05_DefaultValues][37][InstallationCategory]",Submission!$O:$O,Submission!$H:$N,""))</f>
        <v/>
      </c>
      <c r="D239" s="350"/>
      <c r="E239" s="350"/>
      <c r="F239" s="350"/>
      <c r="G239" s="347"/>
      <c r="H239" s="123" t="str">
        <f>_xlfn.CONCAT(_xlfn.XLOOKUP("[S05_DefaultValues][37][FuelMaterialType]",Submission!$O:$O,Submission!$H:$N,""))</f>
        <v/>
      </c>
      <c r="I239" s="106" t="str">
        <f>_xlfn.CONCAT(_xlfn.XLOOKUP("[S05_DefaultValues][37][InstallationNumber]",Submission!$O:$O,Submission!$H:$N,""))</f>
        <v/>
      </c>
    </row>
    <row r="240" spans="1:9" ht="15.9" customHeight="1" x14ac:dyDescent="0.3">
      <c r="A240" s="13"/>
      <c r="B240" s="34"/>
      <c r="C240" s="281" t="str">
        <f>_xlfn.CONCAT(_xlfn.XLOOKUP("[S05_DefaultValues][38][InstallationCategory]",Submission!$O:$O,Submission!$H:$N,""))</f>
        <v/>
      </c>
      <c r="D240" s="350"/>
      <c r="E240" s="350"/>
      <c r="F240" s="350"/>
      <c r="G240" s="347"/>
      <c r="H240" s="123" t="str">
        <f>_xlfn.CONCAT(_xlfn.XLOOKUP("[S05_DefaultValues][38][FuelMaterialType]",Submission!$O:$O,Submission!$H:$N,""))</f>
        <v/>
      </c>
      <c r="I240" s="106" t="str">
        <f>_xlfn.CONCAT(_xlfn.XLOOKUP("[S05_DefaultValues][38][InstallationNumber]",Submission!$O:$O,Submission!$H:$N,""))</f>
        <v/>
      </c>
    </row>
    <row r="241" spans="1:9" ht="15.9" customHeight="1" x14ac:dyDescent="0.3">
      <c r="A241" s="13"/>
      <c r="B241" s="34"/>
      <c r="C241" s="281" t="str">
        <f>_xlfn.CONCAT(_xlfn.XLOOKUP("[S05_DefaultValues][39][InstallationCategory]",Submission!$O:$O,Submission!$H:$N,""))</f>
        <v/>
      </c>
      <c r="D241" s="350"/>
      <c r="E241" s="350"/>
      <c r="F241" s="350"/>
      <c r="G241" s="347"/>
      <c r="H241" s="123" t="str">
        <f>_xlfn.CONCAT(_xlfn.XLOOKUP("[S05_DefaultValues][39][FuelMaterialType]",Submission!$O:$O,Submission!$H:$N,""))</f>
        <v/>
      </c>
      <c r="I241" s="106" t="str">
        <f>_xlfn.CONCAT(_xlfn.XLOOKUP("[S05_DefaultValues][39][InstallationNumber]",Submission!$O:$O,Submission!$H:$N,""))</f>
        <v/>
      </c>
    </row>
    <row r="242" spans="1:9" ht="15.9" customHeight="1" x14ac:dyDescent="0.3">
      <c r="A242" s="13"/>
      <c r="B242" s="34"/>
      <c r="C242" s="281" t="str">
        <f>_xlfn.CONCAT(_xlfn.XLOOKUP("[S05_DefaultValues][40][InstallationCategory]",Submission!$O:$O,Submission!$H:$N,""))</f>
        <v/>
      </c>
      <c r="D242" s="350"/>
      <c r="E242" s="350"/>
      <c r="F242" s="350"/>
      <c r="G242" s="347"/>
      <c r="H242" s="123" t="str">
        <f>_xlfn.CONCAT(_xlfn.XLOOKUP("[S05_DefaultValues][40][FuelMaterialType]",Submission!$O:$O,Submission!$H:$N,""))</f>
        <v/>
      </c>
      <c r="I242" s="106" t="str">
        <f>_xlfn.CONCAT(_xlfn.XLOOKUP("[S05_DefaultValues][40][InstallationNumber]",Submission!$O:$O,Submission!$H:$N,""))</f>
        <v/>
      </c>
    </row>
    <row r="243" spans="1:9" ht="15.9" hidden="1" customHeight="1" outlineLevel="1" x14ac:dyDescent="0.3">
      <c r="A243" s="13"/>
      <c r="B243" s="34"/>
      <c r="C243" s="281" t="str">
        <f>_xlfn.CONCAT(_xlfn.XLOOKUP("[S05_DefaultValues][41][InstallationCategory]",Submission!$O:$O,Submission!$H:$N,""))</f>
        <v/>
      </c>
      <c r="D243" s="350"/>
      <c r="E243" s="350"/>
      <c r="F243" s="350"/>
      <c r="G243" s="347"/>
      <c r="H243" s="123" t="str">
        <f>_xlfn.CONCAT(_xlfn.XLOOKUP("[S05_DefaultValues][41][FuelMaterialType]",Submission!$O:$O,Submission!$H:$N,""))</f>
        <v/>
      </c>
      <c r="I243" s="106" t="str">
        <f>_xlfn.CONCAT(_xlfn.XLOOKUP("[S05_DefaultValues][41][InstallationNumber]",Submission!$O:$O,Submission!$H:$N,""))</f>
        <v/>
      </c>
    </row>
    <row r="244" spans="1:9" ht="15.9" hidden="1" customHeight="1" outlineLevel="1" x14ac:dyDescent="0.3">
      <c r="A244" s="13"/>
      <c r="B244" s="34"/>
      <c r="C244" s="281" t="str">
        <f>_xlfn.CONCAT(_xlfn.XLOOKUP("[S05_DefaultValues][42][InstallationCategory]",Submission!$O:$O,Submission!$H:$N,""))</f>
        <v/>
      </c>
      <c r="D244" s="350"/>
      <c r="E244" s="350"/>
      <c r="F244" s="350"/>
      <c r="G244" s="347"/>
      <c r="H244" s="123" t="str">
        <f>_xlfn.CONCAT(_xlfn.XLOOKUP("[S05_DefaultValues][42][FuelMaterialType]",Submission!$O:$O,Submission!$H:$N,""))</f>
        <v/>
      </c>
      <c r="I244" s="106" t="str">
        <f>_xlfn.CONCAT(_xlfn.XLOOKUP("[S05_DefaultValues][42][InstallationNumber]",Submission!$O:$O,Submission!$H:$N,""))</f>
        <v/>
      </c>
    </row>
    <row r="245" spans="1:9" ht="15.9" hidden="1" customHeight="1" outlineLevel="1" x14ac:dyDescent="0.3">
      <c r="A245" s="13"/>
      <c r="B245" s="34"/>
      <c r="C245" s="281" t="str">
        <f>_xlfn.CONCAT(_xlfn.XLOOKUP("[S05_DefaultValues][43][InstallationCategory]",Submission!$O:$O,Submission!$H:$N,""))</f>
        <v/>
      </c>
      <c r="D245" s="350"/>
      <c r="E245" s="350"/>
      <c r="F245" s="350"/>
      <c r="G245" s="347"/>
      <c r="H245" s="123" t="str">
        <f>_xlfn.CONCAT(_xlfn.XLOOKUP("[S05_DefaultValues][43][FuelMaterialType]",Submission!$O:$O,Submission!$H:$N,""))</f>
        <v/>
      </c>
      <c r="I245" s="106" t="str">
        <f>_xlfn.CONCAT(_xlfn.XLOOKUP("[S05_DefaultValues][43][InstallationNumber]",Submission!$O:$O,Submission!$H:$N,""))</f>
        <v/>
      </c>
    </row>
    <row r="246" spans="1:9" ht="15.9" hidden="1" customHeight="1" outlineLevel="1" x14ac:dyDescent="0.3">
      <c r="A246" s="13"/>
      <c r="B246" s="34"/>
      <c r="C246" s="281" t="str">
        <f>_xlfn.CONCAT(_xlfn.XLOOKUP("[S05_DefaultValues][44][InstallationCategory]",Submission!$O:$O,Submission!$H:$N,""))</f>
        <v/>
      </c>
      <c r="D246" s="350"/>
      <c r="E246" s="350"/>
      <c r="F246" s="350"/>
      <c r="G246" s="347"/>
      <c r="H246" s="123" t="str">
        <f>_xlfn.CONCAT(_xlfn.XLOOKUP("[S05_DefaultValues][44][FuelMaterialType]",Submission!$O:$O,Submission!$H:$N,""))</f>
        <v/>
      </c>
      <c r="I246" s="106" t="str">
        <f>_xlfn.CONCAT(_xlfn.XLOOKUP("[S05_DefaultValues][44][InstallationNumber]",Submission!$O:$O,Submission!$H:$N,""))</f>
        <v/>
      </c>
    </row>
    <row r="247" spans="1:9" ht="15.9" hidden="1" customHeight="1" outlineLevel="1" x14ac:dyDescent="0.3">
      <c r="A247" s="13"/>
      <c r="B247" s="34"/>
      <c r="C247" s="281" t="str">
        <f>_xlfn.CONCAT(_xlfn.XLOOKUP("[S05_DefaultValues][45][InstallationCategory]",Submission!$O:$O,Submission!$H:$N,""))</f>
        <v/>
      </c>
      <c r="D247" s="350"/>
      <c r="E247" s="350"/>
      <c r="F247" s="350"/>
      <c r="G247" s="347"/>
      <c r="H247" s="123" t="str">
        <f>_xlfn.CONCAT(_xlfn.XLOOKUP("[S05_DefaultValues][45][FuelMaterialType]",Submission!$O:$O,Submission!$H:$N,""))</f>
        <v/>
      </c>
      <c r="I247" s="106" t="str">
        <f>_xlfn.CONCAT(_xlfn.XLOOKUP("[S05_DefaultValues][45][InstallationNumber]",Submission!$O:$O,Submission!$H:$N,""))</f>
        <v/>
      </c>
    </row>
    <row r="248" spans="1:9" ht="15.9" hidden="1" customHeight="1" outlineLevel="1" x14ac:dyDescent="0.3">
      <c r="A248" s="13"/>
      <c r="B248" s="34"/>
      <c r="C248" s="281" t="str">
        <f>_xlfn.CONCAT(_xlfn.XLOOKUP("[S05_DefaultValues][46][InstallationCategory]",Submission!$O:$O,Submission!$H:$N,""))</f>
        <v/>
      </c>
      <c r="D248" s="350"/>
      <c r="E248" s="350"/>
      <c r="F248" s="350"/>
      <c r="G248" s="347"/>
      <c r="H248" s="123" t="str">
        <f>_xlfn.CONCAT(_xlfn.XLOOKUP("[S05_DefaultValues][46][FuelMaterialType]",Submission!$O:$O,Submission!$H:$N,""))</f>
        <v/>
      </c>
      <c r="I248" s="106" t="str">
        <f>_xlfn.CONCAT(_xlfn.XLOOKUP("[S05_DefaultValues][46][InstallationNumber]",Submission!$O:$O,Submission!$H:$N,""))</f>
        <v/>
      </c>
    </row>
    <row r="249" spans="1:9" ht="15.9" hidden="1" customHeight="1" outlineLevel="1" x14ac:dyDescent="0.3">
      <c r="A249" s="13"/>
      <c r="B249" s="34"/>
      <c r="C249" s="281" t="str">
        <f>_xlfn.CONCAT(_xlfn.XLOOKUP("[S05_DefaultValues][47][InstallationCategory]",Submission!$O:$O,Submission!$H:$N,""))</f>
        <v/>
      </c>
      <c r="D249" s="350"/>
      <c r="E249" s="350"/>
      <c r="F249" s="350"/>
      <c r="G249" s="347"/>
      <c r="H249" s="123" t="str">
        <f>_xlfn.CONCAT(_xlfn.XLOOKUP("[S05_DefaultValues][47][FuelMaterialType]",Submission!$O:$O,Submission!$H:$N,""))</f>
        <v/>
      </c>
      <c r="I249" s="106" t="str">
        <f>_xlfn.CONCAT(_xlfn.XLOOKUP("[S05_DefaultValues][47][InstallationNumber]",Submission!$O:$O,Submission!$H:$N,""))</f>
        <v/>
      </c>
    </row>
    <row r="250" spans="1:9" ht="15.9" hidden="1" customHeight="1" outlineLevel="1" x14ac:dyDescent="0.3">
      <c r="A250" s="13"/>
      <c r="B250" s="34"/>
      <c r="C250" s="281" t="str">
        <f>_xlfn.CONCAT(_xlfn.XLOOKUP("[S05_DefaultValues][48][InstallationCategory]",Submission!$O:$O,Submission!$H:$N,""))</f>
        <v/>
      </c>
      <c r="D250" s="350"/>
      <c r="E250" s="350"/>
      <c r="F250" s="350"/>
      <c r="G250" s="347"/>
      <c r="H250" s="123" t="str">
        <f>_xlfn.CONCAT(_xlfn.XLOOKUP("[S05_DefaultValues][48][FuelMaterialType]",Submission!$O:$O,Submission!$H:$N,""))</f>
        <v/>
      </c>
      <c r="I250" s="106" t="str">
        <f>_xlfn.CONCAT(_xlfn.XLOOKUP("[S05_DefaultValues][48][InstallationNumber]",Submission!$O:$O,Submission!$H:$N,""))</f>
        <v/>
      </c>
    </row>
    <row r="251" spans="1:9" ht="15.9" hidden="1" customHeight="1" outlineLevel="1" x14ac:dyDescent="0.3">
      <c r="A251" s="13"/>
      <c r="B251" s="34"/>
      <c r="C251" s="281" t="str">
        <f>_xlfn.CONCAT(_xlfn.XLOOKUP("[S05_DefaultValues][49][InstallationCategory]",Submission!$O:$O,Submission!$H:$N,""))</f>
        <v/>
      </c>
      <c r="D251" s="350"/>
      <c r="E251" s="350"/>
      <c r="F251" s="350"/>
      <c r="G251" s="347"/>
      <c r="H251" s="123" t="str">
        <f>_xlfn.CONCAT(_xlfn.XLOOKUP("[S05_DefaultValues][49][FuelMaterialType]",Submission!$O:$O,Submission!$H:$N,""))</f>
        <v/>
      </c>
      <c r="I251" s="106" t="str">
        <f>_xlfn.CONCAT(_xlfn.XLOOKUP("[S05_DefaultValues][49][InstallationNumber]",Submission!$O:$O,Submission!$H:$N,""))</f>
        <v/>
      </c>
    </row>
    <row r="252" spans="1:9" ht="15.9" hidden="1" customHeight="1" outlineLevel="1" x14ac:dyDescent="0.3">
      <c r="A252" s="13"/>
      <c r="B252" s="34"/>
      <c r="C252" s="281" t="str">
        <f>_xlfn.CONCAT(_xlfn.XLOOKUP("[S05_DefaultValues][50][InstallationCategory]",Submission!$O:$O,Submission!$H:$N,""))</f>
        <v/>
      </c>
      <c r="D252" s="350"/>
      <c r="E252" s="350"/>
      <c r="F252" s="350"/>
      <c r="G252" s="347"/>
      <c r="H252" s="123" t="str">
        <f>_xlfn.CONCAT(_xlfn.XLOOKUP("[S05_DefaultValues][50][FuelMaterialType]",Submission!$O:$O,Submission!$H:$N,""))</f>
        <v/>
      </c>
      <c r="I252" s="106" t="str">
        <f>_xlfn.CONCAT(_xlfn.XLOOKUP("[S05_DefaultValues][50][InstallationNumber]",Submission!$O:$O,Submission!$H:$N,""))</f>
        <v/>
      </c>
    </row>
    <row r="253" spans="1:9" ht="15.9" hidden="1" customHeight="1" outlineLevel="1" x14ac:dyDescent="0.3">
      <c r="A253" s="13"/>
      <c r="B253" s="34"/>
      <c r="C253" s="281" t="str">
        <f>_xlfn.CONCAT(_xlfn.XLOOKUP("[S05_DefaultValues][51][InstallationCategory]",Submission!$O:$O,Submission!$H:$N,""))</f>
        <v/>
      </c>
      <c r="D253" s="350"/>
      <c r="E253" s="350"/>
      <c r="F253" s="350"/>
      <c r="G253" s="347"/>
      <c r="H253" s="123" t="str">
        <f>_xlfn.CONCAT(_xlfn.XLOOKUP("[S05_DefaultValues][51][FuelMaterialType]",Submission!$O:$O,Submission!$H:$N,""))</f>
        <v/>
      </c>
      <c r="I253" s="106" t="str">
        <f>_xlfn.CONCAT(_xlfn.XLOOKUP("[S05_DefaultValues][51][InstallationNumber]",Submission!$O:$O,Submission!$H:$N,""))</f>
        <v/>
      </c>
    </row>
    <row r="254" spans="1:9" ht="15.9" hidden="1" customHeight="1" outlineLevel="1" x14ac:dyDescent="0.3">
      <c r="A254" s="13"/>
      <c r="B254" s="34"/>
      <c r="C254" s="281" t="str">
        <f>_xlfn.CONCAT(_xlfn.XLOOKUP("[S05_DefaultValues][52][InstallationCategory]",Submission!$O:$O,Submission!$H:$N,""))</f>
        <v/>
      </c>
      <c r="D254" s="350"/>
      <c r="E254" s="350"/>
      <c r="F254" s="350"/>
      <c r="G254" s="347"/>
      <c r="H254" s="123" t="str">
        <f>_xlfn.CONCAT(_xlfn.XLOOKUP("[S05_DefaultValues][52][FuelMaterialType]",Submission!$O:$O,Submission!$H:$N,""))</f>
        <v/>
      </c>
      <c r="I254" s="106" t="str">
        <f>_xlfn.CONCAT(_xlfn.XLOOKUP("[S05_DefaultValues][52][InstallationNumber]",Submission!$O:$O,Submission!$H:$N,""))</f>
        <v/>
      </c>
    </row>
    <row r="255" spans="1:9" ht="15.9" hidden="1" customHeight="1" outlineLevel="1" x14ac:dyDescent="0.3">
      <c r="A255" s="13"/>
      <c r="B255" s="34"/>
      <c r="C255" s="281" t="str">
        <f>_xlfn.CONCAT(_xlfn.XLOOKUP("[S05_DefaultValues][53][InstallationCategory]",Submission!$O:$O,Submission!$H:$N,""))</f>
        <v/>
      </c>
      <c r="D255" s="350"/>
      <c r="E255" s="350"/>
      <c r="F255" s="350"/>
      <c r="G255" s="347"/>
      <c r="H255" s="123" t="str">
        <f>_xlfn.CONCAT(_xlfn.XLOOKUP("[S05_DefaultValues][53][FuelMaterialType]",Submission!$O:$O,Submission!$H:$N,""))</f>
        <v/>
      </c>
      <c r="I255" s="106" t="str">
        <f>_xlfn.CONCAT(_xlfn.XLOOKUP("[S05_DefaultValues][53][InstallationNumber]",Submission!$O:$O,Submission!$H:$N,""))</f>
        <v/>
      </c>
    </row>
    <row r="256" spans="1:9" ht="15.9" hidden="1" customHeight="1" outlineLevel="1" x14ac:dyDescent="0.3">
      <c r="A256" s="13"/>
      <c r="B256" s="34"/>
      <c r="C256" s="281" t="str">
        <f>_xlfn.CONCAT(_xlfn.XLOOKUP("[S05_DefaultValues][54][InstallationCategory]",Submission!$O:$O,Submission!$H:$N,""))</f>
        <v/>
      </c>
      <c r="D256" s="350"/>
      <c r="E256" s="350"/>
      <c r="F256" s="350"/>
      <c r="G256" s="347"/>
      <c r="H256" s="123" t="str">
        <f>_xlfn.CONCAT(_xlfn.XLOOKUP("[S05_DefaultValues][54][FuelMaterialType]",Submission!$O:$O,Submission!$H:$N,""))</f>
        <v/>
      </c>
      <c r="I256" s="106" t="str">
        <f>_xlfn.CONCAT(_xlfn.XLOOKUP("[S05_DefaultValues][54][InstallationNumber]",Submission!$O:$O,Submission!$H:$N,""))</f>
        <v/>
      </c>
    </row>
    <row r="257" spans="1:9" ht="15.9" hidden="1" customHeight="1" outlineLevel="1" x14ac:dyDescent="0.3">
      <c r="A257" s="13"/>
      <c r="B257" s="34"/>
      <c r="C257" s="281" t="str">
        <f>_xlfn.CONCAT(_xlfn.XLOOKUP("[S05_DefaultValues][55][InstallationCategory]",Submission!$O:$O,Submission!$H:$N,""))</f>
        <v/>
      </c>
      <c r="D257" s="350"/>
      <c r="E257" s="350"/>
      <c r="F257" s="350"/>
      <c r="G257" s="347"/>
      <c r="H257" s="123" t="str">
        <f>_xlfn.CONCAT(_xlfn.XLOOKUP("[S05_DefaultValues][55][FuelMaterialType]",Submission!$O:$O,Submission!$H:$N,""))</f>
        <v/>
      </c>
      <c r="I257" s="106" t="str">
        <f>_xlfn.CONCAT(_xlfn.XLOOKUP("[S05_DefaultValues][55][InstallationNumber]",Submission!$O:$O,Submission!$H:$N,""))</f>
        <v/>
      </c>
    </row>
    <row r="258" spans="1:9" ht="15.9" hidden="1" customHeight="1" outlineLevel="1" x14ac:dyDescent="0.3">
      <c r="A258" s="13"/>
      <c r="B258" s="34"/>
      <c r="C258" s="281" t="str">
        <f>_xlfn.CONCAT(_xlfn.XLOOKUP("[S05_DefaultValues][56][InstallationCategory]",Submission!$O:$O,Submission!$H:$N,""))</f>
        <v/>
      </c>
      <c r="D258" s="350"/>
      <c r="E258" s="350"/>
      <c r="F258" s="350"/>
      <c r="G258" s="347"/>
      <c r="H258" s="123" t="str">
        <f>_xlfn.CONCAT(_xlfn.XLOOKUP("[S05_DefaultValues][56][FuelMaterialType]",Submission!$O:$O,Submission!$H:$N,""))</f>
        <v/>
      </c>
      <c r="I258" s="106" t="str">
        <f>_xlfn.CONCAT(_xlfn.XLOOKUP("[S05_DefaultValues][56][InstallationNumber]",Submission!$O:$O,Submission!$H:$N,""))</f>
        <v/>
      </c>
    </row>
    <row r="259" spans="1:9" ht="15.9" hidden="1" customHeight="1" outlineLevel="1" x14ac:dyDescent="0.3">
      <c r="A259" s="13"/>
      <c r="B259" s="34"/>
      <c r="C259" s="281" t="str">
        <f>_xlfn.CONCAT(_xlfn.XLOOKUP("[S05_DefaultValues][57][InstallationCategory]",Submission!$O:$O,Submission!$H:$N,""))</f>
        <v/>
      </c>
      <c r="D259" s="350"/>
      <c r="E259" s="350"/>
      <c r="F259" s="350"/>
      <c r="G259" s="347"/>
      <c r="H259" s="123" t="str">
        <f>_xlfn.CONCAT(_xlfn.XLOOKUP("[S05_DefaultValues][57][FuelMaterialType]",Submission!$O:$O,Submission!$H:$N,""))</f>
        <v/>
      </c>
      <c r="I259" s="106" t="str">
        <f>_xlfn.CONCAT(_xlfn.XLOOKUP("[S05_DefaultValues][57][InstallationNumber]",Submission!$O:$O,Submission!$H:$N,""))</f>
        <v/>
      </c>
    </row>
    <row r="260" spans="1:9" ht="15.9" hidden="1" customHeight="1" outlineLevel="1" x14ac:dyDescent="0.3">
      <c r="A260" s="13"/>
      <c r="B260" s="34"/>
      <c r="C260" s="281" t="str">
        <f>_xlfn.CONCAT(_xlfn.XLOOKUP("[S05_DefaultValues][58][InstallationCategory]",Submission!$O:$O,Submission!$H:$N,""))</f>
        <v/>
      </c>
      <c r="D260" s="350"/>
      <c r="E260" s="350"/>
      <c r="F260" s="350"/>
      <c r="G260" s="347"/>
      <c r="H260" s="123" t="str">
        <f>_xlfn.CONCAT(_xlfn.XLOOKUP("[S05_DefaultValues][58][FuelMaterialType]",Submission!$O:$O,Submission!$H:$N,""))</f>
        <v/>
      </c>
      <c r="I260" s="106" t="str">
        <f>_xlfn.CONCAT(_xlfn.XLOOKUP("[S05_DefaultValues][58][InstallationNumber]",Submission!$O:$O,Submission!$H:$N,""))</f>
        <v/>
      </c>
    </row>
    <row r="261" spans="1:9" ht="15.9" hidden="1" customHeight="1" outlineLevel="1" x14ac:dyDescent="0.3">
      <c r="A261" s="13"/>
      <c r="B261" s="34"/>
      <c r="C261" s="281" t="str">
        <f>_xlfn.CONCAT(_xlfn.XLOOKUP("[S05_DefaultValues][59][InstallationCategory]",Submission!$O:$O,Submission!$H:$N,""))</f>
        <v/>
      </c>
      <c r="D261" s="350"/>
      <c r="E261" s="350"/>
      <c r="F261" s="350"/>
      <c r="G261" s="347"/>
      <c r="H261" s="123" t="str">
        <f>_xlfn.CONCAT(_xlfn.XLOOKUP("[S05_DefaultValues][59][FuelMaterialType]",Submission!$O:$O,Submission!$H:$N,""))</f>
        <v/>
      </c>
      <c r="I261" s="106" t="str">
        <f>_xlfn.CONCAT(_xlfn.XLOOKUP("[S05_DefaultValues][59][InstallationNumber]",Submission!$O:$O,Submission!$H:$N,""))</f>
        <v/>
      </c>
    </row>
    <row r="262" spans="1:9" ht="15.9" hidden="1" customHeight="1" outlineLevel="1" x14ac:dyDescent="0.3">
      <c r="A262" s="13"/>
      <c r="B262" s="34"/>
      <c r="C262" s="281" t="str">
        <f>_xlfn.CONCAT(_xlfn.XLOOKUP("[S05_DefaultValues][60][InstallationCategory]",Submission!$O:$O,Submission!$H:$N,""))</f>
        <v/>
      </c>
      <c r="D262" s="350"/>
      <c r="E262" s="350"/>
      <c r="F262" s="350"/>
      <c r="G262" s="347"/>
      <c r="H262" s="123" t="str">
        <f>_xlfn.CONCAT(_xlfn.XLOOKUP("[S05_DefaultValues][60][FuelMaterialType]",Submission!$O:$O,Submission!$H:$N,""))</f>
        <v/>
      </c>
      <c r="I262" s="106" t="str">
        <f>_xlfn.CONCAT(_xlfn.XLOOKUP("[S05_DefaultValues][60][InstallationNumber]",Submission!$O:$O,Submission!$H:$N,""))</f>
        <v/>
      </c>
    </row>
    <row r="263" spans="1:9" ht="15.9" hidden="1" customHeight="1" outlineLevel="1" x14ac:dyDescent="0.3">
      <c r="A263" s="13"/>
      <c r="B263" s="34"/>
      <c r="C263" s="281" t="str">
        <f>_xlfn.CONCAT(_xlfn.XLOOKUP("[S05_DefaultValues][61][InstallationCategory]",Submission!$O:$O,Submission!$H:$N,""))</f>
        <v/>
      </c>
      <c r="D263" s="350"/>
      <c r="E263" s="350"/>
      <c r="F263" s="350"/>
      <c r="G263" s="347"/>
      <c r="H263" s="123" t="str">
        <f>_xlfn.CONCAT(_xlfn.XLOOKUP("[S05_DefaultValues][61][FuelMaterialType]",Submission!$O:$O,Submission!$H:$N,""))</f>
        <v/>
      </c>
      <c r="I263" s="106" t="str">
        <f>_xlfn.CONCAT(_xlfn.XLOOKUP("[S05_DefaultValues][61][InstallationNumber]",Submission!$O:$O,Submission!$H:$N,""))</f>
        <v/>
      </c>
    </row>
    <row r="264" spans="1:9" ht="15.9" hidden="1" customHeight="1" outlineLevel="1" x14ac:dyDescent="0.3">
      <c r="A264" s="13"/>
      <c r="B264" s="34"/>
      <c r="C264" s="281" t="str">
        <f>_xlfn.CONCAT(_xlfn.XLOOKUP("[S05_DefaultValues][62][InstallationCategory]",Submission!$O:$O,Submission!$H:$N,""))</f>
        <v/>
      </c>
      <c r="D264" s="350"/>
      <c r="E264" s="350"/>
      <c r="F264" s="350"/>
      <c r="G264" s="347"/>
      <c r="H264" s="123" t="str">
        <f>_xlfn.CONCAT(_xlfn.XLOOKUP("[S05_DefaultValues][62][FuelMaterialType]",Submission!$O:$O,Submission!$H:$N,""))</f>
        <v/>
      </c>
      <c r="I264" s="106" t="str">
        <f>_xlfn.CONCAT(_xlfn.XLOOKUP("[S05_DefaultValues][62][InstallationNumber]",Submission!$O:$O,Submission!$H:$N,""))</f>
        <v/>
      </c>
    </row>
    <row r="265" spans="1:9" ht="15.9" hidden="1" customHeight="1" outlineLevel="1" x14ac:dyDescent="0.3">
      <c r="A265" s="13"/>
      <c r="B265" s="34"/>
      <c r="C265" s="281" t="str">
        <f>_xlfn.CONCAT(_xlfn.XLOOKUP("[S05_DefaultValues][63][InstallationCategory]",Submission!$O:$O,Submission!$H:$N,""))</f>
        <v/>
      </c>
      <c r="D265" s="350"/>
      <c r="E265" s="350"/>
      <c r="F265" s="350"/>
      <c r="G265" s="347"/>
      <c r="H265" s="123" t="str">
        <f>_xlfn.CONCAT(_xlfn.XLOOKUP("[S05_DefaultValues][63][FuelMaterialType]",Submission!$O:$O,Submission!$H:$N,""))</f>
        <v/>
      </c>
      <c r="I265" s="106" t="str">
        <f>_xlfn.CONCAT(_xlfn.XLOOKUP("[S05_DefaultValues][63][InstallationNumber]",Submission!$O:$O,Submission!$H:$N,""))</f>
        <v/>
      </c>
    </row>
    <row r="266" spans="1:9" ht="15.9" hidden="1" customHeight="1" outlineLevel="1" x14ac:dyDescent="0.3">
      <c r="A266" s="13"/>
      <c r="B266" s="34"/>
      <c r="C266" s="281" t="str">
        <f>_xlfn.CONCAT(_xlfn.XLOOKUP("[S05_DefaultValues][64][InstallationCategory]",Submission!$O:$O,Submission!$H:$N,""))</f>
        <v/>
      </c>
      <c r="D266" s="350"/>
      <c r="E266" s="350"/>
      <c r="F266" s="350"/>
      <c r="G266" s="347"/>
      <c r="H266" s="123" t="str">
        <f>_xlfn.CONCAT(_xlfn.XLOOKUP("[S05_DefaultValues][64][FuelMaterialType]",Submission!$O:$O,Submission!$H:$N,""))</f>
        <v/>
      </c>
      <c r="I266" s="106" t="str">
        <f>_xlfn.CONCAT(_xlfn.XLOOKUP("[S05_DefaultValues][64][InstallationNumber]",Submission!$O:$O,Submission!$H:$N,""))</f>
        <v/>
      </c>
    </row>
    <row r="267" spans="1:9" ht="15.9" hidden="1" customHeight="1" outlineLevel="1" x14ac:dyDescent="0.3">
      <c r="A267" s="13"/>
      <c r="B267" s="34"/>
      <c r="C267" s="281" t="str">
        <f>_xlfn.CONCAT(_xlfn.XLOOKUP("[S05_DefaultValues][65][InstallationCategory]",Submission!$O:$O,Submission!$H:$N,""))</f>
        <v/>
      </c>
      <c r="D267" s="350"/>
      <c r="E267" s="350"/>
      <c r="F267" s="350"/>
      <c r="G267" s="347"/>
      <c r="H267" s="123" t="str">
        <f>_xlfn.CONCAT(_xlfn.XLOOKUP("[S05_DefaultValues][65][FuelMaterialType]",Submission!$O:$O,Submission!$H:$N,""))</f>
        <v/>
      </c>
      <c r="I267" s="106" t="str">
        <f>_xlfn.CONCAT(_xlfn.XLOOKUP("[S05_DefaultValues][65][InstallationNumber]",Submission!$O:$O,Submission!$H:$N,""))</f>
        <v/>
      </c>
    </row>
    <row r="268" spans="1:9" ht="15.9" hidden="1" customHeight="1" outlineLevel="1" x14ac:dyDescent="0.3">
      <c r="A268" s="13"/>
      <c r="B268" s="34"/>
      <c r="C268" s="281" t="str">
        <f>_xlfn.CONCAT(_xlfn.XLOOKUP("[S05_DefaultValues][66][InstallationCategory]",Submission!$O:$O,Submission!$H:$N,""))</f>
        <v/>
      </c>
      <c r="D268" s="350"/>
      <c r="E268" s="350"/>
      <c r="F268" s="350"/>
      <c r="G268" s="347"/>
      <c r="H268" s="123" t="str">
        <f>_xlfn.CONCAT(_xlfn.XLOOKUP("[S05_DefaultValues][66][FuelMaterialType]",Submission!$O:$O,Submission!$H:$N,""))</f>
        <v/>
      </c>
      <c r="I268" s="106" t="str">
        <f>_xlfn.CONCAT(_xlfn.XLOOKUP("[S05_DefaultValues][66][InstallationNumber]",Submission!$O:$O,Submission!$H:$N,""))</f>
        <v/>
      </c>
    </row>
    <row r="269" spans="1:9" ht="15.9" hidden="1" customHeight="1" outlineLevel="1" x14ac:dyDescent="0.3">
      <c r="A269" s="13"/>
      <c r="B269" s="34"/>
      <c r="C269" s="281" t="str">
        <f>_xlfn.CONCAT(_xlfn.XLOOKUP("[S05_DefaultValues][67][InstallationCategory]",Submission!$O:$O,Submission!$H:$N,""))</f>
        <v/>
      </c>
      <c r="D269" s="350"/>
      <c r="E269" s="350"/>
      <c r="F269" s="350"/>
      <c r="G269" s="347"/>
      <c r="H269" s="123" t="str">
        <f>_xlfn.CONCAT(_xlfn.XLOOKUP("[S05_DefaultValues][67][FuelMaterialType]",Submission!$O:$O,Submission!$H:$N,""))</f>
        <v/>
      </c>
      <c r="I269" s="106" t="str">
        <f>_xlfn.CONCAT(_xlfn.XLOOKUP("[S05_DefaultValues][67][InstallationNumber]",Submission!$O:$O,Submission!$H:$N,""))</f>
        <v/>
      </c>
    </row>
    <row r="270" spans="1:9" ht="15.9" hidden="1" customHeight="1" outlineLevel="1" x14ac:dyDescent="0.3">
      <c r="A270" s="13"/>
      <c r="B270" s="34"/>
      <c r="C270" s="281" t="str">
        <f>_xlfn.CONCAT(_xlfn.XLOOKUP("[S05_DefaultValues][68][InstallationCategory]",Submission!$O:$O,Submission!$H:$N,""))</f>
        <v/>
      </c>
      <c r="D270" s="350"/>
      <c r="E270" s="350"/>
      <c r="F270" s="350"/>
      <c r="G270" s="347"/>
      <c r="H270" s="123" t="str">
        <f>_xlfn.CONCAT(_xlfn.XLOOKUP("[S05_DefaultValues][68][FuelMaterialType]",Submission!$O:$O,Submission!$H:$N,""))</f>
        <v/>
      </c>
      <c r="I270" s="106" t="str">
        <f>_xlfn.CONCAT(_xlfn.XLOOKUP("[S05_DefaultValues][68][InstallationNumber]",Submission!$O:$O,Submission!$H:$N,""))</f>
        <v/>
      </c>
    </row>
    <row r="271" spans="1:9" ht="15.9" hidden="1" customHeight="1" outlineLevel="1" x14ac:dyDescent="0.3">
      <c r="A271" s="13"/>
      <c r="B271" s="34"/>
      <c r="C271" s="281" t="str">
        <f>_xlfn.CONCAT(_xlfn.XLOOKUP("[S05_DefaultValues][69][InstallationCategory]",Submission!$O:$O,Submission!$H:$N,""))</f>
        <v/>
      </c>
      <c r="D271" s="350"/>
      <c r="E271" s="350"/>
      <c r="F271" s="350"/>
      <c r="G271" s="347"/>
      <c r="H271" s="123" t="str">
        <f>_xlfn.CONCAT(_xlfn.XLOOKUP("[S05_DefaultValues][69][FuelMaterialType]",Submission!$O:$O,Submission!$H:$N,""))</f>
        <v/>
      </c>
      <c r="I271" s="106" t="str">
        <f>_xlfn.CONCAT(_xlfn.XLOOKUP("[S05_DefaultValues][69][InstallationNumber]",Submission!$O:$O,Submission!$H:$N,""))</f>
        <v/>
      </c>
    </row>
    <row r="272" spans="1:9" ht="15.9" hidden="1" customHeight="1" outlineLevel="1" x14ac:dyDescent="0.3">
      <c r="A272" s="13"/>
      <c r="B272" s="34"/>
      <c r="C272" s="281" t="str">
        <f>_xlfn.CONCAT(_xlfn.XLOOKUP("[S05_DefaultValues][70][InstallationCategory]",Submission!$O:$O,Submission!$H:$N,""))</f>
        <v/>
      </c>
      <c r="D272" s="350"/>
      <c r="E272" s="350"/>
      <c r="F272" s="350"/>
      <c r="G272" s="347"/>
      <c r="H272" s="123" t="str">
        <f>_xlfn.CONCAT(_xlfn.XLOOKUP("[S05_DefaultValues][70][FuelMaterialType]",Submission!$O:$O,Submission!$H:$N,""))</f>
        <v/>
      </c>
      <c r="I272" s="106" t="str">
        <f>_xlfn.CONCAT(_xlfn.XLOOKUP("[S05_DefaultValues][70][InstallationNumber]",Submission!$O:$O,Submission!$H:$N,""))</f>
        <v/>
      </c>
    </row>
    <row r="273" spans="1:9" ht="15.9" hidden="1" customHeight="1" outlineLevel="1" x14ac:dyDescent="0.3">
      <c r="A273" s="13"/>
      <c r="B273" s="34"/>
      <c r="C273" s="281" t="str">
        <f>_xlfn.CONCAT(_xlfn.XLOOKUP("[S05_DefaultValues][71][InstallationCategory]",Submission!$O:$O,Submission!$H:$N,""))</f>
        <v/>
      </c>
      <c r="D273" s="350"/>
      <c r="E273" s="350"/>
      <c r="F273" s="350"/>
      <c r="G273" s="347"/>
      <c r="H273" s="123" t="str">
        <f>_xlfn.CONCAT(_xlfn.XLOOKUP("[S05_DefaultValues][71][FuelMaterialType]",Submission!$O:$O,Submission!$H:$N,""))</f>
        <v/>
      </c>
      <c r="I273" s="106" t="str">
        <f>_xlfn.CONCAT(_xlfn.XLOOKUP("[S05_DefaultValues][71][InstallationNumber]",Submission!$O:$O,Submission!$H:$N,""))</f>
        <v/>
      </c>
    </row>
    <row r="274" spans="1:9" ht="15.9" hidden="1" customHeight="1" outlineLevel="1" x14ac:dyDescent="0.3">
      <c r="A274" s="13"/>
      <c r="B274" s="34"/>
      <c r="C274" s="281" t="str">
        <f>_xlfn.CONCAT(_xlfn.XLOOKUP("[S05_DefaultValues][72][InstallationCategory]",Submission!$O:$O,Submission!$H:$N,""))</f>
        <v/>
      </c>
      <c r="D274" s="350"/>
      <c r="E274" s="350"/>
      <c r="F274" s="350"/>
      <c r="G274" s="347"/>
      <c r="H274" s="123" t="str">
        <f>_xlfn.CONCAT(_xlfn.XLOOKUP("[S05_DefaultValues][72][FuelMaterialType]",Submission!$O:$O,Submission!$H:$N,""))</f>
        <v/>
      </c>
      <c r="I274" s="106" t="str">
        <f>_xlfn.CONCAT(_xlfn.XLOOKUP("[S05_DefaultValues][72][InstallationNumber]",Submission!$O:$O,Submission!$H:$N,""))</f>
        <v/>
      </c>
    </row>
    <row r="275" spans="1:9" ht="15.9" hidden="1" customHeight="1" outlineLevel="1" x14ac:dyDescent="0.3">
      <c r="A275" s="13"/>
      <c r="B275" s="34"/>
      <c r="C275" s="281" t="str">
        <f>_xlfn.CONCAT(_xlfn.XLOOKUP("[S05_DefaultValues][73][InstallationCategory]",Submission!$O:$O,Submission!$H:$N,""))</f>
        <v/>
      </c>
      <c r="D275" s="350"/>
      <c r="E275" s="350"/>
      <c r="F275" s="350"/>
      <c r="G275" s="347"/>
      <c r="H275" s="123" t="str">
        <f>_xlfn.CONCAT(_xlfn.XLOOKUP("[S05_DefaultValues][73][FuelMaterialType]",Submission!$O:$O,Submission!$H:$N,""))</f>
        <v/>
      </c>
      <c r="I275" s="106" t="str">
        <f>_xlfn.CONCAT(_xlfn.XLOOKUP("[S05_DefaultValues][73][InstallationNumber]",Submission!$O:$O,Submission!$H:$N,""))</f>
        <v/>
      </c>
    </row>
    <row r="276" spans="1:9" ht="15.9" hidden="1" customHeight="1" outlineLevel="1" x14ac:dyDescent="0.3">
      <c r="A276" s="13"/>
      <c r="B276" s="34"/>
      <c r="C276" s="281" t="str">
        <f>_xlfn.CONCAT(_xlfn.XLOOKUP("[S05_DefaultValues][74][InstallationCategory]",Submission!$O:$O,Submission!$H:$N,""))</f>
        <v/>
      </c>
      <c r="D276" s="350"/>
      <c r="E276" s="350"/>
      <c r="F276" s="350"/>
      <c r="G276" s="347"/>
      <c r="H276" s="123" t="str">
        <f>_xlfn.CONCAT(_xlfn.XLOOKUP("[S05_DefaultValues][74][FuelMaterialType]",Submission!$O:$O,Submission!$H:$N,""))</f>
        <v/>
      </c>
      <c r="I276" s="106" t="str">
        <f>_xlfn.CONCAT(_xlfn.XLOOKUP("[S05_DefaultValues][74][InstallationNumber]",Submission!$O:$O,Submission!$H:$N,""))</f>
        <v/>
      </c>
    </row>
    <row r="277" spans="1:9" ht="15.9" hidden="1" customHeight="1" outlineLevel="1" x14ac:dyDescent="0.3">
      <c r="A277" s="13"/>
      <c r="B277" s="34"/>
      <c r="C277" s="281" t="str">
        <f>_xlfn.CONCAT(_xlfn.XLOOKUP("[S05_DefaultValues][75][InstallationCategory]",Submission!$O:$O,Submission!$H:$N,""))</f>
        <v/>
      </c>
      <c r="D277" s="350"/>
      <c r="E277" s="350"/>
      <c r="F277" s="350"/>
      <c r="G277" s="347"/>
      <c r="H277" s="123" t="str">
        <f>_xlfn.CONCAT(_xlfn.XLOOKUP("[S05_DefaultValues][75][FuelMaterialType]",Submission!$O:$O,Submission!$H:$N,""))</f>
        <v/>
      </c>
      <c r="I277" s="106" t="str">
        <f>_xlfn.CONCAT(_xlfn.XLOOKUP("[S05_DefaultValues][75][InstallationNumber]",Submission!$O:$O,Submission!$H:$N,""))</f>
        <v/>
      </c>
    </row>
    <row r="278" spans="1:9" ht="15.9" hidden="1" customHeight="1" outlineLevel="1" x14ac:dyDescent="0.3">
      <c r="A278" s="13"/>
      <c r="B278" s="34"/>
      <c r="C278" s="281" t="str">
        <f>_xlfn.CONCAT(_xlfn.XLOOKUP("[S05_DefaultValues][76][InstallationCategory]",Submission!$O:$O,Submission!$H:$N,""))</f>
        <v/>
      </c>
      <c r="D278" s="350"/>
      <c r="E278" s="350"/>
      <c r="F278" s="350"/>
      <c r="G278" s="347"/>
      <c r="H278" s="123" t="str">
        <f>_xlfn.CONCAT(_xlfn.XLOOKUP("[S05_DefaultValues][76][FuelMaterialType]",Submission!$O:$O,Submission!$H:$N,""))</f>
        <v/>
      </c>
      <c r="I278" s="106" t="str">
        <f>_xlfn.CONCAT(_xlfn.XLOOKUP("[S05_DefaultValues][76][InstallationNumber]",Submission!$O:$O,Submission!$H:$N,""))</f>
        <v/>
      </c>
    </row>
    <row r="279" spans="1:9" ht="15.9" hidden="1" customHeight="1" outlineLevel="1" x14ac:dyDescent="0.3">
      <c r="A279" s="13"/>
      <c r="B279" s="34"/>
      <c r="C279" s="281" t="str">
        <f>_xlfn.CONCAT(_xlfn.XLOOKUP("[S05_DefaultValues][77][InstallationCategory]",Submission!$O:$O,Submission!$H:$N,""))</f>
        <v/>
      </c>
      <c r="D279" s="350"/>
      <c r="E279" s="350"/>
      <c r="F279" s="350"/>
      <c r="G279" s="347"/>
      <c r="H279" s="123" t="str">
        <f>_xlfn.CONCAT(_xlfn.XLOOKUP("[S05_DefaultValues][77][FuelMaterialType]",Submission!$O:$O,Submission!$H:$N,""))</f>
        <v/>
      </c>
      <c r="I279" s="106" t="str">
        <f>_xlfn.CONCAT(_xlfn.XLOOKUP("[S05_DefaultValues][77][InstallationNumber]",Submission!$O:$O,Submission!$H:$N,""))</f>
        <v/>
      </c>
    </row>
    <row r="280" spans="1:9" ht="15.9" hidden="1" customHeight="1" outlineLevel="1" x14ac:dyDescent="0.3">
      <c r="A280" s="13"/>
      <c r="B280" s="34"/>
      <c r="C280" s="281" t="str">
        <f>_xlfn.CONCAT(_xlfn.XLOOKUP("[S05_DefaultValues][78][InstallationCategory]",Submission!$O:$O,Submission!$H:$N,""))</f>
        <v/>
      </c>
      <c r="D280" s="350"/>
      <c r="E280" s="350"/>
      <c r="F280" s="350"/>
      <c r="G280" s="347"/>
      <c r="H280" s="123" t="str">
        <f>_xlfn.CONCAT(_xlfn.XLOOKUP("[S05_DefaultValues][78][FuelMaterialType]",Submission!$O:$O,Submission!$H:$N,""))</f>
        <v/>
      </c>
      <c r="I280" s="106" t="str">
        <f>_xlfn.CONCAT(_xlfn.XLOOKUP("[S05_DefaultValues][78][InstallationNumber]",Submission!$O:$O,Submission!$H:$N,""))</f>
        <v/>
      </c>
    </row>
    <row r="281" spans="1:9" ht="15.9" hidden="1" customHeight="1" outlineLevel="1" x14ac:dyDescent="0.3">
      <c r="A281" s="13"/>
      <c r="B281" s="34"/>
      <c r="C281" s="281" t="str">
        <f>_xlfn.CONCAT(_xlfn.XLOOKUP("[S05_DefaultValues][79][InstallationCategory]",Submission!$O:$O,Submission!$H:$N,""))</f>
        <v/>
      </c>
      <c r="D281" s="350"/>
      <c r="E281" s="350"/>
      <c r="F281" s="350"/>
      <c r="G281" s="347"/>
      <c r="H281" s="123" t="str">
        <f>_xlfn.CONCAT(_xlfn.XLOOKUP("[S05_DefaultValues][79][FuelMaterialType]",Submission!$O:$O,Submission!$H:$N,""))</f>
        <v/>
      </c>
      <c r="I281" s="106" t="str">
        <f>_xlfn.CONCAT(_xlfn.XLOOKUP("[S05_DefaultValues][79][InstallationNumber]",Submission!$O:$O,Submission!$H:$N,""))</f>
        <v/>
      </c>
    </row>
    <row r="282" spans="1:9" ht="15.9" hidden="1" customHeight="1" outlineLevel="1" x14ac:dyDescent="0.3">
      <c r="A282" s="13"/>
      <c r="B282" s="34"/>
      <c r="C282" s="281" t="str">
        <f>_xlfn.CONCAT(_xlfn.XLOOKUP("[S05_DefaultValues][80][InstallationCategory]",Submission!$O:$O,Submission!$H:$N,""))</f>
        <v/>
      </c>
      <c r="D282" s="350"/>
      <c r="E282" s="350"/>
      <c r="F282" s="350"/>
      <c r="G282" s="347"/>
      <c r="H282" s="123" t="str">
        <f>_xlfn.CONCAT(_xlfn.XLOOKUP("[S05_DefaultValues][80][FuelMaterialType]",Submission!$O:$O,Submission!$H:$N,""))</f>
        <v/>
      </c>
      <c r="I282" s="106" t="str">
        <f>_xlfn.CONCAT(_xlfn.XLOOKUP("[S05_DefaultValues][80][InstallationNumber]",Submission!$O:$O,Submission!$H:$N,""))</f>
        <v/>
      </c>
    </row>
    <row r="283" spans="1:9" ht="15.9" hidden="1" customHeight="1" outlineLevel="1" x14ac:dyDescent="0.3">
      <c r="A283" s="13"/>
      <c r="B283" s="34"/>
      <c r="C283" s="281" t="str">
        <f>_xlfn.CONCAT(_xlfn.XLOOKUP("[S05_DefaultValues][81][InstallationCategory]",Submission!$O:$O,Submission!$H:$N,""))</f>
        <v/>
      </c>
      <c r="D283" s="350"/>
      <c r="E283" s="350"/>
      <c r="F283" s="350"/>
      <c r="G283" s="347"/>
      <c r="H283" s="123" t="str">
        <f>_xlfn.CONCAT(_xlfn.XLOOKUP("[S05_DefaultValues][81][FuelMaterialType]",Submission!$O:$O,Submission!$H:$N,""))</f>
        <v/>
      </c>
      <c r="I283" s="106" t="str">
        <f>_xlfn.CONCAT(_xlfn.XLOOKUP("[S05_DefaultValues][81][InstallationNumber]",Submission!$O:$O,Submission!$H:$N,""))</f>
        <v/>
      </c>
    </row>
    <row r="284" spans="1:9" ht="15.9" hidden="1" customHeight="1" outlineLevel="1" x14ac:dyDescent="0.3">
      <c r="A284" s="13"/>
      <c r="B284" s="34"/>
      <c r="C284" s="281" t="str">
        <f>_xlfn.CONCAT(_xlfn.XLOOKUP("[S05_DefaultValues][82][InstallationCategory]",Submission!$O:$O,Submission!$H:$N,""))</f>
        <v/>
      </c>
      <c r="D284" s="350"/>
      <c r="E284" s="350"/>
      <c r="F284" s="350"/>
      <c r="G284" s="347"/>
      <c r="H284" s="123" t="str">
        <f>_xlfn.CONCAT(_xlfn.XLOOKUP("[S05_DefaultValues][82][FuelMaterialType]",Submission!$O:$O,Submission!$H:$N,""))</f>
        <v/>
      </c>
      <c r="I284" s="106" t="str">
        <f>_xlfn.CONCAT(_xlfn.XLOOKUP("[S05_DefaultValues][82][InstallationNumber]",Submission!$O:$O,Submission!$H:$N,""))</f>
        <v/>
      </c>
    </row>
    <row r="285" spans="1:9" ht="15.9" hidden="1" customHeight="1" outlineLevel="1" x14ac:dyDescent="0.3">
      <c r="A285" s="13"/>
      <c r="B285" s="34"/>
      <c r="C285" s="281" t="str">
        <f>_xlfn.CONCAT(_xlfn.XLOOKUP("[S05_DefaultValues][83][InstallationCategory]",Submission!$O:$O,Submission!$H:$N,""))</f>
        <v/>
      </c>
      <c r="D285" s="350"/>
      <c r="E285" s="350"/>
      <c r="F285" s="350"/>
      <c r="G285" s="347"/>
      <c r="H285" s="123" t="str">
        <f>_xlfn.CONCAT(_xlfn.XLOOKUP("[S05_DefaultValues][83][FuelMaterialType]",Submission!$O:$O,Submission!$H:$N,""))</f>
        <v/>
      </c>
      <c r="I285" s="106" t="str">
        <f>_xlfn.CONCAT(_xlfn.XLOOKUP("[S05_DefaultValues][83][InstallationNumber]",Submission!$O:$O,Submission!$H:$N,""))</f>
        <v/>
      </c>
    </row>
    <row r="286" spans="1:9" ht="15.9" hidden="1" customHeight="1" outlineLevel="1" x14ac:dyDescent="0.3">
      <c r="A286" s="13"/>
      <c r="B286" s="34"/>
      <c r="C286" s="281" t="str">
        <f>_xlfn.CONCAT(_xlfn.XLOOKUP("[S05_DefaultValues][84][InstallationCategory]",Submission!$O:$O,Submission!$H:$N,""))</f>
        <v/>
      </c>
      <c r="D286" s="350"/>
      <c r="E286" s="350"/>
      <c r="F286" s="350"/>
      <c r="G286" s="347"/>
      <c r="H286" s="123" t="str">
        <f>_xlfn.CONCAT(_xlfn.XLOOKUP("[S05_DefaultValues][84][FuelMaterialType]",Submission!$O:$O,Submission!$H:$N,""))</f>
        <v/>
      </c>
      <c r="I286" s="106" t="str">
        <f>_xlfn.CONCAT(_xlfn.XLOOKUP("[S05_DefaultValues][84][InstallationNumber]",Submission!$O:$O,Submission!$H:$N,""))</f>
        <v/>
      </c>
    </row>
    <row r="287" spans="1:9" ht="15.9" hidden="1" customHeight="1" outlineLevel="1" x14ac:dyDescent="0.3">
      <c r="A287" s="13"/>
      <c r="B287" s="34"/>
      <c r="C287" s="281" t="str">
        <f>_xlfn.CONCAT(_xlfn.XLOOKUP("[S05_DefaultValues][85][InstallationCategory]",Submission!$O:$O,Submission!$H:$N,""))</f>
        <v/>
      </c>
      <c r="D287" s="350"/>
      <c r="E287" s="350"/>
      <c r="F287" s="350"/>
      <c r="G287" s="347"/>
      <c r="H287" s="123" t="str">
        <f>_xlfn.CONCAT(_xlfn.XLOOKUP("[S05_DefaultValues][85][FuelMaterialType]",Submission!$O:$O,Submission!$H:$N,""))</f>
        <v/>
      </c>
      <c r="I287" s="106" t="str">
        <f>_xlfn.CONCAT(_xlfn.XLOOKUP("[S05_DefaultValues][85][InstallationNumber]",Submission!$O:$O,Submission!$H:$N,""))</f>
        <v/>
      </c>
    </row>
    <row r="288" spans="1:9" ht="15.9" hidden="1" customHeight="1" outlineLevel="1" x14ac:dyDescent="0.3">
      <c r="A288" s="13"/>
      <c r="B288" s="34"/>
      <c r="C288" s="281" t="str">
        <f>_xlfn.CONCAT(_xlfn.XLOOKUP("[S05_DefaultValues][86][InstallationCategory]",Submission!$O:$O,Submission!$H:$N,""))</f>
        <v/>
      </c>
      <c r="D288" s="350"/>
      <c r="E288" s="350"/>
      <c r="F288" s="350"/>
      <c r="G288" s="347"/>
      <c r="H288" s="123" t="str">
        <f>_xlfn.CONCAT(_xlfn.XLOOKUP("[S05_DefaultValues][86][FuelMaterialType]",Submission!$O:$O,Submission!$H:$N,""))</f>
        <v/>
      </c>
      <c r="I288" s="106" t="str">
        <f>_xlfn.CONCAT(_xlfn.XLOOKUP("[S05_DefaultValues][86][InstallationNumber]",Submission!$O:$O,Submission!$H:$N,""))</f>
        <v/>
      </c>
    </row>
    <row r="289" spans="1:9" ht="15.9" hidden="1" customHeight="1" outlineLevel="1" x14ac:dyDescent="0.3">
      <c r="A289" s="13"/>
      <c r="B289" s="34"/>
      <c r="C289" s="281" t="str">
        <f>_xlfn.CONCAT(_xlfn.XLOOKUP("[S05_DefaultValues][87][InstallationCategory]",Submission!$O:$O,Submission!$H:$N,""))</f>
        <v/>
      </c>
      <c r="D289" s="350"/>
      <c r="E289" s="350"/>
      <c r="F289" s="350"/>
      <c r="G289" s="347"/>
      <c r="H289" s="123" t="str">
        <f>_xlfn.CONCAT(_xlfn.XLOOKUP("[S05_DefaultValues][87][FuelMaterialType]",Submission!$O:$O,Submission!$H:$N,""))</f>
        <v/>
      </c>
      <c r="I289" s="106" t="str">
        <f>_xlfn.CONCAT(_xlfn.XLOOKUP("[S05_DefaultValues][87][InstallationNumber]",Submission!$O:$O,Submission!$H:$N,""))</f>
        <v/>
      </c>
    </row>
    <row r="290" spans="1:9" ht="15.9" hidden="1" customHeight="1" outlineLevel="1" x14ac:dyDescent="0.3">
      <c r="A290" s="13"/>
      <c r="B290" s="34"/>
      <c r="C290" s="281" t="str">
        <f>_xlfn.CONCAT(_xlfn.XLOOKUP("[S05_DefaultValues][88][InstallationCategory]",Submission!$O:$O,Submission!$H:$N,""))</f>
        <v/>
      </c>
      <c r="D290" s="350"/>
      <c r="E290" s="350"/>
      <c r="F290" s="350"/>
      <c r="G290" s="347"/>
      <c r="H290" s="123" t="str">
        <f>_xlfn.CONCAT(_xlfn.XLOOKUP("[S05_DefaultValues][88][FuelMaterialType]",Submission!$O:$O,Submission!$H:$N,""))</f>
        <v/>
      </c>
      <c r="I290" s="106" t="str">
        <f>_xlfn.CONCAT(_xlfn.XLOOKUP("[S05_DefaultValues][88][InstallationNumber]",Submission!$O:$O,Submission!$H:$N,""))</f>
        <v/>
      </c>
    </row>
    <row r="291" spans="1:9" ht="15.9" hidden="1" customHeight="1" outlineLevel="1" x14ac:dyDescent="0.3">
      <c r="A291" s="13"/>
      <c r="B291" s="34"/>
      <c r="C291" s="281" t="str">
        <f>_xlfn.CONCAT(_xlfn.XLOOKUP("[S05_DefaultValues][89][InstallationCategory]",Submission!$O:$O,Submission!$H:$N,""))</f>
        <v/>
      </c>
      <c r="D291" s="350"/>
      <c r="E291" s="350"/>
      <c r="F291" s="350"/>
      <c r="G291" s="347"/>
      <c r="H291" s="123" t="str">
        <f>_xlfn.CONCAT(_xlfn.XLOOKUP("[S05_DefaultValues][89][FuelMaterialType]",Submission!$O:$O,Submission!$H:$N,""))</f>
        <v/>
      </c>
      <c r="I291" s="106" t="str">
        <f>_xlfn.CONCAT(_xlfn.XLOOKUP("[S05_DefaultValues][89][InstallationNumber]",Submission!$O:$O,Submission!$H:$N,""))</f>
        <v/>
      </c>
    </row>
    <row r="292" spans="1:9" ht="15.9" hidden="1" customHeight="1" outlineLevel="1" x14ac:dyDescent="0.3">
      <c r="A292" s="13"/>
      <c r="B292" s="34"/>
      <c r="C292" s="281" t="str">
        <f>_xlfn.CONCAT(_xlfn.XLOOKUP("[S05_DefaultValues][90][InstallationCategory]",Submission!$O:$O,Submission!$H:$N,""))</f>
        <v/>
      </c>
      <c r="D292" s="350"/>
      <c r="E292" s="350"/>
      <c r="F292" s="350"/>
      <c r="G292" s="347"/>
      <c r="H292" s="123" t="str">
        <f>_xlfn.CONCAT(_xlfn.XLOOKUP("[S05_DefaultValues][90][FuelMaterialType]",Submission!$O:$O,Submission!$H:$N,""))</f>
        <v/>
      </c>
      <c r="I292" s="106" t="str">
        <f>_xlfn.CONCAT(_xlfn.XLOOKUP("[S05_DefaultValues][90][InstallationNumber]",Submission!$O:$O,Submission!$H:$N,""))</f>
        <v/>
      </c>
    </row>
    <row r="293" spans="1:9" ht="15.9" hidden="1" customHeight="1" outlineLevel="1" x14ac:dyDescent="0.3">
      <c r="A293" s="13"/>
      <c r="B293" s="34"/>
      <c r="C293" s="281" t="str">
        <f>_xlfn.CONCAT(_xlfn.XLOOKUP("[S05_DefaultValues][91][InstallationCategory]",Submission!$O:$O,Submission!$H:$N,""))</f>
        <v/>
      </c>
      <c r="D293" s="350"/>
      <c r="E293" s="350"/>
      <c r="F293" s="350"/>
      <c r="G293" s="347"/>
      <c r="H293" s="123" t="str">
        <f>_xlfn.CONCAT(_xlfn.XLOOKUP("[S05_DefaultValues][91][FuelMaterialType]",Submission!$O:$O,Submission!$H:$N,""))</f>
        <v/>
      </c>
      <c r="I293" s="106" t="str">
        <f>_xlfn.CONCAT(_xlfn.XLOOKUP("[S05_DefaultValues][91][InstallationNumber]",Submission!$O:$O,Submission!$H:$N,""))</f>
        <v/>
      </c>
    </row>
    <row r="294" spans="1:9" ht="15.9" hidden="1" customHeight="1" outlineLevel="1" x14ac:dyDescent="0.3">
      <c r="A294" s="13"/>
      <c r="B294" s="34"/>
      <c r="C294" s="281" t="str">
        <f>_xlfn.CONCAT(_xlfn.XLOOKUP("[S05_DefaultValues][92][InstallationCategory]",Submission!$O:$O,Submission!$H:$N,""))</f>
        <v/>
      </c>
      <c r="D294" s="350"/>
      <c r="E294" s="350"/>
      <c r="F294" s="350"/>
      <c r="G294" s="347"/>
      <c r="H294" s="123" t="str">
        <f>_xlfn.CONCAT(_xlfn.XLOOKUP("[S05_DefaultValues][92][FuelMaterialType]",Submission!$O:$O,Submission!$H:$N,""))</f>
        <v/>
      </c>
      <c r="I294" s="106" t="str">
        <f>_xlfn.CONCAT(_xlfn.XLOOKUP("[S05_DefaultValues][92][InstallationNumber]",Submission!$O:$O,Submission!$H:$N,""))</f>
        <v/>
      </c>
    </row>
    <row r="295" spans="1:9" ht="15.9" hidden="1" customHeight="1" outlineLevel="1" x14ac:dyDescent="0.3">
      <c r="A295" s="13"/>
      <c r="B295" s="34"/>
      <c r="C295" s="281" t="str">
        <f>_xlfn.CONCAT(_xlfn.XLOOKUP("[S05_DefaultValues][93][InstallationCategory]",Submission!$O:$O,Submission!$H:$N,""))</f>
        <v/>
      </c>
      <c r="D295" s="350"/>
      <c r="E295" s="350"/>
      <c r="F295" s="350"/>
      <c r="G295" s="347"/>
      <c r="H295" s="123" t="str">
        <f>_xlfn.CONCAT(_xlfn.XLOOKUP("[S05_DefaultValues][93][FuelMaterialType]",Submission!$O:$O,Submission!$H:$N,""))</f>
        <v/>
      </c>
      <c r="I295" s="106" t="str">
        <f>_xlfn.CONCAT(_xlfn.XLOOKUP("[S05_DefaultValues][93][InstallationNumber]",Submission!$O:$O,Submission!$H:$N,""))</f>
        <v/>
      </c>
    </row>
    <row r="296" spans="1:9" ht="15.9" hidden="1" customHeight="1" outlineLevel="1" x14ac:dyDescent="0.3">
      <c r="A296" s="13"/>
      <c r="B296" s="34"/>
      <c r="C296" s="281" t="str">
        <f>_xlfn.CONCAT(_xlfn.XLOOKUP("[S05_DefaultValues][94][InstallationCategory]",Submission!$O:$O,Submission!$H:$N,""))</f>
        <v/>
      </c>
      <c r="D296" s="350"/>
      <c r="E296" s="350"/>
      <c r="F296" s="350"/>
      <c r="G296" s="347"/>
      <c r="H296" s="123" t="str">
        <f>_xlfn.CONCAT(_xlfn.XLOOKUP("[S05_DefaultValues][94][FuelMaterialType]",Submission!$O:$O,Submission!$H:$N,""))</f>
        <v/>
      </c>
      <c r="I296" s="106" t="str">
        <f>_xlfn.CONCAT(_xlfn.XLOOKUP("[S05_DefaultValues][94][InstallationNumber]",Submission!$O:$O,Submission!$H:$N,""))</f>
        <v/>
      </c>
    </row>
    <row r="297" spans="1:9" ht="15.9" hidden="1" customHeight="1" outlineLevel="1" x14ac:dyDescent="0.3">
      <c r="A297" s="13"/>
      <c r="B297" s="34"/>
      <c r="C297" s="281" t="str">
        <f>_xlfn.CONCAT(_xlfn.XLOOKUP("[S05_DefaultValues][95][InstallationCategory]",Submission!$O:$O,Submission!$H:$N,""))</f>
        <v/>
      </c>
      <c r="D297" s="350"/>
      <c r="E297" s="350"/>
      <c r="F297" s="350"/>
      <c r="G297" s="347"/>
      <c r="H297" s="123" t="str">
        <f>_xlfn.CONCAT(_xlfn.XLOOKUP("[S05_DefaultValues][95][FuelMaterialType]",Submission!$O:$O,Submission!$H:$N,""))</f>
        <v/>
      </c>
      <c r="I297" s="106" t="str">
        <f>_xlfn.CONCAT(_xlfn.XLOOKUP("[S05_DefaultValues][95][InstallationNumber]",Submission!$O:$O,Submission!$H:$N,""))</f>
        <v/>
      </c>
    </row>
    <row r="298" spans="1:9" ht="15.9" hidden="1" customHeight="1" outlineLevel="1" x14ac:dyDescent="0.3">
      <c r="A298" s="13"/>
      <c r="B298" s="34"/>
      <c r="C298" s="281" t="str">
        <f>_xlfn.CONCAT(_xlfn.XLOOKUP("[S05_DefaultValues][96][InstallationCategory]",Submission!$O:$O,Submission!$H:$N,""))</f>
        <v/>
      </c>
      <c r="D298" s="350"/>
      <c r="E298" s="350"/>
      <c r="F298" s="350"/>
      <c r="G298" s="347"/>
      <c r="H298" s="123" t="str">
        <f>_xlfn.CONCAT(_xlfn.XLOOKUP("[S05_DefaultValues][96][FuelMaterialType]",Submission!$O:$O,Submission!$H:$N,""))</f>
        <v/>
      </c>
      <c r="I298" s="106" t="str">
        <f>_xlfn.CONCAT(_xlfn.XLOOKUP("[S05_DefaultValues][96][InstallationNumber]",Submission!$O:$O,Submission!$H:$N,""))</f>
        <v/>
      </c>
    </row>
    <row r="299" spans="1:9" ht="15.9" hidden="1" customHeight="1" outlineLevel="1" x14ac:dyDescent="0.3">
      <c r="A299" s="13"/>
      <c r="B299" s="34"/>
      <c r="C299" s="281" t="str">
        <f>_xlfn.CONCAT(_xlfn.XLOOKUP("[S05_DefaultValues][97][InstallationCategory]",Submission!$O:$O,Submission!$H:$N,""))</f>
        <v/>
      </c>
      <c r="D299" s="350"/>
      <c r="E299" s="350"/>
      <c r="F299" s="350"/>
      <c r="G299" s="347"/>
      <c r="H299" s="123" t="str">
        <f>_xlfn.CONCAT(_xlfn.XLOOKUP("[S05_DefaultValues][97][FuelMaterialType]",Submission!$O:$O,Submission!$H:$N,""))</f>
        <v/>
      </c>
      <c r="I299" s="106" t="str">
        <f>_xlfn.CONCAT(_xlfn.XLOOKUP("[S05_DefaultValues][97][InstallationNumber]",Submission!$O:$O,Submission!$H:$N,""))</f>
        <v/>
      </c>
    </row>
    <row r="300" spans="1:9" ht="15.9" hidden="1" customHeight="1" outlineLevel="1" x14ac:dyDescent="0.3">
      <c r="A300" s="13"/>
      <c r="B300" s="34"/>
      <c r="C300" s="281" t="str">
        <f>_xlfn.CONCAT(_xlfn.XLOOKUP("[S05_DefaultValues][98][InstallationCategory]",Submission!$O:$O,Submission!$H:$N,""))</f>
        <v/>
      </c>
      <c r="D300" s="350"/>
      <c r="E300" s="350"/>
      <c r="F300" s="350"/>
      <c r="G300" s="347"/>
      <c r="H300" s="123" t="str">
        <f>_xlfn.CONCAT(_xlfn.XLOOKUP("[S05_DefaultValues][98][FuelMaterialType]",Submission!$O:$O,Submission!$H:$N,""))</f>
        <v/>
      </c>
      <c r="I300" s="106" t="str">
        <f>_xlfn.CONCAT(_xlfn.XLOOKUP("[S05_DefaultValues][98][InstallationNumber]",Submission!$O:$O,Submission!$H:$N,""))</f>
        <v/>
      </c>
    </row>
    <row r="301" spans="1:9" ht="15.9" hidden="1" customHeight="1" outlineLevel="1" x14ac:dyDescent="0.3">
      <c r="A301" s="13"/>
      <c r="B301" s="34"/>
      <c r="C301" s="281" t="str">
        <f>_xlfn.CONCAT(_xlfn.XLOOKUP("[S05_DefaultValues][99][InstallationCategory]",Submission!$O:$O,Submission!$H:$N,""))</f>
        <v/>
      </c>
      <c r="D301" s="350"/>
      <c r="E301" s="350"/>
      <c r="F301" s="350"/>
      <c r="G301" s="347"/>
      <c r="H301" s="123" t="str">
        <f>_xlfn.CONCAT(_xlfn.XLOOKUP("[S05_DefaultValues][99][FuelMaterialType]",Submission!$O:$O,Submission!$H:$N,""))</f>
        <v/>
      </c>
      <c r="I301" s="106" t="str">
        <f>_xlfn.CONCAT(_xlfn.XLOOKUP("[S05_DefaultValues][99][InstallationNumber]",Submission!$O:$O,Submission!$H:$N,""))</f>
        <v/>
      </c>
    </row>
    <row r="302" spans="1:9" ht="15.9" hidden="1" customHeight="1" outlineLevel="1" x14ac:dyDescent="0.3">
      <c r="A302" s="13"/>
      <c r="B302" s="34"/>
      <c r="C302" s="281" t="str">
        <f>_xlfn.CONCAT(_xlfn.XLOOKUP("[S05_DefaultValues][100][InstallationCategory]",Submission!$O:$O,Submission!$H:$N,""))</f>
        <v/>
      </c>
      <c r="D302" s="350"/>
      <c r="E302" s="350"/>
      <c r="F302" s="350"/>
      <c r="G302" s="347"/>
      <c r="H302" s="123" t="str">
        <f>_xlfn.CONCAT(_xlfn.XLOOKUP("[S05_DefaultValues][100][FuelMaterialType]",Submission!$O:$O,Submission!$H:$N,""))</f>
        <v/>
      </c>
      <c r="I302" s="106" t="str">
        <f>_xlfn.CONCAT(_xlfn.XLOOKUP("[S05_DefaultValues][100][InstallationNumber]",Submission!$O:$O,Submission!$H:$N,""))</f>
        <v/>
      </c>
    </row>
    <row r="303" spans="1:9" ht="15.9" hidden="1" customHeight="1" outlineLevel="1" x14ac:dyDescent="0.3">
      <c r="A303" s="13"/>
      <c r="B303" s="34"/>
      <c r="C303" s="281" t="str">
        <f>_xlfn.CONCAT(_xlfn.XLOOKUP("[S05_DefaultValues][101][InstallationCategory]",Submission!$O:$O,Submission!$H:$N,""))</f>
        <v/>
      </c>
      <c r="D303" s="350"/>
      <c r="E303" s="350"/>
      <c r="F303" s="350"/>
      <c r="G303" s="347"/>
      <c r="H303" s="123" t="str">
        <f>_xlfn.CONCAT(_xlfn.XLOOKUP("[S05_DefaultValues][101][FuelMaterialType]",Submission!$O:$O,Submission!$H:$N,""))</f>
        <v/>
      </c>
      <c r="I303" s="106" t="str">
        <f>_xlfn.CONCAT(_xlfn.XLOOKUP("[S05_DefaultValues][101][InstallationNumber]",Submission!$O:$O,Submission!$H:$N,""))</f>
        <v/>
      </c>
    </row>
    <row r="304" spans="1:9" ht="15.9" hidden="1" customHeight="1" outlineLevel="1" x14ac:dyDescent="0.3">
      <c r="A304" s="13"/>
      <c r="B304" s="34"/>
      <c r="C304" s="281" t="str">
        <f>_xlfn.CONCAT(_xlfn.XLOOKUP("[S05_DefaultValues][102][InstallationCategory]",Submission!$O:$O,Submission!$H:$N,""))</f>
        <v/>
      </c>
      <c r="D304" s="350"/>
      <c r="E304" s="350"/>
      <c r="F304" s="350"/>
      <c r="G304" s="347"/>
      <c r="H304" s="123" t="str">
        <f>_xlfn.CONCAT(_xlfn.XLOOKUP("[S05_DefaultValues][102][FuelMaterialType]",Submission!$O:$O,Submission!$H:$N,""))</f>
        <v/>
      </c>
      <c r="I304" s="106" t="str">
        <f>_xlfn.CONCAT(_xlfn.XLOOKUP("[S05_DefaultValues][102][InstallationNumber]",Submission!$O:$O,Submission!$H:$N,""))</f>
        <v/>
      </c>
    </row>
    <row r="305" spans="1:9" ht="15.9" hidden="1" customHeight="1" outlineLevel="1" x14ac:dyDescent="0.3">
      <c r="A305" s="13"/>
      <c r="B305" s="34"/>
      <c r="C305" s="281" t="str">
        <f>_xlfn.CONCAT(_xlfn.XLOOKUP("[S05_DefaultValues][103][InstallationCategory]",Submission!$O:$O,Submission!$H:$N,""))</f>
        <v/>
      </c>
      <c r="D305" s="350"/>
      <c r="E305" s="350"/>
      <c r="F305" s="350"/>
      <c r="G305" s="347"/>
      <c r="H305" s="123" t="str">
        <f>_xlfn.CONCAT(_xlfn.XLOOKUP("[S05_DefaultValues][103][FuelMaterialType]",Submission!$O:$O,Submission!$H:$N,""))</f>
        <v/>
      </c>
      <c r="I305" s="106" t="str">
        <f>_xlfn.CONCAT(_xlfn.XLOOKUP("[S05_DefaultValues][103][InstallationNumber]",Submission!$O:$O,Submission!$H:$N,""))</f>
        <v/>
      </c>
    </row>
    <row r="306" spans="1:9" ht="15.9" hidden="1" customHeight="1" outlineLevel="1" x14ac:dyDescent="0.3">
      <c r="A306" s="13"/>
      <c r="B306" s="34"/>
      <c r="C306" s="281" t="str">
        <f>_xlfn.CONCAT(_xlfn.XLOOKUP("[S05_DefaultValues][104][InstallationCategory]",Submission!$O:$O,Submission!$H:$N,""))</f>
        <v/>
      </c>
      <c r="D306" s="350"/>
      <c r="E306" s="350"/>
      <c r="F306" s="350"/>
      <c r="G306" s="347"/>
      <c r="H306" s="123" t="str">
        <f>_xlfn.CONCAT(_xlfn.XLOOKUP("[S05_DefaultValues][104][FuelMaterialType]",Submission!$O:$O,Submission!$H:$N,""))</f>
        <v/>
      </c>
      <c r="I306" s="106" t="str">
        <f>_xlfn.CONCAT(_xlfn.XLOOKUP("[S05_DefaultValues][104][InstallationNumber]",Submission!$O:$O,Submission!$H:$N,""))</f>
        <v/>
      </c>
    </row>
    <row r="307" spans="1:9" ht="15.9" hidden="1" customHeight="1" outlineLevel="1" x14ac:dyDescent="0.3">
      <c r="A307" s="13"/>
      <c r="B307" s="34"/>
      <c r="C307" s="281" t="str">
        <f>_xlfn.CONCAT(_xlfn.XLOOKUP("[S05_DefaultValues][105][InstallationCategory]",Submission!$O:$O,Submission!$H:$N,""))</f>
        <v/>
      </c>
      <c r="D307" s="350"/>
      <c r="E307" s="350"/>
      <c r="F307" s="350"/>
      <c r="G307" s="347"/>
      <c r="H307" s="123" t="str">
        <f>_xlfn.CONCAT(_xlfn.XLOOKUP("[S05_DefaultValues][105][FuelMaterialType]",Submission!$O:$O,Submission!$H:$N,""))</f>
        <v/>
      </c>
      <c r="I307" s="106" t="str">
        <f>_xlfn.CONCAT(_xlfn.XLOOKUP("[S05_DefaultValues][105][InstallationNumber]",Submission!$O:$O,Submission!$H:$N,""))</f>
        <v/>
      </c>
    </row>
    <row r="308" spans="1:9" ht="15.9" hidden="1" customHeight="1" outlineLevel="1" x14ac:dyDescent="0.3">
      <c r="A308" s="13"/>
      <c r="B308" s="34"/>
      <c r="C308" s="281" t="str">
        <f>_xlfn.CONCAT(_xlfn.XLOOKUP("[S05_DefaultValues][106][InstallationCategory]",Submission!$O:$O,Submission!$H:$N,""))</f>
        <v/>
      </c>
      <c r="D308" s="350"/>
      <c r="E308" s="350"/>
      <c r="F308" s="350"/>
      <c r="G308" s="347"/>
      <c r="H308" s="123" t="str">
        <f>_xlfn.CONCAT(_xlfn.XLOOKUP("[S05_DefaultValues][106][FuelMaterialType]",Submission!$O:$O,Submission!$H:$N,""))</f>
        <v/>
      </c>
      <c r="I308" s="106" t="str">
        <f>_xlfn.CONCAT(_xlfn.XLOOKUP("[S05_DefaultValues][106][InstallationNumber]",Submission!$O:$O,Submission!$H:$N,""))</f>
        <v/>
      </c>
    </row>
    <row r="309" spans="1:9" ht="15.9" hidden="1" customHeight="1" outlineLevel="1" x14ac:dyDescent="0.3">
      <c r="A309" s="13"/>
      <c r="B309" s="34"/>
      <c r="C309" s="281" t="str">
        <f>_xlfn.CONCAT(_xlfn.XLOOKUP("[S05_DefaultValues][107][InstallationCategory]",Submission!$O:$O,Submission!$H:$N,""))</f>
        <v/>
      </c>
      <c r="D309" s="350"/>
      <c r="E309" s="350"/>
      <c r="F309" s="350"/>
      <c r="G309" s="347"/>
      <c r="H309" s="123" t="str">
        <f>_xlfn.CONCAT(_xlfn.XLOOKUP("[S05_DefaultValues][107][FuelMaterialType]",Submission!$O:$O,Submission!$H:$N,""))</f>
        <v/>
      </c>
      <c r="I309" s="106" t="str">
        <f>_xlfn.CONCAT(_xlfn.XLOOKUP("[S05_DefaultValues][107][InstallationNumber]",Submission!$O:$O,Submission!$H:$N,""))</f>
        <v/>
      </c>
    </row>
    <row r="310" spans="1:9" ht="15.9" hidden="1" customHeight="1" outlineLevel="1" x14ac:dyDescent="0.3">
      <c r="A310" s="13"/>
      <c r="B310" s="34"/>
      <c r="C310" s="281" t="str">
        <f>_xlfn.CONCAT(_xlfn.XLOOKUP("[S05_DefaultValues][108][InstallationCategory]",Submission!$O:$O,Submission!$H:$N,""))</f>
        <v/>
      </c>
      <c r="D310" s="350"/>
      <c r="E310" s="350"/>
      <c r="F310" s="350"/>
      <c r="G310" s="347"/>
      <c r="H310" s="123" t="str">
        <f>_xlfn.CONCAT(_xlfn.XLOOKUP("[S05_DefaultValues][108][FuelMaterialType]",Submission!$O:$O,Submission!$H:$N,""))</f>
        <v/>
      </c>
      <c r="I310" s="106" t="str">
        <f>_xlfn.CONCAT(_xlfn.XLOOKUP("[S05_DefaultValues][108][InstallationNumber]",Submission!$O:$O,Submission!$H:$N,""))</f>
        <v/>
      </c>
    </row>
    <row r="311" spans="1:9" ht="15.9" hidden="1" customHeight="1" outlineLevel="1" x14ac:dyDescent="0.3">
      <c r="A311" s="13"/>
      <c r="B311" s="34"/>
      <c r="C311" s="281" t="str">
        <f>_xlfn.CONCAT(_xlfn.XLOOKUP("[S05_DefaultValues][109][InstallationCategory]",Submission!$O:$O,Submission!$H:$N,""))</f>
        <v/>
      </c>
      <c r="D311" s="350"/>
      <c r="E311" s="350"/>
      <c r="F311" s="350"/>
      <c r="G311" s="347"/>
      <c r="H311" s="123" t="str">
        <f>_xlfn.CONCAT(_xlfn.XLOOKUP("[S05_DefaultValues][109][FuelMaterialType]",Submission!$O:$O,Submission!$H:$N,""))</f>
        <v/>
      </c>
      <c r="I311" s="106" t="str">
        <f>_xlfn.CONCAT(_xlfn.XLOOKUP("[S05_DefaultValues][109][InstallationNumber]",Submission!$O:$O,Submission!$H:$N,""))</f>
        <v/>
      </c>
    </row>
    <row r="312" spans="1:9" ht="15.9" hidden="1" customHeight="1" outlineLevel="1" x14ac:dyDescent="0.3">
      <c r="A312" s="13"/>
      <c r="B312" s="34"/>
      <c r="C312" s="281" t="str">
        <f>_xlfn.CONCAT(_xlfn.XLOOKUP("[S05_DefaultValues][110][InstallationCategory]",Submission!$O:$O,Submission!$H:$N,""))</f>
        <v/>
      </c>
      <c r="D312" s="350"/>
      <c r="E312" s="350"/>
      <c r="F312" s="350"/>
      <c r="G312" s="347"/>
      <c r="H312" s="123" t="str">
        <f>_xlfn.CONCAT(_xlfn.XLOOKUP("[S05_DefaultValues][110][FuelMaterialType]",Submission!$O:$O,Submission!$H:$N,""))</f>
        <v/>
      </c>
      <c r="I312" s="106" t="str">
        <f>_xlfn.CONCAT(_xlfn.XLOOKUP("[S05_DefaultValues][110][InstallationNumber]",Submission!$O:$O,Submission!$H:$N,""))</f>
        <v/>
      </c>
    </row>
    <row r="313" spans="1:9" ht="15.9" hidden="1" customHeight="1" outlineLevel="1" x14ac:dyDescent="0.3">
      <c r="A313" s="13"/>
      <c r="B313" s="34"/>
      <c r="C313" s="281" t="str">
        <f>_xlfn.CONCAT(_xlfn.XLOOKUP("[S05_DefaultValues][111][InstallationCategory]",Submission!$O:$O,Submission!$H:$N,""))</f>
        <v/>
      </c>
      <c r="D313" s="350"/>
      <c r="E313" s="350"/>
      <c r="F313" s="350"/>
      <c r="G313" s="347"/>
      <c r="H313" s="123" t="str">
        <f>_xlfn.CONCAT(_xlfn.XLOOKUP("[S05_DefaultValues][111][FuelMaterialType]",Submission!$O:$O,Submission!$H:$N,""))</f>
        <v/>
      </c>
      <c r="I313" s="106" t="str">
        <f>_xlfn.CONCAT(_xlfn.XLOOKUP("[S05_DefaultValues][111][InstallationNumber]",Submission!$O:$O,Submission!$H:$N,""))</f>
        <v/>
      </c>
    </row>
    <row r="314" spans="1:9" ht="15.9" hidden="1" customHeight="1" outlineLevel="1" x14ac:dyDescent="0.3">
      <c r="A314" s="13"/>
      <c r="B314" s="34"/>
      <c r="C314" s="281" t="str">
        <f>_xlfn.CONCAT(_xlfn.XLOOKUP("[S05_DefaultValues][112][InstallationCategory]",Submission!$O:$O,Submission!$H:$N,""))</f>
        <v/>
      </c>
      <c r="D314" s="350"/>
      <c r="E314" s="350"/>
      <c r="F314" s="350"/>
      <c r="G314" s="347"/>
      <c r="H314" s="123" t="str">
        <f>_xlfn.CONCAT(_xlfn.XLOOKUP("[S05_DefaultValues][112][FuelMaterialType]",Submission!$O:$O,Submission!$H:$N,""))</f>
        <v/>
      </c>
      <c r="I314" s="106" t="str">
        <f>_xlfn.CONCAT(_xlfn.XLOOKUP("[S05_DefaultValues][112][InstallationNumber]",Submission!$O:$O,Submission!$H:$N,""))</f>
        <v/>
      </c>
    </row>
    <row r="315" spans="1:9" ht="15.9" hidden="1" customHeight="1" outlineLevel="1" x14ac:dyDescent="0.3">
      <c r="A315" s="13"/>
      <c r="B315" s="34"/>
      <c r="C315" s="281" t="str">
        <f>_xlfn.CONCAT(_xlfn.XLOOKUP("[S05_DefaultValues][113][InstallationCategory]",Submission!$O:$O,Submission!$H:$N,""))</f>
        <v/>
      </c>
      <c r="D315" s="350"/>
      <c r="E315" s="350"/>
      <c r="F315" s="350"/>
      <c r="G315" s="347"/>
      <c r="H315" s="123" t="str">
        <f>_xlfn.CONCAT(_xlfn.XLOOKUP("[S05_DefaultValues][113][FuelMaterialType]",Submission!$O:$O,Submission!$H:$N,""))</f>
        <v/>
      </c>
      <c r="I315" s="106" t="str">
        <f>_xlfn.CONCAT(_xlfn.XLOOKUP("[S05_DefaultValues][113][InstallationNumber]",Submission!$O:$O,Submission!$H:$N,""))</f>
        <v/>
      </c>
    </row>
    <row r="316" spans="1:9" ht="15.9" hidden="1" customHeight="1" outlineLevel="1" x14ac:dyDescent="0.3">
      <c r="A316" s="13"/>
      <c r="B316" s="34"/>
      <c r="C316" s="281" t="str">
        <f>_xlfn.CONCAT(_xlfn.XLOOKUP("[S05_DefaultValues][114][InstallationCategory]",Submission!$O:$O,Submission!$H:$N,""))</f>
        <v/>
      </c>
      <c r="D316" s="350"/>
      <c r="E316" s="350"/>
      <c r="F316" s="350"/>
      <c r="G316" s="347"/>
      <c r="H316" s="123" t="str">
        <f>_xlfn.CONCAT(_xlfn.XLOOKUP("[S05_DefaultValues][114][FuelMaterialType]",Submission!$O:$O,Submission!$H:$N,""))</f>
        <v/>
      </c>
      <c r="I316" s="106" t="str">
        <f>_xlfn.CONCAT(_xlfn.XLOOKUP("[S05_DefaultValues][114][InstallationNumber]",Submission!$O:$O,Submission!$H:$N,""))</f>
        <v/>
      </c>
    </row>
    <row r="317" spans="1:9" ht="15.9" hidden="1" customHeight="1" outlineLevel="1" x14ac:dyDescent="0.3">
      <c r="A317" s="13"/>
      <c r="B317" s="34"/>
      <c r="C317" s="281" t="str">
        <f>_xlfn.CONCAT(_xlfn.XLOOKUP("[S05_DefaultValues][115][InstallationCategory]",Submission!$O:$O,Submission!$H:$N,""))</f>
        <v/>
      </c>
      <c r="D317" s="350"/>
      <c r="E317" s="350"/>
      <c r="F317" s="350"/>
      <c r="G317" s="347"/>
      <c r="H317" s="123" t="str">
        <f>_xlfn.CONCAT(_xlfn.XLOOKUP("[S05_DefaultValues][115][FuelMaterialType]",Submission!$O:$O,Submission!$H:$N,""))</f>
        <v/>
      </c>
      <c r="I317" s="106" t="str">
        <f>_xlfn.CONCAT(_xlfn.XLOOKUP("[S05_DefaultValues][115][InstallationNumber]",Submission!$O:$O,Submission!$H:$N,""))</f>
        <v/>
      </c>
    </row>
    <row r="318" spans="1:9" ht="15.9" hidden="1" customHeight="1" outlineLevel="1" x14ac:dyDescent="0.3">
      <c r="A318" s="13"/>
      <c r="B318" s="34"/>
      <c r="C318" s="281" t="str">
        <f>_xlfn.CONCAT(_xlfn.XLOOKUP("[S05_DefaultValues][116][InstallationCategory]",Submission!$O:$O,Submission!$H:$N,""))</f>
        <v/>
      </c>
      <c r="D318" s="350"/>
      <c r="E318" s="350"/>
      <c r="F318" s="350"/>
      <c r="G318" s="347"/>
      <c r="H318" s="123" t="str">
        <f>_xlfn.CONCAT(_xlfn.XLOOKUP("[S05_DefaultValues][116][FuelMaterialType]",Submission!$O:$O,Submission!$H:$N,""))</f>
        <v/>
      </c>
      <c r="I318" s="106" t="str">
        <f>_xlfn.CONCAT(_xlfn.XLOOKUP("[S05_DefaultValues][116][InstallationNumber]",Submission!$O:$O,Submission!$H:$N,""))</f>
        <v/>
      </c>
    </row>
    <row r="319" spans="1:9" ht="15.9" hidden="1" customHeight="1" outlineLevel="1" x14ac:dyDescent="0.3">
      <c r="A319" s="13"/>
      <c r="B319" s="34"/>
      <c r="C319" s="281" t="str">
        <f>_xlfn.CONCAT(_xlfn.XLOOKUP("[S05_DefaultValues][117][InstallationCategory]",Submission!$O:$O,Submission!$H:$N,""))</f>
        <v/>
      </c>
      <c r="D319" s="350"/>
      <c r="E319" s="350"/>
      <c r="F319" s="350"/>
      <c r="G319" s="347"/>
      <c r="H319" s="123" t="str">
        <f>_xlfn.CONCAT(_xlfn.XLOOKUP("[S05_DefaultValues][117][FuelMaterialType]",Submission!$O:$O,Submission!$H:$N,""))</f>
        <v/>
      </c>
      <c r="I319" s="106" t="str">
        <f>_xlfn.CONCAT(_xlfn.XLOOKUP("[S05_DefaultValues][117][InstallationNumber]",Submission!$O:$O,Submission!$H:$N,""))</f>
        <v/>
      </c>
    </row>
    <row r="320" spans="1:9" ht="15.9" hidden="1" customHeight="1" outlineLevel="1" x14ac:dyDescent="0.3">
      <c r="A320" s="13"/>
      <c r="B320" s="34"/>
      <c r="C320" s="281" t="str">
        <f>_xlfn.CONCAT(_xlfn.XLOOKUP("[S05_DefaultValues][118][InstallationCategory]",Submission!$O:$O,Submission!$H:$N,""))</f>
        <v/>
      </c>
      <c r="D320" s="350"/>
      <c r="E320" s="350"/>
      <c r="F320" s="350"/>
      <c r="G320" s="347"/>
      <c r="H320" s="123" t="str">
        <f>_xlfn.CONCAT(_xlfn.XLOOKUP("[S05_DefaultValues][118][FuelMaterialType]",Submission!$O:$O,Submission!$H:$N,""))</f>
        <v/>
      </c>
      <c r="I320" s="106" t="str">
        <f>_xlfn.CONCAT(_xlfn.XLOOKUP("[S05_DefaultValues][118][InstallationNumber]",Submission!$O:$O,Submission!$H:$N,""))</f>
        <v/>
      </c>
    </row>
    <row r="321" spans="1:9" ht="15.9" hidden="1" customHeight="1" outlineLevel="1" x14ac:dyDescent="0.3">
      <c r="A321" s="13"/>
      <c r="B321" s="34"/>
      <c r="C321" s="281" t="str">
        <f>_xlfn.CONCAT(_xlfn.XLOOKUP("[S05_DefaultValues][119][InstallationCategory]",Submission!$O:$O,Submission!$H:$N,""))</f>
        <v/>
      </c>
      <c r="D321" s="350"/>
      <c r="E321" s="350"/>
      <c r="F321" s="350"/>
      <c r="G321" s="347"/>
      <c r="H321" s="123" t="str">
        <f>_xlfn.CONCAT(_xlfn.XLOOKUP("[S05_DefaultValues][119][FuelMaterialType]",Submission!$O:$O,Submission!$H:$N,""))</f>
        <v/>
      </c>
      <c r="I321" s="106" t="str">
        <f>_xlfn.CONCAT(_xlfn.XLOOKUP("[S05_DefaultValues][119][InstallationNumber]",Submission!$O:$O,Submission!$H:$N,""))</f>
        <v/>
      </c>
    </row>
    <row r="322" spans="1:9" ht="15.9" hidden="1" customHeight="1" outlineLevel="1" x14ac:dyDescent="0.3">
      <c r="A322" s="13"/>
      <c r="B322" s="34"/>
      <c r="C322" s="281" t="str">
        <f>_xlfn.CONCAT(_xlfn.XLOOKUP("[S05_DefaultValues][120][InstallationCategory]",Submission!$O:$O,Submission!$H:$N,""))</f>
        <v/>
      </c>
      <c r="D322" s="350"/>
      <c r="E322" s="350"/>
      <c r="F322" s="350"/>
      <c r="G322" s="347"/>
      <c r="H322" s="123" t="str">
        <f>_xlfn.CONCAT(_xlfn.XLOOKUP("[S05_DefaultValues][120][FuelMaterialType]",Submission!$O:$O,Submission!$H:$N,""))</f>
        <v/>
      </c>
      <c r="I322" s="106" t="str">
        <f>_xlfn.CONCAT(_xlfn.XLOOKUP("[S05_DefaultValues][120][InstallationNumber]",Submission!$O:$O,Submission!$H:$N,""))</f>
        <v/>
      </c>
    </row>
    <row r="323" spans="1:9" ht="15.9" hidden="1" customHeight="1" outlineLevel="1" x14ac:dyDescent="0.3">
      <c r="A323" s="13"/>
      <c r="B323" s="34"/>
      <c r="C323" s="281" t="str">
        <f>_xlfn.CONCAT(_xlfn.XLOOKUP("[S05_DefaultValues][121][InstallationCategory]",Submission!$O:$O,Submission!$H:$N,""))</f>
        <v/>
      </c>
      <c r="D323" s="350"/>
      <c r="E323" s="350"/>
      <c r="F323" s="350"/>
      <c r="G323" s="347"/>
      <c r="H323" s="123" t="str">
        <f>_xlfn.CONCAT(_xlfn.XLOOKUP("[S05_DefaultValues][121][FuelMaterialType]",Submission!$O:$O,Submission!$H:$N,""))</f>
        <v/>
      </c>
      <c r="I323" s="106" t="str">
        <f>_xlfn.CONCAT(_xlfn.XLOOKUP("[S05_DefaultValues][121][InstallationNumber]",Submission!$O:$O,Submission!$H:$N,""))</f>
        <v/>
      </c>
    </row>
    <row r="324" spans="1:9" ht="15.9" hidden="1" customHeight="1" outlineLevel="1" x14ac:dyDescent="0.3">
      <c r="A324" s="13"/>
      <c r="B324" s="34"/>
      <c r="C324" s="281" t="str">
        <f>_xlfn.CONCAT(_xlfn.XLOOKUP("[S05_DefaultValues][122][InstallationCategory]",Submission!$O:$O,Submission!$H:$N,""))</f>
        <v/>
      </c>
      <c r="D324" s="350"/>
      <c r="E324" s="350"/>
      <c r="F324" s="350"/>
      <c r="G324" s="347"/>
      <c r="H324" s="123" t="str">
        <f>_xlfn.CONCAT(_xlfn.XLOOKUP("[S05_DefaultValues][122][FuelMaterialType]",Submission!$O:$O,Submission!$H:$N,""))</f>
        <v/>
      </c>
      <c r="I324" s="106" t="str">
        <f>_xlfn.CONCAT(_xlfn.XLOOKUP("[S05_DefaultValues][122][InstallationNumber]",Submission!$O:$O,Submission!$H:$N,""))</f>
        <v/>
      </c>
    </row>
    <row r="325" spans="1:9" ht="15.9" hidden="1" customHeight="1" outlineLevel="1" x14ac:dyDescent="0.3">
      <c r="A325" s="13"/>
      <c r="B325" s="34"/>
      <c r="C325" s="281" t="str">
        <f>_xlfn.CONCAT(_xlfn.XLOOKUP("[S05_DefaultValues][123][InstallationCategory]",Submission!$O:$O,Submission!$H:$N,""))</f>
        <v/>
      </c>
      <c r="D325" s="350"/>
      <c r="E325" s="350"/>
      <c r="F325" s="350"/>
      <c r="G325" s="347"/>
      <c r="H325" s="123" t="str">
        <f>_xlfn.CONCAT(_xlfn.XLOOKUP("[S05_DefaultValues][123][FuelMaterialType]",Submission!$O:$O,Submission!$H:$N,""))</f>
        <v/>
      </c>
      <c r="I325" s="106" t="str">
        <f>_xlfn.CONCAT(_xlfn.XLOOKUP("[S05_DefaultValues][123][InstallationNumber]",Submission!$O:$O,Submission!$H:$N,""))</f>
        <v/>
      </c>
    </row>
    <row r="326" spans="1:9" ht="15.9" hidden="1" customHeight="1" outlineLevel="1" x14ac:dyDescent="0.3">
      <c r="A326" s="13"/>
      <c r="B326" s="34"/>
      <c r="C326" s="281" t="str">
        <f>_xlfn.CONCAT(_xlfn.XLOOKUP("[S05_DefaultValues][124][InstallationCategory]",Submission!$O:$O,Submission!$H:$N,""))</f>
        <v/>
      </c>
      <c r="D326" s="350"/>
      <c r="E326" s="350"/>
      <c r="F326" s="350"/>
      <c r="G326" s="347"/>
      <c r="H326" s="123" t="str">
        <f>_xlfn.CONCAT(_xlfn.XLOOKUP("[S05_DefaultValues][124][FuelMaterialType]",Submission!$O:$O,Submission!$H:$N,""))</f>
        <v/>
      </c>
      <c r="I326" s="106" t="str">
        <f>_xlfn.CONCAT(_xlfn.XLOOKUP("[S05_DefaultValues][124][InstallationNumber]",Submission!$O:$O,Submission!$H:$N,""))</f>
        <v/>
      </c>
    </row>
    <row r="327" spans="1:9" ht="15.9" hidden="1" customHeight="1" outlineLevel="1" x14ac:dyDescent="0.3">
      <c r="A327" s="13"/>
      <c r="B327" s="34"/>
      <c r="C327" s="281" t="str">
        <f>_xlfn.CONCAT(_xlfn.XLOOKUP("[S05_DefaultValues][125][InstallationCategory]",Submission!$O:$O,Submission!$H:$N,""))</f>
        <v/>
      </c>
      <c r="D327" s="350"/>
      <c r="E327" s="350"/>
      <c r="F327" s="350"/>
      <c r="G327" s="347"/>
      <c r="H327" s="123" t="str">
        <f>_xlfn.CONCAT(_xlfn.XLOOKUP("[S05_DefaultValues][125][FuelMaterialType]",Submission!$O:$O,Submission!$H:$N,""))</f>
        <v/>
      </c>
      <c r="I327" s="106" t="str">
        <f>_xlfn.CONCAT(_xlfn.XLOOKUP("[S05_DefaultValues][125][InstallationNumber]",Submission!$O:$O,Submission!$H:$N,""))</f>
        <v/>
      </c>
    </row>
    <row r="328" spans="1:9" ht="15.9" hidden="1" customHeight="1" outlineLevel="1" x14ac:dyDescent="0.3">
      <c r="A328" s="13"/>
      <c r="B328" s="34"/>
      <c r="C328" s="281" t="str">
        <f>_xlfn.CONCAT(_xlfn.XLOOKUP("[S05_DefaultValues][126][InstallationCategory]",Submission!$O:$O,Submission!$H:$N,""))</f>
        <v/>
      </c>
      <c r="D328" s="350"/>
      <c r="E328" s="350"/>
      <c r="F328" s="350"/>
      <c r="G328" s="347"/>
      <c r="H328" s="123" t="str">
        <f>_xlfn.CONCAT(_xlfn.XLOOKUP("[S05_DefaultValues][126][FuelMaterialType]",Submission!$O:$O,Submission!$H:$N,""))</f>
        <v/>
      </c>
      <c r="I328" s="106" t="str">
        <f>_xlfn.CONCAT(_xlfn.XLOOKUP("[S05_DefaultValues][126][InstallationNumber]",Submission!$O:$O,Submission!$H:$N,""))</f>
        <v/>
      </c>
    </row>
    <row r="329" spans="1:9" ht="15.9" hidden="1" customHeight="1" outlineLevel="1" x14ac:dyDescent="0.3">
      <c r="A329" s="13"/>
      <c r="B329" s="34"/>
      <c r="C329" s="281" t="str">
        <f>_xlfn.CONCAT(_xlfn.XLOOKUP("[S05_DefaultValues][127][InstallationCategory]",Submission!$O:$O,Submission!$H:$N,""))</f>
        <v/>
      </c>
      <c r="D329" s="350"/>
      <c r="E329" s="350"/>
      <c r="F329" s="350"/>
      <c r="G329" s="347"/>
      <c r="H329" s="123" t="str">
        <f>_xlfn.CONCAT(_xlfn.XLOOKUP("[S05_DefaultValues][127][FuelMaterialType]",Submission!$O:$O,Submission!$H:$N,""))</f>
        <v/>
      </c>
      <c r="I329" s="106" t="str">
        <f>_xlfn.CONCAT(_xlfn.XLOOKUP("[S05_DefaultValues][127][InstallationNumber]",Submission!$O:$O,Submission!$H:$N,""))</f>
        <v/>
      </c>
    </row>
    <row r="330" spans="1:9" ht="15.9" hidden="1" customHeight="1" outlineLevel="1" x14ac:dyDescent="0.3">
      <c r="A330" s="13"/>
      <c r="B330" s="34"/>
      <c r="C330" s="281" t="str">
        <f>_xlfn.CONCAT(_xlfn.XLOOKUP("[S05_DefaultValues][128][InstallationCategory]",Submission!$O:$O,Submission!$H:$N,""))</f>
        <v/>
      </c>
      <c r="D330" s="350"/>
      <c r="E330" s="350"/>
      <c r="F330" s="350"/>
      <c r="G330" s="347"/>
      <c r="H330" s="123" t="str">
        <f>_xlfn.CONCAT(_xlfn.XLOOKUP("[S05_DefaultValues][128][FuelMaterialType]",Submission!$O:$O,Submission!$H:$N,""))</f>
        <v/>
      </c>
      <c r="I330" s="106" t="str">
        <f>_xlfn.CONCAT(_xlfn.XLOOKUP("[S05_DefaultValues][128][InstallationNumber]",Submission!$O:$O,Submission!$H:$N,""))</f>
        <v/>
      </c>
    </row>
    <row r="331" spans="1:9" ht="15.9" hidden="1" customHeight="1" outlineLevel="1" x14ac:dyDescent="0.3">
      <c r="A331" s="13"/>
      <c r="B331" s="34"/>
      <c r="C331" s="281" t="str">
        <f>_xlfn.CONCAT(_xlfn.XLOOKUP("[S05_DefaultValues][129][InstallationCategory]",Submission!$O:$O,Submission!$H:$N,""))</f>
        <v/>
      </c>
      <c r="D331" s="350"/>
      <c r="E331" s="350"/>
      <c r="F331" s="350"/>
      <c r="G331" s="347"/>
      <c r="H331" s="123" t="str">
        <f>_xlfn.CONCAT(_xlfn.XLOOKUP("[S05_DefaultValues][129][FuelMaterialType]",Submission!$O:$O,Submission!$H:$N,""))</f>
        <v/>
      </c>
      <c r="I331" s="106" t="str">
        <f>_xlfn.CONCAT(_xlfn.XLOOKUP("[S05_DefaultValues][129][InstallationNumber]",Submission!$O:$O,Submission!$H:$N,""))</f>
        <v/>
      </c>
    </row>
    <row r="332" spans="1:9" ht="15.9" hidden="1" customHeight="1" outlineLevel="1" x14ac:dyDescent="0.3">
      <c r="A332" s="13"/>
      <c r="B332" s="34"/>
      <c r="C332" s="281" t="str">
        <f>_xlfn.CONCAT(_xlfn.XLOOKUP("[S05_DefaultValues][130][InstallationCategory]",Submission!$O:$O,Submission!$H:$N,""))</f>
        <v/>
      </c>
      <c r="D332" s="350"/>
      <c r="E332" s="350"/>
      <c r="F332" s="350"/>
      <c r="G332" s="347"/>
      <c r="H332" s="123" t="str">
        <f>_xlfn.CONCAT(_xlfn.XLOOKUP("[S05_DefaultValues][130][FuelMaterialType]",Submission!$O:$O,Submission!$H:$N,""))</f>
        <v/>
      </c>
      <c r="I332" s="106" t="str">
        <f>_xlfn.CONCAT(_xlfn.XLOOKUP("[S05_DefaultValues][130][InstallationNumber]",Submission!$O:$O,Submission!$H:$N,""))</f>
        <v/>
      </c>
    </row>
    <row r="333" spans="1:9" ht="15.9" hidden="1" customHeight="1" outlineLevel="1" x14ac:dyDescent="0.3">
      <c r="A333" s="13"/>
      <c r="B333" s="34"/>
      <c r="C333" s="281" t="str">
        <f>_xlfn.CONCAT(_xlfn.XLOOKUP("[S05_DefaultValues][131][InstallationCategory]",Submission!$O:$O,Submission!$H:$N,""))</f>
        <v/>
      </c>
      <c r="D333" s="350"/>
      <c r="E333" s="350"/>
      <c r="F333" s="350"/>
      <c r="G333" s="347"/>
      <c r="H333" s="123" t="str">
        <f>_xlfn.CONCAT(_xlfn.XLOOKUP("[S05_DefaultValues][131][FuelMaterialType]",Submission!$O:$O,Submission!$H:$N,""))</f>
        <v/>
      </c>
      <c r="I333" s="106" t="str">
        <f>_xlfn.CONCAT(_xlfn.XLOOKUP("[S05_DefaultValues][131][InstallationNumber]",Submission!$O:$O,Submission!$H:$N,""))</f>
        <v/>
      </c>
    </row>
    <row r="334" spans="1:9" ht="15.9" hidden="1" customHeight="1" outlineLevel="1" x14ac:dyDescent="0.3">
      <c r="A334" s="13"/>
      <c r="B334" s="34"/>
      <c r="C334" s="281" t="str">
        <f>_xlfn.CONCAT(_xlfn.XLOOKUP("[S05_DefaultValues][132][InstallationCategory]",Submission!$O:$O,Submission!$H:$N,""))</f>
        <v/>
      </c>
      <c r="D334" s="350"/>
      <c r="E334" s="350"/>
      <c r="F334" s="350"/>
      <c r="G334" s="347"/>
      <c r="H334" s="123" t="str">
        <f>_xlfn.CONCAT(_xlfn.XLOOKUP("[S05_DefaultValues][132][FuelMaterialType]",Submission!$O:$O,Submission!$H:$N,""))</f>
        <v/>
      </c>
      <c r="I334" s="106" t="str">
        <f>_xlfn.CONCAT(_xlfn.XLOOKUP("[S05_DefaultValues][132][InstallationNumber]",Submission!$O:$O,Submission!$H:$N,""))</f>
        <v/>
      </c>
    </row>
    <row r="335" spans="1:9" ht="15.9" hidden="1" customHeight="1" outlineLevel="1" x14ac:dyDescent="0.3">
      <c r="A335" s="13"/>
      <c r="B335" s="34"/>
      <c r="C335" s="281" t="str">
        <f>_xlfn.CONCAT(_xlfn.XLOOKUP("[S05_DefaultValues][133][InstallationCategory]",Submission!$O:$O,Submission!$H:$N,""))</f>
        <v/>
      </c>
      <c r="D335" s="350"/>
      <c r="E335" s="350"/>
      <c r="F335" s="350"/>
      <c r="G335" s="347"/>
      <c r="H335" s="123" t="str">
        <f>_xlfn.CONCAT(_xlfn.XLOOKUP("[S05_DefaultValues][133][FuelMaterialType]",Submission!$O:$O,Submission!$H:$N,""))</f>
        <v/>
      </c>
      <c r="I335" s="106" t="str">
        <f>_xlfn.CONCAT(_xlfn.XLOOKUP("[S05_DefaultValues][133][InstallationNumber]",Submission!$O:$O,Submission!$H:$N,""))</f>
        <v/>
      </c>
    </row>
    <row r="336" spans="1:9" ht="15.9" hidden="1" customHeight="1" outlineLevel="1" x14ac:dyDescent="0.3">
      <c r="A336" s="13"/>
      <c r="B336" s="34"/>
      <c r="C336" s="281" t="str">
        <f>_xlfn.CONCAT(_xlfn.XLOOKUP("[S05_DefaultValues][134][InstallationCategory]",Submission!$O:$O,Submission!$H:$N,""))</f>
        <v/>
      </c>
      <c r="D336" s="350"/>
      <c r="E336" s="350"/>
      <c r="F336" s="350"/>
      <c r="G336" s="347"/>
      <c r="H336" s="123" t="str">
        <f>_xlfn.CONCAT(_xlfn.XLOOKUP("[S05_DefaultValues][134][FuelMaterialType]",Submission!$O:$O,Submission!$H:$N,""))</f>
        <v/>
      </c>
      <c r="I336" s="106" t="str">
        <f>_xlfn.CONCAT(_xlfn.XLOOKUP("[S05_DefaultValues][134][InstallationNumber]",Submission!$O:$O,Submission!$H:$N,""))</f>
        <v/>
      </c>
    </row>
    <row r="337" spans="1:9" ht="15.9" hidden="1" customHeight="1" outlineLevel="1" x14ac:dyDescent="0.3">
      <c r="A337" s="13"/>
      <c r="B337" s="34"/>
      <c r="C337" s="281" t="str">
        <f>_xlfn.CONCAT(_xlfn.XLOOKUP("[S05_DefaultValues][135][InstallationCategory]",Submission!$O:$O,Submission!$H:$N,""))</f>
        <v/>
      </c>
      <c r="D337" s="350"/>
      <c r="E337" s="350"/>
      <c r="F337" s="350"/>
      <c r="G337" s="347"/>
      <c r="H337" s="123" t="str">
        <f>_xlfn.CONCAT(_xlfn.XLOOKUP("[S05_DefaultValues][135][FuelMaterialType]",Submission!$O:$O,Submission!$H:$N,""))</f>
        <v/>
      </c>
      <c r="I337" s="106" t="str">
        <f>_xlfn.CONCAT(_xlfn.XLOOKUP("[S05_DefaultValues][135][InstallationNumber]",Submission!$O:$O,Submission!$H:$N,""))</f>
        <v/>
      </c>
    </row>
    <row r="338" spans="1:9" ht="15.9" hidden="1" customHeight="1" outlineLevel="1" x14ac:dyDescent="0.3">
      <c r="A338" s="13"/>
      <c r="B338" s="34"/>
      <c r="C338" s="281" t="str">
        <f>_xlfn.CONCAT(_xlfn.XLOOKUP("[S05_DefaultValues][136][InstallationCategory]",Submission!$O:$O,Submission!$H:$N,""))</f>
        <v/>
      </c>
      <c r="D338" s="350"/>
      <c r="E338" s="350"/>
      <c r="F338" s="350"/>
      <c r="G338" s="347"/>
      <c r="H338" s="123" t="str">
        <f>_xlfn.CONCAT(_xlfn.XLOOKUP("[S05_DefaultValues][136][FuelMaterialType]",Submission!$O:$O,Submission!$H:$N,""))</f>
        <v/>
      </c>
      <c r="I338" s="106" t="str">
        <f>_xlfn.CONCAT(_xlfn.XLOOKUP("[S05_DefaultValues][136][InstallationNumber]",Submission!$O:$O,Submission!$H:$N,""))</f>
        <v/>
      </c>
    </row>
    <row r="339" spans="1:9" ht="15.9" hidden="1" customHeight="1" outlineLevel="1" x14ac:dyDescent="0.3">
      <c r="A339" s="13"/>
      <c r="B339" s="34"/>
      <c r="C339" s="281" t="str">
        <f>_xlfn.CONCAT(_xlfn.XLOOKUP("[S05_DefaultValues][137][InstallationCategory]",Submission!$O:$O,Submission!$H:$N,""))</f>
        <v/>
      </c>
      <c r="D339" s="350"/>
      <c r="E339" s="350"/>
      <c r="F339" s="350"/>
      <c r="G339" s="347"/>
      <c r="H339" s="123" t="str">
        <f>_xlfn.CONCAT(_xlfn.XLOOKUP("[S05_DefaultValues][137][FuelMaterialType]",Submission!$O:$O,Submission!$H:$N,""))</f>
        <v/>
      </c>
      <c r="I339" s="106" t="str">
        <f>_xlfn.CONCAT(_xlfn.XLOOKUP("[S05_DefaultValues][137][InstallationNumber]",Submission!$O:$O,Submission!$H:$N,""))</f>
        <v/>
      </c>
    </row>
    <row r="340" spans="1:9" ht="15.9" hidden="1" customHeight="1" outlineLevel="1" x14ac:dyDescent="0.3">
      <c r="A340" s="13"/>
      <c r="B340" s="34"/>
      <c r="C340" s="281" t="str">
        <f>_xlfn.CONCAT(_xlfn.XLOOKUP("[S05_DefaultValues][138][InstallationCategory]",Submission!$O:$O,Submission!$H:$N,""))</f>
        <v/>
      </c>
      <c r="D340" s="350"/>
      <c r="E340" s="350"/>
      <c r="F340" s="350"/>
      <c r="G340" s="347"/>
      <c r="H340" s="123" t="str">
        <f>_xlfn.CONCAT(_xlfn.XLOOKUP("[S05_DefaultValues][138][FuelMaterialType]",Submission!$O:$O,Submission!$H:$N,""))</f>
        <v/>
      </c>
      <c r="I340" s="106" t="str">
        <f>_xlfn.CONCAT(_xlfn.XLOOKUP("[S05_DefaultValues][138][InstallationNumber]",Submission!$O:$O,Submission!$H:$N,""))</f>
        <v/>
      </c>
    </row>
    <row r="341" spans="1:9" ht="15.9" hidden="1" customHeight="1" outlineLevel="1" x14ac:dyDescent="0.3">
      <c r="A341" s="13"/>
      <c r="B341" s="34"/>
      <c r="C341" s="281" t="str">
        <f>_xlfn.CONCAT(_xlfn.XLOOKUP("[S05_DefaultValues][139][InstallationCategory]",Submission!$O:$O,Submission!$H:$N,""))</f>
        <v/>
      </c>
      <c r="D341" s="350"/>
      <c r="E341" s="350"/>
      <c r="F341" s="350"/>
      <c r="G341" s="347"/>
      <c r="H341" s="123" t="str">
        <f>_xlfn.CONCAT(_xlfn.XLOOKUP("[S05_DefaultValues][139][FuelMaterialType]",Submission!$O:$O,Submission!$H:$N,""))</f>
        <v/>
      </c>
      <c r="I341" s="106" t="str">
        <f>_xlfn.CONCAT(_xlfn.XLOOKUP("[S05_DefaultValues][139][InstallationNumber]",Submission!$O:$O,Submission!$H:$N,""))</f>
        <v/>
      </c>
    </row>
    <row r="342" spans="1:9" ht="15.9" hidden="1" customHeight="1" outlineLevel="1" x14ac:dyDescent="0.3">
      <c r="A342" s="13"/>
      <c r="B342" s="34"/>
      <c r="C342" s="281" t="str">
        <f>_xlfn.CONCAT(_xlfn.XLOOKUP("[S05_DefaultValues][140][InstallationCategory]",Submission!$O:$O,Submission!$H:$N,""))</f>
        <v/>
      </c>
      <c r="D342" s="350"/>
      <c r="E342" s="350"/>
      <c r="F342" s="350"/>
      <c r="G342" s="347"/>
      <c r="H342" s="123" t="str">
        <f>_xlfn.CONCAT(_xlfn.XLOOKUP("[S05_DefaultValues][140][FuelMaterialType]",Submission!$O:$O,Submission!$H:$N,""))</f>
        <v/>
      </c>
      <c r="I342" s="106" t="str">
        <f>_xlfn.CONCAT(_xlfn.XLOOKUP("[S05_DefaultValues][140][InstallationNumber]",Submission!$O:$O,Submission!$H:$N,""))</f>
        <v/>
      </c>
    </row>
    <row r="343" spans="1:9" ht="15.9" hidden="1" customHeight="1" outlineLevel="1" x14ac:dyDescent="0.3">
      <c r="A343" s="13"/>
      <c r="B343" s="34"/>
      <c r="C343" s="281" t="str">
        <f>_xlfn.CONCAT(_xlfn.XLOOKUP("[S05_DefaultValues][141][InstallationCategory]",Submission!$O:$O,Submission!$H:$N,""))</f>
        <v/>
      </c>
      <c r="D343" s="350"/>
      <c r="E343" s="350"/>
      <c r="F343" s="350"/>
      <c r="G343" s="347"/>
      <c r="H343" s="123" t="str">
        <f>_xlfn.CONCAT(_xlfn.XLOOKUP("[S05_DefaultValues][141][FuelMaterialType]",Submission!$O:$O,Submission!$H:$N,""))</f>
        <v/>
      </c>
      <c r="I343" s="106" t="str">
        <f>_xlfn.CONCAT(_xlfn.XLOOKUP("[S05_DefaultValues][141][InstallationNumber]",Submission!$O:$O,Submission!$H:$N,""))</f>
        <v/>
      </c>
    </row>
    <row r="344" spans="1:9" ht="15.9" hidden="1" customHeight="1" outlineLevel="1" x14ac:dyDescent="0.3">
      <c r="A344" s="13"/>
      <c r="B344" s="34"/>
      <c r="C344" s="281" t="str">
        <f>_xlfn.CONCAT(_xlfn.XLOOKUP("[S05_DefaultValues][142][InstallationCategory]",Submission!$O:$O,Submission!$H:$N,""))</f>
        <v/>
      </c>
      <c r="D344" s="350"/>
      <c r="E344" s="350"/>
      <c r="F344" s="350"/>
      <c r="G344" s="347"/>
      <c r="H344" s="123" t="str">
        <f>_xlfn.CONCAT(_xlfn.XLOOKUP("[S05_DefaultValues][142][FuelMaterialType]",Submission!$O:$O,Submission!$H:$N,""))</f>
        <v/>
      </c>
      <c r="I344" s="106" t="str">
        <f>_xlfn.CONCAT(_xlfn.XLOOKUP("[S05_DefaultValues][142][InstallationNumber]",Submission!$O:$O,Submission!$H:$N,""))</f>
        <v/>
      </c>
    </row>
    <row r="345" spans="1:9" ht="15.9" hidden="1" customHeight="1" outlineLevel="1" x14ac:dyDescent="0.3">
      <c r="A345" s="13"/>
      <c r="B345" s="34"/>
      <c r="C345" s="281" t="str">
        <f>_xlfn.CONCAT(_xlfn.XLOOKUP("[S05_DefaultValues][143][InstallationCategory]",Submission!$O:$O,Submission!$H:$N,""))</f>
        <v/>
      </c>
      <c r="D345" s="350"/>
      <c r="E345" s="350"/>
      <c r="F345" s="350"/>
      <c r="G345" s="347"/>
      <c r="H345" s="123" t="str">
        <f>_xlfn.CONCAT(_xlfn.XLOOKUP("[S05_DefaultValues][143][FuelMaterialType]",Submission!$O:$O,Submission!$H:$N,""))</f>
        <v/>
      </c>
      <c r="I345" s="106" t="str">
        <f>_xlfn.CONCAT(_xlfn.XLOOKUP("[S05_DefaultValues][143][InstallationNumber]",Submission!$O:$O,Submission!$H:$N,""))</f>
        <v/>
      </c>
    </row>
    <row r="346" spans="1:9" ht="15.9" hidden="1" customHeight="1" outlineLevel="1" x14ac:dyDescent="0.3">
      <c r="A346" s="13"/>
      <c r="B346" s="34"/>
      <c r="C346" s="281" t="str">
        <f>_xlfn.CONCAT(_xlfn.XLOOKUP("[S05_DefaultValues][144][InstallationCategory]",Submission!$O:$O,Submission!$H:$N,""))</f>
        <v/>
      </c>
      <c r="D346" s="350"/>
      <c r="E346" s="350"/>
      <c r="F346" s="350"/>
      <c r="G346" s="347"/>
      <c r="H346" s="123" t="str">
        <f>_xlfn.CONCAT(_xlfn.XLOOKUP("[S05_DefaultValues][144][FuelMaterialType]",Submission!$O:$O,Submission!$H:$N,""))</f>
        <v/>
      </c>
      <c r="I346" s="106" t="str">
        <f>_xlfn.CONCAT(_xlfn.XLOOKUP("[S05_DefaultValues][144][InstallationNumber]",Submission!$O:$O,Submission!$H:$N,""))</f>
        <v/>
      </c>
    </row>
    <row r="347" spans="1:9" ht="15.9" hidden="1" customHeight="1" outlineLevel="1" x14ac:dyDescent="0.3">
      <c r="A347" s="13"/>
      <c r="B347" s="34"/>
      <c r="C347" s="281" t="str">
        <f>_xlfn.CONCAT(_xlfn.XLOOKUP("[S05_DefaultValues][145][InstallationCategory]",Submission!$O:$O,Submission!$H:$N,""))</f>
        <v/>
      </c>
      <c r="D347" s="350"/>
      <c r="E347" s="350"/>
      <c r="F347" s="350"/>
      <c r="G347" s="347"/>
      <c r="H347" s="123" t="str">
        <f>_xlfn.CONCAT(_xlfn.XLOOKUP("[S05_DefaultValues][145][FuelMaterialType]",Submission!$O:$O,Submission!$H:$N,""))</f>
        <v/>
      </c>
      <c r="I347" s="106" t="str">
        <f>_xlfn.CONCAT(_xlfn.XLOOKUP("[S05_DefaultValues][145][InstallationNumber]",Submission!$O:$O,Submission!$H:$N,""))</f>
        <v/>
      </c>
    </row>
    <row r="348" spans="1:9" ht="15.9" hidden="1" customHeight="1" outlineLevel="1" x14ac:dyDescent="0.3">
      <c r="A348" s="13"/>
      <c r="B348" s="34"/>
      <c r="C348" s="281" t="str">
        <f>_xlfn.CONCAT(_xlfn.XLOOKUP("[S05_DefaultValues][146][InstallationCategory]",Submission!$O:$O,Submission!$H:$N,""))</f>
        <v/>
      </c>
      <c r="D348" s="350"/>
      <c r="E348" s="350"/>
      <c r="F348" s="350"/>
      <c r="G348" s="347"/>
      <c r="H348" s="123" t="str">
        <f>_xlfn.CONCAT(_xlfn.XLOOKUP("[S05_DefaultValues][146][FuelMaterialType]",Submission!$O:$O,Submission!$H:$N,""))</f>
        <v/>
      </c>
      <c r="I348" s="106" t="str">
        <f>_xlfn.CONCAT(_xlfn.XLOOKUP("[S05_DefaultValues][146][InstallationNumber]",Submission!$O:$O,Submission!$H:$N,""))</f>
        <v/>
      </c>
    </row>
    <row r="349" spans="1:9" ht="15.9" hidden="1" customHeight="1" outlineLevel="1" x14ac:dyDescent="0.3">
      <c r="A349" s="13"/>
      <c r="B349" s="34"/>
      <c r="C349" s="281" t="str">
        <f>_xlfn.CONCAT(_xlfn.XLOOKUP("[S05_DefaultValues][147][InstallationCategory]",Submission!$O:$O,Submission!$H:$N,""))</f>
        <v/>
      </c>
      <c r="D349" s="350"/>
      <c r="E349" s="350"/>
      <c r="F349" s="350"/>
      <c r="G349" s="347"/>
      <c r="H349" s="123" t="str">
        <f>_xlfn.CONCAT(_xlfn.XLOOKUP("[S05_DefaultValues][147][FuelMaterialType]",Submission!$O:$O,Submission!$H:$N,""))</f>
        <v/>
      </c>
      <c r="I349" s="106" t="str">
        <f>_xlfn.CONCAT(_xlfn.XLOOKUP("[S05_DefaultValues][147][InstallationNumber]",Submission!$O:$O,Submission!$H:$N,""))</f>
        <v/>
      </c>
    </row>
    <row r="350" spans="1:9" ht="15.9" hidden="1" customHeight="1" outlineLevel="1" x14ac:dyDescent="0.3">
      <c r="A350" s="13"/>
      <c r="B350" s="34"/>
      <c r="C350" s="281" t="str">
        <f>_xlfn.CONCAT(_xlfn.XLOOKUP("[S05_DefaultValues][148][InstallationCategory]",Submission!$O:$O,Submission!$H:$N,""))</f>
        <v/>
      </c>
      <c r="D350" s="350"/>
      <c r="E350" s="350"/>
      <c r="F350" s="350"/>
      <c r="G350" s="347"/>
      <c r="H350" s="123" t="str">
        <f>_xlfn.CONCAT(_xlfn.XLOOKUP("[S05_DefaultValues][148][FuelMaterialType]",Submission!$O:$O,Submission!$H:$N,""))</f>
        <v/>
      </c>
      <c r="I350" s="106" t="str">
        <f>_xlfn.CONCAT(_xlfn.XLOOKUP("[S05_DefaultValues][148][InstallationNumber]",Submission!$O:$O,Submission!$H:$N,""))</f>
        <v/>
      </c>
    </row>
    <row r="351" spans="1:9" ht="15.9" hidden="1" customHeight="1" outlineLevel="1" x14ac:dyDescent="0.3">
      <c r="A351" s="13"/>
      <c r="B351" s="34"/>
      <c r="C351" s="281" t="str">
        <f>_xlfn.CONCAT(_xlfn.XLOOKUP("[S05_DefaultValues][149][InstallationCategory]",Submission!$O:$O,Submission!$H:$N,""))</f>
        <v/>
      </c>
      <c r="D351" s="350"/>
      <c r="E351" s="350"/>
      <c r="F351" s="350"/>
      <c r="G351" s="347"/>
      <c r="H351" s="123" t="str">
        <f>_xlfn.CONCAT(_xlfn.XLOOKUP("[S05_DefaultValues][149][FuelMaterialType]",Submission!$O:$O,Submission!$H:$N,""))</f>
        <v/>
      </c>
      <c r="I351" s="106" t="str">
        <f>_xlfn.CONCAT(_xlfn.XLOOKUP("[S05_DefaultValues][149][InstallationNumber]",Submission!$O:$O,Submission!$H:$N,""))</f>
        <v/>
      </c>
    </row>
    <row r="352" spans="1:9" ht="15.9" hidden="1" customHeight="1" outlineLevel="1" x14ac:dyDescent="0.3">
      <c r="A352" s="13"/>
      <c r="B352" s="34"/>
      <c r="C352" s="281" t="str">
        <f>_xlfn.CONCAT(_xlfn.XLOOKUP("[S05_DefaultValues][150][InstallationCategory]",Submission!$O:$O,Submission!$H:$N,""))</f>
        <v/>
      </c>
      <c r="D352" s="350"/>
      <c r="E352" s="350"/>
      <c r="F352" s="350"/>
      <c r="G352" s="347"/>
      <c r="H352" s="123" t="str">
        <f>_xlfn.CONCAT(_xlfn.XLOOKUP("[S05_DefaultValues][150][FuelMaterialType]",Submission!$O:$O,Submission!$H:$N,""))</f>
        <v/>
      </c>
      <c r="I352" s="106" t="str">
        <f>_xlfn.CONCAT(_xlfn.XLOOKUP("[S05_DefaultValues][150][InstallationNumber]",Submission!$O:$O,Submission!$H:$N,""))</f>
        <v/>
      </c>
    </row>
    <row r="353" spans="1:9" ht="15.9" hidden="1" customHeight="1" outlineLevel="1" x14ac:dyDescent="0.3">
      <c r="A353" s="13"/>
      <c r="B353" s="34"/>
      <c r="C353" s="281" t="str">
        <f>_xlfn.CONCAT(_xlfn.XLOOKUP("[S05_DefaultValues][151][InstallationCategory]",Submission!$O:$O,Submission!$H:$N,""))</f>
        <v/>
      </c>
      <c r="D353" s="350"/>
      <c r="E353" s="350"/>
      <c r="F353" s="350"/>
      <c r="G353" s="347"/>
      <c r="H353" s="123" t="str">
        <f>_xlfn.CONCAT(_xlfn.XLOOKUP("[S05_DefaultValues][151][FuelMaterialType]",Submission!$O:$O,Submission!$H:$N,""))</f>
        <v/>
      </c>
      <c r="I353" s="106" t="str">
        <f>_xlfn.CONCAT(_xlfn.XLOOKUP("[S05_DefaultValues][151][InstallationNumber]",Submission!$O:$O,Submission!$H:$N,""))</f>
        <v/>
      </c>
    </row>
    <row r="354" spans="1:9" ht="15.9" hidden="1" customHeight="1" outlineLevel="1" x14ac:dyDescent="0.3">
      <c r="A354" s="13"/>
      <c r="B354" s="34"/>
      <c r="C354" s="281" t="str">
        <f>_xlfn.CONCAT(_xlfn.XLOOKUP("[S05_DefaultValues][152][InstallationCategory]",Submission!$O:$O,Submission!$H:$N,""))</f>
        <v/>
      </c>
      <c r="D354" s="350"/>
      <c r="E354" s="350"/>
      <c r="F354" s="350"/>
      <c r="G354" s="347"/>
      <c r="H354" s="123" t="str">
        <f>_xlfn.CONCAT(_xlfn.XLOOKUP("[S05_DefaultValues][152][FuelMaterialType]",Submission!$O:$O,Submission!$H:$N,""))</f>
        <v/>
      </c>
      <c r="I354" s="106" t="str">
        <f>_xlfn.CONCAT(_xlfn.XLOOKUP("[S05_DefaultValues][152][InstallationNumber]",Submission!$O:$O,Submission!$H:$N,""))</f>
        <v/>
      </c>
    </row>
    <row r="355" spans="1:9" ht="15.9" hidden="1" customHeight="1" outlineLevel="1" x14ac:dyDescent="0.3">
      <c r="A355" s="13"/>
      <c r="B355" s="34"/>
      <c r="C355" s="281" t="str">
        <f>_xlfn.CONCAT(_xlfn.XLOOKUP("[S05_DefaultValues][153][InstallationCategory]",Submission!$O:$O,Submission!$H:$N,""))</f>
        <v/>
      </c>
      <c r="D355" s="350"/>
      <c r="E355" s="350"/>
      <c r="F355" s="350"/>
      <c r="G355" s="347"/>
      <c r="H355" s="123" t="str">
        <f>_xlfn.CONCAT(_xlfn.XLOOKUP("[S05_DefaultValues][153][FuelMaterialType]",Submission!$O:$O,Submission!$H:$N,""))</f>
        <v/>
      </c>
      <c r="I355" s="106" t="str">
        <f>_xlfn.CONCAT(_xlfn.XLOOKUP("[S05_DefaultValues][153][InstallationNumber]",Submission!$O:$O,Submission!$H:$N,""))</f>
        <v/>
      </c>
    </row>
    <row r="356" spans="1:9" ht="15.9" hidden="1" customHeight="1" outlineLevel="1" x14ac:dyDescent="0.3">
      <c r="A356" s="13"/>
      <c r="B356" s="34"/>
      <c r="C356" s="281" t="str">
        <f>_xlfn.CONCAT(_xlfn.XLOOKUP("[S05_DefaultValues][154][InstallationCategory]",Submission!$O:$O,Submission!$H:$N,""))</f>
        <v/>
      </c>
      <c r="D356" s="350"/>
      <c r="E356" s="350"/>
      <c r="F356" s="350"/>
      <c r="G356" s="347"/>
      <c r="H356" s="123" t="str">
        <f>_xlfn.CONCAT(_xlfn.XLOOKUP("[S05_DefaultValues][154][FuelMaterialType]",Submission!$O:$O,Submission!$H:$N,""))</f>
        <v/>
      </c>
      <c r="I356" s="106" t="str">
        <f>_xlfn.CONCAT(_xlfn.XLOOKUP("[S05_DefaultValues][154][InstallationNumber]",Submission!$O:$O,Submission!$H:$N,""))</f>
        <v/>
      </c>
    </row>
    <row r="357" spans="1:9" ht="15.9" hidden="1" customHeight="1" outlineLevel="1" x14ac:dyDescent="0.3">
      <c r="A357" s="13"/>
      <c r="B357" s="34"/>
      <c r="C357" s="281" t="str">
        <f>_xlfn.CONCAT(_xlfn.XLOOKUP("[S05_DefaultValues][155][InstallationCategory]",Submission!$O:$O,Submission!$H:$N,""))</f>
        <v/>
      </c>
      <c r="D357" s="350"/>
      <c r="E357" s="350"/>
      <c r="F357" s="350"/>
      <c r="G357" s="347"/>
      <c r="H357" s="123" t="str">
        <f>_xlfn.CONCAT(_xlfn.XLOOKUP("[S05_DefaultValues][155][FuelMaterialType]",Submission!$O:$O,Submission!$H:$N,""))</f>
        <v/>
      </c>
      <c r="I357" s="106" t="str">
        <f>_xlfn.CONCAT(_xlfn.XLOOKUP("[S05_DefaultValues][155][InstallationNumber]",Submission!$O:$O,Submission!$H:$N,""))</f>
        <v/>
      </c>
    </row>
    <row r="358" spans="1:9" ht="15.9" hidden="1" customHeight="1" outlineLevel="1" x14ac:dyDescent="0.3">
      <c r="A358" s="13"/>
      <c r="B358" s="34"/>
      <c r="C358" s="281" t="str">
        <f>_xlfn.CONCAT(_xlfn.XLOOKUP("[S05_DefaultValues][156][InstallationCategory]",Submission!$O:$O,Submission!$H:$N,""))</f>
        <v/>
      </c>
      <c r="D358" s="350"/>
      <c r="E358" s="350"/>
      <c r="F358" s="350"/>
      <c r="G358" s="347"/>
      <c r="H358" s="123" t="str">
        <f>_xlfn.CONCAT(_xlfn.XLOOKUP("[S05_DefaultValues][156][FuelMaterialType]",Submission!$O:$O,Submission!$H:$N,""))</f>
        <v/>
      </c>
      <c r="I358" s="106" t="str">
        <f>_xlfn.CONCAT(_xlfn.XLOOKUP("[S05_DefaultValues][156][InstallationNumber]",Submission!$O:$O,Submission!$H:$N,""))</f>
        <v/>
      </c>
    </row>
    <row r="359" spans="1:9" ht="15.9" hidden="1" customHeight="1" outlineLevel="1" x14ac:dyDescent="0.3">
      <c r="A359" s="13"/>
      <c r="B359" s="34"/>
      <c r="C359" s="281" t="str">
        <f>_xlfn.CONCAT(_xlfn.XLOOKUP("[S05_DefaultValues][157][InstallationCategory]",Submission!$O:$O,Submission!$H:$N,""))</f>
        <v/>
      </c>
      <c r="D359" s="350"/>
      <c r="E359" s="350"/>
      <c r="F359" s="350"/>
      <c r="G359" s="347"/>
      <c r="H359" s="123" t="str">
        <f>_xlfn.CONCAT(_xlfn.XLOOKUP("[S05_DefaultValues][157][FuelMaterialType]",Submission!$O:$O,Submission!$H:$N,""))</f>
        <v/>
      </c>
      <c r="I359" s="106" t="str">
        <f>_xlfn.CONCAT(_xlfn.XLOOKUP("[S05_DefaultValues][157][InstallationNumber]",Submission!$O:$O,Submission!$H:$N,""))</f>
        <v/>
      </c>
    </row>
    <row r="360" spans="1:9" ht="15.9" hidden="1" customHeight="1" outlineLevel="1" x14ac:dyDescent="0.3">
      <c r="A360" s="13"/>
      <c r="B360" s="34"/>
      <c r="C360" s="281" t="str">
        <f>_xlfn.CONCAT(_xlfn.XLOOKUP("[S05_DefaultValues][158][InstallationCategory]",Submission!$O:$O,Submission!$H:$N,""))</f>
        <v/>
      </c>
      <c r="D360" s="350"/>
      <c r="E360" s="350"/>
      <c r="F360" s="350"/>
      <c r="G360" s="347"/>
      <c r="H360" s="123" t="str">
        <f>_xlfn.CONCAT(_xlfn.XLOOKUP("[S05_DefaultValues][158][FuelMaterialType]",Submission!$O:$O,Submission!$H:$N,""))</f>
        <v/>
      </c>
      <c r="I360" s="106" t="str">
        <f>_xlfn.CONCAT(_xlfn.XLOOKUP("[S05_DefaultValues][158][InstallationNumber]",Submission!$O:$O,Submission!$H:$N,""))</f>
        <v/>
      </c>
    </row>
    <row r="361" spans="1:9" ht="15.9" hidden="1" customHeight="1" outlineLevel="1" x14ac:dyDescent="0.3">
      <c r="A361" s="13"/>
      <c r="B361" s="34"/>
      <c r="C361" s="281" t="str">
        <f>_xlfn.CONCAT(_xlfn.XLOOKUP("[S05_DefaultValues][159][InstallationCategory]",Submission!$O:$O,Submission!$H:$N,""))</f>
        <v/>
      </c>
      <c r="D361" s="350"/>
      <c r="E361" s="350"/>
      <c r="F361" s="350"/>
      <c r="G361" s="347"/>
      <c r="H361" s="123" t="str">
        <f>_xlfn.CONCAT(_xlfn.XLOOKUP("[S05_DefaultValues][159][FuelMaterialType]",Submission!$O:$O,Submission!$H:$N,""))</f>
        <v/>
      </c>
      <c r="I361" s="106" t="str">
        <f>_xlfn.CONCAT(_xlfn.XLOOKUP("[S05_DefaultValues][159][InstallationNumber]",Submission!$O:$O,Submission!$H:$N,""))</f>
        <v/>
      </c>
    </row>
    <row r="362" spans="1:9" ht="15.9" hidden="1" customHeight="1" outlineLevel="1" x14ac:dyDescent="0.3">
      <c r="A362" s="13"/>
      <c r="B362" s="34"/>
      <c r="C362" s="281" t="str">
        <f>_xlfn.CONCAT(_xlfn.XLOOKUP("[S05_DefaultValues][160][InstallationCategory]",Submission!$O:$O,Submission!$H:$N,""))</f>
        <v/>
      </c>
      <c r="D362" s="350"/>
      <c r="E362" s="350"/>
      <c r="F362" s="350"/>
      <c r="G362" s="347"/>
      <c r="H362" s="123" t="str">
        <f>_xlfn.CONCAT(_xlfn.XLOOKUP("[S05_DefaultValues][160][FuelMaterialType]",Submission!$O:$O,Submission!$H:$N,""))</f>
        <v/>
      </c>
      <c r="I362" s="106" t="str">
        <f>_xlfn.CONCAT(_xlfn.XLOOKUP("[S05_DefaultValues][160][InstallationNumber]",Submission!$O:$O,Submission!$H:$N,""))</f>
        <v/>
      </c>
    </row>
    <row r="363" spans="1:9" ht="15.9" hidden="1" customHeight="1" outlineLevel="1" x14ac:dyDescent="0.3">
      <c r="A363" s="13"/>
      <c r="B363" s="34"/>
      <c r="C363" s="281" t="str">
        <f>_xlfn.CONCAT(_xlfn.XLOOKUP("[S05_DefaultValues][161][InstallationCategory]",Submission!$O:$O,Submission!$H:$N,""))</f>
        <v/>
      </c>
      <c r="D363" s="350"/>
      <c r="E363" s="350"/>
      <c r="F363" s="350"/>
      <c r="G363" s="347"/>
      <c r="H363" s="123" t="str">
        <f>_xlfn.CONCAT(_xlfn.XLOOKUP("[S05_DefaultValues][161][FuelMaterialType]",Submission!$O:$O,Submission!$H:$N,""))</f>
        <v/>
      </c>
      <c r="I363" s="106" t="str">
        <f>_xlfn.CONCAT(_xlfn.XLOOKUP("[S05_DefaultValues][161][InstallationNumber]",Submission!$O:$O,Submission!$H:$N,""))</f>
        <v/>
      </c>
    </row>
    <row r="364" spans="1:9" ht="15.9" hidden="1" customHeight="1" outlineLevel="1" x14ac:dyDescent="0.3">
      <c r="A364" s="13"/>
      <c r="B364" s="34"/>
      <c r="C364" s="281" t="str">
        <f>_xlfn.CONCAT(_xlfn.XLOOKUP("[S05_DefaultValues][162][InstallationCategory]",Submission!$O:$O,Submission!$H:$N,""))</f>
        <v/>
      </c>
      <c r="D364" s="350"/>
      <c r="E364" s="350"/>
      <c r="F364" s="350"/>
      <c r="G364" s="347"/>
      <c r="H364" s="123" t="str">
        <f>_xlfn.CONCAT(_xlfn.XLOOKUP("[S05_DefaultValues][162][FuelMaterialType]",Submission!$O:$O,Submission!$H:$N,""))</f>
        <v/>
      </c>
      <c r="I364" s="106" t="str">
        <f>_xlfn.CONCAT(_xlfn.XLOOKUP("[S05_DefaultValues][162][InstallationNumber]",Submission!$O:$O,Submission!$H:$N,""))</f>
        <v/>
      </c>
    </row>
    <row r="365" spans="1:9" ht="15.9" hidden="1" customHeight="1" outlineLevel="1" x14ac:dyDescent="0.3">
      <c r="A365" s="13"/>
      <c r="B365" s="34"/>
      <c r="C365" s="281" t="str">
        <f>_xlfn.CONCAT(_xlfn.XLOOKUP("[S05_DefaultValues][163][InstallationCategory]",Submission!$O:$O,Submission!$H:$N,""))</f>
        <v/>
      </c>
      <c r="D365" s="350"/>
      <c r="E365" s="350"/>
      <c r="F365" s="350"/>
      <c r="G365" s="347"/>
      <c r="H365" s="123" t="str">
        <f>_xlfn.CONCAT(_xlfn.XLOOKUP("[S05_DefaultValues][163][FuelMaterialType]",Submission!$O:$O,Submission!$H:$N,""))</f>
        <v/>
      </c>
      <c r="I365" s="106" t="str">
        <f>_xlfn.CONCAT(_xlfn.XLOOKUP("[S05_DefaultValues][163][InstallationNumber]",Submission!$O:$O,Submission!$H:$N,""))</f>
        <v/>
      </c>
    </row>
    <row r="366" spans="1:9" ht="15.9" hidden="1" customHeight="1" outlineLevel="1" x14ac:dyDescent="0.3">
      <c r="A366" s="13"/>
      <c r="B366" s="34"/>
      <c r="C366" s="281" t="str">
        <f>_xlfn.CONCAT(_xlfn.XLOOKUP("[S05_DefaultValues][164][InstallationCategory]",Submission!$O:$O,Submission!$H:$N,""))</f>
        <v/>
      </c>
      <c r="D366" s="350"/>
      <c r="E366" s="350"/>
      <c r="F366" s="350"/>
      <c r="G366" s="347"/>
      <c r="H366" s="123" t="str">
        <f>_xlfn.CONCAT(_xlfn.XLOOKUP("[S05_DefaultValues][164][FuelMaterialType]",Submission!$O:$O,Submission!$H:$N,""))</f>
        <v/>
      </c>
      <c r="I366" s="106" t="str">
        <f>_xlfn.CONCAT(_xlfn.XLOOKUP("[S05_DefaultValues][164][InstallationNumber]",Submission!$O:$O,Submission!$H:$N,""))</f>
        <v/>
      </c>
    </row>
    <row r="367" spans="1:9" ht="15.9" hidden="1" customHeight="1" outlineLevel="1" x14ac:dyDescent="0.3">
      <c r="A367" s="13"/>
      <c r="B367" s="34"/>
      <c r="C367" s="281" t="str">
        <f>_xlfn.CONCAT(_xlfn.XLOOKUP("[S05_DefaultValues][165][InstallationCategory]",Submission!$O:$O,Submission!$H:$N,""))</f>
        <v/>
      </c>
      <c r="D367" s="350"/>
      <c r="E367" s="350"/>
      <c r="F367" s="350"/>
      <c r="G367" s="347"/>
      <c r="H367" s="123" t="str">
        <f>_xlfn.CONCAT(_xlfn.XLOOKUP("[S05_DefaultValues][165][FuelMaterialType]",Submission!$O:$O,Submission!$H:$N,""))</f>
        <v/>
      </c>
      <c r="I367" s="106" t="str">
        <f>_xlfn.CONCAT(_xlfn.XLOOKUP("[S05_DefaultValues][165][InstallationNumber]",Submission!$O:$O,Submission!$H:$N,""))</f>
        <v/>
      </c>
    </row>
    <row r="368" spans="1:9" ht="15.9" hidden="1" customHeight="1" outlineLevel="1" x14ac:dyDescent="0.3">
      <c r="A368" s="13"/>
      <c r="B368" s="34"/>
      <c r="C368" s="281" t="str">
        <f>_xlfn.CONCAT(_xlfn.XLOOKUP("[S05_DefaultValues][166][InstallationCategory]",Submission!$O:$O,Submission!$H:$N,""))</f>
        <v/>
      </c>
      <c r="D368" s="350"/>
      <c r="E368" s="350"/>
      <c r="F368" s="350"/>
      <c r="G368" s="347"/>
      <c r="H368" s="123" t="str">
        <f>_xlfn.CONCAT(_xlfn.XLOOKUP("[S05_DefaultValues][166][FuelMaterialType]",Submission!$O:$O,Submission!$H:$N,""))</f>
        <v/>
      </c>
      <c r="I368" s="106" t="str">
        <f>_xlfn.CONCAT(_xlfn.XLOOKUP("[S05_DefaultValues][166][InstallationNumber]",Submission!$O:$O,Submission!$H:$N,""))</f>
        <v/>
      </c>
    </row>
    <row r="369" spans="1:9" ht="15.9" hidden="1" customHeight="1" outlineLevel="1" x14ac:dyDescent="0.3">
      <c r="A369" s="13"/>
      <c r="B369" s="34"/>
      <c r="C369" s="281" t="str">
        <f>_xlfn.CONCAT(_xlfn.XLOOKUP("[S05_DefaultValues][167][InstallationCategory]",Submission!$O:$O,Submission!$H:$N,""))</f>
        <v/>
      </c>
      <c r="D369" s="350"/>
      <c r="E369" s="350"/>
      <c r="F369" s="350"/>
      <c r="G369" s="347"/>
      <c r="H369" s="123" t="str">
        <f>_xlfn.CONCAT(_xlfn.XLOOKUP("[S05_DefaultValues][167][FuelMaterialType]",Submission!$O:$O,Submission!$H:$N,""))</f>
        <v/>
      </c>
      <c r="I369" s="106" t="str">
        <f>_xlfn.CONCAT(_xlfn.XLOOKUP("[S05_DefaultValues][167][InstallationNumber]",Submission!$O:$O,Submission!$H:$N,""))</f>
        <v/>
      </c>
    </row>
    <row r="370" spans="1:9" ht="15.9" hidden="1" customHeight="1" outlineLevel="1" x14ac:dyDescent="0.3">
      <c r="A370" s="13"/>
      <c r="B370" s="34"/>
      <c r="C370" s="281" t="str">
        <f>_xlfn.CONCAT(_xlfn.XLOOKUP("[S05_DefaultValues][168][InstallationCategory]",Submission!$O:$O,Submission!$H:$N,""))</f>
        <v/>
      </c>
      <c r="D370" s="350"/>
      <c r="E370" s="350"/>
      <c r="F370" s="350"/>
      <c r="G370" s="347"/>
      <c r="H370" s="123" t="str">
        <f>_xlfn.CONCAT(_xlfn.XLOOKUP("[S05_DefaultValues][168][FuelMaterialType]",Submission!$O:$O,Submission!$H:$N,""))</f>
        <v/>
      </c>
      <c r="I370" s="106" t="str">
        <f>_xlfn.CONCAT(_xlfn.XLOOKUP("[S05_DefaultValues][168][InstallationNumber]",Submission!$O:$O,Submission!$H:$N,""))</f>
        <v/>
      </c>
    </row>
    <row r="371" spans="1:9" ht="15.9" hidden="1" customHeight="1" outlineLevel="1" x14ac:dyDescent="0.3">
      <c r="A371" s="13"/>
      <c r="B371" s="34"/>
      <c r="C371" s="281" t="str">
        <f>_xlfn.CONCAT(_xlfn.XLOOKUP("[S05_DefaultValues][169][InstallationCategory]",Submission!$O:$O,Submission!$H:$N,""))</f>
        <v/>
      </c>
      <c r="D371" s="350"/>
      <c r="E371" s="350"/>
      <c r="F371" s="350"/>
      <c r="G371" s="347"/>
      <c r="H371" s="123" t="str">
        <f>_xlfn.CONCAT(_xlfn.XLOOKUP("[S05_DefaultValues][169][FuelMaterialType]",Submission!$O:$O,Submission!$H:$N,""))</f>
        <v/>
      </c>
      <c r="I371" s="106" t="str">
        <f>_xlfn.CONCAT(_xlfn.XLOOKUP("[S05_DefaultValues][169][InstallationNumber]",Submission!$O:$O,Submission!$H:$N,""))</f>
        <v/>
      </c>
    </row>
    <row r="372" spans="1:9" ht="15.9" hidden="1" customHeight="1" outlineLevel="1" x14ac:dyDescent="0.3">
      <c r="A372" s="13"/>
      <c r="B372" s="34"/>
      <c r="C372" s="281" t="str">
        <f>_xlfn.CONCAT(_xlfn.XLOOKUP("[S05_DefaultValues][170][InstallationCategory]",Submission!$O:$O,Submission!$H:$N,""))</f>
        <v/>
      </c>
      <c r="D372" s="350"/>
      <c r="E372" s="350"/>
      <c r="F372" s="350"/>
      <c r="G372" s="347"/>
      <c r="H372" s="123" t="str">
        <f>_xlfn.CONCAT(_xlfn.XLOOKUP("[S05_DefaultValues][170][FuelMaterialType]",Submission!$O:$O,Submission!$H:$N,""))</f>
        <v/>
      </c>
      <c r="I372" s="106" t="str">
        <f>_xlfn.CONCAT(_xlfn.XLOOKUP("[S05_DefaultValues][170][InstallationNumber]",Submission!$O:$O,Submission!$H:$N,""))</f>
        <v/>
      </c>
    </row>
    <row r="373" spans="1:9" ht="15.9" hidden="1" customHeight="1" outlineLevel="1" x14ac:dyDescent="0.3">
      <c r="A373" s="13"/>
      <c r="B373" s="34"/>
      <c r="C373" s="281" t="str">
        <f>_xlfn.CONCAT(_xlfn.XLOOKUP("[S05_DefaultValues][171][InstallationCategory]",Submission!$O:$O,Submission!$H:$N,""))</f>
        <v/>
      </c>
      <c r="D373" s="350"/>
      <c r="E373" s="350"/>
      <c r="F373" s="350"/>
      <c r="G373" s="347"/>
      <c r="H373" s="123" t="str">
        <f>_xlfn.CONCAT(_xlfn.XLOOKUP("[S05_DefaultValues][171][FuelMaterialType]",Submission!$O:$O,Submission!$H:$N,""))</f>
        <v/>
      </c>
      <c r="I373" s="106" t="str">
        <f>_xlfn.CONCAT(_xlfn.XLOOKUP("[S05_DefaultValues][171][InstallationNumber]",Submission!$O:$O,Submission!$H:$N,""))</f>
        <v/>
      </c>
    </row>
    <row r="374" spans="1:9" ht="15.9" hidden="1" customHeight="1" outlineLevel="1" x14ac:dyDescent="0.3">
      <c r="A374" s="13"/>
      <c r="B374" s="34"/>
      <c r="C374" s="281" t="str">
        <f>_xlfn.CONCAT(_xlfn.XLOOKUP("[S05_DefaultValues][172][InstallationCategory]",Submission!$O:$O,Submission!$H:$N,""))</f>
        <v/>
      </c>
      <c r="D374" s="350"/>
      <c r="E374" s="350"/>
      <c r="F374" s="350"/>
      <c r="G374" s="347"/>
      <c r="H374" s="123" t="str">
        <f>_xlfn.CONCAT(_xlfn.XLOOKUP("[S05_DefaultValues][172][FuelMaterialType]",Submission!$O:$O,Submission!$H:$N,""))</f>
        <v/>
      </c>
      <c r="I374" s="106" t="str">
        <f>_xlfn.CONCAT(_xlfn.XLOOKUP("[S05_DefaultValues][172][InstallationNumber]",Submission!$O:$O,Submission!$H:$N,""))</f>
        <v/>
      </c>
    </row>
    <row r="375" spans="1:9" ht="15.9" hidden="1" customHeight="1" outlineLevel="1" x14ac:dyDescent="0.3">
      <c r="A375" s="13"/>
      <c r="B375" s="34"/>
      <c r="C375" s="281" t="str">
        <f>_xlfn.CONCAT(_xlfn.XLOOKUP("[S05_DefaultValues][173][InstallationCategory]",Submission!$O:$O,Submission!$H:$N,""))</f>
        <v/>
      </c>
      <c r="D375" s="350"/>
      <c r="E375" s="350"/>
      <c r="F375" s="350"/>
      <c r="G375" s="347"/>
      <c r="H375" s="123" t="str">
        <f>_xlfn.CONCAT(_xlfn.XLOOKUP("[S05_DefaultValues][173][FuelMaterialType]",Submission!$O:$O,Submission!$H:$N,""))</f>
        <v/>
      </c>
      <c r="I375" s="106" t="str">
        <f>_xlfn.CONCAT(_xlfn.XLOOKUP("[S05_DefaultValues][173][InstallationNumber]",Submission!$O:$O,Submission!$H:$N,""))</f>
        <v/>
      </c>
    </row>
    <row r="376" spans="1:9" ht="15.9" hidden="1" customHeight="1" outlineLevel="1" x14ac:dyDescent="0.3">
      <c r="A376" s="13"/>
      <c r="B376" s="34"/>
      <c r="C376" s="281" t="str">
        <f>_xlfn.CONCAT(_xlfn.XLOOKUP("[S05_DefaultValues][174][InstallationCategory]",Submission!$O:$O,Submission!$H:$N,""))</f>
        <v/>
      </c>
      <c r="D376" s="350"/>
      <c r="E376" s="350"/>
      <c r="F376" s="350"/>
      <c r="G376" s="347"/>
      <c r="H376" s="123" t="str">
        <f>_xlfn.CONCAT(_xlfn.XLOOKUP("[S05_DefaultValues][174][FuelMaterialType]",Submission!$O:$O,Submission!$H:$N,""))</f>
        <v/>
      </c>
      <c r="I376" s="106" t="str">
        <f>_xlfn.CONCAT(_xlfn.XLOOKUP("[S05_DefaultValues][174][InstallationNumber]",Submission!$O:$O,Submission!$H:$N,""))</f>
        <v/>
      </c>
    </row>
    <row r="377" spans="1:9" ht="15.9" hidden="1" customHeight="1" outlineLevel="1" x14ac:dyDescent="0.3">
      <c r="A377" s="13"/>
      <c r="B377" s="34"/>
      <c r="C377" s="281" t="str">
        <f>_xlfn.CONCAT(_xlfn.XLOOKUP("[S05_DefaultValues][175][InstallationCategory]",Submission!$O:$O,Submission!$H:$N,""))</f>
        <v/>
      </c>
      <c r="D377" s="350"/>
      <c r="E377" s="350"/>
      <c r="F377" s="350"/>
      <c r="G377" s="347"/>
      <c r="H377" s="123" t="str">
        <f>_xlfn.CONCAT(_xlfn.XLOOKUP("[S05_DefaultValues][175][FuelMaterialType]",Submission!$O:$O,Submission!$H:$N,""))</f>
        <v/>
      </c>
      <c r="I377" s="106" t="str">
        <f>_xlfn.CONCAT(_xlfn.XLOOKUP("[S05_DefaultValues][175][InstallationNumber]",Submission!$O:$O,Submission!$H:$N,""))</f>
        <v/>
      </c>
    </row>
    <row r="378" spans="1:9" ht="15.9" hidden="1" customHeight="1" outlineLevel="1" x14ac:dyDescent="0.3">
      <c r="A378" s="13"/>
      <c r="B378" s="34"/>
      <c r="C378" s="281" t="str">
        <f>_xlfn.CONCAT(_xlfn.XLOOKUP("[S05_DefaultValues][176][InstallationCategory]",Submission!$O:$O,Submission!$H:$N,""))</f>
        <v/>
      </c>
      <c r="D378" s="350"/>
      <c r="E378" s="350"/>
      <c r="F378" s="350"/>
      <c r="G378" s="347"/>
      <c r="H378" s="123" t="str">
        <f>_xlfn.CONCAT(_xlfn.XLOOKUP("[S05_DefaultValues][176][FuelMaterialType]",Submission!$O:$O,Submission!$H:$N,""))</f>
        <v/>
      </c>
      <c r="I378" s="106" t="str">
        <f>_xlfn.CONCAT(_xlfn.XLOOKUP("[S05_DefaultValues][176][InstallationNumber]",Submission!$O:$O,Submission!$H:$N,""))</f>
        <v/>
      </c>
    </row>
    <row r="379" spans="1:9" ht="15.9" hidden="1" customHeight="1" outlineLevel="1" x14ac:dyDescent="0.3">
      <c r="A379" s="13"/>
      <c r="B379" s="34"/>
      <c r="C379" s="281" t="str">
        <f>_xlfn.CONCAT(_xlfn.XLOOKUP("[S05_DefaultValues][177][InstallationCategory]",Submission!$O:$O,Submission!$H:$N,""))</f>
        <v/>
      </c>
      <c r="D379" s="350"/>
      <c r="E379" s="350"/>
      <c r="F379" s="350"/>
      <c r="G379" s="347"/>
      <c r="H379" s="123" t="str">
        <f>_xlfn.CONCAT(_xlfn.XLOOKUP("[S05_DefaultValues][177][FuelMaterialType]",Submission!$O:$O,Submission!$H:$N,""))</f>
        <v/>
      </c>
      <c r="I379" s="106" t="str">
        <f>_xlfn.CONCAT(_xlfn.XLOOKUP("[S05_DefaultValues][177][InstallationNumber]",Submission!$O:$O,Submission!$H:$N,""))</f>
        <v/>
      </c>
    </row>
    <row r="380" spans="1:9" ht="15.9" hidden="1" customHeight="1" outlineLevel="1" x14ac:dyDescent="0.3">
      <c r="A380" s="13"/>
      <c r="B380" s="34"/>
      <c r="C380" s="281" t="str">
        <f>_xlfn.CONCAT(_xlfn.XLOOKUP("[S05_DefaultValues][178][InstallationCategory]",Submission!$O:$O,Submission!$H:$N,""))</f>
        <v/>
      </c>
      <c r="D380" s="350"/>
      <c r="E380" s="350"/>
      <c r="F380" s="350"/>
      <c r="G380" s="347"/>
      <c r="H380" s="123" t="str">
        <f>_xlfn.CONCAT(_xlfn.XLOOKUP("[S05_DefaultValues][178][FuelMaterialType]",Submission!$O:$O,Submission!$H:$N,""))</f>
        <v/>
      </c>
      <c r="I380" s="106" t="str">
        <f>_xlfn.CONCAT(_xlfn.XLOOKUP("[S05_DefaultValues][178][InstallationNumber]",Submission!$O:$O,Submission!$H:$N,""))</f>
        <v/>
      </c>
    </row>
    <row r="381" spans="1:9" ht="15.9" hidden="1" customHeight="1" outlineLevel="1" x14ac:dyDescent="0.3">
      <c r="A381" s="13"/>
      <c r="B381" s="34"/>
      <c r="C381" s="281" t="str">
        <f>_xlfn.CONCAT(_xlfn.XLOOKUP("[S05_DefaultValues][179][InstallationCategory]",Submission!$O:$O,Submission!$H:$N,""))</f>
        <v/>
      </c>
      <c r="D381" s="350"/>
      <c r="E381" s="350"/>
      <c r="F381" s="350"/>
      <c r="G381" s="347"/>
      <c r="H381" s="123" t="str">
        <f>_xlfn.CONCAT(_xlfn.XLOOKUP("[S05_DefaultValues][179][FuelMaterialType]",Submission!$O:$O,Submission!$H:$N,""))</f>
        <v/>
      </c>
      <c r="I381" s="106" t="str">
        <f>_xlfn.CONCAT(_xlfn.XLOOKUP("[S05_DefaultValues][179][InstallationNumber]",Submission!$O:$O,Submission!$H:$N,""))</f>
        <v/>
      </c>
    </row>
    <row r="382" spans="1:9" ht="15.9" hidden="1" customHeight="1" outlineLevel="1" x14ac:dyDescent="0.3">
      <c r="A382" s="13"/>
      <c r="B382" s="34"/>
      <c r="C382" s="281" t="str">
        <f>_xlfn.CONCAT(_xlfn.XLOOKUP("[S05_DefaultValues][180][InstallationCategory]",Submission!$O:$O,Submission!$H:$N,""))</f>
        <v/>
      </c>
      <c r="D382" s="350"/>
      <c r="E382" s="350"/>
      <c r="F382" s="350"/>
      <c r="G382" s="347"/>
      <c r="H382" s="123" t="str">
        <f>_xlfn.CONCAT(_xlfn.XLOOKUP("[S05_DefaultValues][180][FuelMaterialType]",Submission!$O:$O,Submission!$H:$N,""))</f>
        <v/>
      </c>
      <c r="I382" s="106" t="str">
        <f>_xlfn.CONCAT(_xlfn.XLOOKUP("[S05_DefaultValues][180][InstallationNumber]",Submission!$O:$O,Submission!$H:$N,""))</f>
        <v/>
      </c>
    </row>
    <row r="383" spans="1:9" ht="15.9" hidden="1" customHeight="1" outlineLevel="1" x14ac:dyDescent="0.3">
      <c r="A383" s="13"/>
      <c r="B383" s="34"/>
      <c r="C383" s="281" t="str">
        <f>_xlfn.CONCAT(_xlfn.XLOOKUP("[S05_DefaultValues][181][InstallationCategory]",Submission!$O:$O,Submission!$H:$N,""))</f>
        <v/>
      </c>
      <c r="D383" s="350"/>
      <c r="E383" s="350"/>
      <c r="F383" s="350"/>
      <c r="G383" s="347"/>
      <c r="H383" s="123" t="str">
        <f>_xlfn.CONCAT(_xlfn.XLOOKUP("[S05_DefaultValues][181][FuelMaterialType]",Submission!$O:$O,Submission!$H:$N,""))</f>
        <v/>
      </c>
      <c r="I383" s="106" t="str">
        <f>_xlfn.CONCAT(_xlfn.XLOOKUP("[S05_DefaultValues][181][InstallationNumber]",Submission!$O:$O,Submission!$H:$N,""))</f>
        <v/>
      </c>
    </row>
    <row r="384" spans="1:9" ht="15.9" hidden="1" customHeight="1" outlineLevel="1" x14ac:dyDescent="0.3">
      <c r="A384" s="13"/>
      <c r="B384" s="34"/>
      <c r="C384" s="281" t="str">
        <f>_xlfn.CONCAT(_xlfn.XLOOKUP("[S05_DefaultValues][182][InstallationCategory]",Submission!$O:$O,Submission!$H:$N,""))</f>
        <v/>
      </c>
      <c r="D384" s="350"/>
      <c r="E384" s="350"/>
      <c r="F384" s="350"/>
      <c r="G384" s="347"/>
      <c r="H384" s="123" t="str">
        <f>_xlfn.CONCAT(_xlfn.XLOOKUP("[S05_DefaultValues][182][FuelMaterialType]",Submission!$O:$O,Submission!$H:$N,""))</f>
        <v/>
      </c>
      <c r="I384" s="106" t="str">
        <f>_xlfn.CONCAT(_xlfn.XLOOKUP("[S05_DefaultValues][182][InstallationNumber]",Submission!$O:$O,Submission!$H:$N,""))</f>
        <v/>
      </c>
    </row>
    <row r="385" spans="1:9" ht="15.9" hidden="1" customHeight="1" outlineLevel="1" x14ac:dyDescent="0.3">
      <c r="A385" s="13"/>
      <c r="B385" s="34"/>
      <c r="C385" s="281" t="str">
        <f>_xlfn.CONCAT(_xlfn.XLOOKUP("[S05_DefaultValues][183][InstallationCategory]",Submission!$O:$O,Submission!$H:$N,""))</f>
        <v/>
      </c>
      <c r="D385" s="350"/>
      <c r="E385" s="350"/>
      <c r="F385" s="350"/>
      <c r="G385" s="347"/>
      <c r="H385" s="123" t="str">
        <f>_xlfn.CONCAT(_xlfn.XLOOKUP("[S05_DefaultValues][183][FuelMaterialType]",Submission!$O:$O,Submission!$H:$N,""))</f>
        <v/>
      </c>
      <c r="I385" s="106" t="str">
        <f>_xlfn.CONCAT(_xlfn.XLOOKUP("[S05_DefaultValues][183][InstallationNumber]",Submission!$O:$O,Submission!$H:$N,""))</f>
        <v/>
      </c>
    </row>
    <row r="386" spans="1:9" ht="15.9" hidden="1" customHeight="1" outlineLevel="1" x14ac:dyDescent="0.3">
      <c r="A386" s="13"/>
      <c r="B386" s="34"/>
      <c r="C386" s="281" t="str">
        <f>_xlfn.CONCAT(_xlfn.XLOOKUP("[S05_DefaultValues][184][InstallationCategory]",Submission!$O:$O,Submission!$H:$N,""))</f>
        <v/>
      </c>
      <c r="D386" s="350"/>
      <c r="E386" s="350"/>
      <c r="F386" s="350"/>
      <c r="G386" s="347"/>
      <c r="H386" s="123" t="str">
        <f>_xlfn.CONCAT(_xlfn.XLOOKUP("[S05_DefaultValues][184][FuelMaterialType]",Submission!$O:$O,Submission!$H:$N,""))</f>
        <v/>
      </c>
      <c r="I386" s="106" t="str">
        <f>_xlfn.CONCAT(_xlfn.XLOOKUP("[S05_DefaultValues][184][InstallationNumber]",Submission!$O:$O,Submission!$H:$N,""))</f>
        <v/>
      </c>
    </row>
    <row r="387" spans="1:9" ht="15.9" hidden="1" customHeight="1" outlineLevel="1" x14ac:dyDescent="0.3">
      <c r="A387" s="13"/>
      <c r="B387" s="34"/>
      <c r="C387" s="281" t="str">
        <f>_xlfn.CONCAT(_xlfn.XLOOKUP("[S05_DefaultValues][185][InstallationCategory]",Submission!$O:$O,Submission!$H:$N,""))</f>
        <v/>
      </c>
      <c r="D387" s="350"/>
      <c r="E387" s="350"/>
      <c r="F387" s="350"/>
      <c r="G387" s="347"/>
      <c r="H387" s="123" t="str">
        <f>_xlfn.CONCAT(_xlfn.XLOOKUP("[S05_DefaultValues][185][FuelMaterialType]",Submission!$O:$O,Submission!$H:$N,""))</f>
        <v/>
      </c>
      <c r="I387" s="106" t="str">
        <f>_xlfn.CONCAT(_xlfn.XLOOKUP("[S05_DefaultValues][185][InstallationNumber]",Submission!$O:$O,Submission!$H:$N,""))</f>
        <v/>
      </c>
    </row>
    <row r="388" spans="1:9" ht="15.9" hidden="1" customHeight="1" outlineLevel="1" x14ac:dyDescent="0.3">
      <c r="A388" s="13"/>
      <c r="B388" s="34"/>
      <c r="C388" s="281" t="str">
        <f>_xlfn.CONCAT(_xlfn.XLOOKUP("[S05_DefaultValues][186][InstallationCategory]",Submission!$O:$O,Submission!$H:$N,""))</f>
        <v/>
      </c>
      <c r="D388" s="350"/>
      <c r="E388" s="350"/>
      <c r="F388" s="350"/>
      <c r="G388" s="347"/>
      <c r="H388" s="123" t="str">
        <f>_xlfn.CONCAT(_xlfn.XLOOKUP("[S05_DefaultValues][186][FuelMaterialType]",Submission!$O:$O,Submission!$H:$N,""))</f>
        <v/>
      </c>
      <c r="I388" s="106" t="str">
        <f>_xlfn.CONCAT(_xlfn.XLOOKUP("[S05_DefaultValues][186][InstallationNumber]",Submission!$O:$O,Submission!$H:$N,""))</f>
        <v/>
      </c>
    </row>
    <row r="389" spans="1:9" ht="15.9" hidden="1" customHeight="1" outlineLevel="1" x14ac:dyDescent="0.3">
      <c r="A389" s="13"/>
      <c r="B389" s="34"/>
      <c r="C389" s="281" t="str">
        <f>_xlfn.CONCAT(_xlfn.XLOOKUP("[S05_DefaultValues][187][InstallationCategory]",Submission!$O:$O,Submission!$H:$N,""))</f>
        <v/>
      </c>
      <c r="D389" s="350"/>
      <c r="E389" s="350"/>
      <c r="F389" s="350"/>
      <c r="G389" s="347"/>
      <c r="H389" s="123" t="str">
        <f>_xlfn.CONCAT(_xlfn.XLOOKUP("[S05_DefaultValues][187][FuelMaterialType]",Submission!$O:$O,Submission!$H:$N,""))</f>
        <v/>
      </c>
      <c r="I389" s="106" t="str">
        <f>_xlfn.CONCAT(_xlfn.XLOOKUP("[S05_DefaultValues][187][InstallationNumber]",Submission!$O:$O,Submission!$H:$N,""))</f>
        <v/>
      </c>
    </row>
    <row r="390" spans="1:9" ht="15.9" hidden="1" customHeight="1" outlineLevel="1" x14ac:dyDescent="0.3">
      <c r="A390" s="13"/>
      <c r="B390" s="34"/>
      <c r="C390" s="281" t="str">
        <f>_xlfn.CONCAT(_xlfn.XLOOKUP("[S05_DefaultValues][188][InstallationCategory]",Submission!$O:$O,Submission!$H:$N,""))</f>
        <v/>
      </c>
      <c r="D390" s="350"/>
      <c r="E390" s="350"/>
      <c r="F390" s="350"/>
      <c r="G390" s="347"/>
      <c r="H390" s="123" t="str">
        <f>_xlfn.CONCAT(_xlfn.XLOOKUP("[S05_DefaultValues][188][FuelMaterialType]",Submission!$O:$O,Submission!$H:$N,""))</f>
        <v/>
      </c>
      <c r="I390" s="106" t="str">
        <f>_xlfn.CONCAT(_xlfn.XLOOKUP("[S05_DefaultValues][188][InstallationNumber]",Submission!$O:$O,Submission!$H:$N,""))</f>
        <v/>
      </c>
    </row>
    <row r="391" spans="1:9" ht="15.9" hidden="1" customHeight="1" outlineLevel="1" x14ac:dyDescent="0.3">
      <c r="A391" s="13"/>
      <c r="B391" s="34"/>
      <c r="C391" s="281" t="str">
        <f>_xlfn.CONCAT(_xlfn.XLOOKUP("[S05_DefaultValues][189][InstallationCategory]",Submission!$O:$O,Submission!$H:$N,""))</f>
        <v/>
      </c>
      <c r="D391" s="350"/>
      <c r="E391" s="350"/>
      <c r="F391" s="350"/>
      <c r="G391" s="347"/>
      <c r="H391" s="123" t="str">
        <f>_xlfn.CONCAT(_xlfn.XLOOKUP("[S05_DefaultValues][189][FuelMaterialType]",Submission!$O:$O,Submission!$H:$N,""))</f>
        <v/>
      </c>
      <c r="I391" s="106" t="str">
        <f>_xlfn.CONCAT(_xlfn.XLOOKUP("[S05_DefaultValues][189][InstallationNumber]",Submission!$O:$O,Submission!$H:$N,""))</f>
        <v/>
      </c>
    </row>
    <row r="392" spans="1:9" ht="15.9" hidden="1" customHeight="1" outlineLevel="1" x14ac:dyDescent="0.3">
      <c r="A392" s="13"/>
      <c r="B392" s="34"/>
      <c r="C392" s="281" t="str">
        <f>_xlfn.CONCAT(_xlfn.XLOOKUP("[S05_DefaultValues][190][InstallationCategory]",Submission!$O:$O,Submission!$H:$N,""))</f>
        <v/>
      </c>
      <c r="D392" s="350"/>
      <c r="E392" s="350"/>
      <c r="F392" s="350"/>
      <c r="G392" s="347"/>
      <c r="H392" s="123" t="str">
        <f>_xlfn.CONCAT(_xlfn.XLOOKUP("[S05_DefaultValues][190][FuelMaterialType]",Submission!$O:$O,Submission!$H:$N,""))</f>
        <v/>
      </c>
      <c r="I392" s="106" t="str">
        <f>_xlfn.CONCAT(_xlfn.XLOOKUP("[S05_DefaultValues][190][InstallationNumber]",Submission!$O:$O,Submission!$H:$N,""))</f>
        <v/>
      </c>
    </row>
    <row r="393" spans="1:9" ht="15.9" hidden="1" customHeight="1" outlineLevel="1" x14ac:dyDescent="0.3">
      <c r="A393" s="13"/>
      <c r="B393" s="34"/>
      <c r="C393" s="281" t="str">
        <f>_xlfn.CONCAT(_xlfn.XLOOKUP("[S05_DefaultValues][191][InstallationCategory]",Submission!$O:$O,Submission!$H:$N,""))</f>
        <v/>
      </c>
      <c r="D393" s="350"/>
      <c r="E393" s="350"/>
      <c r="F393" s="350"/>
      <c r="G393" s="347"/>
      <c r="H393" s="123" t="str">
        <f>_xlfn.CONCAT(_xlfn.XLOOKUP("[S05_DefaultValues][191][FuelMaterialType]",Submission!$O:$O,Submission!$H:$N,""))</f>
        <v/>
      </c>
      <c r="I393" s="106" t="str">
        <f>_xlfn.CONCAT(_xlfn.XLOOKUP("[S05_DefaultValues][191][InstallationNumber]",Submission!$O:$O,Submission!$H:$N,""))</f>
        <v/>
      </c>
    </row>
    <row r="394" spans="1:9" ht="15.9" hidden="1" customHeight="1" outlineLevel="1" x14ac:dyDescent="0.3">
      <c r="A394" s="13"/>
      <c r="B394" s="34"/>
      <c r="C394" s="281" t="str">
        <f>_xlfn.CONCAT(_xlfn.XLOOKUP("[S05_DefaultValues][192][InstallationCategory]",Submission!$O:$O,Submission!$H:$N,""))</f>
        <v/>
      </c>
      <c r="D394" s="350"/>
      <c r="E394" s="350"/>
      <c r="F394" s="350"/>
      <c r="G394" s="347"/>
      <c r="H394" s="123" t="str">
        <f>_xlfn.CONCAT(_xlfn.XLOOKUP("[S05_DefaultValues][192][FuelMaterialType]",Submission!$O:$O,Submission!$H:$N,""))</f>
        <v/>
      </c>
      <c r="I394" s="106" t="str">
        <f>_xlfn.CONCAT(_xlfn.XLOOKUP("[S05_DefaultValues][192][InstallationNumber]",Submission!$O:$O,Submission!$H:$N,""))</f>
        <v/>
      </c>
    </row>
    <row r="395" spans="1:9" ht="15.9" hidden="1" customHeight="1" outlineLevel="1" x14ac:dyDescent="0.3">
      <c r="A395" s="13"/>
      <c r="B395" s="34"/>
      <c r="C395" s="281" t="str">
        <f>_xlfn.CONCAT(_xlfn.XLOOKUP("[S05_DefaultValues][193][InstallationCategory]",Submission!$O:$O,Submission!$H:$N,""))</f>
        <v/>
      </c>
      <c r="D395" s="350"/>
      <c r="E395" s="350"/>
      <c r="F395" s="350"/>
      <c r="G395" s="347"/>
      <c r="H395" s="123" t="str">
        <f>_xlfn.CONCAT(_xlfn.XLOOKUP("[S05_DefaultValues][193][FuelMaterialType]",Submission!$O:$O,Submission!$H:$N,""))</f>
        <v/>
      </c>
      <c r="I395" s="106" t="str">
        <f>_xlfn.CONCAT(_xlfn.XLOOKUP("[S05_DefaultValues][193][InstallationNumber]",Submission!$O:$O,Submission!$H:$N,""))</f>
        <v/>
      </c>
    </row>
    <row r="396" spans="1:9" ht="15.9" hidden="1" customHeight="1" outlineLevel="1" x14ac:dyDescent="0.3">
      <c r="A396" s="13"/>
      <c r="B396" s="34"/>
      <c r="C396" s="281" t="str">
        <f>_xlfn.CONCAT(_xlfn.XLOOKUP("[S05_DefaultValues][194][InstallationCategory]",Submission!$O:$O,Submission!$H:$N,""))</f>
        <v/>
      </c>
      <c r="D396" s="350"/>
      <c r="E396" s="350"/>
      <c r="F396" s="350"/>
      <c r="G396" s="347"/>
      <c r="H396" s="123" t="str">
        <f>_xlfn.CONCAT(_xlfn.XLOOKUP("[S05_DefaultValues][194][FuelMaterialType]",Submission!$O:$O,Submission!$H:$N,""))</f>
        <v/>
      </c>
      <c r="I396" s="106" t="str">
        <f>_xlfn.CONCAT(_xlfn.XLOOKUP("[S05_DefaultValues][194][InstallationNumber]",Submission!$O:$O,Submission!$H:$N,""))</f>
        <v/>
      </c>
    </row>
    <row r="397" spans="1:9" ht="15.9" hidden="1" customHeight="1" outlineLevel="1" x14ac:dyDescent="0.3">
      <c r="A397" s="13"/>
      <c r="B397" s="34"/>
      <c r="C397" s="281" t="str">
        <f>_xlfn.CONCAT(_xlfn.XLOOKUP("[S05_DefaultValues][195][InstallationCategory]",Submission!$O:$O,Submission!$H:$N,""))</f>
        <v/>
      </c>
      <c r="D397" s="350"/>
      <c r="E397" s="350"/>
      <c r="F397" s="350"/>
      <c r="G397" s="347"/>
      <c r="H397" s="123" t="str">
        <f>_xlfn.CONCAT(_xlfn.XLOOKUP("[S05_DefaultValues][195][FuelMaterialType]",Submission!$O:$O,Submission!$H:$N,""))</f>
        <v/>
      </c>
      <c r="I397" s="106" t="str">
        <f>_xlfn.CONCAT(_xlfn.XLOOKUP("[S05_DefaultValues][195][InstallationNumber]",Submission!$O:$O,Submission!$H:$N,""))</f>
        <v/>
      </c>
    </row>
    <row r="398" spans="1:9" ht="15.9" hidden="1" customHeight="1" outlineLevel="1" x14ac:dyDescent="0.3">
      <c r="A398" s="13"/>
      <c r="B398" s="34"/>
      <c r="C398" s="281" t="str">
        <f>_xlfn.CONCAT(_xlfn.XLOOKUP("[S05_DefaultValues][196][InstallationCategory]",Submission!$O:$O,Submission!$H:$N,""))</f>
        <v/>
      </c>
      <c r="D398" s="350"/>
      <c r="E398" s="350"/>
      <c r="F398" s="350"/>
      <c r="G398" s="347"/>
      <c r="H398" s="123" t="str">
        <f>_xlfn.CONCAT(_xlfn.XLOOKUP("[S05_DefaultValues][196][FuelMaterialType]",Submission!$O:$O,Submission!$H:$N,""))</f>
        <v/>
      </c>
      <c r="I398" s="106" t="str">
        <f>_xlfn.CONCAT(_xlfn.XLOOKUP("[S05_DefaultValues][196][InstallationNumber]",Submission!$O:$O,Submission!$H:$N,""))</f>
        <v/>
      </c>
    </row>
    <row r="399" spans="1:9" ht="15.9" hidden="1" customHeight="1" outlineLevel="1" x14ac:dyDescent="0.3">
      <c r="A399" s="13"/>
      <c r="B399" s="34"/>
      <c r="C399" s="281" t="str">
        <f>_xlfn.CONCAT(_xlfn.XLOOKUP("[S05_DefaultValues][197][InstallationCategory]",Submission!$O:$O,Submission!$H:$N,""))</f>
        <v/>
      </c>
      <c r="D399" s="350"/>
      <c r="E399" s="350"/>
      <c r="F399" s="350"/>
      <c r="G399" s="347"/>
      <c r="H399" s="123" t="str">
        <f>_xlfn.CONCAT(_xlfn.XLOOKUP("[S05_DefaultValues][197][FuelMaterialType]",Submission!$O:$O,Submission!$H:$N,""))</f>
        <v/>
      </c>
      <c r="I399" s="106" t="str">
        <f>_xlfn.CONCAT(_xlfn.XLOOKUP("[S05_DefaultValues][197][InstallationNumber]",Submission!$O:$O,Submission!$H:$N,""))</f>
        <v/>
      </c>
    </row>
    <row r="400" spans="1:9" ht="15.9" hidden="1" customHeight="1" outlineLevel="1" x14ac:dyDescent="0.3">
      <c r="A400" s="13"/>
      <c r="B400" s="34"/>
      <c r="C400" s="281" t="str">
        <f>_xlfn.CONCAT(_xlfn.XLOOKUP("[S05_DefaultValues][198][InstallationCategory]",Submission!$O:$O,Submission!$H:$N,""))</f>
        <v/>
      </c>
      <c r="D400" s="350"/>
      <c r="E400" s="350"/>
      <c r="F400" s="350"/>
      <c r="G400" s="347"/>
      <c r="H400" s="123" t="str">
        <f>_xlfn.CONCAT(_xlfn.XLOOKUP("[S05_DefaultValues][198][FuelMaterialType]",Submission!$O:$O,Submission!$H:$N,""))</f>
        <v/>
      </c>
      <c r="I400" s="106" t="str">
        <f>_xlfn.CONCAT(_xlfn.XLOOKUP("[S05_DefaultValues][198][InstallationNumber]",Submission!$O:$O,Submission!$H:$N,""))</f>
        <v/>
      </c>
    </row>
    <row r="401" spans="1:9" ht="15.9" hidden="1" customHeight="1" outlineLevel="1" x14ac:dyDescent="0.3">
      <c r="A401" s="13"/>
      <c r="B401" s="34"/>
      <c r="C401" s="281" t="str">
        <f>_xlfn.CONCAT(_xlfn.XLOOKUP("[S05_DefaultValues][199][InstallationCategory]",Submission!$O:$O,Submission!$H:$N,""))</f>
        <v/>
      </c>
      <c r="D401" s="350"/>
      <c r="E401" s="350"/>
      <c r="F401" s="350"/>
      <c r="G401" s="347"/>
      <c r="H401" s="123" t="str">
        <f>_xlfn.CONCAT(_xlfn.XLOOKUP("[S05_DefaultValues][199][FuelMaterialType]",Submission!$O:$O,Submission!$H:$N,""))</f>
        <v/>
      </c>
      <c r="I401" s="106" t="str">
        <f>_xlfn.CONCAT(_xlfn.XLOOKUP("[S05_DefaultValues][199][InstallationNumber]",Submission!$O:$O,Submission!$H:$N,""))</f>
        <v/>
      </c>
    </row>
    <row r="402" spans="1:9" ht="15.9" hidden="1" customHeight="1" outlineLevel="1" x14ac:dyDescent="0.3">
      <c r="A402" s="13"/>
      <c r="B402" s="34"/>
      <c r="C402" s="281" t="str">
        <f>_xlfn.CONCAT(_xlfn.XLOOKUP("[S05_DefaultValues][200][InstallationCategory]",Submission!$O:$O,Submission!$H:$N,""))</f>
        <v/>
      </c>
      <c r="D402" s="350"/>
      <c r="E402" s="350"/>
      <c r="F402" s="350"/>
      <c r="G402" s="347"/>
      <c r="H402" s="123" t="str">
        <f>_xlfn.CONCAT(_xlfn.XLOOKUP("[S05_DefaultValues][200][FuelMaterialType]",Submission!$O:$O,Submission!$H:$N,""))</f>
        <v/>
      </c>
      <c r="I402" s="106" t="str">
        <f>_xlfn.CONCAT(_xlfn.XLOOKUP("[S05_DefaultValues][200][InstallationNumber]",Submission!$O:$O,Submission!$H:$N,""))</f>
        <v/>
      </c>
    </row>
    <row r="403" spans="1:9" ht="15.9" hidden="1" customHeight="1" outlineLevel="1" x14ac:dyDescent="0.3">
      <c r="A403" s="13"/>
      <c r="B403" s="34"/>
      <c r="C403" s="281" t="str">
        <f>_xlfn.CONCAT(_xlfn.XLOOKUP("[S05_DefaultValues][201][InstallationCategory]",Submission!$O:$O,Submission!$H:$N,""))</f>
        <v/>
      </c>
      <c r="D403" s="350"/>
      <c r="E403" s="350"/>
      <c r="F403" s="350"/>
      <c r="G403" s="347"/>
      <c r="H403" s="123" t="str">
        <f>_xlfn.CONCAT(_xlfn.XLOOKUP("[S05_DefaultValues][201][FuelMaterialType]",Submission!$O:$O,Submission!$H:$N,""))</f>
        <v/>
      </c>
      <c r="I403" s="106" t="str">
        <f>_xlfn.CONCAT(_xlfn.XLOOKUP("[S05_DefaultValues][201][InstallationNumber]",Submission!$O:$O,Submission!$H:$N,""))</f>
        <v/>
      </c>
    </row>
    <row r="404" spans="1:9" ht="15.9" hidden="1" customHeight="1" outlineLevel="1" x14ac:dyDescent="0.3">
      <c r="A404" s="13"/>
      <c r="B404" s="34"/>
      <c r="C404" s="281" t="str">
        <f>_xlfn.CONCAT(_xlfn.XLOOKUP("[S05_DefaultValues][202][InstallationCategory]",Submission!$O:$O,Submission!$H:$N,""))</f>
        <v/>
      </c>
      <c r="D404" s="350"/>
      <c r="E404" s="350"/>
      <c r="F404" s="350"/>
      <c r="G404" s="347"/>
      <c r="H404" s="123" t="str">
        <f>_xlfn.CONCAT(_xlfn.XLOOKUP("[S05_DefaultValues][202][FuelMaterialType]",Submission!$O:$O,Submission!$H:$N,""))</f>
        <v/>
      </c>
      <c r="I404" s="106" t="str">
        <f>_xlfn.CONCAT(_xlfn.XLOOKUP("[S05_DefaultValues][202][InstallationNumber]",Submission!$O:$O,Submission!$H:$N,""))</f>
        <v/>
      </c>
    </row>
    <row r="405" spans="1:9" ht="15.9" hidden="1" customHeight="1" outlineLevel="1" x14ac:dyDescent="0.3">
      <c r="A405" s="13"/>
      <c r="B405" s="34"/>
      <c r="C405" s="281" t="str">
        <f>_xlfn.CONCAT(_xlfn.XLOOKUP("[S05_DefaultValues][203][InstallationCategory]",Submission!$O:$O,Submission!$H:$N,""))</f>
        <v/>
      </c>
      <c r="D405" s="350"/>
      <c r="E405" s="350"/>
      <c r="F405" s="350"/>
      <c r="G405" s="347"/>
      <c r="H405" s="123" t="str">
        <f>_xlfn.CONCAT(_xlfn.XLOOKUP("[S05_DefaultValues][203][FuelMaterialType]",Submission!$O:$O,Submission!$H:$N,""))</f>
        <v/>
      </c>
      <c r="I405" s="106" t="str">
        <f>_xlfn.CONCAT(_xlfn.XLOOKUP("[S05_DefaultValues][203][InstallationNumber]",Submission!$O:$O,Submission!$H:$N,""))</f>
        <v/>
      </c>
    </row>
    <row r="406" spans="1:9" ht="15.9" hidden="1" customHeight="1" outlineLevel="1" x14ac:dyDescent="0.3">
      <c r="A406" s="13"/>
      <c r="B406" s="34"/>
      <c r="C406" s="281" t="str">
        <f>_xlfn.CONCAT(_xlfn.XLOOKUP("[S05_DefaultValues][204][InstallationCategory]",Submission!$O:$O,Submission!$H:$N,""))</f>
        <v/>
      </c>
      <c r="D406" s="350"/>
      <c r="E406" s="350"/>
      <c r="F406" s="350"/>
      <c r="G406" s="347"/>
      <c r="H406" s="123" t="str">
        <f>_xlfn.CONCAT(_xlfn.XLOOKUP("[S05_DefaultValues][204][FuelMaterialType]",Submission!$O:$O,Submission!$H:$N,""))</f>
        <v/>
      </c>
      <c r="I406" s="106" t="str">
        <f>_xlfn.CONCAT(_xlfn.XLOOKUP("[S05_DefaultValues][204][InstallationNumber]",Submission!$O:$O,Submission!$H:$N,""))</f>
        <v/>
      </c>
    </row>
    <row r="407" spans="1:9" ht="15.9" hidden="1" customHeight="1" outlineLevel="1" x14ac:dyDescent="0.3">
      <c r="A407" s="13"/>
      <c r="B407" s="34"/>
      <c r="C407" s="281" t="str">
        <f>_xlfn.CONCAT(_xlfn.XLOOKUP("[S05_DefaultValues][205][InstallationCategory]",Submission!$O:$O,Submission!$H:$N,""))</f>
        <v/>
      </c>
      <c r="D407" s="350"/>
      <c r="E407" s="350"/>
      <c r="F407" s="350"/>
      <c r="G407" s="347"/>
      <c r="H407" s="123" t="str">
        <f>_xlfn.CONCAT(_xlfn.XLOOKUP("[S05_DefaultValues][205][FuelMaterialType]",Submission!$O:$O,Submission!$H:$N,""))</f>
        <v/>
      </c>
      <c r="I407" s="106" t="str">
        <f>_xlfn.CONCAT(_xlfn.XLOOKUP("[S05_DefaultValues][205][InstallationNumber]",Submission!$O:$O,Submission!$H:$N,""))</f>
        <v/>
      </c>
    </row>
    <row r="408" spans="1:9" ht="15.9" hidden="1" customHeight="1" outlineLevel="1" x14ac:dyDescent="0.3">
      <c r="A408" s="13"/>
      <c r="B408" s="34"/>
      <c r="C408" s="281" t="str">
        <f>_xlfn.CONCAT(_xlfn.XLOOKUP("[S05_DefaultValues][206][InstallationCategory]",Submission!$O:$O,Submission!$H:$N,""))</f>
        <v/>
      </c>
      <c r="D408" s="350"/>
      <c r="E408" s="350"/>
      <c r="F408" s="350"/>
      <c r="G408" s="347"/>
      <c r="H408" s="123" t="str">
        <f>_xlfn.CONCAT(_xlfn.XLOOKUP("[S05_DefaultValues][206][FuelMaterialType]",Submission!$O:$O,Submission!$H:$N,""))</f>
        <v/>
      </c>
      <c r="I408" s="106" t="str">
        <f>_xlfn.CONCAT(_xlfn.XLOOKUP("[S05_DefaultValues][206][InstallationNumber]",Submission!$O:$O,Submission!$H:$N,""))</f>
        <v/>
      </c>
    </row>
    <row r="409" spans="1:9" ht="15.9" hidden="1" customHeight="1" outlineLevel="1" x14ac:dyDescent="0.3">
      <c r="A409" s="13"/>
      <c r="B409" s="34"/>
      <c r="C409" s="281" t="str">
        <f>_xlfn.CONCAT(_xlfn.XLOOKUP("[S05_DefaultValues][207][InstallationCategory]",Submission!$O:$O,Submission!$H:$N,""))</f>
        <v/>
      </c>
      <c r="D409" s="350"/>
      <c r="E409" s="350"/>
      <c r="F409" s="350"/>
      <c r="G409" s="347"/>
      <c r="H409" s="123" t="str">
        <f>_xlfn.CONCAT(_xlfn.XLOOKUP("[S05_DefaultValues][207][FuelMaterialType]",Submission!$O:$O,Submission!$H:$N,""))</f>
        <v/>
      </c>
      <c r="I409" s="106" t="str">
        <f>_xlfn.CONCAT(_xlfn.XLOOKUP("[S05_DefaultValues][207][InstallationNumber]",Submission!$O:$O,Submission!$H:$N,""))</f>
        <v/>
      </c>
    </row>
    <row r="410" spans="1:9" ht="15.9" hidden="1" customHeight="1" outlineLevel="1" x14ac:dyDescent="0.3">
      <c r="A410" s="13"/>
      <c r="B410" s="34"/>
      <c r="C410" s="281" t="str">
        <f>_xlfn.CONCAT(_xlfn.XLOOKUP("[S05_DefaultValues][208][InstallationCategory]",Submission!$O:$O,Submission!$H:$N,""))</f>
        <v/>
      </c>
      <c r="D410" s="350"/>
      <c r="E410" s="350"/>
      <c r="F410" s="350"/>
      <c r="G410" s="347"/>
      <c r="H410" s="123" t="str">
        <f>_xlfn.CONCAT(_xlfn.XLOOKUP("[S05_DefaultValues][208][FuelMaterialType]",Submission!$O:$O,Submission!$H:$N,""))</f>
        <v/>
      </c>
      <c r="I410" s="106" t="str">
        <f>_xlfn.CONCAT(_xlfn.XLOOKUP("[S05_DefaultValues][208][InstallationNumber]",Submission!$O:$O,Submission!$H:$N,""))</f>
        <v/>
      </c>
    </row>
    <row r="411" spans="1:9" ht="15.9" hidden="1" customHeight="1" outlineLevel="1" x14ac:dyDescent="0.3">
      <c r="A411" s="13"/>
      <c r="B411" s="34"/>
      <c r="C411" s="281" t="str">
        <f>_xlfn.CONCAT(_xlfn.XLOOKUP("[S05_DefaultValues][209][InstallationCategory]",Submission!$O:$O,Submission!$H:$N,""))</f>
        <v/>
      </c>
      <c r="D411" s="350"/>
      <c r="E411" s="350"/>
      <c r="F411" s="350"/>
      <c r="G411" s="347"/>
      <c r="H411" s="123" t="str">
        <f>_xlfn.CONCAT(_xlfn.XLOOKUP("[S05_DefaultValues][209][FuelMaterialType]",Submission!$O:$O,Submission!$H:$N,""))</f>
        <v/>
      </c>
      <c r="I411" s="106" t="str">
        <f>_xlfn.CONCAT(_xlfn.XLOOKUP("[S05_DefaultValues][209][InstallationNumber]",Submission!$O:$O,Submission!$H:$N,""))</f>
        <v/>
      </c>
    </row>
    <row r="412" spans="1:9" ht="15.9" hidden="1" customHeight="1" outlineLevel="1" x14ac:dyDescent="0.3">
      <c r="A412" s="13"/>
      <c r="B412" s="34"/>
      <c r="C412" s="281" t="str">
        <f>_xlfn.CONCAT(_xlfn.XLOOKUP("[S05_DefaultValues][210][InstallationCategory]",Submission!$O:$O,Submission!$H:$N,""))</f>
        <v/>
      </c>
      <c r="D412" s="350"/>
      <c r="E412" s="350"/>
      <c r="F412" s="350"/>
      <c r="G412" s="347"/>
      <c r="H412" s="123" t="str">
        <f>_xlfn.CONCAT(_xlfn.XLOOKUP("[S05_DefaultValues][210][FuelMaterialType]",Submission!$O:$O,Submission!$H:$N,""))</f>
        <v/>
      </c>
      <c r="I412" s="106" t="str">
        <f>_xlfn.CONCAT(_xlfn.XLOOKUP("[S05_DefaultValues][210][InstallationNumber]",Submission!$O:$O,Submission!$H:$N,""))</f>
        <v/>
      </c>
    </row>
    <row r="413" spans="1:9" ht="15.9" hidden="1" customHeight="1" outlineLevel="1" x14ac:dyDescent="0.3">
      <c r="A413" s="13"/>
      <c r="B413" s="34"/>
      <c r="C413" s="281" t="str">
        <f>_xlfn.CONCAT(_xlfn.XLOOKUP("[S05_DefaultValues][211][InstallationCategory]",Submission!$O:$O,Submission!$H:$N,""))</f>
        <v/>
      </c>
      <c r="D413" s="350"/>
      <c r="E413" s="350"/>
      <c r="F413" s="350"/>
      <c r="G413" s="347"/>
      <c r="H413" s="123" t="str">
        <f>_xlfn.CONCAT(_xlfn.XLOOKUP("[S05_DefaultValues][211][FuelMaterialType]",Submission!$O:$O,Submission!$H:$N,""))</f>
        <v/>
      </c>
      <c r="I413" s="106" t="str">
        <f>_xlfn.CONCAT(_xlfn.XLOOKUP("[S05_DefaultValues][211][InstallationNumber]",Submission!$O:$O,Submission!$H:$N,""))</f>
        <v/>
      </c>
    </row>
    <row r="414" spans="1:9" ht="15.9" hidden="1" customHeight="1" outlineLevel="1" x14ac:dyDescent="0.3">
      <c r="A414" s="13"/>
      <c r="B414" s="34"/>
      <c r="C414" s="281" t="str">
        <f>_xlfn.CONCAT(_xlfn.XLOOKUP("[S05_DefaultValues][212][InstallationCategory]",Submission!$O:$O,Submission!$H:$N,""))</f>
        <v/>
      </c>
      <c r="D414" s="350"/>
      <c r="E414" s="350"/>
      <c r="F414" s="350"/>
      <c r="G414" s="347"/>
      <c r="H414" s="123" t="str">
        <f>_xlfn.CONCAT(_xlfn.XLOOKUP("[S05_DefaultValues][212][FuelMaterialType]",Submission!$O:$O,Submission!$H:$N,""))</f>
        <v/>
      </c>
      <c r="I414" s="106" t="str">
        <f>_xlfn.CONCAT(_xlfn.XLOOKUP("[S05_DefaultValues][212][InstallationNumber]",Submission!$O:$O,Submission!$H:$N,""))</f>
        <v/>
      </c>
    </row>
    <row r="415" spans="1:9" ht="15.9" hidden="1" customHeight="1" outlineLevel="1" x14ac:dyDescent="0.3">
      <c r="A415" s="13"/>
      <c r="B415" s="34"/>
      <c r="C415" s="281" t="str">
        <f>_xlfn.CONCAT(_xlfn.XLOOKUP("[S05_DefaultValues][213][InstallationCategory]",Submission!$O:$O,Submission!$H:$N,""))</f>
        <v/>
      </c>
      <c r="D415" s="350"/>
      <c r="E415" s="350"/>
      <c r="F415" s="350"/>
      <c r="G415" s="347"/>
      <c r="H415" s="123" t="str">
        <f>_xlfn.CONCAT(_xlfn.XLOOKUP("[S05_DefaultValues][213][FuelMaterialType]",Submission!$O:$O,Submission!$H:$N,""))</f>
        <v/>
      </c>
      <c r="I415" s="106" t="str">
        <f>_xlfn.CONCAT(_xlfn.XLOOKUP("[S05_DefaultValues][213][InstallationNumber]",Submission!$O:$O,Submission!$H:$N,""))</f>
        <v/>
      </c>
    </row>
    <row r="416" spans="1:9" ht="15.9" hidden="1" customHeight="1" outlineLevel="1" x14ac:dyDescent="0.3">
      <c r="A416" s="13"/>
      <c r="B416" s="34"/>
      <c r="C416" s="281" t="str">
        <f>_xlfn.CONCAT(_xlfn.XLOOKUP("[S05_DefaultValues][214][InstallationCategory]",Submission!$O:$O,Submission!$H:$N,""))</f>
        <v/>
      </c>
      <c r="D416" s="350"/>
      <c r="E416" s="350"/>
      <c r="F416" s="350"/>
      <c r="G416" s="347"/>
      <c r="H416" s="123" t="str">
        <f>_xlfn.CONCAT(_xlfn.XLOOKUP("[S05_DefaultValues][214][FuelMaterialType]",Submission!$O:$O,Submission!$H:$N,""))</f>
        <v/>
      </c>
      <c r="I416" s="106" t="str">
        <f>_xlfn.CONCAT(_xlfn.XLOOKUP("[S05_DefaultValues][214][InstallationNumber]",Submission!$O:$O,Submission!$H:$N,""))</f>
        <v/>
      </c>
    </row>
    <row r="417" spans="1:9" ht="15.9" hidden="1" customHeight="1" outlineLevel="1" x14ac:dyDescent="0.3">
      <c r="A417" s="13"/>
      <c r="B417" s="34"/>
      <c r="C417" s="281" t="str">
        <f>_xlfn.CONCAT(_xlfn.XLOOKUP("[S05_DefaultValues][215][InstallationCategory]",Submission!$O:$O,Submission!$H:$N,""))</f>
        <v/>
      </c>
      <c r="D417" s="350"/>
      <c r="E417" s="350"/>
      <c r="F417" s="350"/>
      <c r="G417" s="347"/>
      <c r="H417" s="123" t="str">
        <f>_xlfn.CONCAT(_xlfn.XLOOKUP("[S05_DefaultValues][215][FuelMaterialType]",Submission!$O:$O,Submission!$H:$N,""))</f>
        <v/>
      </c>
      <c r="I417" s="106" t="str">
        <f>_xlfn.CONCAT(_xlfn.XLOOKUP("[S05_DefaultValues][215][InstallationNumber]",Submission!$O:$O,Submission!$H:$N,""))</f>
        <v/>
      </c>
    </row>
    <row r="418" spans="1:9" ht="15.9" hidden="1" customHeight="1" outlineLevel="1" x14ac:dyDescent="0.3">
      <c r="A418" s="13"/>
      <c r="B418" s="34"/>
      <c r="C418" s="281" t="str">
        <f>_xlfn.CONCAT(_xlfn.XLOOKUP("[S05_DefaultValues][216][InstallationCategory]",Submission!$O:$O,Submission!$H:$N,""))</f>
        <v/>
      </c>
      <c r="D418" s="350"/>
      <c r="E418" s="350"/>
      <c r="F418" s="350"/>
      <c r="G418" s="347"/>
      <c r="H418" s="123" t="str">
        <f>_xlfn.CONCAT(_xlfn.XLOOKUP("[S05_DefaultValues][216][FuelMaterialType]",Submission!$O:$O,Submission!$H:$N,""))</f>
        <v/>
      </c>
      <c r="I418" s="106" t="str">
        <f>_xlfn.CONCAT(_xlfn.XLOOKUP("[S05_DefaultValues][216][InstallationNumber]",Submission!$O:$O,Submission!$H:$N,""))</f>
        <v/>
      </c>
    </row>
    <row r="419" spans="1:9" ht="15.9" hidden="1" customHeight="1" outlineLevel="1" x14ac:dyDescent="0.3">
      <c r="A419" s="13"/>
      <c r="B419" s="34"/>
      <c r="C419" s="281" t="str">
        <f>_xlfn.CONCAT(_xlfn.XLOOKUP("[S05_DefaultValues][217][InstallationCategory]",Submission!$O:$O,Submission!$H:$N,""))</f>
        <v/>
      </c>
      <c r="D419" s="350"/>
      <c r="E419" s="350"/>
      <c r="F419" s="350"/>
      <c r="G419" s="347"/>
      <c r="H419" s="123" t="str">
        <f>_xlfn.CONCAT(_xlfn.XLOOKUP("[S05_DefaultValues][217][FuelMaterialType]",Submission!$O:$O,Submission!$H:$N,""))</f>
        <v/>
      </c>
      <c r="I419" s="106" t="str">
        <f>_xlfn.CONCAT(_xlfn.XLOOKUP("[S05_DefaultValues][217][InstallationNumber]",Submission!$O:$O,Submission!$H:$N,""))</f>
        <v/>
      </c>
    </row>
    <row r="420" spans="1:9" ht="15.9" hidden="1" customHeight="1" outlineLevel="1" x14ac:dyDescent="0.3">
      <c r="A420" s="13"/>
      <c r="B420" s="34"/>
      <c r="C420" s="281" t="str">
        <f>_xlfn.CONCAT(_xlfn.XLOOKUP("[S05_DefaultValues][218][InstallationCategory]",Submission!$O:$O,Submission!$H:$N,""))</f>
        <v/>
      </c>
      <c r="D420" s="350"/>
      <c r="E420" s="350"/>
      <c r="F420" s="350"/>
      <c r="G420" s="347"/>
      <c r="H420" s="123" t="str">
        <f>_xlfn.CONCAT(_xlfn.XLOOKUP("[S05_DefaultValues][218][FuelMaterialType]",Submission!$O:$O,Submission!$H:$N,""))</f>
        <v/>
      </c>
      <c r="I420" s="106" t="str">
        <f>_xlfn.CONCAT(_xlfn.XLOOKUP("[S05_DefaultValues][218][InstallationNumber]",Submission!$O:$O,Submission!$H:$N,""))</f>
        <v/>
      </c>
    </row>
    <row r="421" spans="1:9" ht="15.9" hidden="1" customHeight="1" outlineLevel="1" x14ac:dyDescent="0.3">
      <c r="A421" s="13"/>
      <c r="B421" s="34"/>
      <c r="C421" s="281" t="str">
        <f>_xlfn.CONCAT(_xlfn.XLOOKUP("[S05_DefaultValues][219][InstallationCategory]",Submission!$O:$O,Submission!$H:$N,""))</f>
        <v/>
      </c>
      <c r="D421" s="350"/>
      <c r="E421" s="350"/>
      <c r="F421" s="350"/>
      <c r="G421" s="347"/>
      <c r="H421" s="123" t="str">
        <f>_xlfn.CONCAT(_xlfn.XLOOKUP("[S05_DefaultValues][219][FuelMaterialType]",Submission!$O:$O,Submission!$H:$N,""))</f>
        <v/>
      </c>
      <c r="I421" s="106" t="str">
        <f>_xlfn.CONCAT(_xlfn.XLOOKUP("[S05_DefaultValues][219][InstallationNumber]",Submission!$O:$O,Submission!$H:$N,""))</f>
        <v/>
      </c>
    </row>
    <row r="422" spans="1:9" ht="15.9" hidden="1" customHeight="1" outlineLevel="1" x14ac:dyDescent="0.3">
      <c r="A422" s="13"/>
      <c r="B422" s="34"/>
      <c r="C422" s="281" t="str">
        <f>_xlfn.CONCAT(_xlfn.XLOOKUP("[S05_DefaultValues][220][InstallationCategory]",Submission!$O:$O,Submission!$H:$N,""))</f>
        <v/>
      </c>
      <c r="D422" s="350"/>
      <c r="E422" s="350"/>
      <c r="F422" s="350"/>
      <c r="G422" s="347"/>
      <c r="H422" s="123" t="str">
        <f>_xlfn.CONCAT(_xlfn.XLOOKUP("[S05_DefaultValues][220][FuelMaterialType]",Submission!$O:$O,Submission!$H:$N,""))</f>
        <v/>
      </c>
      <c r="I422" s="106" t="str">
        <f>_xlfn.CONCAT(_xlfn.XLOOKUP("[S05_DefaultValues][220][InstallationNumber]",Submission!$O:$O,Submission!$H:$N,""))</f>
        <v/>
      </c>
    </row>
    <row r="423" spans="1:9" ht="15.9" hidden="1" customHeight="1" outlineLevel="1" x14ac:dyDescent="0.3">
      <c r="A423" s="13"/>
      <c r="B423" s="34"/>
      <c r="C423" s="281" t="str">
        <f>_xlfn.CONCAT(_xlfn.XLOOKUP("[S05_DefaultValues][221][InstallationCategory]",Submission!$O:$O,Submission!$H:$N,""))</f>
        <v/>
      </c>
      <c r="D423" s="350"/>
      <c r="E423" s="350"/>
      <c r="F423" s="350"/>
      <c r="G423" s="347"/>
      <c r="H423" s="123" t="str">
        <f>_xlfn.CONCAT(_xlfn.XLOOKUP("[S05_DefaultValues][221][FuelMaterialType]",Submission!$O:$O,Submission!$H:$N,""))</f>
        <v/>
      </c>
      <c r="I423" s="106" t="str">
        <f>_xlfn.CONCAT(_xlfn.XLOOKUP("[S05_DefaultValues][221][InstallationNumber]",Submission!$O:$O,Submission!$H:$N,""))</f>
        <v/>
      </c>
    </row>
    <row r="424" spans="1:9" ht="15.9" hidden="1" customHeight="1" outlineLevel="1" x14ac:dyDescent="0.3">
      <c r="A424" s="13"/>
      <c r="B424" s="34"/>
      <c r="C424" s="281" t="str">
        <f>_xlfn.CONCAT(_xlfn.XLOOKUP("[S05_DefaultValues][222][InstallationCategory]",Submission!$O:$O,Submission!$H:$N,""))</f>
        <v/>
      </c>
      <c r="D424" s="350"/>
      <c r="E424" s="350"/>
      <c r="F424" s="350"/>
      <c r="G424" s="347"/>
      <c r="H424" s="123" t="str">
        <f>_xlfn.CONCAT(_xlfn.XLOOKUP("[S05_DefaultValues][222][FuelMaterialType]",Submission!$O:$O,Submission!$H:$N,""))</f>
        <v/>
      </c>
      <c r="I424" s="106" t="str">
        <f>_xlfn.CONCAT(_xlfn.XLOOKUP("[S05_DefaultValues][222][InstallationNumber]",Submission!$O:$O,Submission!$H:$N,""))</f>
        <v/>
      </c>
    </row>
    <row r="425" spans="1:9" ht="15.9" hidden="1" customHeight="1" outlineLevel="1" x14ac:dyDescent="0.3">
      <c r="A425" s="13"/>
      <c r="B425" s="34"/>
      <c r="C425" s="281" t="str">
        <f>_xlfn.CONCAT(_xlfn.XLOOKUP("[S05_DefaultValues][223][InstallationCategory]",Submission!$O:$O,Submission!$H:$N,""))</f>
        <v/>
      </c>
      <c r="D425" s="350"/>
      <c r="E425" s="350"/>
      <c r="F425" s="350"/>
      <c r="G425" s="347"/>
      <c r="H425" s="123" t="str">
        <f>_xlfn.CONCAT(_xlfn.XLOOKUP("[S05_DefaultValues][223][FuelMaterialType]",Submission!$O:$O,Submission!$H:$N,""))</f>
        <v/>
      </c>
      <c r="I425" s="106" t="str">
        <f>_xlfn.CONCAT(_xlfn.XLOOKUP("[S05_DefaultValues][223][InstallationNumber]",Submission!$O:$O,Submission!$H:$N,""))</f>
        <v/>
      </c>
    </row>
    <row r="426" spans="1:9" ht="15.9" hidden="1" customHeight="1" outlineLevel="1" x14ac:dyDescent="0.3">
      <c r="A426" s="13"/>
      <c r="B426" s="34"/>
      <c r="C426" s="281" t="str">
        <f>_xlfn.CONCAT(_xlfn.XLOOKUP("[S05_DefaultValues][224][InstallationCategory]",Submission!$O:$O,Submission!$H:$N,""))</f>
        <v/>
      </c>
      <c r="D426" s="350"/>
      <c r="E426" s="350"/>
      <c r="F426" s="350"/>
      <c r="G426" s="347"/>
      <c r="H426" s="123" t="str">
        <f>_xlfn.CONCAT(_xlfn.XLOOKUP("[S05_DefaultValues][224][FuelMaterialType]",Submission!$O:$O,Submission!$H:$N,""))</f>
        <v/>
      </c>
      <c r="I426" s="106" t="str">
        <f>_xlfn.CONCAT(_xlfn.XLOOKUP("[S05_DefaultValues][224][InstallationNumber]",Submission!$O:$O,Submission!$H:$N,""))</f>
        <v/>
      </c>
    </row>
    <row r="427" spans="1:9" ht="15.9" hidden="1" customHeight="1" outlineLevel="1" x14ac:dyDescent="0.3">
      <c r="A427" s="13"/>
      <c r="B427" s="34"/>
      <c r="C427" s="281" t="str">
        <f>_xlfn.CONCAT(_xlfn.XLOOKUP("[S05_DefaultValues][225][InstallationCategory]",Submission!$O:$O,Submission!$H:$N,""))</f>
        <v/>
      </c>
      <c r="D427" s="350"/>
      <c r="E427" s="350"/>
      <c r="F427" s="350"/>
      <c r="G427" s="347"/>
      <c r="H427" s="123" t="str">
        <f>_xlfn.CONCAT(_xlfn.XLOOKUP("[S05_DefaultValues][225][FuelMaterialType]",Submission!$O:$O,Submission!$H:$N,""))</f>
        <v/>
      </c>
      <c r="I427" s="106" t="str">
        <f>_xlfn.CONCAT(_xlfn.XLOOKUP("[S05_DefaultValues][225][InstallationNumber]",Submission!$O:$O,Submission!$H:$N,""))</f>
        <v/>
      </c>
    </row>
    <row r="428" spans="1:9" ht="15.9" hidden="1" customHeight="1" outlineLevel="1" x14ac:dyDescent="0.3">
      <c r="A428" s="13"/>
      <c r="B428" s="34"/>
      <c r="C428" s="281" t="str">
        <f>_xlfn.CONCAT(_xlfn.XLOOKUP("[S05_DefaultValues][226][InstallationCategory]",Submission!$O:$O,Submission!$H:$N,""))</f>
        <v/>
      </c>
      <c r="D428" s="350"/>
      <c r="E428" s="350"/>
      <c r="F428" s="350"/>
      <c r="G428" s="347"/>
      <c r="H428" s="123" t="str">
        <f>_xlfn.CONCAT(_xlfn.XLOOKUP("[S05_DefaultValues][226][FuelMaterialType]",Submission!$O:$O,Submission!$H:$N,""))</f>
        <v/>
      </c>
      <c r="I428" s="106" t="str">
        <f>_xlfn.CONCAT(_xlfn.XLOOKUP("[S05_DefaultValues][226][InstallationNumber]",Submission!$O:$O,Submission!$H:$N,""))</f>
        <v/>
      </c>
    </row>
    <row r="429" spans="1:9" ht="15.9" hidden="1" customHeight="1" outlineLevel="1" x14ac:dyDescent="0.3">
      <c r="A429" s="13"/>
      <c r="B429" s="34"/>
      <c r="C429" s="281" t="str">
        <f>_xlfn.CONCAT(_xlfn.XLOOKUP("[S05_DefaultValues][227][InstallationCategory]",Submission!$O:$O,Submission!$H:$N,""))</f>
        <v/>
      </c>
      <c r="D429" s="350"/>
      <c r="E429" s="350"/>
      <c r="F429" s="350"/>
      <c r="G429" s="347"/>
      <c r="H429" s="123" t="str">
        <f>_xlfn.CONCAT(_xlfn.XLOOKUP("[S05_DefaultValues][227][FuelMaterialType]",Submission!$O:$O,Submission!$H:$N,""))</f>
        <v/>
      </c>
      <c r="I429" s="106" t="str">
        <f>_xlfn.CONCAT(_xlfn.XLOOKUP("[S05_DefaultValues][227][InstallationNumber]",Submission!$O:$O,Submission!$H:$N,""))</f>
        <v/>
      </c>
    </row>
    <row r="430" spans="1:9" ht="15.9" hidden="1" customHeight="1" outlineLevel="1" x14ac:dyDescent="0.3">
      <c r="A430" s="13"/>
      <c r="B430" s="34"/>
      <c r="C430" s="281" t="str">
        <f>_xlfn.CONCAT(_xlfn.XLOOKUP("[S05_DefaultValues][228][InstallationCategory]",Submission!$O:$O,Submission!$H:$N,""))</f>
        <v/>
      </c>
      <c r="D430" s="350"/>
      <c r="E430" s="350"/>
      <c r="F430" s="350"/>
      <c r="G430" s="347"/>
      <c r="H430" s="123" t="str">
        <f>_xlfn.CONCAT(_xlfn.XLOOKUP("[S05_DefaultValues][228][FuelMaterialType]",Submission!$O:$O,Submission!$H:$N,""))</f>
        <v/>
      </c>
      <c r="I430" s="106" t="str">
        <f>_xlfn.CONCAT(_xlfn.XLOOKUP("[S05_DefaultValues][228][InstallationNumber]",Submission!$O:$O,Submission!$H:$N,""))</f>
        <v/>
      </c>
    </row>
    <row r="431" spans="1:9" ht="15.9" hidden="1" customHeight="1" outlineLevel="1" x14ac:dyDescent="0.3">
      <c r="A431" s="13"/>
      <c r="B431" s="34"/>
      <c r="C431" s="281" t="str">
        <f>_xlfn.CONCAT(_xlfn.XLOOKUP("[S05_DefaultValues][229][InstallationCategory]",Submission!$O:$O,Submission!$H:$N,""))</f>
        <v/>
      </c>
      <c r="D431" s="350"/>
      <c r="E431" s="350"/>
      <c r="F431" s="350"/>
      <c r="G431" s="347"/>
      <c r="H431" s="123" t="str">
        <f>_xlfn.CONCAT(_xlfn.XLOOKUP("[S05_DefaultValues][229][FuelMaterialType]",Submission!$O:$O,Submission!$H:$N,""))</f>
        <v/>
      </c>
      <c r="I431" s="106" t="str">
        <f>_xlfn.CONCAT(_xlfn.XLOOKUP("[S05_DefaultValues][229][InstallationNumber]",Submission!$O:$O,Submission!$H:$N,""))</f>
        <v/>
      </c>
    </row>
    <row r="432" spans="1:9" ht="15.9" hidden="1" customHeight="1" outlineLevel="1" x14ac:dyDescent="0.3">
      <c r="A432" s="13"/>
      <c r="B432" s="34"/>
      <c r="C432" s="281" t="str">
        <f>_xlfn.CONCAT(_xlfn.XLOOKUP("[S05_DefaultValues][230][InstallationCategory]",Submission!$O:$O,Submission!$H:$N,""))</f>
        <v/>
      </c>
      <c r="D432" s="350"/>
      <c r="E432" s="350"/>
      <c r="F432" s="350"/>
      <c r="G432" s="347"/>
      <c r="H432" s="123" t="str">
        <f>_xlfn.CONCAT(_xlfn.XLOOKUP("[S05_DefaultValues][230][FuelMaterialType]",Submission!$O:$O,Submission!$H:$N,""))</f>
        <v/>
      </c>
      <c r="I432" s="106" t="str">
        <f>_xlfn.CONCAT(_xlfn.XLOOKUP("[S05_DefaultValues][230][InstallationNumber]",Submission!$O:$O,Submission!$H:$N,""))</f>
        <v/>
      </c>
    </row>
    <row r="433" spans="1:9" ht="15.9" hidden="1" customHeight="1" outlineLevel="1" x14ac:dyDescent="0.3">
      <c r="A433" s="13"/>
      <c r="B433" s="34"/>
      <c r="C433" s="281" t="str">
        <f>_xlfn.CONCAT(_xlfn.XLOOKUP("[S05_DefaultValues][231][InstallationCategory]",Submission!$O:$O,Submission!$H:$N,""))</f>
        <v/>
      </c>
      <c r="D433" s="350"/>
      <c r="E433" s="350"/>
      <c r="F433" s="350"/>
      <c r="G433" s="347"/>
      <c r="H433" s="123" t="str">
        <f>_xlfn.CONCAT(_xlfn.XLOOKUP("[S05_DefaultValues][231][FuelMaterialType]",Submission!$O:$O,Submission!$H:$N,""))</f>
        <v/>
      </c>
      <c r="I433" s="106" t="str">
        <f>_xlfn.CONCAT(_xlfn.XLOOKUP("[S05_DefaultValues][231][InstallationNumber]",Submission!$O:$O,Submission!$H:$N,""))</f>
        <v/>
      </c>
    </row>
    <row r="434" spans="1:9" ht="15.9" hidden="1" customHeight="1" outlineLevel="1" x14ac:dyDescent="0.3">
      <c r="A434" s="13"/>
      <c r="B434" s="34"/>
      <c r="C434" s="281" t="str">
        <f>_xlfn.CONCAT(_xlfn.XLOOKUP("[S05_DefaultValues][232][InstallationCategory]",Submission!$O:$O,Submission!$H:$N,""))</f>
        <v/>
      </c>
      <c r="D434" s="350"/>
      <c r="E434" s="350"/>
      <c r="F434" s="350"/>
      <c r="G434" s="347"/>
      <c r="H434" s="123" t="str">
        <f>_xlfn.CONCAT(_xlfn.XLOOKUP("[S05_DefaultValues][232][FuelMaterialType]",Submission!$O:$O,Submission!$H:$N,""))</f>
        <v/>
      </c>
      <c r="I434" s="106" t="str">
        <f>_xlfn.CONCAT(_xlfn.XLOOKUP("[S05_DefaultValues][232][InstallationNumber]",Submission!$O:$O,Submission!$H:$N,""))</f>
        <v/>
      </c>
    </row>
    <row r="435" spans="1:9" ht="15.9" hidden="1" customHeight="1" outlineLevel="1" x14ac:dyDescent="0.3">
      <c r="A435" s="13"/>
      <c r="B435" s="34"/>
      <c r="C435" s="281" t="str">
        <f>_xlfn.CONCAT(_xlfn.XLOOKUP("[S05_DefaultValues][233][InstallationCategory]",Submission!$O:$O,Submission!$H:$N,""))</f>
        <v/>
      </c>
      <c r="D435" s="350"/>
      <c r="E435" s="350"/>
      <c r="F435" s="350"/>
      <c r="G435" s="347"/>
      <c r="H435" s="123" t="str">
        <f>_xlfn.CONCAT(_xlfn.XLOOKUP("[S05_DefaultValues][233][FuelMaterialType]",Submission!$O:$O,Submission!$H:$N,""))</f>
        <v/>
      </c>
      <c r="I435" s="106" t="str">
        <f>_xlfn.CONCAT(_xlfn.XLOOKUP("[S05_DefaultValues][233][InstallationNumber]",Submission!$O:$O,Submission!$H:$N,""))</f>
        <v/>
      </c>
    </row>
    <row r="436" spans="1:9" ht="15.9" hidden="1" customHeight="1" outlineLevel="1" x14ac:dyDescent="0.3">
      <c r="A436" s="13"/>
      <c r="B436" s="34"/>
      <c r="C436" s="281" t="str">
        <f>_xlfn.CONCAT(_xlfn.XLOOKUP("[S05_DefaultValues][234][InstallationCategory]",Submission!$O:$O,Submission!$H:$N,""))</f>
        <v/>
      </c>
      <c r="D436" s="350"/>
      <c r="E436" s="350"/>
      <c r="F436" s="350"/>
      <c r="G436" s="347"/>
      <c r="H436" s="123" t="str">
        <f>_xlfn.CONCAT(_xlfn.XLOOKUP("[S05_DefaultValues][234][FuelMaterialType]",Submission!$O:$O,Submission!$H:$N,""))</f>
        <v/>
      </c>
      <c r="I436" s="106" t="str">
        <f>_xlfn.CONCAT(_xlfn.XLOOKUP("[S05_DefaultValues][234][InstallationNumber]",Submission!$O:$O,Submission!$H:$N,""))</f>
        <v/>
      </c>
    </row>
    <row r="437" spans="1:9" ht="15.9" hidden="1" customHeight="1" outlineLevel="1" x14ac:dyDescent="0.3">
      <c r="A437" s="13"/>
      <c r="B437" s="34"/>
      <c r="C437" s="281" t="str">
        <f>_xlfn.CONCAT(_xlfn.XLOOKUP("[S05_DefaultValues][235][InstallationCategory]",Submission!$O:$O,Submission!$H:$N,""))</f>
        <v/>
      </c>
      <c r="D437" s="350"/>
      <c r="E437" s="350"/>
      <c r="F437" s="350"/>
      <c r="G437" s="347"/>
      <c r="H437" s="123" t="str">
        <f>_xlfn.CONCAT(_xlfn.XLOOKUP("[S05_DefaultValues][235][FuelMaterialType]",Submission!$O:$O,Submission!$H:$N,""))</f>
        <v/>
      </c>
      <c r="I437" s="106" t="str">
        <f>_xlfn.CONCAT(_xlfn.XLOOKUP("[S05_DefaultValues][235][InstallationNumber]",Submission!$O:$O,Submission!$H:$N,""))</f>
        <v/>
      </c>
    </row>
    <row r="438" spans="1:9" ht="15.9" hidden="1" customHeight="1" outlineLevel="1" x14ac:dyDescent="0.3">
      <c r="A438" s="13"/>
      <c r="B438" s="34"/>
      <c r="C438" s="281" t="str">
        <f>_xlfn.CONCAT(_xlfn.XLOOKUP("[S05_DefaultValues][236][InstallationCategory]",Submission!$O:$O,Submission!$H:$N,""))</f>
        <v/>
      </c>
      <c r="D438" s="350"/>
      <c r="E438" s="350"/>
      <c r="F438" s="350"/>
      <c r="G438" s="347"/>
      <c r="H438" s="123" t="str">
        <f>_xlfn.CONCAT(_xlfn.XLOOKUP("[S05_DefaultValues][236][FuelMaterialType]",Submission!$O:$O,Submission!$H:$N,""))</f>
        <v/>
      </c>
      <c r="I438" s="106" t="str">
        <f>_xlfn.CONCAT(_xlfn.XLOOKUP("[S05_DefaultValues][236][InstallationNumber]",Submission!$O:$O,Submission!$H:$N,""))</f>
        <v/>
      </c>
    </row>
    <row r="439" spans="1:9" ht="15.9" hidden="1" customHeight="1" outlineLevel="1" x14ac:dyDescent="0.3">
      <c r="A439" s="13"/>
      <c r="B439" s="34"/>
      <c r="C439" s="281" t="str">
        <f>_xlfn.CONCAT(_xlfn.XLOOKUP("[S05_DefaultValues][237][InstallationCategory]",Submission!$O:$O,Submission!$H:$N,""))</f>
        <v/>
      </c>
      <c r="D439" s="350"/>
      <c r="E439" s="350"/>
      <c r="F439" s="350"/>
      <c r="G439" s="347"/>
      <c r="H439" s="123" t="str">
        <f>_xlfn.CONCAT(_xlfn.XLOOKUP("[S05_DefaultValues][237][FuelMaterialType]",Submission!$O:$O,Submission!$H:$N,""))</f>
        <v/>
      </c>
      <c r="I439" s="106" t="str">
        <f>_xlfn.CONCAT(_xlfn.XLOOKUP("[S05_DefaultValues][237][InstallationNumber]",Submission!$O:$O,Submission!$H:$N,""))</f>
        <v/>
      </c>
    </row>
    <row r="440" spans="1:9" ht="15.9" hidden="1" customHeight="1" outlineLevel="1" x14ac:dyDescent="0.3">
      <c r="A440" s="13"/>
      <c r="B440" s="34"/>
      <c r="C440" s="281" t="str">
        <f>_xlfn.CONCAT(_xlfn.XLOOKUP("[S05_DefaultValues][238][InstallationCategory]",Submission!$O:$O,Submission!$H:$N,""))</f>
        <v/>
      </c>
      <c r="D440" s="350"/>
      <c r="E440" s="350"/>
      <c r="F440" s="350"/>
      <c r="G440" s="347"/>
      <c r="H440" s="123" t="str">
        <f>_xlfn.CONCAT(_xlfn.XLOOKUP("[S05_DefaultValues][238][FuelMaterialType]",Submission!$O:$O,Submission!$H:$N,""))</f>
        <v/>
      </c>
      <c r="I440" s="106" t="str">
        <f>_xlfn.CONCAT(_xlfn.XLOOKUP("[S05_DefaultValues][238][InstallationNumber]",Submission!$O:$O,Submission!$H:$N,""))</f>
        <v/>
      </c>
    </row>
    <row r="441" spans="1:9" ht="15.9" hidden="1" customHeight="1" outlineLevel="1" x14ac:dyDescent="0.3">
      <c r="A441" s="13"/>
      <c r="B441" s="34"/>
      <c r="C441" s="281" t="str">
        <f>_xlfn.CONCAT(_xlfn.XLOOKUP("[S05_DefaultValues][239][InstallationCategory]",Submission!$O:$O,Submission!$H:$N,""))</f>
        <v/>
      </c>
      <c r="D441" s="350"/>
      <c r="E441" s="350"/>
      <c r="F441" s="350"/>
      <c r="G441" s="347"/>
      <c r="H441" s="123" t="str">
        <f>_xlfn.CONCAT(_xlfn.XLOOKUP("[S05_DefaultValues][239][FuelMaterialType]",Submission!$O:$O,Submission!$H:$N,""))</f>
        <v/>
      </c>
      <c r="I441" s="106" t="str">
        <f>_xlfn.CONCAT(_xlfn.XLOOKUP("[S05_DefaultValues][239][InstallationNumber]",Submission!$O:$O,Submission!$H:$N,""))</f>
        <v/>
      </c>
    </row>
    <row r="442" spans="1:9" ht="15.9" hidden="1" customHeight="1" outlineLevel="1" x14ac:dyDescent="0.3">
      <c r="A442" s="13"/>
      <c r="B442" s="34"/>
      <c r="C442" s="281" t="str">
        <f>_xlfn.CONCAT(_xlfn.XLOOKUP("[S05_DefaultValues][240][InstallationCategory]",Submission!$O:$O,Submission!$H:$N,""))</f>
        <v/>
      </c>
      <c r="D442" s="350"/>
      <c r="E442" s="350"/>
      <c r="F442" s="350"/>
      <c r="G442" s="347"/>
      <c r="H442" s="123" t="str">
        <f>_xlfn.CONCAT(_xlfn.XLOOKUP("[S05_DefaultValues][240][FuelMaterialType]",Submission!$O:$O,Submission!$H:$N,""))</f>
        <v/>
      </c>
      <c r="I442" s="106" t="str">
        <f>_xlfn.CONCAT(_xlfn.XLOOKUP("[S05_DefaultValues][240][InstallationNumber]",Submission!$O:$O,Submission!$H:$N,""))</f>
        <v/>
      </c>
    </row>
    <row r="443" spans="1:9" ht="15.9" hidden="1" customHeight="1" outlineLevel="1" x14ac:dyDescent="0.3">
      <c r="A443" s="13"/>
      <c r="B443" s="34"/>
      <c r="C443" s="281" t="str">
        <f>_xlfn.CONCAT(_xlfn.XLOOKUP("[S05_DefaultValues][241][InstallationCategory]",Submission!$O:$O,Submission!$H:$N,""))</f>
        <v/>
      </c>
      <c r="D443" s="350"/>
      <c r="E443" s="350"/>
      <c r="F443" s="350"/>
      <c r="G443" s="347"/>
      <c r="H443" s="123" t="str">
        <f>_xlfn.CONCAT(_xlfn.XLOOKUP("[S05_DefaultValues][241][FuelMaterialType]",Submission!$O:$O,Submission!$H:$N,""))</f>
        <v/>
      </c>
      <c r="I443" s="106" t="str">
        <f>_xlfn.CONCAT(_xlfn.XLOOKUP("[S05_DefaultValues][241][InstallationNumber]",Submission!$O:$O,Submission!$H:$N,""))</f>
        <v/>
      </c>
    </row>
    <row r="444" spans="1:9" ht="15.9" hidden="1" customHeight="1" outlineLevel="1" x14ac:dyDescent="0.3">
      <c r="A444" s="13"/>
      <c r="B444" s="34"/>
      <c r="C444" s="281" t="str">
        <f>_xlfn.CONCAT(_xlfn.XLOOKUP("[S05_DefaultValues][242][InstallationCategory]",Submission!$O:$O,Submission!$H:$N,""))</f>
        <v/>
      </c>
      <c r="D444" s="350"/>
      <c r="E444" s="350"/>
      <c r="F444" s="350"/>
      <c r="G444" s="347"/>
      <c r="H444" s="123" t="str">
        <f>_xlfn.CONCAT(_xlfn.XLOOKUP("[S05_DefaultValues][242][FuelMaterialType]",Submission!$O:$O,Submission!$H:$N,""))</f>
        <v/>
      </c>
      <c r="I444" s="106" t="str">
        <f>_xlfn.CONCAT(_xlfn.XLOOKUP("[S05_DefaultValues][242][InstallationNumber]",Submission!$O:$O,Submission!$H:$N,""))</f>
        <v/>
      </c>
    </row>
    <row r="445" spans="1:9" ht="15.9" hidden="1" customHeight="1" outlineLevel="1" x14ac:dyDescent="0.3">
      <c r="A445" s="13"/>
      <c r="B445" s="34"/>
      <c r="C445" s="281" t="str">
        <f>_xlfn.CONCAT(_xlfn.XLOOKUP("[S05_DefaultValues][243][InstallationCategory]",Submission!$O:$O,Submission!$H:$N,""))</f>
        <v/>
      </c>
      <c r="D445" s="350"/>
      <c r="E445" s="350"/>
      <c r="F445" s="350"/>
      <c r="G445" s="347"/>
      <c r="H445" s="123" t="str">
        <f>_xlfn.CONCAT(_xlfn.XLOOKUP("[S05_DefaultValues][243][FuelMaterialType]",Submission!$O:$O,Submission!$H:$N,""))</f>
        <v/>
      </c>
      <c r="I445" s="106" t="str">
        <f>_xlfn.CONCAT(_xlfn.XLOOKUP("[S05_DefaultValues][243][InstallationNumber]",Submission!$O:$O,Submission!$H:$N,""))</f>
        <v/>
      </c>
    </row>
    <row r="446" spans="1:9" ht="15.9" hidden="1" customHeight="1" outlineLevel="1" x14ac:dyDescent="0.3">
      <c r="A446" s="13"/>
      <c r="B446" s="34"/>
      <c r="C446" s="281" t="str">
        <f>_xlfn.CONCAT(_xlfn.XLOOKUP("[S05_DefaultValues][244][InstallationCategory]",Submission!$O:$O,Submission!$H:$N,""))</f>
        <v/>
      </c>
      <c r="D446" s="350"/>
      <c r="E446" s="350"/>
      <c r="F446" s="350"/>
      <c r="G446" s="347"/>
      <c r="H446" s="123" t="str">
        <f>_xlfn.CONCAT(_xlfn.XLOOKUP("[S05_DefaultValues][244][FuelMaterialType]",Submission!$O:$O,Submission!$H:$N,""))</f>
        <v/>
      </c>
      <c r="I446" s="106" t="str">
        <f>_xlfn.CONCAT(_xlfn.XLOOKUP("[S05_DefaultValues][244][InstallationNumber]",Submission!$O:$O,Submission!$H:$N,""))</f>
        <v/>
      </c>
    </row>
    <row r="447" spans="1:9" ht="15.9" hidden="1" customHeight="1" outlineLevel="1" x14ac:dyDescent="0.3">
      <c r="A447" s="13"/>
      <c r="B447" s="34"/>
      <c r="C447" s="281" t="str">
        <f>_xlfn.CONCAT(_xlfn.XLOOKUP("[S05_DefaultValues][245][InstallationCategory]",Submission!$O:$O,Submission!$H:$N,""))</f>
        <v/>
      </c>
      <c r="D447" s="350"/>
      <c r="E447" s="350"/>
      <c r="F447" s="350"/>
      <c r="G447" s="347"/>
      <c r="H447" s="123" t="str">
        <f>_xlfn.CONCAT(_xlfn.XLOOKUP("[S05_DefaultValues][245][FuelMaterialType]",Submission!$O:$O,Submission!$H:$N,""))</f>
        <v/>
      </c>
      <c r="I447" s="106" t="str">
        <f>_xlfn.CONCAT(_xlfn.XLOOKUP("[S05_DefaultValues][245][InstallationNumber]",Submission!$O:$O,Submission!$H:$N,""))</f>
        <v/>
      </c>
    </row>
    <row r="448" spans="1:9" ht="15.9" hidden="1" customHeight="1" outlineLevel="1" x14ac:dyDescent="0.3">
      <c r="A448" s="13"/>
      <c r="B448" s="34"/>
      <c r="C448" s="281" t="str">
        <f>_xlfn.CONCAT(_xlfn.XLOOKUP("[S05_DefaultValues][246][InstallationCategory]",Submission!$O:$O,Submission!$H:$N,""))</f>
        <v/>
      </c>
      <c r="D448" s="350"/>
      <c r="E448" s="350"/>
      <c r="F448" s="350"/>
      <c r="G448" s="347"/>
      <c r="H448" s="123" t="str">
        <f>_xlfn.CONCAT(_xlfn.XLOOKUP("[S05_DefaultValues][246][FuelMaterialType]",Submission!$O:$O,Submission!$H:$N,""))</f>
        <v/>
      </c>
      <c r="I448" s="106" t="str">
        <f>_xlfn.CONCAT(_xlfn.XLOOKUP("[S05_DefaultValues][246][InstallationNumber]",Submission!$O:$O,Submission!$H:$N,""))</f>
        <v/>
      </c>
    </row>
    <row r="449" spans="1:9" ht="15.9" hidden="1" customHeight="1" outlineLevel="1" x14ac:dyDescent="0.3">
      <c r="A449" s="13"/>
      <c r="B449" s="34"/>
      <c r="C449" s="281" t="str">
        <f>_xlfn.CONCAT(_xlfn.XLOOKUP("[S05_DefaultValues][247][InstallationCategory]",Submission!$O:$O,Submission!$H:$N,""))</f>
        <v/>
      </c>
      <c r="D449" s="350"/>
      <c r="E449" s="350"/>
      <c r="F449" s="350"/>
      <c r="G449" s="347"/>
      <c r="H449" s="123" t="str">
        <f>_xlfn.CONCAT(_xlfn.XLOOKUP("[S05_DefaultValues][247][FuelMaterialType]",Submission!$O:$O,Submission!$H:$N,""))</f>
        <v/>
      </c>
      <c r="I449" s="106" t="str">
        <f>_xlfn.CONCAT(_xlfn.XLOOKUP("[S05_DefaultValues][247][InstallationNumber]",Submission!$O:$O,Submission!$H:$N,""))</f>
        <v/>
      </c>
    </row>
    <row r="450" spans="1:9" ht="15.9" hidden="1" customHeight="1" outlineLevel="1" x14ac:dyDescent="0.3">
      <c r="A450" s="13"/>
      <c r="B450" s="34"/>
      <c r="C450" s="281" t="str">
        <f>_xlfn.CONCAT(_xlfn.XLOOKUP("[S05_DefaultValues][248][InstallationCategory]",Submission!$O:$O,Submission!$H:$N,""))</f>
        <v/>
      </c>
      <c r="D450" s="350"/>
      <c r="E450" s="350"/>
      <c r="F450" s="350"/>
      <c r="G450" s="347"/>
      <c r="H450" s="123" t="str">
        <f>_xlfn.CONCAT(_xlfn.XLOOKUP("[S05_DefaultValues][248][FuelMaterialType]",Submission!$O:$O,Submission!$H:$N,""))</f>
        <v/>
      </c>
      <c r="I450" s="106" t="str">
        <f>_xlfn.CONCAT(_xlfn.XLOOKUP("[S05_DefaultValues][248][InstallationNumber]",Submission!$O:$O,Submission!$H:$N,""))</f>
        <v/>
      </c>
    </row>
    <row r="451" spans="1:9" ht="15.9" hidden="1" customHeight="1" outlineLevel="1" x14ac:dyDescent="0.3">
      <c r="A451" s="13"/>
      <c r="B451" s="34"/>
      <c r="C451" s="281" t="str">
        <f>_xlfn.CONCAT(_xlfn.XLOOKUP("[S05_DefaultValues][249][InstallationCategory]",Submission!$O:$O,Submission!$H:$N,""))</f>
        <v/>
      </c>
      <c r="D451" s="350"/>
      <c r="E451" s="350"/>
      <c r="F451" s="350"/>
      <c r="G451" s="347"/>
      <c r="H451" s="123" t="str">
        <f>_xlfn.CONCAT(_xlfn.XLOOKUP("[S05_DefaultValues][249][FuelMaterialType]",Submission!$O:$O,Submission!$H:$N,""))</f>
        <v/>
      </c>
      <c r="I451" s="106" t="str">
        <f>_xlfn.CONCAT(_xlfn.XLOOKUP("[S05_DefaultValues][249][InstallationNumber]",Submission!$O:$O,Submission!$H:$N,""))</f>
        <v/>
      </c>
    </row>
    <row r="452" spans="1:9" ht="15.9" hidden="1" customHeight="1" outlineLevel="1" x14ac:dyDescent="0.3">
      <c r="A452" s="13"/>
      <c r="B452" s="34"/>
      <c r="C452" s="281" t="str">
        <f>_xlfn.CONCAT(_xlfn.XLOOKUP("[S05_DefaultValues][250][InstallationCategory]",Submission!$O:$O,Submission!$H:$N,""))</f>
        <v/>
      </c>
      <c r="D452" s="350"/>
      <c r="E452" s="350"/>
      <c r="F452" s="350"/>
      <c r="G452" s="347"/>
      <c r="H452" s="123" t="str">
        <f>_xlfn.CONCAT(_xlfn.XLOOKUP("[S05_DefaultValues][250][FuelMaterialType]",Submission!$O:$O,Submission!$H:$N,""))</f>
        <v/>
      </c>
      <c r="I452" s="106" t="str">
        <f>_xlfn.CONCAT(_xlfn.XLOOKUP("[S05_DefaultValues][250][InstallationNumber]",Submission!$O:$O,Submission!$H:$N,""))</f>
        <v/>
      </c>
    </row>
    <row r="453" spans="1:9" ht="15.9" hidden="1" customHeight="1" outlineLevel="1" x14ac:dyDescent="0.3">
      <c r="A453" s="13"/>
      <c r="B453" s="34"/>
      <c r="C453" s="281" t="str">
        <f>_xlfn.CONCAT(_xlfn.XLOOKUP("[S05_DefaultValues][251][InstallationCategory]",Submission!$O:$O,Submission!$H:$N,""))</f>
        <v/>
      </c>
      <c r="D453" s="350"/>
      <c r="E453" s="350"/>
      <c r="F453" s="350"/>
      <c r="G453" s="347"/>
      <c r="H453" s="123" t="str">
        <f>_xlfn.CONCAT(_xlfn.XLOOKUP("[S05_DefaultValues][251][FuelMaterialType]",Submission!$O:$O,Submission!$H:$N,""))</f>
        <v/>
      </c>
      <c r="I453" s="106" t="str">
        <f>_xlfn.CONCAT(_xlfn.XLOOKUP("[S05_DefaultValues][251][InstallationNumber]",Submission!$O:$O,Submission!$H:$N,""))</f>
        <v/>
      </c>
    </row>
    <row r="454" spans="1:9" ht="15.9" hidden="1" customHeight="1" outlineLevel="1" x14ac:dyDescent="0.3">
      <c r="A454" s="13"/>
      <c r="B454" s="34"/>
      <c r="C454" s="281" t="str">
        <f>_xlfn.CONCAT(_xlfn.XLOOKUP("[S05_DefaultValues][252][InstallationCategory]",Submission!$O:$O,Submission!$H:$N,""))</f>
        <v/>
      </c>
      <c r="D454" s="350"/>
      <c r="E454" s="350"/>
      <c r="F454" s="350"/>
      <c r="G454" s="347"/>
      <c r="H454" s="123" t="str">
        <f>_xlfn.CONCAT(_xlfn.XLOOKUP("[S05_DefaultValues][252][FuelMaterialType]",Submission!$O:$O,Submission!$H:$N,""))</f>
        <v/>
      </c>
      <c r="I454" s="106" t="str">
        <f>_xlfn.CONCAT(_xlfn.XLOOKUP("[S05_DefaultValues][252][InstallationNumber]",Submission!$O:$O,Submission!$H:$N,""))</f>
        <v/>
      </c>
    </row>
    <row r="455" spans="1:9" ht="15.9" hidden="1" customHeight="1" outlineLevel="1" x14ac:dyDescent="0.3">
      <c r="A455" s="13"/>
      <c r="B455" s="34"/>
      <c r="C455" s="281" t="str">
        <f>_xlfn.CONCAT(_xlfn.XLOOKUP("[S05_DefaultValues][253][InstallationCategory]",Submission!$O:$O,Submission!$H:$N,""))</f>
        <v/>
      </c>
      <c r="D455" s="350"/>
      <c r="E455" s="350"/>
      <c r="F455" s="350"/>
      <c r="G455" s="347"/>
      <c r="H455" s="123" t="str">
        <f>_xlfn.CONCAT(_xlfn.XLOOKUP("[S05_DefaultValues][253][FuelMaterialType]",Submission!$O:$O,Submission!$H:$N,""))</f>
        <v/>
      </c>
      <c r="I455" s="106" t="str">
        <f>_xlfn.CONCAT(_xlfn.XLOOKUP("[S05_DefaultValues][253][InstallationNumber]",Submission!$O:$O,Submission!$H:$N,""))</f>
        <v/>
      </c>
    </row>
    <row r="456" spans="1:9" ht="15.9" hidden="1" customHeight="1" outlineLevel="1" x14ac:dyDescent="0.3">
      <c r="A456" s="13"/>
      <c r="B456" s="34"/>
      <c r="C456" s="281" t="str">
        <f>_xlfn.CONCAT(_xlfn.XLOOKUP("[S05_DefaultValues][254][InstallationCategory]",Submission!$O:$O,Submission!$H:$N,""))</f>
        <v/>
      </c>
      <c r="D456" s="350"/>
      <c r="E456" s="350"/>
      <c r="F456" s="350"/>
      <c r="G456" s="347"/>
      <c r="H456" s="123" t="str">
        <f>_xlfn.CONCAT(_xlfn.XLOOKUP("[S05_DefaultValues][254][FuelMaterialType]",Submission!$O:$O,Submission!$H:$N,""))</f>
        <v/>
      </c>
      <c r="I456" s="106" t="str">
        <f>_xlfn.CONCAT(_xlfn.XLOOKUP("[S05_DefaultValues][254][InstallationNumber]",Submission!$O:$O,Submission!$H:$N,""))</f>
        <v/>
      </c>
    </row>
    <row r="457" spans="1:9" ht="15.9" hidden="1" customHeight="1" outlineLevel="1" x14ac:dyDescent="0.3">
      <c r="A457" s="13"/>
      <c r="B457" s="34"/>
      <c r="C457" s="281" t="str">
        <f>_xlfn.CONCAT(_xlfn.XLOOKUP("[S05_DefaultValues][255][InstallationCategory]",Submission!$O:$O,Submission!$H:$N,""))</f>
        <v/>
      </c>
      <c r="D457" s="350"/>
      <c r="E457" s="350"/>
      <c r="F457" s="350"/>
      <c r="G457" s="347"/>
      <c r="H457" s="123" t="str">
        <f>_xlfn.CONCAT(_xlfn.XLOOKUP("[S05_DefaultValues][255][FuelMaterialType]",Submission!$O:$O,Submission!$H:$N,""))</f>
        <v/>
      </c>
      <c r="I457" s="106" t="str">
        <f>_xlfn.CONCAT(_xlfn.XLOOKUP("[S05_DefaultValues][255][InstallationNumber]",Submission!$O:$O,Submission!$H:$N,""))</f>
        <v/>
      </c>
    </row>
    <row r="458" spans="1:9" ht="15.9" hidden="1" customHeight="1" outlineLevel="1" x14ac:dyDescent="0.3">
      <c r="A458" s="13"/>
      <c r="B458" s="34"/>
      <c r="C458" s="281" t="str">
        <f>_xlfn.CONCAT(_xlfn.XLOOKUP("[S05_DefaultValues][256][InstallationCategory]",Submission!$O:$O,Submission!$H:$N,""))</f>
        <v/>
      </c>
      <c r="D458" s="350"/>
      <c r="E458" s="350"/>
      <c r="F458" s="350"/>
      <c r="G458" s="347"/>
      <c r="H458" s="123" t="str">
        <f>_xlfn.CONCAT(_xlfn.XLOOKUP("[S05_DefaultValues][256][FuelMaterialType]",Submission!$O:$O,Submission!$H:$N,""))</f>
        <v/>
      </c>
      <c r="I458" s="106" t="str">
        <f>_xlfn.CONCAT(_xlfn.XLOOKUP("[S05_DefaultValues][256][InstallationNumber]",Submission!$O:$O,Submission!$H:$N,""))</f>
        <v/>
      </c>
    </row>
    <row r="459" spans="1:9" ht="15.9" hidden="1" customHeight="1" outlineLevel="1" x14ac:dyDescent="0.3">
      <c r="A459" s="13"/>
      <c r="B459" s="34"/>
      <c r="C459" s="281" t="str">
        <f>_xlfn.CONCAT(_xlfn.XLOOKUP("[S05_DefaultValues][257][InstallationCategory]",Submission!$O:$O,Submission!$H:$N,""))</f>
        <v/>
      </c>
      <c r="D459" s="350"/>
      <c r="E459" s="350"/>
      <c r="F459" s="350"/>
      <c r="G459" s="347"/>
      <c r="H459" s="123" t="str">
        <f>_xlfn.CONCAT(_xlfn.XLOOKUP("[S05_DefaultValues][257][FuelMaterialType]",Submission!$O:$O,Submission!$H:$N,""))</f>
        <v/>
      </c>
      <c r="I459" s="106" t="str">
        <f>_xlfn.CONCAT(_xlfn.XLOOKUP("[S05_DefaultValues][257][InstallationNumber]",Submission!$O:$O,Submission!$H:$N,""))</f>
        <v/>
      </c>
    </row>
    <row r="460" spans="1:9" ht="15.9" hidden="1" customHeight="1" outlineLevel="1" x14ac:dyDescent="0.3">
      <c r="A460" s="13"/>
      <c r="B460" s="34"/>
      <c r="C460" s="281" t="str">
        <f>_xlfn.CONCAT(_xlfn.XLOOKUP("[S05_DefaultValues][258][InstallationCategory]",Submission!$O:$O,Submission!$H:$N,""))</f>
        <v/>
      </c>
      <c r="D460" s="350"/>
      <c r="E460" s="350"/>
      <c r="F460" s="350"/>
      <c r="G460" s="347"/>
      <c r="H460" s="123" t="str">
        <f>_xlfn.CONCAT(_xlfn.XLOOKUP("[S05_DefaultValues][258][FuelMaterialType]",Submission!$O:$O,Submission!$H:$N,""))</f>
        <v/>
      </c>
      <c r="I460" s="106" t="str">
        <f>_xlfn.CONCAT(_xlfn.XLOOKUP("[S05_DefaultValues][258][InstallationNumber]",Submission!$O:$O,Submission!$H:$N,""))</f>
        <v/>
      </c>
    </row>
    <row r="461" spans="1:9" ht="15.9" hidden="1" customHeight="1" outlineLevel="1" x14ac:dyDescent="0.3">
      <c r="A461" s="13"/>
      <c r="B461" s="34"/>
      <c r="C461" s="281" t="str">
        <f>_xlfn.CONCAT(_xlfn.XLOOKUP("[S05_DefaultValues][259][InstallationCategory]",Submission!$O:$O,Submission!$H:$N,""))</f>
        <v/>
      </c>
      <c r="D461" s="350"/>
      <c r="E461" s="350"/>
      <c r="F461" s="350"/>
      <c r="G461" s="347"/>
      <c r="H461" s="123" t="str">
        <f>_xlfn.CONCAT(_xlfn.XLOOKUP("[S05_DefaultValues][259][FuelMaterialType]",Submission!$O:$O,Submission!$H:$N,""))</f>
        <v/>
      </c>
      <c r="I461" s="106" t="str">
        <f>_xlfn.CONCAT(_xlfn.XLOOKUP("[S05_DefaultValues][259][InstallationNumber]",Submission!$O:$O,Submission!$H:$N,""))</f>
        <v/>
      </c>
    </row>
    <row r="462" spans="1:9" ht="15.9" hidden="1" customHeight="1" outlineLevel="1" x14ac:dyDescent="0.3">
      <c r="A462" s="13"/>
      <c r="B462" s="34"/>
      <c r="C462" s="281" t="str">
        <f>_xlfn.CONCAT(_xlfn.XLOOKUP("[S05_DefaultValues][260][InstallationCategory]",Submission!$O:$O,Submission!$H:$N,""))</f>
        <v/>
      </c>
      <c r="D462" s="350"/>
      <c r="E462" s="350"/>
      <c r="F462" s="350"/>
      <c r="G462" s="347"/>
      <c r="H462" s="123" t="str">
        <f>_xlfn.CONCAT(_xlfn.XLOOKUP("[S05_DefaultValues][260][FuelMaterialType]",Submission!$O:$O,Submission!$H:$N,""))</f>
        <v/>
      </c>
      <c r="I462" s="106" t="str">
        <f>_xlfn.CONCAT(_xlfn.XLOOKUP("[S05_DefaultValues][260][InstallationNumber]",Submission!$O:$O,Submission!$H:$N,""))</f>
        <v/>
      </c>
    </row>
    <row r="463" spans="1:9" ht="15.9" hidden="1" customHeight="1" outlineLevel="1" x14ac:dyDescent="0.3">
      <c r="A463" s="13"/>
      <c r="B463" s="34"/>
      <c r="C463" s="281" t="str">
        <f>_xlfn.CONCAT(_xlfn.XLOOKUP("[S05_DefaultValues][261][InstallationCategory]",Submission!$O:$O,Submission!$H:$N,""))</f>
        <v/>
      </c>
      <c r="D463" s="350"/>
      <c r="E463" s="350"/>
      <c r="F463" s="350"/>
      <c r="G463" s="347"/>
      <c r="H463" s="123" t="str">
        <f>_xlfn.CONCAT(_xlfn.XLOOKUP("[S05_DefaultValues][261][FuelMaterialType]",Submission!$O:$O,Submission!$H:$N,""))</f>
        <v/>
      </c>
      <c r="I463" s="106" t="str">
        <f>_xlfn.CONCAT(_xlfn.XLOOKUP("[S05_DefaultValues][261][InstallationNumber]",Submission!$O:$O,Submission!$H:$N,""))</f>
        <v/>
      </c>
    </row>
    <row r="464" spans="1:9" ht="15.9" hidden="1" customHeight="1" outlineLevel="1" x14ac:dyDescent="0.3">
      <c r="A464" s="13"/>
      <c r="B464" s="34"/>
      <c r="C464" s="281" t="str">
        <f>_xlfn.CONCAT(_xlfn.XLOOKUP("[S05_DefaultValues][262][InstallationCategory]",Submission!$O:$O,Submission!$H:$N,""))</f>
        <v/>
      </c>
      <c r="D464" s="350"/>
      <c r="E464" s="350"/>
      <c r="F464" s="350"/>
      <c r="G464" s="347"/>
      <c r="H464" s="123" t="str">
        <f>_xlfn.CONCAT(_xlfn.XLOOKUP("[S05_DefaultValues][262][FuelMaterialType]",Submission!$O:$O,Submission!$H:$N,""))</f>
        <v/>
      </c>
      <c r="I464" s="106" t="str">
        <f>_xlfn.CONCAT(_xlfn.XLOOKUP("[S05_DefaultValues][262][InstallationNumber]",Submission!$O:$O,Submission!$H:$N,""))</f>
        <v/>
      </c>
    </row>
    <row r="465" spans="1:9" ht="15.9" hidden="1" customHeight="1" outlineLevel="1" x14ac:dyDescent="0.3">
      <c r="A465" s="13"/>
      <c r="B465" s="34"/>
      <c r="C465" s="281" t="str">
        <f>_xlfn.CONCAT(_xlfn.XLOOKUP("[S05_DefaultValues][263][InstallationCategory]",Submission!$O:$O,Submission!$H:$N,""))</f>
        <v/>
      </c>
      <c r="D465" s="350"/>
      <c r="E465" s="350"/>
      <c r="F465" s="350"/>
      <c r="G465" s="347"/>
      <c r="H465" s="123" t="str">
        <f>_xlfn.CONCAT(_xlfn.XLOOKUP("[S05_DefaultValues][263][FuelMaterialType]",Submission!$O:$O,Submission!$H:$N,""))</f>
        <v/>
      </c>
      <c r="I465" s="106" t="str">
        <f>_xlfn.CONCAT(_xlfn.XLOOKUP("[S05_DefaultValues][263][InstallationNumber]",Submission!$O:$O,Submission!$H:$N,""))</f>
        <v/>
      </c>
    </row>
    <row r="466" spans="1:9" ht="15.9" hidden="1" customHeight="1" outlineLevel="1" x14ac:dyDescent="0.3">
      <c r="A466" s="13"/>
      <c r="B466" s="34"/>
      <c r="C466" s="281" t="str">
        <f>_xlfn.CONCAT(_xlfn.XLOOKUP("[S05_DefaultValues][264][InstallationCategory]",Submission!$O:$O,Submission!$H:$N,""))</f>
        <v/>
      </c>
      <c r="D466" s="350"/>
      <c r="E466" s="350"/>
      <c r="F466" s="350"/>
      <c r="G466" s="347"/>
      <c r="H466" s="123" t="str">
        <f>_xlfn.CONCAT(_xlfn.XLOOKUP("[S05_DefaultValues][264][FuelMaterialType]",Submission!$O:$O,Submission!$H:$N,""))</f>
        <v/>
      </c>
      <c r="I466" s="106" t="str">
        <f>_xlfn.CONCAT(_xlfn.XLOOKUP("[S05_DefaultValues][264][InstallationNumber]",Submission!$O:$O,Submission!$H:$N,""))</f>
        <v/>
      </c>
    </row>
    <row r="467" spans="1:9" ht="15.9" hidden="1" customHeight="1" outlineLevel="1" x14ac:dyDescent="0.3">
      <c r="A467" s="13"/>
      <c r="B467" s="34"/>
      <c r="C467" s="281" t="str">
        <f>_xlfn.CONCAT(_xlfn.XLOOKUP("[S05_DefaultValues][265][InstallationCategory]",Submission!$O:$O,Submission!$H:$N,""))</f>
        <v/>
      </c>
      <c r="D467" s="350"/>
      <c r="E467" s="350"/>
      <c r="F467" s="350"/>
      <c r="G467" s="347"/>
      <c r="H467" s="123" t="str">
        <f>_xlfn.CONCAT(_xlfn.XLOOKUP("[S05_DefaultValues][265][FuelMaterialType]",Submission!$O:$O,Submission!$H:$N,""))</f>
        <v/>
      </c>
      <c r="I467" s="106" t="str">
        <f>_xlfn.CONCAT(_xlfn.XLOOKUP("[S05_DefaultValues][265][InstallationNumber]",Submission!$O:$O,Submission!$H:$N,""))</f>
        <v/>
      </c>
    </row>
    <row r="468" spans="1:9" ht="15.9" hidden="1" customHeight="1" outlineLevel="1" x14ac:dyDescent="0.3">
      <c r="A468" s="13"/>
      <c r="B468" s="34"/>
      <c r="C468" s="281" t="str">
        <f>_xlfn.CONCAT(_xlfn.XLOOKUP("[S05_DefaultValues][266][InstallationCategory]",Submission!$O:$O,Submission!$H:$N,""))</f>
        <v/>
      </c>
      <c r="D468" s="350"/>
      <c r="E468" s="350"/>
      <c r="F468" s="350"/>
      <c r="G468" s="347"/>
      <c r="H468" s="123" t="str">
        <f>_xlfn.CONCAT(_xlfn.XLOOKUP("[S05_DefaultValues][266][FuelMaterialType]",Submission!$O:$O,Submission!$H:$N,""))</f>
        <v/>
      </c>
      <c r="I468" s="106" t="str">
        <f>_xlfn.CONCAT(_xlfn.XLOOKUP("[S05_DefaultValues][266][InstallationNumber]",Submission!$O:$O,Submission!$H:$N,""))</f>
        <v/>
      </c>
    </row>
    <row r="469" spans="1:9" ht="15.9" hidden="1" customHeight="1" outlineLevel="1" x14ac:dyDescent="0.3">
      <c r="A469" s="13"/>
      <c r="B469" s="34"/>
      <c r="C469" s="281" t="str">
        <f>_xlfn.CONCAT(_xlfn.XLOOKUP("[S05_DefaultValues][267][InstallationCategory]",Submission!$O:$O,Submission!$H:$N,""))</f>
        <v/>
      </c>
      <c r="D469" s="350"/>
      <c r="E469" s="350"/>
      <c r="F469" s="350"/>
      <c r="G469" s="347"/>
      <c r="H469" s="123" t="str">
        <f>_xlfn.CONCAT(_xlfn.XLOOKUP("[S05_DefaultValues][267][FuelMaterialType]",Submission!$O:$O,Submission!$H:$N,""))</f>
        <v/>
      </c>
      <c r="I469" s="106" t="str">
        <f>_xlfn.CONCAT(_xlfn.XLOOKUP("[S05_DefaultValues][267][InstallationNumber]",Submission!$O:$O,Submission!$H:$N,""))</f>
        <v/>
      </c>
    </row>
    <row r="470" spans="1:9" ht="15.9" hidden="1" customHeight="1" outlineLevel="1" x14ac:dyDescent="0.3">
      <c r="A470" s="13"/>
      <c r="B470" s="34"/>
      <c r="C470" s="281" t="str">
        <f>_xlfn.CONCAT(_xlfn.XLOOKUP("[S05_DefaultValues][268][InstallationCategory]",Submission!$O:$O,Submission!$H:$N,""))</f>
        <v/>
      </c>
      <c r="D470" s="350"/>
      <c r="E470" s="350"/>
      <c r="F470" s="350"/>
      <c r="G470" s="347"/>
      <c r="H470" s="123" t="str">
        <f>_xlfn.CONCAT(_xlfn.XLOOKUP("[S05_DefaultValues][268][FuelMaterialType]",Submission!$O:$O,Submission!$H:$N,""))</f>
        <v/>
      </c>
      <c r="I470" s="106" t="str">
        <f>_xlfn.CONCAT(_xlfn.XLOOKUP("[S05_DefaultValues][268][InstallationNumber]",Submission!$O:$O,Submission!$H:$N,""))</f>
        <v/>
      </c>
    </row>
    <row r="471" spans="1:9" ht="15.9" hidden="1" customHeight="1" outlineLevel="1" x14ac:dyDescent="0.3">
      <c r="A471" s="13"/>
      <c r="B471" s="34"/>
      <c r="C471" s="281" t="str">
        <f>_xlfn.CONCAT(_xlfn.XLOOKUP("[S05_DefaultValues][269][InstallationCategory]",Submission!$O:$O,Submission!$H:$N,""))</f>
        <v/>
      </c>
      <c r="D471" s="350"/>
      <c r="E471" s="350"/>
      <c r="F471" s="350"/>
      <c r="G471" s="347"/>
      <c r="H471" s="123" t="str">
        <f>_xlfn.CONCAT(_xlfn.XLOOKUP("[S05_DefaultValues][269][FuelMaterialType]",Submission!$O:$O,Submission!$H:$N,""))</f>
        <v/>
      </c>
      <c r="I471" s="106" t="str">
        <f>_xlfn.CONCAT(_xlfn.XLOOKUP("[S05_DefaultValues][269][InstallationNumber]",Submission!$O:$O,Submission!$H:$N,""))</f>
        <v/>
      </c>
    </row>
    <row r="472" spans="1:9" ht="15.9" hidden="1" customHeight="1" outlineLevel="1" x14ac:dyDescent="0.3">
      <c r="A472" s="13"/>
      <c r="B472" s="34"/>
      <c r="C472" s="281" t="str">
        <f>_xlfn.CONCAT(_xlfn.XLOOKUP("[S05_DefaultValues][270][InstallationCategory]",Submission!$O:$O,Submission!$H:$N,""))</f>
        <v/>
      </c>
      <c r="D472" s="350"/>
      <c r="E472" s="350"/>
      <c r="F472" s="350"/>
      <c r="G472" s="347"/>
      <c r="H472" s="123" t="str">
        <f>_xlfn.CONCAT(_xlfn.XLOOKUP("[S05_DefaultValues][270][FuelMaterialType]",Submission!$O:$O,Submission!$H:$N,""))</f>
        <v/>
      </c>
      <c r="I472" s="106" t="str">
        <f>_xlfn.CONCAT(_xlfn.XLOOKUP("[S05_DefaultValues][270][InstallationNumber]",Submission!$O:$O,Submission!$H:$N,""))</f>
        <v/>
      </c>
    </row>
    <row r="473" spans="1:9" ht="15.9" hidden="1" customHeight="1" outlineLevel="1" x14ac:dyDescent="0.3">
      <c r="A473" s="13"/>
      <c r="B473" s="34"/>
      <c r="C473" s="281" t="str">
        <f>_xlfn.CONCAT(_xlfn.XLOOKUP("[S05_DefaultValues][271][InstallationCategory]",Submission!$O:$O,Submission!$H:$N,""))</f>
        <v/>
      </c>
      <c r="D473" s="350"/>
      <c r="E473" s="350"/>
      <c r="F473" s="350"/>
      <c r="G473" s="347"/>
      <c r="H473" s="123" t="str">
        <f>_xlfn.CONCAT(_xlfn.XLOOKUP("[S05_DefaultValues][271][FuelMaterialType]",Submission!$O:$O,Submission!$H:$N,""))</f>
        <v/>
      </c>
      <c r="I473" s="106" t="str">
        <f>_xlfn.CONCAT(_xlfn.XLOOKUP("[S05_DefaultValues][271][InstallationNumber]",Submission!$O:$O,Submission!$H:$N,""))</f>
        <v/>
      </c>
    </row>
    <row r="474" spans="1:9" ht="15.9" hidden="1" customHeight="1" outlineLevel="1" x14ac:dyDescent="0.3">
      <c r="A474" s="13"/>
      <c r="B474" s="34"/>
      <c r="C474" s="281" t="str">
        <f>_xlfn.CONCAT(_xlfn.XLOOKUP("[S05_DefaultValues][272][InstallationCategory]",Submission!$O:$O,Submission!$H:$N,""))</f>
        <v/>
      </c>
      <c r="D474" s="350"/>
      <c r="E474" s="350"/>
      <c r="F474" s="350"/>
      <c r="G474" s="347"/>
      <c r="H474" s="123" t="str">
        <f>_xlfn.CONCAT(_xlfn.XLOOKUP("[S05_DefaultValues][272][FuelMaterialType]",Submission!$O:$O,Submission!$H:$N,""))</f>
        <v/>
      </c>
      <c r="I474" s="106" t="str">
        <f>_xlfn.CONCAT(_xlfn.XLOOKUP("[S05_DefaultValues][272][InstallationNumber]",Submission!$O:$O,Submission!$H:$N,""))</f>
        <v/>
      </c>
    </row>
    <row r="475" spans="1:9" ht="15.9" hidden="1" customHeight="1" outlineLevel="1" x14ac:dyDescent="0.3">
      <c r="A475" s="13"/>
      <c r="B475" s="34"/>
      <c r="C475" s="281" t="str">
        <f>_xlfn.CONCAT(_xlfn.XLOOKUP("[S05_DefaultValues][273][InstallationCategory]",Submission!$O:$O,Submission!$H:$N,""))</f>
        <v/>
      </c>
      <c r="D475" s="350"/>
      <c r="E475" s="350"/>
      <c r="F475" s="350"/>
      <c r="G475" s="347"/>
      <c r="H475" s="123" t="str">
        <f>_xlfn.CONCAT(_xlfn.XLOOKUP("[S05_DefaultValues][273][FuelMaterialType]",Submission!$O:$O,Submission!$H:$N,""))</f>
        <v/>
      </c>
      <c r="I475" s="106" t="str">
        <f>_xlfn.CONCAT(_xlfn.XLOOKUP("[S05_DefaultValues][273][InstallationNumber]",Submission!$O:$O,Submission!$H:$N,""))</f>
        <v/>
      </c>
    </row>
    <row r="476" spans="1:9" ht="15.9" hidden="1" customHeight="1" outlineLevel="1" x14ac:dyDescent="0.3">
      <c r="A476" s="13"/>
      <c r="B476" s="34"/>
      <c r="C476" s="281" t="str">
        <f>_xlfn.CONCAT(_xlfn.XLOOKUP("[S05_DefaultValues][274][InstallationCategory]",Submission!$O:$O,Submission!$H:$N,""))</f>
        <v/>
      </c>
      <c r="D476" s="350"/>
      <c r="E476" s="350"/>
      <c r="F476" s="350"/>
      <c r="G476" s="347"/>
      <c r="H476" s="123" t="str">
        <f>_xlfn.CONCAT(_xlfn.XLOOKUP("[S05_DefaultValues][274][FuelMaterialType]",Submission!$O:$O,Submission!$H:$N,""))</f>
        <v/>
      </c>
      <c r="I476" s="106" t="str">
        <f>_xlfn.CONCAT(_xlfn.XLOOKUP("[S05_DefaultValues][274][InstallationNumber]",Submission!$O:$O,Submission!$H:$N,""))</f>
        <v/>
      </c>
    </row>
    <row r="477" spans="1:9" ht="15.9" hidden="1" customHeight="1" outlineLevel="1" x14ac:dyDescent="0.3">
      <c r="A477" s="13"/>
      <c r="B477" s="34"/>
      <c r="C477" s="281" t="str">
        <f>_xlfn.CONCAT(_xlfn.XLOOKUP("[S05_DefaultValues][275][InstallationCategory]",Submission!$O:$O,Submission!$H:$N,""))</f>
        <v/>
      </c>
      <c r="D477" s="350"/>
      <c r="E477" s="350"/>
      <c r="F477" s="350"/>
      <c r="G477" s="347"/>
      <c r="H477" s="123" t="str">
        <f>_xlfn.CONCAT(_xlfn.XLOOKUP("[S05_DefaultValues][275][FuelMaterialType]",Submission!$O:$O,Submission!$H:$N,""))</f>
        <v/>
      </c>
      <c r="I477" s="106" t="str">
        <f>_xlfn.CONCAT(_xlfn.XLOOKUP("[S05_DefaultValues][275][InstallationNumber]",Submission!$O:$O,Submission!$H:$N,""))</f>
        <v/>
      </c>
    </row>
    <row r="478" spans="1:9" ht="15.9" hidden="1" customHeight="1" outlineLevel="1" x14ac:dyDescent="0.3">
      <c r="A478" s="13"/>
      <c r="B478" s="34"/>
      <c r="C478" s="281" t="str">
        <f>_xlfn.CONCAT(_xlfn.XLOOKUP("[S05_DefaultValues][276][InstallationCategory]",Submission!$O:$O,Submission!$H:$N,""))</f>
        <v/>
      </c>
      <c r="D478" s="350"/>
      <c r="E478" s="350"/>
      <c r="F478" s="350"/>
      <c r="G478" s="347"/>
      <c r="H478" s="123" t="str">
        <f>_xlfn.CONCAT(_xlfn.XLOOKUP("[S05_DefaultValues][276][FuelMaterialType]",Submission!$O:$O,Submission!$H:$N,""))</f>
        <v/>
      </c>
      <c r="I478" s="106" t="str">
        <f>_xlfn.CONCAT(_xlfn.XLOOKUP("[S05_DefaultValues][276][InstallationNumber]",Submission!$O:$O,Submission!$H:$N,""))</f>
        <v/>
      </c>
    </row>
    <row r="479" spans="1:9" ht="15.9" hidden="1" customHeight="1" outlineLevel="1" x14ac:dyDescent="0.3">
      <c r="A479" s="13"/>
      <c r="B479" s="34"/>
      <c r="C479" s="281" t="str">
        <f>_xlfn.CONCAT(_xlfn.XLOOKUP("[S05_DefaultValues][277][InstallationCategory]",Submission!$O:$O,Submission!$H:$N,""))</f>
        <v/>
      </c>
      <c r="D479" s="350"/>
      <c r="E479" s="350"/>
      <c r="F479" s="350"/>
      <c r="G479" s="347"/>
      <c r="H479" s="123" t="str">
        <f>_xlfn.CONCAT(_xlfn.XLOOKUP("[S05_DefaultValues][277][FuelMaterialType]",Submission!$O:$O,Submission!$H:$N,""))</f>
        <v/>
      </c>
      <c r="I479" s="106" t="str">
        <f>_xlfn.CONCAT(_xlfn.XLOOKUP("[S05_DefaultValues][277][InstallationNumber]",Submission!$O:$O,Submission!$H:$N,""))</f>
        <v/>
      </c>
    </row>
    <row r="480" spans="1:9" ht="15.9" hidden="1" customHeight="1" outlineLevel="1" x14ac:dyDescent="0.3">
      <c r="A480" s="13"/>
      <c r="B480" s="34"/>
      <c r="C480" s="281" t="str">
        <f>_xlfn.CONCAT(_xlfn.XLOOKUP("[S05_DefaultValues][278][InstallationCategory]",Submission!$O:$O,Submission!$H:$N,""))</f>
        <v/>
      </c>
      <c r="D480" s="350"/>
      <c r="E480" s="350"/>
      <c r="F480" s="350"/>
      <c r="G480" s="347"/>
      <c r="H480" s="123" t="str">
        <f>_xlfn.CONCAT(_xlfn.XLOOKUP("[S05_DefaultValues][278][FuelMaterialType]",Submission!$O:$O,Submission!$H:$N,""))</f>
        <v/>
      </c>
      <c r="I480" s="106" t="str">
        <f>_xlfn.CONCAT(_xlfn.XLOOKUP("[S05_DefaultValues][278][InstallationNumber]",Submission!$O:$O,Submission!$H:$N,""))</f>
        <v/>
      </c>
    </row>
    <row r="481" spans="1:9" ht="15.9" hidden="1" customHeight="1" outlineLevel="1" x14ac:dyDescent="0.3">
      <c r="A481" s="13"/>
      <c r="B481" s="34"/>
      <c r="C481" s="281" t="str">
        <f>_xlfn.CONCAT(_xlfn.XLOOKUP("[S05_DefaultValues][279][InstallationCategory]",Submission!$O:$O,Submission!$H:$N,""))</f>
        <v/>
      </c>
      <c r="D481" s="350"/>
      <c r="E481" s="350"/>
      <c r="F481" s="350"/>
      <c r="G481" s="347"/>
      <c r="H481" s="123" t="str">
        <f>_xlfn.CONCAT(_xlfn.XLOOKUP("[S05_DefaultValues][279][FuelMaterialType]",Submission!$O:$O,Submission!$H:$N,""))</f>
        <v/>
      </c>
      <c r="I481" s="106" t="str">
        <f>_xlfn.CONCAT(_xlfn.XLOOKUP("[S05_DefaultValues][279][InstallationNumber]",Submission!$O:$O,Submission!$H:$N,""))</f>
        <v/>
      </c>
    </row>
    <row r="482" spans="1:9" ht="15.9" hidden="1" customHeight="1" outlineLevel="1" x14ac:dyDescent="0.3">
      <c r="A482" s="13"/>
      <c r="B482" s="34"/>
      <c r="C482" s="281" t="str">
        <f>_xlfn.CONCAT(_xlfn.XLOOKUP("[S05_DefaultValues][280][InstallationCategory]",Submission!$O:$O,Submission!$H:$N,""))</f>
        <v/>
      </c>
      <c r="D482" s="350"/>
      <c r="E482" s="350"/>
      <c r="F482" s="350"/>
      <c r="G482" s="347"/>
      <c r="H482" s="123" t="str">
        <f>_xlfn.CONCAT(_xlfn.XLOOKUP("[S05_DefaultValues][280][FuelMaterialType]",Submission!$O:$O,Submission!$H:$N,""))</f>
        <v/>
      </c>
      <c r="I482" s="106" t="str">
        <f>_xlfn.CONCAT(_xlfn.XLOOKUP("[S05_DefaultValues][280][InstallationNumber]",Submission!$O:$O,Submission!$H:$N,""))</f>
        <v/>
      </c>
    </row>
    <row r="483" spans="1:9" ht="15.9" hidden="1" customHeight="1" outlineLevel="1" x14ac:dyDescent="0.3">
      <c r="A483" s="13"/>
      <c r="B483" s="34"/>
      <c r="C483" s="281" t="str">
        <f>_xlfn.CONCAT(_xlfn.XLOOKUP("[S05_DefaultValues][281][InstallationCategory]",Submission!$O:$O,Submission!$H:$N,""))</f>
        <v/>
      </c>
      <c r="D483" s="350"/>
      <c r="E483" s="350"/>
      <c r="F483" s="350"/>
      <c r="G483" s="347"/>
      <c r="H483" s="123" t="str">
        <f>_xlfn.CONCAT(_xlfn.XLOOKUP("[S05_DefaultValues][281][FuelMaterialType]",Submission!$O:$O,Submission!$H:$N,""))</f>
        <v/>
      </c>
      <c r="I483" s="106" t="str">
        <f>_xlfn.CONCAT(_xlfn.XLOOKUP("[S05_DefaultValues][281][InstallationNumber]",Submission!$O:$O,Submission!$H:$N,""))</f>
        <v/>
      </c>
    </row>
    <row r="484" spans="1:9" ht="15.9" hidden="1" customHeight="1" outlineLevel="1" x14ac:dyDescent="0.3">
      <c r="A484" s="13"/>
      <c r="B484" s="34"/>
      <c r="C484" s="281" t="str">
        <f>_xlfn.CONCAT(_xlfn.XLOOKUP("[S05_DefaultValues][282][InstallationCategory]",Submission!$O:$O,Submission!$H:$N,""))</f>
        <v/>
      </c>
      <c r="D484" s="350"/>
      <c r="E484" s="350"/>
      <c r="F484" s="350"/>
      <c r="G484" s="347"/>
      <c r="H484" s="123" t="str">
        <f>_xlfn.CONCAT(_xlfn.XLOOKUP("[S05_DefaultValues][282][FuelMaterialType]",Submission!$O:$O,Submission!$H:$N,""))</f>
        <v/>
      </c>
      <c r="I484" s="106" t="str">
        <f>_xlfn.CONCAT(_xlfn.XLOOKUP("[S05_DefaultValues][282][InstallationNumber]",Submission!$O:$O,Submission!$H:$N,""))</f>
        <v/>
      </c>
    </row>
    <row r="485" spans="1:9" ht="15.9" hidden="1" customHeight="1" outlineLevel="1" x14ac:dyDescent="0.3">
      <c r="A485" s="13"/>
      <c r="B485" s="34"/>
      <c r="C485" s="281" t="str">
        <f>_xlfn.CONCAT(_xlfn.XLOOKUP("[S05_DefaultValues][283][InstallationCategory]",Submission!$O:$O,Submission!$H:$N,""))</f>
        <v/>
      </c>
      <c r="D485" s="350"/>
      <c r="E485" s="350"/>
      <c r="F485" s="350"/>
      <c r="G485" s="347"/>
      <c r="H485" s="123" t="str">
        <f>_xlfn.CONCAT(_xlfn.XLOOKUP("[S05_DefaultValues][283][FuelMaterialType]",Submission!$O:$O,Submission!$H:$N,""))</f>
        <v/>
      </c>
      <c r="I485" s="106" t="str">
        <f>_xlfn.CONCAT(_xlfn.XLOOKUP("[S05_DefaultValues][283][InstallationNumber]",Submission!$O:$O,Submission!$H:$N,""))</f>
        <v/>
      </c>
    </row>
    <row r="486" spans="1:9" ht="15.9" hidden="1" customHeight="1" outlineLevel="1" x14ac:dyDescent="0.3">
      <c r="A486" s="13"/>
      <c r="B486" s="34"/>
      <c r="C486" s="281" t="str">
        <f>_xlfn.CONCAT(_xlfn.XLOOKUP("[S05_DefaultValues][284][InstallationCategory]",Submission!$O:$O,Submission!$H:$N,""))</f>
        <v/>
      </c>
      <c r="D486" s="350"/>
      <c r="E486" s="350"/>
      <c r="F486" s="350"/>
      <c r="G486" s="347"/>
      <c r="H486" s="123" t="str">
        <f>_xlfn.CONCAT(_xlfn.XLOOKUP("[S05_DefaultValues][284][FuelMaterialType]",Submission!$O:$O,Submission!$H:$N,""))</f>
        <v/>
      </c>
      <c r="I486" s="106" t="str">
        <f>_xlfn.CONCAT(_xlfn.XLOOKUP("[S05_DefaultValues][284][InstallationNumber]",Submission!$O:$O,Submission!$H:$N,""))</f>
        <v/>
      </c>
    </row>
    <row r="487" spans="1:9" ht="15.9" hidden="1" customHeight="1" outlineLevel="1" x14ac:dyDescent="0.3">
      <c r="A487" s="13"/>
      <c r="B487" s="34"/>
      <c r="C487" s="281" t="str">
        <f>_xlfn.CONCAT(_xlfn.XLOOKUP("[S05_DefaultValues][285][InstallationCategory]",Submission!$O:$O,Submission!$H:$N,""))</f>
        <v/>
      </c>
      <c r="D487" s="350"/>
      <c r="E487" s="350"/>
      <c r="F487" s="350"/>
      <c r="G487" s="347"/>
      <c r="H487" s="123" t="str">
        <f>_xlfn.CONCAT(_xlfn.XLOOKUP("[S05_DefaultValues][285][FuelMaterialType]",Submission!$O:$O,Submission!$H:$N,""))</f>
        <v/>
      </c>
      <c r="I487" s="106" t="str">
        <f>_xlfn.CONCAT(_xlfn.XLOOKUP("[S05_DefaultValues][285][InstallationNumber]",Submission!$O:$O,Submission!$H:$N,""))</f>
        <v/>
      </c>
    </row>
    <row r="488" spans="1:9" ht="15.9" hidden="1" customHeight="1" outlineLevel="1" x14ac:dyDescent="0.3">
      <c r="A488" s="13"/>
      <c r="B488" s="34"/>
      <c r="C488" s="281" t="str">
        <f>_xlfn.CONCAT(_xlfn.XLOOKUP("[S05_DefaultValues][286][InstallationCategory]",Submission!$O:$O,Submission!$H:$N,""))</f>
        <v/>
      </c>
      <c r="D488" s="350"/>
      <c r="E488" s="350"/>
      <c r="F488" s="350"/>
      <c r="G488" s="347"/>
      <c r="H488" s="123" t="str">
        <f>_xlfn.CONCAT(_xlfn.XLOOKUP("[S05_DefaultValues][286][FuelMaterialType]",Submission!$O:$O,Submission!$H:$N,""))</f>
        <v/>
      </c>
      <c r="I488" s="106" t="str">
        <f>_xlfn.CONCAT(_xlfn.XLOOKUP("[S05_DefaultValues][286][InstallationNumber]",Submission!$O:$O,Submission!$H:$N,""))</f>
        <v/>
      </c>
    </row>
    <row r="489" spans="1:9" ht="15.9" hidden="1" customHeight="1" outlineLevel="1" x14ac:dyDescent="0.3">
      <c r="A489" s="13"/>
      <c r="B489" s="34"/>
      <c r="C489" s="281" t="str">
        <f>_xlfn.CONCAT(_xlfn.XLOOKUP("[S05_DefaultValues][287][InstallationCategory]",Submission!$O:$O,Submission!$H:$N,""))</f>
        <v/>
      </c>
      <c r="D489" s="350"/>
      <c r="E489" s="350"/>
      <c r="F489" s="350"/>
      <c r="G489" s="347"/>
      <c r="H489" s="123" t="str">
        <f>_xlfn.CONCAT(_xlfn.XLOOKUP("[S05_DefaultValues][287][FuelMaterialType]",Submission!$O:$O,Submission!$H:$N,""))</f>
        <v/>
      </c>
      <c r="I489" s="106" t="str">
        <f>_xlfn.CONCAT(_xlfn.XLOOKUP("[S05_DefaultValues][287][InstallationNumber]",Submission!$O:$O,Submission!$H:$N,""))</f>
        <v/>
      </c>
    </row>
    <row r="490" spans="1:9" ht="15.9" hidden="1" customHeight="1" outlineLevel="1" x14ac:dyDescent="0.3">
      <c r="A490" s="13"/>
      <c r="B490" s="34"/>
      <c r="C490" s="281" t="str">
        <f>_xlfn.CONCAT(_xlfn.XLOOKUP("[S05_DefaultValues][288][InstallationCategory]",Submission!$O:$O,Submission!$H:$N,""))</f>
        <v/>
      </c>
      <c r="D490" s="350"/>
      <c r="E490" s="350"/>
      <c r="F490" s="350"/>
      <c r="G490" s="347"/>
      <c r="H490" s="123" t="str">
        <f>_xlfn.CONCAT(_xlfn.XLOOKUP("[S05_DefaultValues][288][FuelMaterialType]",Submission!$O:$O,Submission!$H:$N,""))</f>
        <v/>
      </c>
      <c r="I490" s="106" t="str">
        <f>_xlfn.CONCAT(_xlfn.XLOOKUP("[S05_DefaultValues][288][InstallationNumber]",Submission!$O:$O,Submission!$H:$N,""))</f>
        <v/>
      </c>
    </row>
    <row r="491" spans="1:9" ht="15.9" hidden="1" customHeight="1" outlineLevel="1" x14ac:dyDescent="0.3">
      <c r="A491" s="13"/>
      <c r="B491" s="34"/>
      <c r="C491" s="281" t="str">
        <f>_xlfn.CONCAT(_xlfn.XLOOKUP("[S05_DefaultValues][289][InstallationCategory]",Submission!$O:$O,Submission!$H:$N,""))</f>
        <v/>
      </c>
      <c r="D491" s="350"/>
      <c r="E491" s="350"/>
      <c r="F491" s="350"/>
      <c r="G491" s="347"/>
      <c r="H491" s="123" t="str">
        <f>_xlfn.CONCAT(_xlfn.XLOOKUP("[S05_DefaultValues][289][FuelMaterialType]",Submission!$O:$O,Submission!$H:$N,""))</f>
        <v/>
      </c>
      <c r="I491" s="106" t="str">
        <f>_xlfn.CONCAT(_xlfn.XLOOKUP("[S05_DefaultValues][289][InstallationNumber]",Submission!$O:$O,Submission!$H:$N,""))</f>
        <v/>
      </c>
    </row>
    <row r="492" spans="1:9" ht="15.9" hidden="1" customHeight="1" outlineLevel="1" x14ac:dyDescent="0.3">
      <c r="A492" s="13"/>
      <c r="B492" s="34"/>
      <c r="C492" s="281" t="str">
        <f>_xlfn.CONCAT(_xlfn.XLOOKUP("[S05_DefaultValues][290][InstallationCategory]",Submission!$O:$O,Submission!$H:$N,""))</f>
        <v/>
      </c>
      <c r="D492" s="350"/>
      <c r="E492" s="350"/>
      <c r="F492" s="350"/>
      <c r="G492" s="347"/>
      <c r="H492" s="123" t="str">
        <f>_xlfn.CONCAT(_xlfn.XLOOKUP("[S05_DefaultValues][290][FuelMaterialType]",Submission!$O:$O,Submission!$H:$N,""))</f>
        <v/>
      </c>
      <c r="I492" s="106" t="str">
        <f>_xlfn.CONCAT(_xlfn.XLOOKUP("[S05_DefaultValues][290][InstallationNumber]",Submission!$O:$O,Submission!$H:$N,""))</f>
        <v/>
      </c>
    </row>
    <row r="493" spans="1:9" ht="15.9" hidden="1" customHeight="1" outlineLevel="1" x14ac:dyDescent="0.3">
      <c r="A493" s="13"/>
      <c r="B493" s="34"/>
      <c r="C493" s="281" t="str">
        <f>_xlfn.CONCAT(_xlfn.XLOOKUP("[S05_DefaultValues][291][InstallationCategory]",Submission!$O:$O,Submission!$H:$N,""))</f>
        <v/>
      </c>
      <c r="D493" s="350"/>
      <c r="E493" s="350"/>
      <c r="F493" s="350"/>
      <c r="G493" s="347"/>
      <c r="H493" s="123" t="str">
        <f>_xlfn.CONCAT(_xlfn.XLOOKUP("[S05_DefaultValues][291][FuelMaterialType]",Submission!$O:$O,Submission!$H:$N,""))</f>
        <v/>
      </c>
      <c r="I493" s="106" t="str">
        <f>_xlfn.CONCAT(_xlfn.XLOOKUP("[S05_DefaultValues][291][InstallationNumber]",Submission!$O:$O,Submission!$H:$N,""))</f>
        <v/>
      </c>
    </row>
    <row r="494" spans="1:9" ht="15.9" hidden="1" customHeight="1" outlineLevel="1" x14ac:dyDescent="0.3">
      <c r="A494" s="13"/>
      <c r="B494" s="34"/>
      <c r="C494" s="281" t="str">
        <f>_xlfn.CONCAT(_xlfn.XLOOKUP("[S05_DefaultValues][292][InstallationCategory]",Submission!$O:$O,Submission!$H:$N,""))</f>
        <v/>
      </c>
      <c r="D494" s="350"/>
      <c r="E494" s="350"/>
      <c r="F494" s="350"/>
      <c r="G494" s="347"/>
      <c r="H494" s="123" t="str">
        <f>_xlfn.CONCAT(_xlfn.XLOOKUP("[S05_DefaultValues][292][FuelMaterialType]",Submission!$O:$O,Submission!$H:$N,""))</f>
        <v/>
      </c>
      <c r="I494" s="106" t="str">
        <f>_xlfn.CONCAT(_xlfn.XLOOKUP("[S05_DefaultValues][292][InstallationNumber]",Submission!$O:$O,Submission!$H:$N,""))</f>
        <v/>
      </c>
    </row>
    <row r="495" spans="1:9" ht="15.9" hidden="1" customHeight="1" outlineLevel="1" x14ac:dyDescent="0.3">
      <c r="A495" s="13"/>
      <c r="B495" s="34"/>
      <c r="C495" s="281" t="str">
        <f>_xlfn.CONCAT(_xlfn.XLOOKUP("[S05_DefaultValues][293][InstallationCategory]",Submission!$O:$O,Submission!$H:$N,""))</f>
        <v/>
      </c>
      <c r="D495" s="350"/>
      <c r="E495" s="350"/>
      <c r="F495" s="350"/>
      <c r="G495" s="347"/>
      <c r="H495" s="123" t="str">
        <f>_xlfn.CONCAT(_xlfn.XLOOKUP("[S05_DefaultValues][293][FuelMaterialType]",Submission!$O:$O,Submission!$H:$N,""))</f>
        <v/>
      </c>
      <c r="I495" s="106" t="str">
        <f>_xlfn.CONCAT(_xlfn.XLOOKUP("[S05_DefaultValues][293][InstallationNumber]",Submission!$O:$O,Submission!$H:$N,""))</f>
        <v/>
      </c>
    </row>
    <row r="496" spans="1:9" ht="15.9" hidden="1" customHeight="1" outlineLevel="1" x14ac:dyDescent="0.3">
      <c r="A496" s="13"/>
      <c r="B496" s="34"/>
      <c r="C496" s="281" t="str">
        <f>_xlfn.CONCAT(_xlfn.XLOOKUP("[S05_DefaultValues][294][InstallationCategory]",Submission!$O:$O,Submission!$H:$N,""))</f>
        <v/>
      </c>
      <c r="D496" s="350"/>
      <c r="E496" s="350"/>
      <c r="F496" s="350"/>
      <c r="G496" s="347"/>
      <c r="H496" s="123" t="str">
        <f>_xlfn.CONCAT(_xlfn.XLOOKUP("[S05_DefaultValues][294][FuelMaterialType]",Submission!$O:$O,Submission!$H:$N,""))</f>
        <v/>
      </c>
      <c r="I496" s="106" t="str">
        <f>_xlfn.CONCAT(_xlfn.XLOOKUP("[S05_DefaultValues][294][InstallationNumber]",Submission!$O:$O,Submission!$H:$N,""))</f>
        <v/>
      </c>
    </row>
    <row r="497" spans="1:9" ht="15.9" hidden="1" customHeight="1" outlineLevel="1" x14ac:dyDescent="0.3">
      <c r="A497" s="13"/>
      <c r="B497" s="34"/>
      <c r="C497" s="281" t="str">
        <f>_xlfn.CONCAT(_xlfn.XLOOKUP("[S05_DefaultValues][295][InstallationCategory]",Submission!$O:$O,Submission!$H:$N,""))</f>
        <v/>
      </c>
      <c r="D497" s="350"/>
      <c r="E497" s="350"/>
      <c r="F497" s="350"/>
      <c r="G497" s="347"/>
      <c r="H497" s="123" t="str">
        <f>_xlfn.CONCAT(_xlfn.XLOOKUP("[S05_DefaultValues][295][FuelMaterialType]",Submission!$O:$O,Submission!$H:$N,""))</f>
        <v/>
      </c>
      <c r="I497" s="106" t="str">
        <f>_xlfn.CONCAT(_xlfn.XLOOKUP("[S05_DefaultValues][295][InstallationNumber]",Submission!$O:$O,Submission!$H:$N,""))</f>
        <v/>
      </c>
    </row>
    <row r="498" spans="1:9" ht="15.9" hidden="1" customHeight="1" outlineLevel="1" x14ac:dyDescent="0.3">
      <c r="A498" s="13"/>
      <c r="B498" s="34"/>
      <c r="C498" s="281" t="str">
        <f>_xlfn.CONCAT(_xlfn.XLOOKUP("[S05_DefaultValues][296][InstallationCategory]",Submission!$O:$O,Submission!$H:$N,""))</f>
        <v/>
      </c>
      <c r="D498" s="350"/>
      <c r="E498" s="350"/>
      <c r="F498" s="350"/>
      <c r="G498" s="347"/>
      <c r="H498" s="123" t="str">
        <f>_xlfn.CONCAT(_xlfn.XLOOKUP("[S05_DefaultValues][296][FuelMaterialType]",Submission!$O:$O,Submission!$H:$N,""))</f>
        <v/>
      </c>
      <c r="I498" s="106" t="str">
        <f>_xlfn.CONCAT(_xlfn.XLOOKUP("[S05_DefaultValues][296][InstallationNumber]",Submission!$O:$O,Submission!$H:$N,""))</f>
        <v/>
      </c>
    </row>
    <row r="499" spans="1:9" ht="15.9" hidden="1" customHeight="1" outlineLevel="1" x14ac:dyDescent="0.3">
      <c r="A499" s="13"/>
      <c r="B499" s="34"/>
      <c r="C499" s="281" t="str">
        <f>_xlfn.CONCAT(_xlfn.XLOOKUP("[S05_DefaultValues][297][InstallationCategory]",Submission!$O:$O,Submission!$H:$N,""))</f>
        <v/>
      </c>
      <c r="D499" s="350"/>
      <c r="E499" s="350"/>
      <c r="F499" s="350"/>
      <c r="G499" s="347"/>
      <c r="H499" s="123" t="str">
        <f>_xlfn.CONCAT(_xlfn.XLOOKUP("[S05_DefaultValues][297][FuelMaterialType]",Submission!$O:$O,Submission!$H:$N,""))</f>
        <v/>
      </c>
      <c r="I499" s="106" t="str">
        <f>_xlfn.CONCAT(_xlfn.XLOOKUP("[S05_DefaultValues][297][InstallationNumber]",Submission!$O:$O,Submission!$H:$N,""))</f>
        <v/>
      </c>
    </row>
    <row r="500" spans="1:9" ht="15.9" hidden="1" customHeight="1" outlineLevel="1" x14ac:dyDescent="0.3">
      <c r="A500" s="13"/>
      <c r="B500" s="34"/>
      <c r="C500" s="281" t="str">
        <f>_xlfn.CONCAT(_xlfn.XLOOKUP("[S05_DefaultValues][298][InstallationCategory]",Submission!$O:$O,Submission!$H:$N,""))</f>
        <v/>
      </c>
      <c r="D500" s="350"/>
      <c r="E500" s="350"/>
      <c r="F500" s="350"/>
      <c r="G500" s="347"/>
      <c r="H500" s="123" t="str">
        <f>_xlfn.CONCAT(_xlfn.XLOOKUP("[S05_DefaultValues][298][FuelMaterialType]",Submission!$O:$O,Submission!$H:$N,""))</f>
        <v/>
      </c>
      <c r="I500" s="106" t="str">
        <f>_xlfn.CONCAT(_xlfn.XLOOKUP("[S05_DefaultValues][298][InstallationNumber]",Submission!$O:$O,Submission!$H:$N,""))</f>
        <v/>
      </c>
    </row>
    <row r="501" spans="1:9" ht="15.9" hidden="1" customHeight="1" outlineLevel="1" x14ac:dyDescent="0.3">
      <c r="A501" s="13"/>
      <c r="B501" s="34"/>
      <c r="C501" s="281" t="str">
        <f>_xlfn.CONCAT(_xlfn.XLOOKUP("[S05_DefaultValues][299][InstallationCategory]",Submission!$O:$O,Submission!$H:$N,""))</f>
        <v/>
      </c>
      <c r="D501" s="350"/>
      <c r="E501" s="350"/>
      <c r="F501" s="350"/>
      <c r="G501" s="347"/>
      <c r="H501" s="123" t="str">
        <f>_xlfn.CONCAT(_xlfn.XLOOKUP("[S05_DefaultValues][299][FuelMaterialType]",Submission!$O:$O,Submission!$H:$N,""))</f>
        <v/>
      </c>
      <c r="I501" s="106" t="str">
        <f>_xlfn.CONCAT(_xlfn.XLOOKUP("[S05_DefaultValues][299][InstallationNumber]",Submission!$O:$O,Submission!$H:$N,""))</f>
        <v/>
      </c>
    </row>
    <row r="502" spans="1:9" ht="15.9" hidden="1" customHeight="1" outlineLevel="1" x14ac:dyDescent="0.3">
      <c r="A502" s="13"/>
      <c r="B502" s="34"/>
      <c r="C502" s="281" t="str">
        <f>_xlfn.CONCAT(_xlfn.XLOOKUP("[S05_DefaultValues][300][InstallationCategory]",Submission!$O:$O,Submission!$H:$N,""))</f>
        <v/>
      </c>
      <c r="D502" s="350"/>
      <c r="E502" s="350"/>
      <c r="F502" s="350"/>
      <c r="G502" s="347"/>
      <c r="H502" s="123" t="str">
        <f>_xlfn.CONCAT(_xlfn.XLOOKUP("[S05_DefaultValues][300][FuelMaterialType]",Submission!$O:$O,Submission!$H:$N,""))</f>
        <v/>
      </c>
      <c r="I502" s="106" t="str">
        <f>_xlfn.CONCAT(_xlfn.XLOOKUP("[S05_DefaultValues][300][InstallationNumber]",Submission!$O:$O,Submission!$H:$N,""))</f>
        <v/>
      </c>
    </row>
    <row r="503" spans="1:9" ht="15.9" hidden="1" customHeight="1" outlineLevel="1" x14ac:dyDescent="0.3">
      <c r="A503" s="13"/>
      <c r="B503" s="34"/>
      <c r="C503" s="281" t="str">
        <f>_xlfn.CONCAT(_xlfn.XLOOKUP("[S05_DefaultValues][301][InstallationCategory]",Submission!$O:$O,Submission!$H:$N,""))</f>
        <v/>
      </c>
      <c r="D503" s="350"/>
      <c r="E503" s="350"/>
      <c r="F503" s="350"/>
      <c r="G503" s="347"/>
      <c r="H503" s="123" t="str">
        <f>_xlfn.CONCAT(_xlfn.XLOOKUP("[S05_DefaultValues][301][FuelMaterialType]",Submission!$O:$O,Submission!$H:$N,""))</f>
        <v/>
      </c>
      <c r="I503" s="106" t="str">
        <f>_xlfn.CONCAT(_xlfn.XLOOKUP("[S05_DefaultValues][301][InstallationNumber]",Submission!$O:$O,Submission!$H:$N,""))</f>
        <v/>
      </c>
    </row>
    <row r="504" spans="1:9" ht="15.9" hidden="1" customHeight="1" outlineLevel="1" x14ac:dyDescent="0.3">
      <c r="A504" s="13"/>
      <c r="B504" s="34"/>
      <c r="C504" s="281" t="str">
        <f>_xlfn.CONCAT(_xlfn.XLOOKUP("[S05_DefaultValues][302][InstallationCategory]",Submission!$O:$O,Submission!$H:$N,""))</f>
        <v/>
      </c>
      <c r="D504" s="350"/>
      <c r="E504" s="350"/>
      <c r="F504" s="350"/>
      <c r="G504" s="347"/>
      <c r="H504" s="123" t="str">
        <f>_xlfn.CONCAT(_xlfn.XLOOKUP("[S05_DefaultValues][302][FuelMaterialType]",Submission!$O:$O,Submission!$H:$N,""))</f>
        <v/>
      </c>
      <c r="I504" s="106" t="str">
        <f>_xlfn.CONCAT(_xlfn.XLOOKUP("[S05_DefaultValues][302][InstallationNumber]",Submission!$O:$O,Submission!$H:$N,""))</f>
        <v/>
      </c>
    </row>
    <row r="505" spans="1:9" ht="15.9" hidden="1" customHeight="1" outlineLevel="1" x14ac:dyDescent="0.3">
      <c r="A505" s="13"/>
      <c r="B505" s="34"/>
      <c r="C505" s="281" t="str">
        <f>_xlfn.CONCAT(_xlfn.XLOOKUP("[S05_DefaultValues][303][InstallationCategory]",Submission!$O:$O,Submission!$H:$N,""))</f>
        <v/>
      </c>
      <c r="D505" s="350"/>
      <c r="E505" s="350"/>
      <c r="F505" s="350"/>
      <c r="G505" s="347"/>
      <c r="H505" s="123" t="str">
        <f>_xlfn.CONCAT(_xlfn.XLOOKUP("[S05_DefaultValues][303][FuelMaterialType]",Submission!$O:$O,Submission!$H:$N,""))</f>
        <v/>
      </c>
      <c r="I505" s="106" t="str">
        <f>_xlfn.CONCAT(_xlfn.XLOOKUP("[S05_DefaultValues][303][InstallationNumber]",Submission!$O:$O,Submission!$H:$N,""))</f>
        <v/>
      </c>
    </row>
    <row r="506" spans="1:9" ht="15.9" hidden="1" customHeight="1" outlineLevel="1" x14ac:dyDescent="0.3">
      <c r="A506" s="13"/>
      <c r="B506" s="34"/>
      <c r="C506" s="281" t="str">
        <f>_xlfn.CONCAT(_xlfn.XLOOKUP("[S05_DefaultValues][304][InstallationCategory]",Submission!$O:$O,Submission!$H:$N,""))</f>
        <v/>
      </c>
      <c r="D506" s="350"/>
      <c r="E506" s="350"/>
      <c r="F506" s="350"/>
      <c r="G506" s="347"/>
      <c r="H506" s="123" t="str">
        <f>_xlfn.CONCAT(_xlfn.XLOOKUP("[S05_DefaultValues][304][FuelMaterialType]",Submission!$O:$O,Submission!$H:$N,""))</f>
        <v/>
      </c>
      <c r="I506" s="106" t="str">
        <f>_xlfn.CONCAT(_xlfn.XLOOKUP("[S05_DefaultValues][304][InstallationNumber]",Submission!$O:$O,Submission!$H:$N,""))</f>
        <v/>
      </c>
    </row>
    <row r="507" spans="1:9" ht="15.9" hidden="1" customHeight="1" outlineLevel="1" x14ac:dyDescent="0.3">
      <c r="A507" s="13"/>
      <c r="B507" s="34"/>
      <c r="C507" s="281" t="str">
        <f>_xlfn.CONCAT(_xlfn.XLOOKUP("[S05_DefaultValues][305][InstallationCategory]",Submission!$O:$O,Submission!$H:$N,""))</f>
        <v/>
      </c>
      <c r="D507" s="350"/>
      <c r="E507" s="350"/>
      <c r="F507" s="350"/>
      <c r="G507" s="347"/>
      <c r="H507" s="123" t="str">
        <f>_xlfn.CONCAT(_xlfn.XLOOKUP("[S05_DefaultValues][305][FuelMaterialType]",Submission!$O:$O,Submission!$H:$N,""))</f>
        <v/>
      </c>
      <c r="I507" s="106" t="str">
        <f>_xlfn.CONCAT(_xlfn.XLOOKUP("[S05_DefaultValues][305][InstallationNumber]",Submission!$O:$O,Submission!$H:$N,""))</f>
        <v/>
      </c>
    </row>
    <row r="508" spans="1:9" ht="15.9" hidden="1" customHeight="1" outlineLevel="1" x14ac:dyDescent="0.3">
      <c r="A508" s="13"/>
      <c r="B508" s="34"/>
      <c r="C508" s="281" t="str">
        <f>_xlfn.CONCAT(_xlfn.XLOOKUP("[S05_DefaultValues][306][InstallationCategory]",Submission!$O:$O,Submission!$H:$N,""))</f>
        <v/>
      </c>
      <c r="D508" s="350"/>
      <c r="E508" s="350"/>
      <c r="F508" s="350"/>
      <c r="G508" s="347"/>
      <c r="H508" s="123" t="str">
        <f>_xlfn.CONCAT(_xlfn.XLOOKUP("[S05_DefaultValues][306][FuelMaterialType]",Submission!$O:$O,Submission!$H:$N,""))</f>
        <v/>
      </c>
      <c r="I508" s="106" t="str">
        <f>_xlfn.CONCAT(_xlfn.XLOOKUP("[S05_DefaultValues][306][InstallationNumber]",Submission!$O:$O,Submission!$H:$N,""))</f>
        <v/>
      </c>
    </row>
    <row r="509" spans="1:9" ht="15.9" hidden="1" customHeight="1" outlineLevel="1" x14ac:dyDescent="0.3">
      <c r="A509" s="13"/>
      <c r="B509" s="34"/>
      <c r="C509" s="281" t="str">
        <f>_xlfn.CONCAT(_xlfn.XLOOKUP("[S05_DefaultValues][307][InstallationCategory]",Submission!$O:$O,Submission!$H:$N,""))</f>
        <v/>
      </c>
      <c r="D509" s="350"/>
      <c r="E509" s="350"/>
      <c r="F509" s="350"/>
      <c r="G509" s="347"/>
      <c r="H509" s="123" t="str">
        <f>_xlfn.CONCAT(_xlfn.XLOOKUP("[S05_DefaultValues][307][FuelMaterialType]",Submission!$O:$O,Submission!$H:$N,""))</f>
        <v/>
      </c>
      <c r="I509" s="106" t="str">
        <f>_xlfn.CONCAT(_xlfn.XLOOKUP("[S05_DefaultValues][307][InstallationNumber]",Submission!$O:$O,Submission!$H:$N,""))</f>
        <v/>
      </c>
    </row>
    <row r="510" spans="1:9" ht="15.9" hidden="1" customHeight="1" outlineLevel="1" x14ac:dyDescent="0.3">
      <c r="A510" s="13"/>
      <c r="B510" s="34"/>
      <c r="C510" s="281" t="str">
        <f>_xlfn.CONCAT(_xlfn.XLOOKUP("[S05_DefaultValues][308][InstallationCategory]",Submission!$O:$O,Submission!$H:$N,""))</f>
        <v/>
      </c>
      <c r="D510" s="350"/>
      <c r="E510" s="350"/>
      <c r="F510" s="350"/>
      <c r="G510" s="347"/>
      <c r="H510" s="123" t="str">
        <f>_xlfn.CONCAT(_xlfn.XLOOKUP("[S05_DefaultValues][308][FuelMaterialType]",Submission!$O:$O,Submission!$H:$N,""))</f>
        <v/>
      </c>
      <c r="I510" s="106" t="str">
        <f>_xlfn.CONCAT(_xlfn.XLOOKUP("[S05_DefaultValues][308][InstallationNumber]",Submission!$O:$O,Submission!$H:$N,""))</f>
        <v/>
      </c>
    </row>
    <row r="511" spans="1:9" ht="15.9" hidden="1" customHeight="1" outlineLevel="1" x14ac:dyDescent="0.3">
      <c r="A511" s="13"/>
      <c r="B511" s="34"/>
      <c r="C511" s="281" t="str">
        <f>_xlfn.CONCAT(_xlfn.XLOOKUP("[S05_DefaultValues][309][InstallationCategory]",Submission!$O:$O,Submission!$H:$N,""))</f>
        <v/>
      </c>
      <c r="D511" s="350"/>
      <c r="E511" s="350"/>
      <c r="F511" s="350"/>
      <c r="G511" s="347"/>
      <c r="H511" s="123" t="str">
        <f>_xlfn.CONCAT(_xlfn.XLOOKUP("[S05_DefaultValues][309][FuelMaterialType]",Submission!$O:$O,Submission!$H:$N,""))</f>
        <v/>
      </c>
      <c r="I511" s="106" t="str">
        <f>_xlfn.CONCAT(_xlfn.XLOOKUP("[S05_DefaultValues][309][InstallationNumber]",Submission!$O:$O,Submission!$H:$N,""))</f>
        <v/>
      </c>
    </row>
    <row r="512" spans="1:9" ht="15.9" hidden="1" customHeight="1" outlineLevel="1" x14ac:dyDescent="0.3">
      <c r="A512" s="13"/>
      <c r="B512" s="34"/>
      <c r="C512" s="281" t="str">
        <f>_xlfn.CONCAT(_xlfn.XLOOKUP("[S05_DefaultValues][310][InstallationCategory]",Submission!$O:$O,Submission!$H:$N,""))</f>
        <v/>
      </c>
      <c r="D512" s="350"/>
      <c r="E512" s="350"/>
      <c r="F512" s="350"/>
      <c r="G512" s="347"/>
      <c r="H512" s="123" t="str">
        <f>_xlfn.CONCAT(_xlfn.XLOOKUP("[S05_DefaultValues][310][FuelMaterialType]",Submission!$O:$O,Submission!$H:$N,""))</f>
        <v/>
      </c>
      <c r="I512" s="106" t="str">
        <f>_xlfn.CONCAT(_xlfn.XLOOKUP("[S05_DefaultValues][310][InstallationNumber]",Submission!$O:$O,Submission!$H:$N,""))</f>
        <v/>
      </c>
    </row>
    <row r="513" spans="1:9" ht="15.9" hidden="1" customHeight="1" outlineLevel="1" x14ac:dyDescent="0.3">
      <c r="A513" s="13"/>
      <c r="B513" s="34"/>
      <c r="C513" s="281" t="str">
        <f>_xlfn.CONCAT(_xlfn.XLOOKUP("[S05_DefaultValues][311][InstallationCategory]",Submission!$O:$O,Submission!$H:$N,""))</f>
        <v/>
      </c>
      <c r="D513" s="350"/>
      <c r="E513" s="350"/>
      <c r="F513" s="350"/>
      <c r="G513" s="347"/>
      <c r="H513" s="123" t="str">
        <f>_xlfn.CONCAT(_xlfn.XLOOKUP("[S05_DefaultValues][311][FuelMaterialType]",Submission!$O:$O,Submission!$H:$N,""))</f>
        <v/>
      </c>
      <c r="I513" s="106" t="str">
        <f>_xlfn.CONCAT(_xlfn.XLOOKUP("[S05_DefaultValues][311][InstallationNumber]",Submission!$O:$O,Submission!$H:$N,""))</f>
        <v/>
      </c>
    </row>
    <row r="514" spans="1:9" ht="15.9" hidden="1" customHeight="1" outlineLevel="1" x14ac:dyDescent="0.3">
      <c r="A514" s="13"/>
      <c r="B514" s="34"/>
      <c r="C514" s="281" t="str">
        <f>_xlfn.CONCAT(_xlfn.XLOOKUP("[S05_DefaultValues][312][InstallationCategory]",Submission!$O:$O,Submission!$H:$N,""))</f>
        <v/>
      </c>
      <c r="D514" s="350"/>
      <c r="E514" s="350"/>
      <c r="F514" s="350"/>
      <c r="G514" s="347"/>
      <c r="H514" s="123" t="str">
        <f>_xlfn.CONCAT(_xlfn.XLOOKUP("[S05_DefaultValues][312][FuelMaterialType]",Submission!$O:$O,Submission!$H:$N,""))</f>
        <v/>
      </c>
      <c r="I514" s="106" t="str">
        <f>_xlfn.CONCAT(_xlfn.XLOOKUP("[S05_DefaultValues][312][InstallationNumber]",Submission!$O:$O,Submission!$H:$N,""))</f>
        <v/>
      </c>
    </row>
    <row r="515" spans="1:9" ht="15.9" hidden="1" customHeight="1" outlineLevel="1" x14ac:dyDescent="0.3">
      <c r="A515" s="13"/>
      <c r="B515" s="34"/>
      <c r="C515" s="281" t="str">
        <f>_xlfn.CONCAT(_xlfn.XLOOKUP("[S05_DefaultValues][313][InstallationCategory]",Submission!$O:$O,Submission!$H:$N,""))</f>
        <v/>
      </c>
      <c r="D515" s="350"/>
      <c r="E515" s="350"/>
      <c r="F515" s="350"/>
      <c r="G515" s="347"/>
      <c r="H515" s="123" t="str">
        <f>_xlfn.CONCAT(_xlfn.XLOOKUP("[S05_DefaultValues][313][FuelMaterialType]",Submission!$O:$O,Submission!$H:$N,""))</f>
        <v/>
      </c>
      <c r="I515" s="106" t="str">
        <f>_xlfn.CONCAT(_xlfn.XLOOKUP("[S05_DefaultValues][313][InstallationNumber]",Submission!$O:$O,Submission!$H:$N,""))</f>
        <v/>
      </c>
    </row>
    <row r="516" spans="1:9" ht="15.9" hidden="1" customHeight="1" outlineLevel="1" x14ac:dyDescent="0.3">
      <c r="A516" s="13"/>
      <c r="B516" s="34"/>
      <c r="C516" s="281" t="str">
        <f>_xlfn.CONCAT(_xlfn.XLOOKUP("[S05_DefaultValues][314][InstallationCategory]",Submission!$O:$O,Submission!$H:$N,""))</f>
        <v/>
      </c>
      <c r="D516" s="350"/>
      <c r="E516" s="350"/>
      <c r="F516" s="350"/>
      <c r="G516" s="347"/>
      <c r="H516" s="123" t="str">
        <f>_xlfn.CONCAT(_xlfn.XLOOKUP("[S05_DefaultValues][314][FuelMaterialType]",Submission!$O:$O,Submission!$H:$N,""))</f>
        <v/>
      </c>
      <c r="I516" s="106" t="str">
        <f>_xlfn.CONCAT(_xlfn.XLOOKUP("[S05_DefaultValues][314][InstallationNumber]",Submission!$O:$O,Submission!$H:$N,""))</f>
        <v/>
      </c>
    </row>
    <row r="517" spans="1:9" ht="15.9" hidden="1" customHeight="1" outlineLevel="1" x14ac:dyDescent="0.3">
      <c r="A517" s="13"/>
      <c r="B517" s="34"/>
      <c r="C517" s="281" t="str">
        <f>_xlfn.CONCAT(_xlfn.XLOOKUP("[S05_DefaultValues][315][InstallationCategory]",Submission!$O:$O,Submission!$H:$N,""))</f>
        <v/>
      </c>
      <c r="D517" s="350"/>
      <c r="E517" s="350"/>
      <c r="F517" s="350"/>
      <c r="G517" s="347"/>
      <c r="H517" s="123" t="str">
        <f>_xlfn.CONCAT(_xlfn.XLOOKUP("[S05_DefaultValues][315][FuelMaterialType]",Submission!$O:$O,Submission!$H:$N,""))</f>
        <v/>
      </c>
      <c r="I517" s="106" t="str">
        <f>_xlfn.CONCAT(_xlfn.XLOOKUP("[S05_DefaultValues][315][InstallationNumber]",Submission!$O:$O,Submission!$H:$N,""))</f>
        <v/>
      </c>
    </row>
    <row r="518" spans="1:9" ht="15.9" hidden="1" customHeight="1" outlineLevel="1" x14ac:dyDescent="0.3">
      <c r="A518" s="13"/>
      <c r="B518" s="34"/>
      <c r="C518" s="281" t="str">
        <f>_xlfn.CONCAT(_xlfn.XLOOKUP("[S05_DefaultValues][316][InstallationCategory]",Submission!$O:$O,Submission!$H:$N,""))</f>
        <v/>
      </c>
      <c r="D518" s="350"/>
      <c r="E518" s="350"/>
      <c r="F518" s="350"/>
      <c r="G518" s="347"/>
      <c r="H518" s="123" t="str">
        <f>_xlfn.CONCAT(_xlfn.XLOOKUP("[S05_DefaultValues][316][FuelMaterialType]",Submission!$O:$O,Submission!$H:$N,""))</f>
        <v/>
      </c>
      <c r="I518" s="106" t="str">
        <f>_xlfn.CONCAT(_xlfn.XLOOKUP("[S05_DefaultValues][316][InstallationNumber]",Submission!$O:$O,Submission!$H:$N,""))</f>
        <v/>
      </c>
    </row>
    <row r="519" spans="1:9" ht="15.9" hidden="1" customHeight="1" outlineLevel="1" x14ac:dyDescent="0.3">
      <c r="A519" s="13"/>
      <c r="B519" s="34"/>
      <c r="C519" s="281" t="str">
        <f>_xlfn.CONCAT(_xlfn.XLOOKUP("[S05_DefaultValues][317][InstallationCategory]",Submission!$O:$O,Submission!$H:$N,""))</f>
        <v/>
      </c>
      <c r="D519" s="350"/>
      <c r="E519" s="350"/>
      <c r="F519" s="350"/>
      <c r="G519" s="347"/>
      <c r="H519" s="123" t="str">
        <f>_xlfn.CONCAT(_xlfn.XLOOKUP("[S05_DefaultValues][317][FuelMaterialType]",Submission!$O:$O,Submission!$H:$N,""))</f>
        <v/>
      </c>
      <c r="I519" s="106" t="str">
        <f>_xlfn.CONCAT(_xlfn.XLOOKUP("[S05_DefaultValues][317][InstallationNumber]",Submission!$O:$O,Submission!$H:$N,""))</f>
        <v/>
      </c>
    </row>
    <row r="520" spans="1:9" ht="15.9" hidden="1" customHeight="1" outlineLevel="1" x14ac:dyDescent="0.3">
      <c r="A520" s="13"/>
      <c r="B520" s="34"/>
      <c r="C520" s="281" t="str">
        <f>_xlfn.CONCAT(_xlfn.XLOOKUP("[S05_DefaultValues][318][InstallationCategory]",Submission!$O:$O,Submission!$H:$N,""))</f>
        <v/>
      </c>
      <c r="D520" s="350"/>
      <c r="E520" s="350"/>
      <c r="F520" s="350"/>
      <c r="G520" s="347"/>
      <c r="H520" s="123" t="str">
        <f>_xlfn.CONCAT(_xlfn.XLOOKUP("[S05_DefaultValues][318][FuelMaterialType]",Submission!$O:$O,Submission!$H:$N,""))</f>
        <v/>
      </c>
      <c r="I520" s="106" t="str">
        <f>_xlfn.CONCAT(_xlfn.XLOOKUP("[S05_DefaultValues][318][InstallationNumber]",Submission!$O:$O,Submission!$H:$N,""))</f>
        <v/>
      </c>
    </row>
    <row r="521" spans="1:9" ht="15.9" hidden="1" customHeight="1" outlineLevel="1" x14ac:dyDescent="0.3">
      <c r="A521" s="13"/>
      <c r="B521" s="34"/>
      <c r="C521" s="281" t="str">
        <f>_xlfn.CONCAT(_xlfn.XLOOKUP("[S05_DefaultValues][319][InstallationCategory]",Submission!$O:$O,Submission!$H:$N,""))</f>
        <v/>
      </c>
      <c r="D521" s="350"/>
      <c r="E521" s="350"/>
      <c r="F521" s="350"/>
      <c r="G521" s="347"/>
      <c r="H521" s="123" t="str">
        <f>_xlfn.CONCAT(_xlfn.XLOOKUP("[S05_DefaultValues][319][FuelMaterialType]",Submission!$O:$O,Submission!$H:$N,""))</f>
        <v/>
      </c>
      <c r="I521" s="106" t="str">
        <f>_xlfn.CONCAT(_xlfn.XLOOKUP("[S05_DefaultValues][319][InstallationNumber]",Submission!$O:$O,Submission!$H:$N,""))</f>
        <v/>
      </c>
    </row>
    <row r="522" spans="1:9" ht="15.9" hidden="1" customHeight="1" outlineLevel="1" x14ac:dyDescent="0.3">
      <c r="A522" s="13"/>
      <c r="B522" s="34"/>
      <c r="C522" s="281" t="str">
        <f>_xlfn.CONCAT(_xlfn.XLOOKUP("[S05_DefaultValues][320][InstallationCategory]",Submission!$O:$O,Submission!$H:$N,""))</f>
        <v/>
      </c>
      <c r="D522" s="350"/>
      <c r="E522" s="350"/>
      <c r="F522" s="350"/>
      <c r="G522" s="347"/>
      <c r="H522" s="123" t="str">
        <f>_xlfn.CONCAT(_xlfn.XLOOKUP("[S05_DefaultValues][320][FuelMaterialType]",Submission!$O:$O,Submission!$H:$N,""))</f>
        <v/>
      </c>
      <c r="I522" s="106" t="str">
        <f>_xlfn.CONCAT(_xlfn.XLOOKUP("[S05_DefaultValues][320][InstallationNumber]",Submission!$O:$O,Submission!$H:$N,""))</f>
        <v/>
      </c>
    </row>
    <row r="523" spans="1:9" ht="15.9" hidden="1" customHeight="1" outlineLevel="1" x14ac:dyDescent="0.3">
      <c r="A523" s="13"/>
      <c r="B523" s="34"/>
      <c r="C523" s="281" t="str">
        <f>_xlfn.CONCAT(_xlfn.XLOOKUP("[S05_DefaultValues][321][InstallationCategory]",Submission!$O:$O,Submission!$H:$N,""))</f>
        <v/>
      </c>
      <c r="D523" s="350"/>
      <c r="E523" s="350"/>
      <c r="F523" s="350"/>
      <c r="G523" s="347"/>
      <c r="H523" s="123" t="str">
        <f>_xlfn.CONCAT(_xlfn.XLOOKUP("[S05_DefaultValues][321][FuelMaterialType]",Submission!$O:$O,Submission!$H:$N,""))</f>
        <v/>
      </c>
      <c r="I523" s="106" t="str">
        <f>_xlfn.CONCAT(_xlfn.XLOOKUP("[S05_DefaultValues][321][InstallationNumber]",Submission!$O:$O,Submission!$H:$N,""))</f>
        <v/>
      </c>
    </row>
    <row r="524" spans="1:9" ht="15.9" hidden="1" customHeight="1" outlineLevel="1" x14ac:dyDescent="0.3">
      <c r="A524" s="13"/>
      <c r="B524" s="34"/>
      <c r="C524" s="281" t="str">
        <f>_xlfn.CONCAT(_xlfn.XLOOKUP("[S05_DefaultValues][322][InstallationCategory]",Submission!$O:$O,Submission!$H:$N,""))</f>
        <v/>
      </c>
      <c r="D524" s="350"/>
      <c r="E524" s="350"/>
      <c r="F524" s="350"/>
      <c r="G524" s="347"/>
      <c r="H524" s="123" t="str">
        <f>_xlfn.CONCAT(_xlfn.XLOOKUP("[S05_DefaultValues][322][FuelMaterialType]",Submission!$O:$O,Submission!$H:$N,""))</f>
        <v/>
      </c>
      <c r="I524" s="106" t="str">
        <f>_xlfn.CONCAT(_xlfn.XLOOKUP("[S05_DefaultValues][322][InstallationNumber]",Submission!$O:$O,Submission!$H:$N,""))</f>
        <v/>
      </c>
    </row>
    <row r="525" spans="1:9" ht="15.9" hidden="1" customHeight="1" outlineLevel="1" x14ac:dyDescent="0.3">
      <c r="A525" s="13"/>
      <c r="B525" s="34"/>
      <c r="C525" s="281" t="str">
        <f>_xlfn.CONCAT(_xlfn.XLOOKUP("[S05_DefaultValues][323][InstallationCategory]",Submission!$O:$O,Submission!$H:$N,""))</f>
        <v/>
      </c>
      <c r="D525" s="350"/>
      <c r="E525" s="350"/>
      <c r="F525" s="350"/>
      <c r="G525" s="347"/>
      <c r="H525" s="123" t="str">
        <f>_xlfn.CONCAT(_xlfn.XLOOKUP("[S05_DefaultValues][323][FuelMaterialType]",Submission!$O:$O,Submission!$H:$N,""))</f>
        <v/>
      </c>
      <c r="I525" s="106" t="str">
        <f>_xlfn.CONCAT(_xlfn.XLOOKUP("[S05_DefaultValues][323][InstallationNumber]",Submission!$O:$O,Submission!$H:$N,""))</f>
        <v/>
      </c>
    </row>
    <row r="526" spans="1:9" ht="15.9" hidden="1" customHeight="1" outlineLevel="1" x14ac:dyDescent="0.3">
      <c r="A526" s="13"/>
      <c r="B526" s="34"/>
      <c r="C526" s="281" t="str">
        <f>_xlfn.CONCAT(_xlfn.XLOOKUP("[S05_DefaultValues][324][InstallationCategory]",Submission!$O:$O,Submission!$H:$N,""))</f>
        <v/>
      </c>
      <c r="D526" s="350"/>
      <c r="E526" s="350"/>
      <c r="F526" s="350"/>
      <c r="G526" s="347"/>
      <c r="H526" s="123" t="str">
        <f>_xlfn.CONCAT(_xlfn.XLOOKUP("[S05_DefaultValues][324][FuelMaterialType]",Submission!$O:$O,Submission!$H:$N,""))</f>
        <v/>
      </c>
      <c r="I526" s="106" t="str">
        <f>_xlfn.CONCAT(_xlfn.XLOOKUP("[S05_DefaultValues][324][InstallationNumber]",Submission!$O:$O,Submission!$H:$N,""))</f>
        <v/>
      </c>
    </row>
    <row r="527" spans="1:9" ht="15.9" hidden="1" customHeight="1" outlineLevel="1" x14ac:dyDescent="0.3">
      <c r="A527" s="13"/>
      <c r="B527" s="34"/>
      <c r="C527" s="281" t="str">
        <f>_xlfn.CONCAT(_xlfn.XLOOKUP("[S05_DefaultValues][325][InstallationCategory]",Submission!$O:$O,Submission!$H:$N,""))</f>
        <v/>
      </c>
      <c r="D527" s="350"/>
      <c r="E527" s="350"/>
      <c r="F527" s="350"/>
      <c r="G527" s="347"/>
      <c r="H527" s="123" t="str">
        <f>_xlfn.CONCAT(_xlfn.XLOOKUP("[S05_DefaultValues][325][FuelMaterialType]",Submission!$O:$O,Submission!$H:$N,""))</f>
        <v/>
      </c>
      <c r="I527" s="106" t="str">
        <f>_xlfn.CONCAT(_xlfn.XLOOKUP("[S05_DefaultValues][325][InstallationNumber]",Submission!$O:$O,Submission!$H:$N,""))</f>
        <v/>
      </c>
    </row>
    <row r="528" spans="1:9" ht="15.9" hidden="1" customHeight="1" outlineLevel="1" x14ac:dyDescent="0.3">
      <c r="A528" s="13"/>
      <c r="B528" s="34"/>
      <c r="C528" s="281" t="str">
        <f>_xlfn.CONCAT(_xlfn.XLOOKUP("[S05_DefaultValues][326][InstallationCategory]",Submission!$O:$O,Submission!$H:$N,""))</f>
        <v/>
      </c>
      <c r="D528" s="350"/>
      <c r="E528" s="350"/>
      <c r="F528" s="350"/>
      <c r="G528" s="347"/>
      <c r="H528" s="123" t="str">
        <f>_xlfn.CONCAT(_xlfn.XLOOKUP("[S05_DefaultValues][326][FuelMaterialType]",Submission!$O:$O,Submission!$H:$N,""))</f>
        <v/>
      </c>
      <c r="I528" s="106" t="str">
        <f>_xlfn.CONCAT(_xlfn.XLOOKUP("[S05_DefaultValues][326][InstallationNumber]",Submission!$O:$O,Submission!$H:$N,""))</f>
        <v/>
      </c>
    </row>
    <row r="529" spans="1:9" ht="15.9" hidden="1" customHeight="1" outlineLevel="1" x14ac:dyDescent="0.3">
      <c r="A529" s="13"/>
      <c r="B529" s="34"/>
      <c r="C529" s="281" t="str">
        <f>_xlfn.CONCAT(_xlfn.XLOOKUP("[S05_DefaultValues][327][InstallationCategory]",Submission!$O:$O,Submission!$H:$N,""))</f>
        <v/>
      </c>
      <c r="D529" s="350"/>
      <c r="E529" s="350"/>
      <c r="F529" s="350"/>
      <c r="G529" s="347"/>
      <c r="H529" s="123" t="str">
        <f>_xlfn.CONCAT(_xlfn.XLOOKUP("[S05_DefaultValues][327][FuelMaterialType]",Submission!$O:$O,Submission!$H:$N,""))</f>
        <v/>
      </c>
      <c r="I529" s="106" t="str">
        <f>_xlfn.CONCAT(_xlfn.XLOOKUP("[S05_DefaultValues][327][InstallationNumber]",Submission!$O:$O,Submission!$H:$N,""))</f>
        <v/>
      </c>
    </row>
    <row r="530" spans="1:9" ht="15.9" hidden="1" customHeight="1" outlineLevel="1" x14ac:dyDescent="0.3">
      <c r="A530" s="13"/>
      <c r="B530" s="34"/>
      <c r="C530" s="281" t="str">
        <f>_xlfn.CONCAT(_xlfn.XLOOKUP("[S05_DefaultValues][328][InstallationCategory]",Submission!$O:$O,Submission!$H:$N,""))</f>
        <v/>
      </c>
      <c r="D530" s="350"/>
      <c r="E530" s="350"/>
      <c r="F530" s="350"/>
      <c r="G530" s="347"/>
      <c r="H530" s="123" t="str">
        <f>_xlfn.CONCAT(_xlfn.XLOOKUP("[S05_DefaultValues][328][FuelMaterialType]",Submission!$O:$O,Submission!$H:$N,""))</f>
        <v/>
      </c>
      <c r="I530" s="106" t="str">
        <f>_xlfn.CONCAT(_xlfn.XLOOKUP("[S05_DefaultValues][328][InstallationNumber]",Submission!$O:$O,Submission!$H:$N,""))</f>
        <v/>
      </c>
    </row>
    <row r="531" spans="1:9" ht="15.9" hidden="1" customHeight="1" outlineLevel="1" x14ac:dyDescent="0.3">
      <c r="A531" s="13"/>
      <c r="B531" s="34"/>
      <c r="C531" s="281" t="str">
        <f>_xlfn.CONCAT(_xlfn.XLOOKUP("[S05_DefaultValues][329][InstallationCategory]",Submission!$O:$O,Submission!$H:$N,""))</f>
        <v/>
      </c>
      <c r="D531" s="350"/>
      <c r="E531" s="350"/>
      <c r="F531" s="350"/>
      <c r="G531" s="347"/>
      <c r="H531" s="123" t="str">
        <f>_xlfn.CONCAT(_xlfn.XLOOKUP("[S05_DefaultValues][329][FuelMaterialType]",Submission!$O:$O,Submission!$H:$N,""))</f>
        <v/>
      </c>
      <c r="I531" s="106" t="str">
        <f>_xlfn.CONCAT(_xlfn.XLOOKUP("[S05_DefaultValues][329][InstallationNumber]",Submission!$O:$O,Submission!$H:$N,""))</f>
        <v/>
      </c>
    </row>
    <row r="532" spans="1:9" ht="15.9" hidden="1" customHeight="1" outlineLevel="1" x14ac:dyDescent="0.3">
      <c r="A532" s="13"/>
      <c r="B532" s="34"/>
      <c r="C532" s="281" t="str">
        <f>_xlfn.CONCAT(_xlfn.XLOOKUP("[S05_DefaultValues][330][InstallationCategory]",Submission!$O:$O,Submission!$H:$N,""))</f>
        <v/>
      </c>
      <c r="D532" s="350"/>
      <c r="E532" s="350"/>
      <c r="F532" s="350"/>
      <c r="G532" s="347"/>
      <c r="H532" s="123" t="str">
        <f>_xlfn.CONCAT(_xlfn.XLOOKUP("[S05_DefaultValues][330][FuelMaterialType]",Submission!$O:$O,Submission!$H:$N,""))</f>
        <v/>
      </c>
      <c r="I532" s="106" t="str">
        <f>_xlfn.CONCAT(_xlfn.XLOOKUP("[S05_DefaultValues][330][InstallationNumber]",Submission!$O:$O,Submission!$H:$N,""))</f>
        <v/>
      </c>
    </row>
    <row r="533" spans="1:9" ht="15.9" hidden="1" customHeight="1" outlineLevel="1" x14ac:dyDescent="0.3">
      <c r="A533" s="13"/>
      <c r="B533" s="34"/>
      <c r="C533" s="281" t="str">
        <f>_xlfn.CONCAT(_xlfn.XLOOKUP("[S05_DefaultValues][331][InstallationCategory]",Submission!$O:$O,Submission!$H:$N,""))</f>
        <v/>
      </c>
      <c r="D533" s="350"/>
      <c r="E533" s="350"/>
      <c r="F533" s="350"/>
      <c r="G533" s="347"/>
      <c r="H533" s="123" t="str">
        <f>_xlfn.CONCAT(_xlfn.XLOOKUP("[S05_DefaultValues][331][FuelMaterialType]",Submission!$O:$O,Submission!$H:$N,""))</f>
        <v/>
      </c>
      <c r="I533" s="106" t="str">
        <f>_xlfn.CONCAT(_xlfn.XLOOKUP("[S05_DefaultValues][331][InstallationNumber]",Submission!$O:$O,Submission!$H:$N,""))</f>
        <v/>
      </c>
    </row>
    <row r="534" spans="1:9" ht="15.9" hidden="1" customHeight="1" outlineLevel="1" x14ac:dyDescent="0.3">
      <c r="A534" s="13"/>
      <c r="B534" s="34"/>
      <c r="C534" s="281" t="str">
        <f>_xlfn.CONCAT(_xlfn.XLOOKUP("[S05_DefaultValues][332][InstallationCategory]",Submission!$O:$O,Submission!$H:$N,""))</f>
        <v/>
      </c>
      <c r="D534" s="350"/>
      <c r="E534" s="350"/>
      <c r="F534" s="350"/>
      <c r="G534" s="347"/>
      <c r="H534" s="123" t="str">
        <f>_xlfn.CONCAT(_xlfn.XLOOKUP("[S05_DefaultValues][332][FuelMaterialType]",Submission!$O:$O,Submission!$H:$N,""))</f>
        <v/>
      </c>
      <c r="I534" s="106" t="str">
        <f>_xlfn.CONCAT(_xlfn.XLOOKUP("[S05_DefaultValues][332][InstallationNumber]",Submission!$O:$O,Submission!$H:$N,""))</f>
        <v/>
      </c>
    </row>
    <row r="535" spans="1:9" ht="15.9" hidden="1" customHeight="1" outlineLevel="1" x14ac:dyDescent="0.3">
      <c r="A535" s="13"/>
      <c r="B535" s="34"/>
      <c r="C535" s="281" t="str">
        <f>_xlfn.CONCAT(_xlfn.XLOOKUP("[S05_DefaultValues][333][InstallationCategory]",Submission!$O:$O,Submission!$H:$N,""))</f>
        <v/>
      </c>
      <c r="D535" s="350"/>
      <c r="E535" s="350"/>
      <c r="F535" s="350"/>
      <c r="G535" s="347"/>
      <c r="H535" s="123" t="str">
        <f>_xlfn.CONCAT(_xlfn.XLOOKUP("[S05_DefaultValues][333][FuelMaterialType]",Submission!$O:$O,Submission!$H:$N,""))</f>
        <v/>
      </c>
      <c r="I535" s="106" t="str">
        <f>_xlfn.CONCAT(_xlfn.XLOOKUP("[S05_DefaultValues][333][InstallationNumber]",Submission!$O:$O,Submission!$H:$N,""))</f>
        <v/>
      </c>
    </row>
    <row r="536" spans="1:9" ht="15.9" hidden="1" customHeight="1" outlineLevel="1" x14ac:dyDescent="0.3">
      <c r="A536" s="13"/>
      <c r="B536" s="34"/>
      <c r="C536" s="281" t="str">
        <f>_xlfn.CONCAT(_xlfn.XLOOKUP("[S05_DefaultValues][334][InstallationCategory]",Submission!$O:$O,Submission!$H:$N,""))</f>
        <v/>
      </c>
      <c r="D536" s="350"/>
      <c r="E536" s="350"/>
      <c r="F536" s="350"/>
      <c r="G536" s="347"/>
      <c r="H536" s="123" t="str">
        <f>_xlfn.CONCAT(_xlfn.XLOOKUP("[S05_DefaultValues][334][FuelMaterialType]",Submission!$O:$O,Submission!$H:$N,""))</f>
        <v/>
      </c>
      <c r="I536" s="106" t="str">
        <f>_xlfn.CONCAT(_xlfn.XLOOKUP("[S05_DefaultValues][334][InstallationNumber]",Submission!$O:$O,Submission!$H:$N,""))</f>
        <v/>
      </c>
    </row>
    <row r="537" spans="1:9" ht="15.9" hidden="1" customHeight="1" outlineLevel="1" x14ac:dyDescent="0.3">
      <c r="A537" s="13"/>
      <c r="B537" s="34"/>
      <c r="C537" s="281" t="str">
        <f>_xlfn.CONCAT(_xlfn.XLOOKUP("[S05_DefaultValues][335][InstallationCategory]",Submission!$O:$O,Submission!$H:$N,""))</f>
        <v/>
      </c>
      <c r="D537" s="350"/>
      <c r="E537" s="350"/>
      <c r="F537" s="350"/>
      <c r="G537" s="347"/>
      <c r="H537" s="123" t="str">
        <f>_xlfn.CONCAT(_xlfn.XLOOKUP("[S05_DefaultValues][335][FuelMaterialType]",Submission!$O:$O,Submission!$H:$N,""))</f>
        <v/>
      </c>
      <c r="I537" s="106" t="str">
        <f>_xlfn.CONCAT(_xlfn.XLOOKUP("[S05_DefaultValues][335][InstallationNumber]",Submission!$O:$O,Submission!$H:$N,""))</f>
        <v/>
      </c>
    </row>
    <row r="538" spans="1:9" ht="15.9" hidden="1" customHeight="1" outlineLevel="1" x14ac:dyDescent="0.3">
      <c r="A538" s="13"/>
      <c r="B538" s="34"/>
      <c r="C538" s="281" t="str">
        <f>_xlfn.CONCAT(_xlfn.XLOOKUP("[S05_DefaultValues][336][InstallationCategory]",Submission!$O:$O,Submission!$H:$N,""))</f>
        <v/>
      </c>
      <c r="D538" s="350"/>
      <c r="E538" s="350"/>
      <c r="F538" s="350"/>
      <c r="G538" s="347"/>
      <c r="H538" s="123" t="str">
        <f>_xlfn.CONCAT(_xlfn.XLOOKUP("[S05_DefaultValues][336][FuelMaterialType]",Submission!$O:$O,Submission!$H:$N,""))</f>
        <v/>
      </c>
      <c r="I538" s="106" t="str">
        <f>_xlfn.CONCAT(_xlfn.XLOOKUP("[S05_DefaultValues][336][InstallationNumber]",Submission!$O:$O,Submission!$H:$N,""))</f>
        <v/>
      </c>
    </row>
    <row r="539" spans="1:9" ht="15.9" hidden="1" customHeight="1" outlineLevel="1" x14ac:dyDescent="0.3">
      <c r="A539" s="13"/>
      <c r="B539" s="34"/>
      <c r="C539" s="281" t="str">
        <f>_xlfn.CONCAT(_xlfn.XLOOKUP("[S05_DefaultValues][337][InstallationCategory]",Submission!$O:$O,Submission!$H:$N,""))</f>
        <v/>
      </c>
      <c r="D539" s="350"/>
      <c r="E539" s="350"/>
      <c r="F539" s="350"/>
      <c r="G539" s="347"/>
      <c r="H539" s="123" t="str">
        <f>_xlfn.CONCAT(_xlfn.XLOOKUP("[S05_DefaultValues][337][FuelMaterialType]",Submission!$O:$O,Submission!$H:$N,""))</f>
        <v/>
      </c>
      <c r="I539" s="106" t="str">
        <f>_xlfn.CONCAT(_xlfn.XLOOKUP("[S05_DefaultValues][337][InstallationNumber]",Submission!$O:$O,Submission!$H:$N,""))</f>
        <v/>
      </c>
    </row>
    <row r="540" spans="1:9" ht="15.9" hidden="1" customHeight="1" outlineLevel="1" x14ac:dyDescent="0.3">
      <c r="A540" s="13"/>
      <c r="B540" s="34"/>
      <c r="C540" s="281" t="str">
        <f>_xlfn.CONCAT(_xlfn.XLOOKUP("[S05_DefaultValues][338][InstallationCategory]",Submission!$O:$O,Submission!$H:$N,""))</f>
        <v/>
      </c>
      <c r="D540" s="350"/>
      <c r="E540" s="350"/>
      <c r="F540" s="350"/>
      <c r="G540" s="347"/>
      <c r="H540" s="123" t="str">
        <f>_xlfn.CONCAT(_xlfn.XLOOKUP("[S05_DefaultValues][338][FuelMaterialType]",Submission!$O:$O,Submission!$H:$N,""))</f>
        <v/>
      </c>
      <c r="I540" s="106" t="str">
        <f>_xlfn.CONCAT(_xlfn.XLOOKUP("[S05_DefaultValues][338][InstallationNumber]",Submission!$O:$O,Submission!$H:$N,""))</f>
        <v/>
      </c>
    </row>
    <row r="541" spans="1:9" ht="15.9" hidden="1" customHeight="1" outlineLevel="1" x14ac:dyDescent="0.3">
      <c r="A541" s="13"/>
      <c r="B541" s="34"/>
      <c r="C541" s="281" t="str">
        <f>_xlfn.CONCAT(_xlfn.XLOOKUP("[S05_DefaultValues][339][InstallationCategory]",Submission!$O:$O,Submission!$H:$N,""))</f>
        <v/>
      </c>
      <c r="D541" s="350"/>
      <c r="E541" s="350"/>
      <c r="F541" s="350"/>
      <c r="G541" s="347"/>
      <c r="H541" s="123" t="str">
        <f>_xlfn.CONCAT(_xlfn.XLOOKUP("[S05_DefaultValues][339][FuelMaterialType]",Submission!$O:$O,Submission!$H:$N,""))</f>
        <v/>
      </c>
      <c r="I541" s="106" t="str">
        <f>_xlfn.CONCAT(_xlfn.XLOOKUP("[S05_DefaultValues][339][InstallationNumber]",Submission!$O:$O,Submission!$H:$N,""))</f>
        <v/>
      </c>
    </row>
    <row r="542" spans="1:9" ht="15.9" hidden="1" customHeight="1" outlineLevel="1" x14ac:dyDescent="0.3">
      <c r="A542" s="13"/>
      <c r="B542" s="34"/>
      <c r="C542" s="281" t="str">
        <f>_xlfn.CONCAT(_xlfn.XLOOKUP("[S05_DefaultValues][340][InstallationCategory]",Submission!$O:$O,Submission!$H:$N,""))</f>
        <v/>
      </c>
      <c r="D542" s="350"/>
      <c r="E542" s="350"/>
      <c r="F542" s="350"/>
      <c r="G542" s="347"/>
      <c r="H542" s="123" t="str">
        <f>_xlfn.CONCAT(_xlfn.XLOOKUP("[S05_DefaultValues][340][FuelMaterialType]",Submission!$O:$O,Submission!$H:$N,""))</f>
        <v/>
      </c>
      <c r="I542" s="106" t="str">
        <f>_xlfn.CONCAT(_xlfn.XLOOKUP("[S05_DefaultValues][340][InstallationNumber]",Submission!$O:$O,Submission!$H:$N,""))</f>
        <v/>
      </c>
    </row>
    <row r="543" spans="1:9" ht="15.9" hidden="1" customHeight="1" outlineLevel="1" x14ac:dyDescent="0.3">
      <c r="A543" s="13"/>
      <c r="B543" s="34"/>
      <c r="C543" s="281" t="str">
        <f>_xlfn.CONCAT(_xlfn.XLOOKUP("[S05_DefaultValues][341][InstallationCategory]",Submission!$O:$O,Submission!$H:$N,""))</f>
        <v/>
      </c>
      <c r="D543" s="350"/>
      <c r="E543" s="350"/>
      <c r="F543" s="350"/>
      <c r="G543" s="347"/>
      <c r="H543" s="123" t="str">
        <f>_xlfn.CONCAT(_xlfn.XLOOKUP("[S05_DefaultValues][341][FuelMaterialType]",Submission!$O:$O,Submission!$H:$N,""))</f>
        <v/>
      </c>
      <c r="I543" s="106" t="str">
        <f>_xlfn.CONCAT(_xlfn.XLOOKUP("[S05_DefaultValues][341][InstallationNumber]",Submission!$O:$O,Submission!$H:$N,""))</f>
        <v/>
      </c>
    </row>
    <row r="544" spans="1:9" ht="15.9" hidden="1" customHeight="1" outlineLevel="1" x14ac:dyDescent="0.3">
      <c r="A544" s="13"/>
      <c r="B544" s="34"/>
      <c r="C544" s="281" t="str">
        <f>_xlfn.CONCAT(_xlfn.XLOOKUP("[S05_DefaultValues][342][InstallationCategory]",Submission!$O:$O,Submission!$H:$N,""))</f>
        <v/>
      </c>
      <c r="D544" s="350"/>
      <c r="E544" s="350"/>
      <c r="F544" s="350"/>
      <c r="G544" s="347"/>
      <c r="H544" s="123" t="str">
        <f>_xlfn.CONCAT(_xlfn.XLOOKUP("[S05_DefaultValues][342][FuelMaterialType]",Submission!$O:$O,Submission!$H:$N,""))</f>
        <v/>
      </c>
      <c r="I544" s="106" t="str">
        <f>_xlfn.CONCAT(_xlfn.XLOOKUP("[S05_DefaultValues][342][InstallationNumber]",Submission!$O:$O,Submission!$H:$N,""))</f>
        <v/>
      </c>
    </row>
    <row r="545" spans="1:9" ht="15.9" hidden="1" customHeight="1" outlineLevel="1" x14ac:dyDescent="0.3">
      <c r="A545" s="13"/>
      <c r="B545" s="34"/>
      <c r="C545" s="281" t="str">
        <f>_xlfn.CONCAT(_xlfn.XLOOKUP("[S05_DefaultValues][343][InstallationCategory]",Submission!$O:$O,Submission!$H:$N,""))</f>
        <v/>
      </c>
      <c r="D545" s="350"/>
      <c r="E545" s="350"/>
      <c r="F545" s="350"/>
      <c r="G545" s="347"/>
      <c r="H545" s="123" t="str">
        <f>_xlfn.CONCAT(_xlfn.XLOOKUP("[S05_DefaultValues][343][FuelMaterialType]",Submission!$O:$O,Submission!$H:$N,""))</f>
        <v/>
      </c>
      <c r="I545" s="106" t="str">
        <f>_xlfn.CONCAT(_xlfn.XLOOKUP("[S05_DefaultValues][343][InstallationNumber]",Submission!$O:$O,Submission!$H:$N,""))</f>
        <v/>
      </c>
    </row>
    <row r="546" spans="1:9" ht="15.9" hidden="1" customHeight="1" outlineLevel="1" x14ac:dyDescent="0.3">
      <c r="A546" s="13"/>
      <c r="B546" s="34"/>
      <c r="C546" s="281" t="str">
        <f>_xlfn.CONCAT(_xlfn.XLOOKUP("[S05_DefaultValues][344][InstallationCategory]",Submission!$O:$O,Submission!$H:$N,""))</f>
        <v/>
      </c>
      <c r="D546" s="350"/>
      <c r="E546" s="350"/>
      <c r="F546" s="350"/>
      <c r="G546" s="347"/>
      <c r="H546" s="123" t="str">
        <f>_xlfn.CONCAT(_xlfn.XLOOKUP("[S05_DefaultValues][344][FuelMaterialType]",Submission!$O:$O,Submission!$H:$N,""))</f>
        <v/>
      </c>
      <c r="I546" s="106" t="str">
        <f>_xlfn.CONCAT(_xlfn.XLOOKUP("[S05_DefaultValues][344][InstallationNumber]",Submission!$O:$O,Submission!$H:$N,""))</f>
        <v/>
      </c>
    </row>
    <row r="547" spans="1:9" ht="15.9" hidden="1" customHeight="1" outlineLevel="1" x14ac:dyDescent="0.3">
      <c r="A547" s="13"/>
      <c r="B547" s="34"/>
      <c r="C547" s="281" t="str">
        <f>_xlfn.CONCAT(_xlfn.XLOOKUP("[S05_DefaultValues][345][InstallationCategory]",Submission!$O:$O,Submission!$H:$N,""))</f>
        <v/>
      </c>
      <c r="D547" s="350"/>
      <c r="E547" s="350"/>
      <c r="F547" s="350"/>
      <c r="G547" s="347"/>
      <c r="H547" s="123" t="str">
        <f>_xlfn.CONCAT(_xlfn.XLOOKUP("[S05_DefaultValues][345][FuelMaterialType]",Submission!$O:$O,Submission!$H:$N,""))</f>
        <v/>
      </c>
      <c r="I547" s="106" t="str">
        <f>_xlfn.CONCAT(_xlfn.XLOOKUP("[S05_DefaultValues][345][InstallationNumber]",Submission!$O:$O,Submission!$H:$N,""))</f>
        <v/>
      </c>
    </row>
    <row r="548" spans="1:9" ht="15.9" hidden="1" customHeight="1" outlineLevel="1" x14ac:dyDescent="0.3">
      <c r="A548" s="13"/>
      <c r="B548" s="34"/>
      <c r="C548" s="281" t="str">
        <f>_xlfn.CONCAT(_xlfn.XLOOKUP("[S05_DefaultValues][346][InstallationCategory]",Submission!$O:$O,Submission!$H:$N,""))</f>
        <v/>
      </c>
      <c r="D548" s="350"/>
      <c r="E548" s="350"/>
      <c r="F548" s="350"/>
      <c r="G548" s="347"/>
      <c r="H548" s="123" t="str">
        <f>_xlfn.CONCAT(_xlfn.XLOOKUP("[S05_DefaultValues][346][FuelMaterialType]",Submission!$O:$O,Submission!$H:$N,""))</f>
        <v/>
      </c>
      <c r="I548" s="106" t="str">
        <f>_xlfn.CONCAT(_xlfn.XLOOKUP("[S05_DefaultValues][346][InstallationNumber]",Submission!$O:$O,Submission!$H:$N,""))</f>
        <v/>
      </c>
    </row>
    <row r="549" spans="1:9" ht="15.9" hidden="1" customHeight="1" outlineLevel="1" x14ac:dyDescent="0.3">
      <c r="A549" s="13"/>
      <c r="B549" s="34"/>
      <c r="C549" s="281" t="str">
        <f>_xlfn.CONCAT(_xlfn.XLOOKUP("[S05_DefaultValues][347][InstallationCategory]",Submission!$O:$O,Submission!$H:$N,""))</f>
        <v/>
      </c>
      <c r="D549" s="350"/>
      <c r="E549" s="350"/>
      <c r="F549" s="350"/>
      <c r="G549" s="347"/>
      <c r="H549" s="123" t="str">
        <f>_xlfn.CONCAT(_xlfn.XLOOKUP("[S05_DefaultValues][347][FuelMaterialType]",Submission!$O:$O,Submission!$H:$N,""))</f>
        <v/>
      </c>
      <c r="I549" s="106" t="str">
        <f>_xlfn.CONCAT(_xlfn.XLOOKUP("[S05_DefaultValues][347][InstallationNumber]",Submission!$O:$O,Submission!$H:$N,""))</f>
        <v/>
      </c>
    </row>
    <row r="550" spans="1:9" ht="15.9" hidden="1" customHeight="1" outlineLevel="1" x14ac:dyDescent="0.3">
      <c r="A550" s="13"/>
      <c r="B550" s="34"/>
      <c r="C550" s="281" t="str">
        <f>_xlfn.CONCAT(_xlfn.XLOOKUP("[S05_DefaultValues][348][InstallationCategory]",Submission!$O:$O,Submission!$H:$N,""))</f>
        <v/>
      </c>
      <c r="D550" s="350"/>
      <c r="E550" s="350"/>
      <c r="F550" s="350"/>
      <c r="G550" s="347"/>
      <c r="H550" s="123" t="str">
        <f>_xlfn.CONCAT(_xlfn.XLOOKUP("[S05_DefaultValues][348][FuelMaterialType]",Submission!$O:$O,Submission!$H:$N,""))</f>
        <v/>
      </c>
      <c r="I550" s="106" t="str">
        <f>_xlfn.CONCAT(_xlfn.XLOOKUP("[S05_DefaultValues][348][InstallationNumber]",Submission!$O:$O,Submission!$H:$N,""))</f>
        <v/>
      </c>
    </row>
    <row r="551" spans="1:9" ht="15.9" hidden="1" customHeight="1" outlineLevel="1" x14ac:dyDescent="0.3">
      <c r="A551" s="13"/>
      <c r="B551" s="34"/>
      <c r="C551" s="281" t="str">
        <f>_xlfn.CONCAT(_xlfn.XLOOKUP("[S05_DefaultValues][349][InstallationCategory]",Submission!$O:$O,Submission!$H:$N,""))</f>
        <v/>
      </c>
      <c r="D551" s="350"/>
      <c r="E551" s="350"/>
      <c r="F551" s="350"/>
      <c r="G551" s="347"/>
      <c r="H551" s="123" t="str">
        <f>_xlfn.CONCAT(_xlfn.XLOOKUP("[S05_DefaultValues][349][FuelMaterialType]",Submission!$O:$O,Submission!$H:$N,""))</f>
        <v/>
      </c>
      <c r="I551" s="106" t="str">
        <f>_xlfn.CONCAT(_xlfn.XLOOKUP("[S05_DefaultValues][349][InstallationNumber]",Submission!$O:$O,Submission!$H:$N,""))</f>
        <v/>
      </c>
    </row>
    <row r="552" spans="1:9" ht="15.9" hidden="1" customHeight="1" outlineLevel="1" x14ac:dyDescent="0.3">
      <c r="A552" s="13"/>
      <c r="B552" s="34"/>
      <c r="C552" s="281" t="str">
        <f>_xlfn.CONCAT(_xlfn.XLOOKUP("[S05_DefaultValues][350][InstallationCategory]",Submission!$O:$O,Submission!$H:$N,""))</f>
        <v/>
      </c>
      <c r="D552" s="350"/>
      <c r="E552" s="350"/>
      <c r="F552" s="350"/>
      <c r="G552" s="347"/>
      <c r="H552" s="123" t="str">
        <f>_xlfn.CONCAT(_xlfn.XLOOKUP("[S05_DefaultValues][350][FuelMaterialType]",Submission!$O:$O,Submission!$H:$N,""))</f>
        <v/>
      </c>
      <c r="I552" s="106" t="str">
        <f>_xlfn.CONCAT(_xlfn.XLOOKUP("[S05_DefaultValues][350][InstallationNumber]",Submission!$O:$O,Submission!$H:$N,""))</f>
        <v/>
      </c>
    </row>
    <row r="553" spans="1:9" ht="15.9" hidden="1" customHeight="1" outlineLevel="1" x14ac:dyDescent="0.3">
      <c r="A553" s="13"/>
      <c r="B553" s="34"/>
      <c r="C553" s="281" t="str">
        <f>_xlfn.CONCAT(_xlfn.XLOOKUP("[S05_DefaultValues][351][InstallationCategory]",Submission!$O:$O,Submission!$H:$N,""))</f>
        <v/>
      </c>
      <c r="D553" s="350"/>
      <c r="E553" s="350"/>
      <c r="F553" s="350"/>
      <c r="G553" s="347"/>
      <c r="H553" s="123" t="str">
        <f>_xlfn.CONCAT(_xlfn.XLOOKUP("[S05_DefaultValues][351][FuelMaterialType]",Submission!$O:$O,Submission!$H:$N,""))</f>
        <v/>
      </c>
      <c r="I553" s="106" t="str">
        <f>_xlfn.CONCAT(_xlfn.XLOOKUP("[S05_DefaultValues][351][InstallationNumber]",Submission!$O:$O,Submission!$H:$N,""))</f>
        <v/>
      </c>
    </row>
    <row r="554" spans="1:9" ht="15.9" hidden="1" customHeight="1" outlineLevel="1" x14ac:dyDescent="0.3">
      <c r="A554" s="13"/>
      <c r="B554" s="34"/>
      <c r="C554" s="281" t="str">
        <f>_xlfn.CONCAT(_xlfn.XLOOKUP("[S05_DefaultValues][352][InstallationCategory]",Submission!$O:$O,Submission!$H:$N,""))</f>
        <v/>
      </c>
      <c r="D554" s="350"/>
      <c r="E554" s="350"/>
      <c r="F554" s="350"/>
      <c r="G554" s="347"/>
      <c r="H554" s="123" t="str">
        <f>_xlfn.CONCAT(_xlfn.XLOOKUP("[S05_DefaultValues][352][FuelMaterialType]",Submission!$O:$O,Submission!$H:$N,""))</f>
        <v/>
      </c>
      <c r="I554" s="106" t="str">
        <f>_xlfn.CONCAT(_xlfn.XLOOKUP("[S05_DefaultValues][352][InstallationNumber]",Submission!$O:$O,Submission!$H:$N,""))</f>
        <v/>
      </c>
    </row>
    <row r="555" spans="1:9" ht="15.9" hidden="1" customHeight="1" outlineLevel="1" x14ac:dyDescent="0.3">
      <c r="A555" s="13"/>
      <c r="B555" s="34"/>
      <c r="C555" s="281" t="str">
        <f>_xlfn.CONCAT(_xlfn.XLOOKUP("[S05_DefaultValues][353][InstallationCategory]",Submission!$O:$O,Submission!$H:$N,""))</f>
        <v/>
      </c>
      <c r="D555" s="350"/>
      <c r="E555" s="350"/>
      <c r="F555" s="350"/>
      <c r="G555" s="347"/>
      <c r="H555" s="123" t="str">
        <f>_xlfn.CONCAT(_xlfn.XLOOKUP("[S05_DefaultValues][353][FuelMaterialType]",Submission!$O:$O,Submission!$H:$N,""))</f>
        <v/>
      </c>
      <c r="I555" s="106" t="str">
        <f>_xlfn.CONCAT(_xlfn.XLOOKUP("[S05_DefaultValues][353][InstallationNumber]",Submission!$O:$O,Submission!$H:$N,""))</f>
        <v/>
      </c>
    </row>
    <row r="556" spans="1:9" ht="15.9" hidden="1" customHeight="1" outlineLevel="1" x14ac:dyDescent="0.3">
      <c r="A556" s="13"/>
      <c r="B556" s="34"/>
      <c r="C556" s="281" t="str">
        <f>_xlfn.CONCAT(_xlfn.XLOOKUP("[S05_DefaultValues][354][InstallationCategory]",Submission!$O:$O,Submission!$H:$N,""))</f>
        <v/>
      </c>
      <c r="D556" s="350"/>
      <c r="E556" s="350"/>
      <c r="F556" s="350"/>
      <c r="G556" s="347"/>
      <c r="H556" s="123" t="str">
        <f>_xlfn.CONCAT(_xlfn.XLOOKUP("[S05_DefaultValues][354][FuelMaterialType]",Submission!$O:$O,Submission!$H:$N,""))</f>
        <v/>
      </c>
      <c r="I556" s="106" t="str">
        <f>_xlfn.CONCAT(_xlfn.XLOOKUP("[S05_DefaultValues][354][InstallationNumber]",Submission!$O:$O,Submission!$H:$N,""))</f>
        <v/>
      </c>
    </row>
    <row r="557" spans="1:9" ht="15.9" hidden="1" customHeight="1" outlineLevel="1" x14ac:dyDescent="0.3">
      <c r="A557" s="13"/>
      <c r="B557" s="34"/>
      <c r="C557" s="281" t="str">
        <f>_xlfn.CONCAT(_xlfn.XLOOKUP("[S05_DefaultValues][355][InstallationCategory]",Submission!$O:$O,Submission!$H:$N,""))</f>
        <v/>
      </c>
      <c r="D557" s="350"/>
      <c r="E557" s="350"/>
      <c r="F557" s="350"/>
      <c r="G557" s="347"/>
      <c r="H557" s="123" t="str">
        <f>_xlfn.CONCAT(_xlfn.XLOOKUP("[S05_DefaultValues][355][FuelMaterialType]",Submission!$O:$O,Submission!$H:$N,""))</f>
        <v/>
      </c>
      <c r="I557" s="106" t="str">
        <f>_xlfn.CONCAT(_xlfn.XLOOKUP("[S05_DefaultValues][355][InstallationNumber]",Submission!$O:$O,Submission!$H:$N,""))</f>
        <v/>
      </c>
    </row>
    <row r="558" spans="1:9" ht="15.9" hidden="1" customHeight="1" outlineLevel="1" x14ac:dyDescent="0.3">
      <c r="A558" s="13"/>
      <c r="B558" s="34"/>
      <c r="C558" s="281" t="str">
        <f>_xlfn.CONCAT(_xlfn.XLOOKUP("[S05_DefaultValues][356][InstallationCategory]",Submission!$O:$O,Submission!$H:$N,""))</f>
        <v/>
      </c>
      <c r="D558" s="350"/>
      <c r="E558" s="350"/>
      <c r="F558" s="350"/>
      <c r="G558" s="347"/>
      <c r="H558" s="123" t="str">
        <f>_xlfn.CONCAT(_xlfn.XLOOKUP("[S05_DefaultValues][356][FuelMaterialType]",Submission!$O:$O,Submission!$H:$N,""))</f>
        <v/>
      </c>
      <c r="I558" s="106" t="str">
        <f>_xlfn.CONCAT(_xlfn.XLOOKUP("[S05_DefaultValues][356][InstallationNumber]",Submission!$O:$O,Submission!$H:$N,""))</f>
        <v/>
      </c>
    </row>
    <row r="559" spans="1:9" ht="15.9" hidden="1" customHeight="1" outlineLevel="1" x14ac:dyDescent="0.3">
      <c r="A559" s="13"/>
      <c r="B559" s="34"/>
      <c r="C559" s="281" t="str">
        <f>_xlfn.CONCAT(_xlfn.XLOOKUP("[S05_DefaultValues][357][InstallationCategory]",Submission!$O:$O,Submission!$H:$N,""))</f>
        <v/>
      </c>
      <c r="D559" s="350"/>
      <c r="E559" s="350"/>
      <c r="F559" s="350"/>
      <c r="G559" s="347"/>
      <c r="H559" s="123" t="str">
        <f>_xlfn.CONCAT(_xlfn.XLOOKUP("[S05_DefaultValues][357][FuelMaterialType]",Submission!$O:$O,Submission!$H:$N,""))</f>
        <v/>
      </c>
      <c r="I559" s="106" t="str">
        <f>_xlfn.CONCAT(_xlfn.XLOOKUP("[S05_DefaultValues][357][InstallationNumber]",Submission!$O:$O,Submission!$H:$N,""))</f>
        <v/>
      </c>
    </row>
    <row r="560" spans="1:9" ht="15.9" hidden="1" customHeight="1" outlineLevel="1" x14ac:dyDescent="0.3">
      <c r="A560" s="13"/>
      <c r="B560" s="34"/>
      <c r="C560" s="281" t="str">
        <f>_xlfn.CONCAT(_xlfn.XLOOKUP("[S05_DefaultValues][358][InstallationCategory]",Submission!$O:$O,Submission!$H:$N,""))</f>
        <v/>
      </c>
      <c r="D560" s="350"/>
      <c r="E560" s="350"/>
      <c r="F560" s="350"/>
      <c r="G560" s="347"/>
      <c r="H560" s="123" t="str">
        <f>_xlfn.CONCAT(_xlfn.XLOOKUP("[S05_DefaultValues][358][FuelMaterialType]",Submission!$O:$O,Submission!$H:$N,""))</f>
        <v/>
      </c>
      <c r="I560" s="106" t="str">
        <f>_xlfn.CONCAT(_xlfn.XLOOKUP("[S05_DefaultValues][358][InstallationNumber]",Submission!$O:$O,Submission!$H:$N,""))</f>
        <v/>
      </c>
    </row>
    <row r="561" spans="1:9" ht="15.9" hidden="1" customHeight="1" outlineLevel="1" x14ac:dyDescent="0.3">
      <c r="A561" s="13"/>
      <c r="B561" s="34"/>
      <c r="C561" s="281" t="str">
        <f>_xlfn.CONCAT(_xlfn.XLOOKUP("[S05_DefaultValues][359][InstallationCategory]",Submission!$O:$O,Submission!$H:$N,""))</f>
        <v/>
      </c>
      <c r="D561" s="350"/>
      <c r="E561" s="350"/>
      <c r="F561" s="350"/>
      <c r="G561" s="347"/>
      <c r="H561" s="123" t="str">
        <f>_xlfn.CONCAT(_xlfn.XLOOKUP("[S05_DefaultValues][359][FuelMaterialType]",Submission!$O:$O,Submission!$H:$N,""))</f>
        <v/>
      </c>
      <c r="I561" s="106" t="str">
        <f>_xlfn.CONCAT(_xlfn.XLOOKUP("[S05_DefaultValues][359][InstallationNumber]",Submission!$O:$O,Submission!$H:$N,""))</f>
        <v/>
      </c>
    </row>
    <row r="562" spans="1:9" ht="15.9" hidden="1" customHeight="1" outlineLevel="1" x14ac:dyDescent="0.3">
      <c r="A562" s="13"/>
      <c r="B562" s="34"/>
      <c r="C562" s="281" t="str">
        <f>_xlfn.CONCAT(_xlfn.XLOOKUP("[S05_DefaultValues][360][InstallationCategory]",Submission!$O:$O,Submission!$H:$N,""))</f>
        <v/>
      </c>
      <c r="D562" s="350"/>
      <c r="E562" s="350"/>
      <c r="F562" s="350"/>
      <c r="G562" s="347"/>
      <c r="H562" s="123" t="str">
        <f>_xlfn.CONCAT(_xlfn.XLOOKUP("[S05_DefaultValues][360][FuelMaterialType]",Submission!$O:$O,Submission!$H:$N,""))</f>
        <v/>
      </c>
      <c r="I562" s="106" t="str">
        <f>_xlfn.CONCAT(_xlfn.XLOOKUP("[S05_DefaultValues][360][InstallationNumber]",Submission!$O:$O,Submission!$H:$N,""))</f>
        <v/>
      </c>
    </row>
    <row r="563" spans="1:9" ht="15.9" hidden="1" customHeight="1" outlineLevel="1" x14ac:dyDescent="0.3">
      <c r="A563" s="13"/>
      <c r="B563" s="34"/>
      <c r="C563" s="281" t="str">
        <f>_xlfn.CONCAT(_xlfn.XLOOKUP("[S05_DefaultValues][361][InstallationCategory]",Submission!$O:$O,Submission!$H:$N,""))</f>
        <v/>
      </c>
      <c r="D563" s="350"/>
      <c r="E563" s="350"/>
      <c r="F563" s="350"/>
      <c r="G563" s="347"/>
      <c r="H563" s="123" t="str">
        <f>_xlfn.CONCAT(_xlfn.XLOOKUP("[S05_DefaultValues][361][FuelMaterialType]",Submission!$O:$O,Submission!$H:$N,""))</f>
        <v/>
      </c>
      <c r="I563" s="106" t="str">
        <f>_xlfn.CONCAT(_xlfn.XLOOKUP("[S05_DefaultValues][361][InstallationNumber]",Submission!$O:$O,Submission!$H:$N,""))</f>
        <v/>
      </c>
    </row>
    <row r="564" spans="1:9" ht="15.9" hidden="1" customHeight="1" outlineLevel="1" x14ac:dyDescent="0.3">
      <c r="A564" s="13"/>
      <c r="B564" s="34"/>
      <c r="C564" s="281" t="str">
        <f>_xlfn.CONCAT(_xlfn.XLOOKUP("[S05_DefaultValues][362][InstallationCategory]",Submission!$O:$O,Submission!$H:$N,""))</f>
        <v/>
      </c>
      <c r="D564" s="350"/>
      <c r="E564" s="350"/>
      <c r="F564" s="350"/>
      <c r="G564" s="347"/>
      <c r="H564" s="123" t="str">
        <f>_xlfn.CONCAT(_xlfn.XLOOKUP("[S05_DefaultValues][362][FuelMaterialType]",Submission!$O:$O,Submission!$H:$N,""))</f>
        <v/>
      </c>
      <c r="I564" s="106" t="str">
        <f>_xlfn.CONCAT(_xlfn.XLOOKUP("[S05_DefaultValues][362][InstallationNumber]",Submission!$O:$O,Submission!$H:$N,""))</f>
        <v/>
      </c>
    </row>
    <row r="565" spans="1:9" ht="15.9" hidden="1" customHeight="1" outlineLevel="1" x14ac:dyDescent="0.3">
      <c r="A565" s="13"/>
      <c r="B565" s="34"/>
      <c r="C565" s="281" t="str">
        <f>_xlfn.CONCAT(_xlfn.XLOOKUP("[S05_DefaultValues][363][InstallationCategory]",Submission!$O:$O,Submission!$H:$N,""))</f>
        <v/>
      </c>
      <c r="D565" s="350"/>
      <c r="E565" s="350"/>
      <c r="F565" s="350"/>
      <c r="G565" s="347"/>
      <c r="H565" s="123" t="str">
        <f>_xlfn.CONCAT(_xlfn.XLOOKUP("[S05_DefaultValues][363][FuelMaterialType]",Submission!$O:$O,Submission!$H:$N,""))</f>
        <v/>
      </c>
      <c r="I565" s="106" t="str">
        <f>_xlfn.CONCAT(_xlfn.XLOOKUP("[S05_DefaultValues][363][InstallationNumber]",Submission!$O:$O,Submission!$H:$N,""))</f>
        <v/>
      </c>
    </row>
    <row r="566" spans="1:9" ht="15.9" hidden="1" customHeight="1" outlineLevel="1" x14ac:dyDescent="0.3">
      <c r="A566" s="13"/>
      <c r="B566" s="34"/>
      <c r="C566" s="281" t="str">
        <f>_xlfn.CONCAT(_xlfn.XLOOKUP("[S05_DefaultValues][364][InstallationCategory]",Submission!$O:$O,Submission!$H:$N,""))</f>
        <v/>
      </c>
      <c r="D566" s="350"/>
      <c r="E566" s="350"/>
      <c r="F566" s="350"/>
      <c r="G566" s="347"/>
      <c r="H566" s="123" t="str">
        <f>_xlfn.CONCAT(_xlfn.XLOOKUP("[S05_DefaultValues][364][FuelMaterialType]",Submission!$O:$O,Submission!$H:$N,""))</f>
        <v/>
      </c>
      <c r="I566" s="106" t="str">
        <f>_xlfn.CONCAT(_xlfn.XLOOKUP("[S05_DefaultValues][364][InstallationNumber]",Submission!$O:$O,Submission!$H:$N,""))</f>
        <v/>
      </c>
    </row>
    <row r="567" spans="1:9" ht="15.9" hidden="1" customHeight="1" outlineLevel="1" x14ac:dyDescent="0.3">
      <c r="A567" s="13"/>
      <c r="B567" s="34"/>
      <c r="C567" s="281" t="str">
        <f>_xlfn.CONCAT(_xlfn.XLOOKUP("[S05_DefaultValues][365][InstallationCategory]",Submission!$O:$O,Submission!$H:$N,""))</f>
        <v/>
      </c>
      <c r="D567" s="350"/>
      <c r="E567" s="350"/>
      <c r="F567" s="350"/>
      <c r="G567" s="347"/>
      <c r="H567" s="123" t="str">
        <f>_xlfn.CONCAT(_xlfn.XLOOKUP("[S05_DefaultValues][365][FuelMaterialType]",Submission!$O:$O,Submission!$H:$N,""))</f>
        <v/>
      </c>
      <c r="I567" s="106" t="str">
        <f>_xlfn.CONCAT(_xlfn.XLOOKUP("[S05_DefaultValues][365][InstallationNumber]",Submission!$O:$O,Submission!$H:$N,""))</f>
        <v/>
      </c>
    </row>
    <row r="568" spans="1:9" ht="15.9" hidden="1" customHeight="1" outlineLevel="1" x14ac:dyDescent="0.3">
      <c r="A568" s="13"/>
      <c r="B568" s="34"/>
      <c r="C568" s="281" t="str">
        <f>_xlfn.CONCAT(_xlfn.XLOOKUP("[S05_DefaultValues][366][InstallationCategory]",Submission!$O:$O,Submission!$H:$N,""))</f>
        <v/>
      </c>
      <c r="D568" s="350"/>
      <c r="E568" s="350"/>
      <c r="F568" s="350"/>
      <c r="G568" s="347"/>
      <c r="H568" s="123" t="str">
        <f>_xlfn.CONCAT(_xlfn.XLOOKUP("[S05_DefaultValues][366][FuelMaterialType]",Submission!$O:$O,Submission!$H:$N,""))</f>
        <v/>
      </c>
      <c r="I568" s="106" t="str">
        <f>_xlfn.CONCAT(_xlfn.XLOOKUP("[S05_DefaultValues][366][InstallationNumber]",Submission!$O:$O,Submission!$H:$N,""))</f>
        <v/>
      </c>
    </row>
    <row r="569" spans="1:9" ht="15.9" hidden="1" customHeight="1" outlineLevel="1" x14ac:dyDescent="0.3">
      <c r="A569" s="13"/>
      <c r="B569" s="34"/>
      <c r="C569" s="281" t="str">
        <f>_xlfn.CONCAT(_xlfn.XLOOKUP("[S05_DefaultValues][367][InstallationCategory]",Submission!$O:$O,Submission!$H:$N,""))</f>
        <v/>
      </c>
      <c r="D569" s="350"/>
      <c r="E569" s="350"/>
      <c r="F569" s="350"/>
      <c r="G569" s="347"/>
      <c r="H569" s="123" t="str">
        <f>_xlfn.CONCAT(_xlfn.XLOOKUP("[S05_DefaultValues][367][FuelMaterialType]",Submission!$O:$O,Submission!$H:$N,""))</f>
        <v/>
      </c>
      <c r="I569" s="106" t="str">
        <f>_xlfn.CONCAT(_xlfn.XLOOKUP("[S05_DefaultValues][367][InstallationNumber]",Submission!$O:$O,Submission!$H:$N,""))</f>
        <v/>
      </c>
    </row>
    <row r="570" spans="1:9" ht="15.9" hidden="1" customHeight="1" outlineLevel="1" x14ac:dyDescent="0.3">
      <c r="A570" s="13"/>
      <c r="B570" s="34"/>
      <c r="C570" s="281" t="str">
        <f>_xlfn.CONCAT(_xlfn.XLOOKUP("[S05_DefaultValues][368][InstallationCategory]",Submission!$O:$O,Submission!$H:$N,""))</f>
        <v/>
      </c>
      <c r="D570" s="350"/>
      <c r="E570" s="350"/>
      <c r="F570" s="350"/>
      <c r="G570" s="347"/>
      <c r="H570" s="123" t="str">
        <f>_xlfn.CONCAT(_xlfn.XLOOKUP("[S05_DefaultValues][368][FuelMaterialType]",Submission!$O:$O,Submission!$H:$N,""))</f>
        <v/>
      </c>
      <c r="I570" s="106" t="str">
        <f>_xlfn.CONCAT(_xlfn.XLOOKUP("[S05_DefaultValues][368][InstallationNumber]",Submission!$O:$O,Submission!$H:$N,""))</f>
        <v/>
      </c>
    </row>
    <row r="571" spans="1:9" ht="15.9" hidden="1" customHeight="1" outlineLevel="1" x14ac:dyDescent="0.3">
      <c r="A571" s="13"/>
      <c r="B571" s="34"/>
      <c r="C571" s="281" t="str">
        <f>_xlfn.CONCAT(_xlfn.XLOOKUP("[S05_DefaultValues][369][InstallationCategory]",Submission!$O:$O,Submission!$H:$N,""))</f>
        <v/>
      </c>
      <c r="D571" s="350"/>
      <c r="E571" s="350"/>
      <c r="F571" s="350"/>
      <c r="G571" s="347"/>
      <c r="H571" s="123" t="str">
        <f>_xlfn.CONCAT(_xlfn.XLOOKUP("[S05_DefaultValues][369][FuelMaterialType]",Submission!$O:$O,Submission!$H:$N,""))</f>
        <v/>
      </c>
      <c r="I571" s="106" t="str">
        <f>_xlfn.CONCAT(_xlfn.XLOOKUP("[S05_DefaultValues][369][InstallationNumber]",Submission!$O:$O,Submission!$H:$N,""))</f>
        <v/>
      </c>
    </row>
    <row r="572" spans="1:9" ht="15.9" hidden="1" customHeight="1" outlineLevel="1" x14ac:dyDescent="0.3">
      <c r="A572" s="13"/>
      <c r="B572" s="34"/>
      <c r="C572" s="281" t="str">
        <f>_xlfn.CONCAT(_xlfn.XLOOKUP("[S05_DefaultValues][370][InstallationCategory]",Submission!$O:$O,Submission!$H:$N,""))</f>
        <v/>
      </c>
      <c r="D572" s="350"/>
      <c r="E572" s="350"/>
      <c r="F572" s="350"/>
      <c r="G572" s="347"/>
      <c r="H572" s="123" t="str">
        <f>_xlfn.CONCAT(_xlfn.XLOOKUP("[S05_DefaultValues][370][FuelMaterialType]",Submission!$O:$O,Submission!$H:$N,""))</f>
        <v/>
      </c>
      <c r="I572" s="106" t="str">
        <f>_xlfn.CONCAT(_xlfn.XLOOKUP("[S05_DefaultValues][370][InstallationNumber]",Submission!$O:$O,Submission!$H:$N,""))</f>
        <v/>
      </c>
    </row>
    <row r="573" spans="1:9" ht="15.9" hidden="1" customHeight="1" outlineLevel="1" x14ac:dyDescent="0.3">
      <c r="A573" s="13"/>
      <c r="B573" s="34"/>
      <c r="C573" s="281" t="str">
        <f>_xlfn.CONCAT(_xlfn.XLOOKUP("[S05_DefaultValues][371][InstallationCategory]",Submission!$O:$O,Submission!$H:$N,""))</f>
        <v/>
      </c>
      <c r="D573" s="350"/>
      <c r="E573" s="350"/>
      <c r="F573" s="350"/>
      <c r="G573" s="347"/>
      <c r="H573" s="123" t="str">
        <f>_xlfn.CONCAT(_xlfn.XLOOKUP("[S05_DefaultValues][371][FuelMaterialType]",Submission!$O:$O,Submission!$H:$N,""))</f>
        <v/>
      </c>
      <c r="I573" s="106" t="str">
        <f>_xlfn.CONCAT(_xlfn.XLOOKUP("[S05_DefaultValues][371][InstallationNumber]",Submission!$O:$O,Submission!$H:$N,""))</f>
        <v/>
      </c>
    </row>
    <row r="574" spans="1:9" ht="15.9" hidden="1" customHeight="1" outlineLevel="1" x14ac:dyDescent="0.3">
      <c r="A574" s="13"/>
      <c r="B574" s="34"/>
      <c r="C574" s="281" t="str">
        <f>_xlfn.CONCAT(_xlfn.XLOOKUP("[S05_DefaultValues][372][InstallationCategory]",Submission!$O:$O,Submission!$H:$N,""))</f>
        <v/>
      </c>
      <c r="D574" s="350"/>
      <c r="E574" s="350"/>
      <c r="F574" s="350"/>
      <c r="G574" s="347"/>
      <c r="H574" s="123" t="str">
        <f>_xlfn.CONCAT(_xlfn.XLOOKUP("[S05_DefaultValues][372][FuelMaterialType]",Submission!$O:$O,Submission!$H:$N,""))</f>
        <v/>
      </c>
      <c r="I574" s="106" t="str">
        <f>_xlfn.CONCAT(_xlfn.XLOOKUP("[S05_DefaultValues][372][InstallationNumber]",Submission!$O:$O,Submission!$H:$N,""))</f>
        <v/>
      </c>
    </row>
    <row r="575" spans="1:9" ht="15.9" hidden="1" customHeight="1" outlineLevel="1" x14ac:dyDescent="0.3">
      <c r="A575" s="13"/>
      <c r="B575" s="34"/>
      <c r="C575" s="281" t="str">
        <f>_xlfn.CONCAT(_xlfn.XLOOKUP("[S05_DefaultValues][373][InstallationCategory]",Submission!$O:$O,Submission!$H:$N,""))</f>
        <v/>
      </c>
      <c r="D575" s="350"/>
      <c r="E575" s="350"/>
      <c r="F575" s="350"/>
      <c r="G575" s="347"/>
      <c r="H575" s="123" t="str">
        <f>_xlfn.CONCAT(_xlfn.XLOOKUP("[S05_DefaultValues][373][FuelMaterialType]",Submission!$O:$O,Submission!$H:$N,""))</f>
        <v/>
      </c>
      <c r="I575" s="106" t="str">
        <f>_xlfn.CONCAT(_xlfn.XLOOKUP("[S05_DefaultValues][373][InstallationNumber]",Submission!$O:$O,Submission!$H:$N,""))</f>
        <v/>
      </c>
    </row>
    <row r="576" spans="1:9" ht="15.9" hidden="1" customHeight="1" outlineLevel="1" x14ac:dyDescent="0.3">
      <c r="A576" s="13"/>
      <c r="B576" s="34"/>
      <c r="C576" s="281" t="str">
        <f>_xlfn.CONCAT(_xlfn.XLOOKUP("[S05_DefaultValues][374][InstallationCategory]",Submission!$O:$O,Submission!$H:$N,""))</f>
        <v/>
      </c>
      <c r="D576" s="350"/>
      <c r="E576" s="350"/>
      <c r="F576" s="350"/>
      <c r="G576" s="347"/>
      <c r="H576" s="123" t="str">
        <f>_xlfn.CONCAT(_xlfn.XLOOKUP("[S05_DefaultValues][374][FuelMaterialType]",Submission!$O:$O,Submission!$H:$N,""))</f>
        <v/>
      </c>
      <c r="I576" s="106" t="str">
        <f>_xlfn.CONCAT(_xlfn.XLOOKUP("[S05_DefaultValues][374][InstallationNumber]",Submission!$O:$O,Submission!$H:$N,""))</f>
        <v/>
      </c>
    </row>
    <row r="577" spans="1:9" ht="15.9" hidden="1" customHeight="1" outlineLevel="1" x14ac:dyDescent="0.3">
      <c r="A577" s="13"/>
      <c r="B577" s="34"/>
      <c r="C577" s="281" t="str">
        <f>_xlfn.CONCAT(_xlfn.XLOOKUP("[S05_DefaultValues][375][InstallationCategory]",Submission!$O:$O,Submission!$H:$N,""))</f>
        <v/>
      </c>
      <c r="D577" s="350"/>
      <c r="E577" s="350"/>
      <c r="F577" s="350"/>
      <c r="G577" s="347"/>
      <c r="H577" s="123" t="str">
        <f>_xlfn.CONCAT(_xlfn.XLOOKUP("[S05_DefaultValues][375][FuelMaterialType]",Submission!$O:$O,Submission!$H:$N,""))</f>
        <v/>
      </c>
      <c r="I577" s="106" t="str">
        <f>_xlfn.CONCAT(_xlfn.XLOOKUP("[S05_DefaultValues][375][InstallationNumber]",Submission!$O:$O,Submission!$H:$N,""))</f>
        <v/>
      </c>
    </row>
    <row r="578" spans="1:9" ht="15.9" hidden="1" customHeight="1" outlineLevel="1" x14ac:dyDescent="0.3">
      <c r="A578" s="13"/>
      <c r="B578" s="34"/>
      <c r="C578" s="281" t="str">
        <f>_xlfn.CONCAT(_xlfn.XLOOKUP("[S05_DefaultValues][376][InstallationCategory]",Submission!$O:$O,Submission!$H:$N,""))</f>
        <v/>
      </c>
      <c r="D578" s="350"/>
      <c r="E578" s="350"/>
      <c r="F578" s="350"/>
      <c r="G578" s="347"/>
      <c r="H578" s="123" t="str">
        <f>_xlfn.CONCAT(_xlfn.XLOOKUP("[S05_DefaultValues][376][FuelMaterialType]",Submission!$O:$O,Submission!$H:$N,""))</f>
        <v/>
      </c>
      <c r="I578" s="106" t="str">
        <f>_xlfn.CONCAT(_xlfn.XLOOKUP("[S05_DefaultValues][376][InstallationNumber]",Submission!$O:$O,Submission!$H:$N,""))</f>
        <v/>
      </c>
    </row>
    <row r="579" spans="1:9" ht="15.9" hidden="1" customHeight="1" outlineLevel="1" x14ac:dyDescent="0.3">
      <c r="A579" s="13"/>
      <c r="B579" s="34"/>
      <c r="C579" s="281" t="str">
        <f>_xlfn.CONCAT(_xlfn.XLOOKUP("[S05_DefaultValues][377][InstallationCategory]",Submission!$O:$O,Submission!$H:$N,""))</f>
        <v/>
      </c>
      <c r="D579" s="350"/>
      <c r="E579" s="350"/>
      <c r="F579" s="350"/>
      <c r="G579" s="347"/>
      <c r="H579" s="123" t="str">
        <f>_xlfn.CONCAT(_xlfn.XLOOKUP("[S05_DefaultValues][377][FuelMaterialType]",Submission!$O:$O,Submission!$H:$N,""))</f>
        <v/>
      </c>
      <c r="I579" s="106" t="str">
        <f>_xlfn.CONCAT(_xlfn.XLOOKUP("[S05_DefaultValues][377][InstallationNumber]",Submission!$O:$O,Submission!$H:$N,""))</f>
        <v/>
      </c>
    </row>
    <row r="580" spans="1:9" ht="15.9" hidden="1" customHeight="1" outlineLevel="1" x14ac:dyDescent="0.3">
      <c r="A580" s="13"/>
      <c r="B580" s="34"/>
      <c r="C580" s="281" t="str">
        <f>_xlfn.CONCAT(_xlfn.XLOOKUP("[S05_DefaultValues][378][InstallationCategory]",Submission!$O:$O,Submission!$H:$N,""))</f>
        <v/>
      </c>
      <c r="D580" s="350"/>
      <c r="E580" s="350"/>
      <c r="F580" s="350"/>
      <c r="G580" s="347"/>
      <c r="H580" s="123" t="str">
        <f>_xlfn.CONCAT(_xlfn.XLOOKUP("[S05_DefaultValues][378][FuelMaterialType]",Submission!$O:$O,Submission!$H:$N,""))</f>
        <v/>
      </c>
      <c r="I580" s="106" t="str">
        <f>_xlfn.CONCAT(_xlfn.XLOOKUP("[S05_DefaultValues][378][InstallationNumber]",Submission!$O:$O,Submission!$H:$N,""))</f>
        <v/>
      </c>
    </row>
    <row r="581" spans="1:9" ht="15.9" hidden="1" customHeight="1" outlineLevel="1" x14ac:dyDescent="0.3">
      <c r="A581" s="13"/>
      <c r="B581" s="34"/>
      <c r="C581" s="281" t="str">
        <f>_xlfn.CONCAT(_xlfn.XLOOKUP("[S05_DefaultValues][379][InstallationCategory]",Submission!$O:$O,Submission!$H:$N,""))</f>
        <v/>
      </c>
      <c r="D581" s="350"/>
      <c r="E581" s="350"/>
      <c r="F581" s="350"/>
      <c r="G581" s="347"/>
      <c r="H581" s="123" t="str">
        <f>_xlfn.CONCAT(_xlfn.XLOOKUP("[S05_DefaultValues][379][FuelMaterialType]",Submission!$O:$O,Submission!$H:$N,""))</f>
        <v/>
      </c>
      <c r="I581" s="106" t="str">
        <f>_xlfn.CONCAT(_xlfn.XLOOKUP("[S05_DefaultValues][379][InstallationNumber]",Submission!$O:$O,Submission!$H:$N,""))</f>
        <v/>
      </c>
    </row>
    <row r="582" spans="1:9" ht="15.9" hidden="1" customHeight="1" outlineLevel="1" x14ac:dyDescent="0.3">
      <c r="A582" s="13"/>
      <c r="B582" s="34"/>
      <c r="C582" s="281" t="str">
        <f>_xlfn.CONCAT(_xlfn.XLOOKUP("[S05_DefaultValues][380][InstallationCategory]",Submission!$O:$O,Submission!$H:$N,""))</f>
        <v/>
      </c>
      <c r="D582" s="350"/>
      <c r="E582" s="350"/>
      <c r="F582" s="350"/>
      <c r="G582" s="347"/>
      <c r="H582" s="123" t="str">
        <f>_xlfn.CONCAT(_xlfn.XLOOKUP("[S05_DefaultValues][380][FuelMaterialType]",Submission!$O:$O,Submission!$H:$N,""))</f>
        <v/>
      </c>
      <c r="I582" s="106" t="str">
        <f>_xlfn.CONCAT(_xlfn.XLOOKUP("[S05_DefaultValues][380][InstallationNumber]",Submission!$O:$O,Submission!$H:$N,""))</f>
        <v/>
      </c>
    </row>
    <row r="583" spans="1:9" ht="15.9" hidden="1" customHeight="1" outlineLevel="1" x14ac:dyDescent="0.3">
      <c r="A583" s="13"/>
      <c r="B583" s="34"/>
      <c r="C583" s="281" t="str">
        <f>_xlfn.CONCAT(_xlfn.XLOOKUP("[S05_DefaultValues][381][InstallationCategory]",Submission!$O:$O,Submission!$H:$N,""))</f>
        <v/>
      </c>
      <c r="D583" s="350"/>
      <c r="E583" s="350"/>
      <c r="F583" s="350"/>
      <c r="G583" s="347"/>
      <c r="H583" s="123" t="str">
        <f>_xlfn.CONCAT(_xlfn.XLOOKUP("[S05_DefaultValues][381][FuelMaterialType]",Submission!$O:$O,Submission!$H:$N,""))</f>
        <v/>
      </c>
      <c r="I583" s="106" t="str">
        <f>_xlfn.CONCAT(_xlfn.XLOOKUP("[S05_DefaultValues][381][InstallationNumber]",Submission!$O:$O,Submission!$H:$N,""))</f>
        <v/>
      </c>
    </row>
    <row r="584" spans="1:9" ht="15.9" hidden="1" customHeight="1" outlineLevel="1" x14ac:dyDescent="0.3">
      <c r="A584" s="13"/>
      <c r="B584" s="34"/>
      <c r="C584" s="281" t="str">
        <f>_xlfn.CONCAT(_xlfn.XLOOKUP("[S05_DefaultValues][382][InstallationCategory]",Submission!$O:$O,Submission!$H:$N,""))</f>
        <v/>
      </c>
      <c r="D584" s="350"/>
      <c r="E584" s="350"/>
      <c r="F584" s="350"/>
      <c r="G584" s="347"/>
      <c r="H584" s="123" t="str">
        <f>_xlfn.CONCAT(_xlfn.XLOOKUP("[S05_DefaultValues][382][FuelMaterialType]",Submission!$O:$O,Submission!$H:$N,""))</f>
        <v/>
      </c>
      <c r="I584" s="106" t="str">
        <f>_xlfn.CONCAT(_xlfn.XLOOKUP("[S05_DefaultValues][382][InstallationNumber]",Submission!$O:$O,Submission!$H:$N,""))</f>
        <v/>
      </c>
    </row>
    <row r="585" spans="1:9" ht="15.9" hidden="1" customHeight="1" outlineLevel="1" x14ac:dyDescent="0.3">
      <c r="A585" s="13"/>
      <c r="B585" s="34"/>
      <c r="C585" s="281" t="str">
        <f>_xlfn.CONCAT(_xlfn.XLOOKUP("[S05_DefaultValues][383][InstallationCategory]",Submission!$O:$O,Submission!$H:$N,""))</f>
        <v/>
      </c>
      <c r="D585" s="350"/>
      <c r="E585" s="350"/>
      <c r="F585" s="350"/>
      <c r="G585" s="347"/>
      <c r="H585" s="123" t="str">
        <f>_xlfn.CONCAT(_xlfn.XLOOKUP("[S05_DefaultValues][383][FuelMaterialType]",Submission!$O:$O,Submission!$H:$N,""))</f>
        <v/>
      </c>
      <c r="I585" s="106" t="str">
        <f>_xlfn.CONCAT(_xlfn.XLOOKUP("[S05_DefaultValues][383][InstallationNumber]",Submission!$O:$O,Submission!$H:$N,""))</f>
        <v/>
      </c>
    </row>
    <row r="586" spans="1:9" ht="15.9" hidden="1" customHeight="1" outlineLevel="1" x14ac:dyDescent="0.3">
      <c r="A586" s="13"/>
      <c r="B586" s="34"/>
      <c r="C586" s="281" t="str">
        <f>_xlfn.CONCAT(_xlfn.XLOOKUP("[S05_DefaultValues][384][InstallationCategory]",Submission!$O:$O,Submission!$H:$N,""))</f>
        <v/>
      </c>
      <c r="D586" s="350"/>
      <c r="E586" s="350"/>
      <c r="F586" s="350"/>
      <c r="G586" s="347"/>
      <c r="H586" s="123" t="str">
        <f>_xlfn.CONCAT(_xlfn.XLOOKUP("[S05_DefaultValues][384][FuelMaterialType]",Submission!$O:$O,Submission!$H:$N,""))</f>
        <v/>
      </c>
      <c r="I586" s="106" t="str">
        <f>_xlfn.CONCAT(_xlfn.XLOOKUP("[S05_DefaultValues][384][InstallationNumber]",Submission!$O:$O,Submission!$H:$N,""))</f>
        <v/>
      </c>
    </row>
    <row r="587" spans="1:9" ht="15.9" hidden="1" customHeight="1" outlineLevel="1" x14ac:dyDescent="0.3">
      <c r="A587" s="13"/>
      <c r="B587" s="34"/>
      <c r="C587" s="281" t="str">
        <f>_xlfn.CONCAT(_xlfn.XLOOKUP("[S05_DefaultValues][385][InstallationCategory]",Submission!$O:$O,Submission!$H:$N,""))</f>
        <v/>
      </c>
      <c r="D587" s="350"/>
      <c r="E587" s="350"/>
      <c r="F587" s="350"/>
      <c r="G587" s="347"/>
      <c r="H587" s="123" t="str">
        <f>_xlfn.CONCAT(_xlfn.XLOOKUP("[S05_DefaultValues][385][FuelMaterialType]",Submission!$O:$O,Submission!$H:$N,""))</f>
        <v/>
      </c>
      <c r="I587" s="106" t="str">
        <f>_xlfn.CONCAT(_xlfn.XLOOKUP("[S05_DefaultValues][385][InstallationNumber]",Submission!$O:$O,Submission!$H:$N,""))</f>
        <v/>
      </c>
    </row>
    <row r="588" spans="1:9" ht="15.9" hidden="1" customHeight="1" outlineLevel="1" x14ac:dyDescent="0.3">
      <c r="A588" s="13"/>
      <c r="B588" s="34"/>
      <c r="C588" s="281" t="str">
        <f>_xlfn.CONCAT(_xlfn.XLOOKUP("[S05_DefaultValues][386][InstallationCategory]",Submission!$O:$O,Submission!$H:$N,""))</f>
        <v/>
      </c>
      <c r="D588" s="350"/>
      <c r="E588" s="350"/>
      <c r="F588" s="350"/>
      <c r="G588" s="347"/>
      <c r="H588" s="123" t="str">
        <f>_xlfn.CONCAT(_xlfn.XLOOKUP("[S05_DefaultValues][386][FuelMaterialType]",Submission!$O:$O,Submission!$H:$N,""))</f>
        <v/>
      </c>
      <c r="I588" s="106" t="str">
        <f>_xlfn.CONCAT(_xlfn.XLOOKUP("[S05_DefaultValues][386][InstallationNumber]",Submission!$O:$O,Submission!$H:$N,""))</f>
        <v/>
      </c>
    </row>
    <row r="589" spans="1:9" ht="15.9" hidden="1" customHeight="1" outlineLevel="1" x14ac:dyDescent="0.3">
      <c r="A589" s="13"/>
      <c r="B589" s="34"/>
      <c r="C589" s="281" t="str">
        <f>_xlfn.CONCAT(_xlfn.XLOOKUP("[S05_DefaultValues][387][InstallationCategory]",Submission!$O:$O,Submission!$H:$N,""))</f>
        <v/>
      </c>
      <c r="D589" s="350"/>
      <c r="E589" s="350"/>
      <c r="F589" s="350"/>
      <c r="G589" s="347"/>
      <c r="H589" s="123" t="str">
        <f>_xlfn.CONCAT(_xlfn.XLOOKUP("[S05_DefaultValues][387][FuelMaterialType]",Submission!$O:$O,Submission!$H:$N,""))</f>
        <v/>
      </c>
      <c r="I589" s="106" t="str">
        <f>_xlfn.CONCAT(_xlfn.XLOOKUP("[S05_DefaultValues][387][InstallationNumber]",Submission!$O:$O,Submission!$H:$N,""))</f>
        <v/>
      </c>
    </row>
    <row r="590" spans="1:9" ht="15.9" hidden="1" customHeight="1" outlineLevel="1" x14ac:dyDescent="0.3">
      <c r="A590" s="13"/>
      <c r="B590" s="34"/>
      <c r="C590" s="281" t="str">
        <f>_xlfn.CONCAT(_xlfn.XLOOKUP("[S05_DefaultValues][388][InstallationCategory]",Submission!$O:$O,Submission!$H:$N,""))</f>
        <v/>
      </c>
      <c r="D590" s="350"/>
      <c r="E590" s="350"/>
      <c r="F590" s="350"/>
      <c r="G590" s="347"/>
      <c r="H590" s="123" t="str">
        <f>_xlfn.CONCAT(_xlfn.XLOOKUP("[S05_DefaultValues][388][FuelMaterialType]",Submission!$O:$O,Submission!$H:$N,""))</f>
        <v/>
      </c>
      <c r="I590" s="106" t="str">
        <f>_xlfn.CONCAT(_xlfn.XLOOKUP("[S05_DefaultValues][388][InstallationNumber]",Submission!$O:$O,Submission!$H:$N,""))</f>
        <v/>
      </c>
    </row>
    <row r="591" spans="1:9" ht="15.9" hidden="1" customHeight="1" outlineLevel="1" x14ac:dyDescent="0.3">
      <c r="A591" s="13"/>
      <c r="B591" s="34"/>
      <c r="C591" s="281" t="str">
        <f>_xlfn.CONCAT(_xlfn.XLOOKUP("[S05_DefaultValues][389][InstallationCategory]",Submission!$O:$O,Submission!$H:$N,""))</f>
        <v/>
      </c>
      <c r="D591" s="350"/>
      <c r="E591" s="350"/>
      <c r="F591" s="350"/>
      <c r="G591" s="347"/>
      <c r="H591" s="123" t="str">
        <f>_xlfn.CONCAT(_xlfn.XLOOKUP("[S05_DefaultValues][389][FuelMaterialType]",Submission!$O:$O,Submission!$H:$N,""))</f>
        <v/>
      </c>
      <c r="I591" s="106" t="str">
        <f>_xlfn.CONCAT(_xlfn.XLOOKUP("[S05_DefaultValues][389][InstallationNumber]",Submission!$O:$O,Submission!$H:$N,""))</f>
        <v/>
      </c>
    </row>
    <row r="592" spans="1:9" ht="15.9" hidden="1" customHeight="1" outlineLevel="1" x14ac:dyDescent="0.3">
      <c r="A592" s="13"/>
      <c r="B592" s="34"/>
      <c r="C592" s="281" t="str">
        <f>_xlfn.CONCAT(_xlfn.XLOOKUP("[S05_DefaultValues][390][InstallationCategory]",Submission!$O:$O,Submission!$H:$N,""))</f>
        <v/>
      </c>
      <c r="D592" s="350"/>
      <c r="E592" s="350"/>
      <c r="F592" s="350"/>
      <c r="G592" s="347"/>
      <c r="H592" s="123" t="str">
        <f>_xlfn.CONCAT(_xlfn.XLOOKUP("[S05_DefaultValues][390][FuelMaterialType]",Submission!$O:$O,Submission!$H:$N,""))</f>
        <v/>
      </c>
      <c r="I592" s="106" t="str">
        <f>_xlfn.CONCAT(_xlfn.XLOOKUP("[S05_DefaultValues][390][InstallationNumber]",Submission!$O:$O,Submission!$H:$N,""))</f>
        <v/>
      </c>
    </row>
    <row r="593" spans="1:9" ht="15.9" hidden="1" customHeight="1" outlineLevel="1" x14ac:dyDescent="0.3">
      <c r="A593" s="13"/>
      <c r="B593" s="34"/>
      <c r="C593" s="281" t="str">
        <f>_xlfn.CONCAT(_xlfn.XLOOKUP("[S05_DefaultValues][391][InstallationCategory]",Submission!$O:$O,Submission!$H:$N,""))</f>
        <v/>
      </c>
      <c r="D593" s="350"/>
      <c r="E593" s="350"/>
      <c r="F593" s="350"/>
      <c r="G593" s="347"/>
      <c r="H593" s="123" t="str">
        <f>_xlfn.CONCAT(_xlfn.XLOOKUP("[S05_DefaultValues][391][FuelMaterialType]",Submission!$O:$O,Submission!$H:$N,""))</f>
        <v/>
      </c>
      <c r="I593" s="106" t="str">
        <f>_xlfn.CONCAT(_xlfn.XLOOKUP("[S05_DefaultValues][391][InstallationNumber]",Submission!$O:$O,Submission!$H:$N,""))</f>
        <v/>
      </c>
    </row>
    <row r="594" spans="1:9" ht="15.9" hidden="1" customHeight="1" outlineLevel="1" x14ac:dyDescent="0.3">
      <c r="A594" s="13"/>
      <c r="B594" s="34"/>
      <c r="C594" s="281" t="str">
        <f>_xlfn.CONCAT(_xlfn.XLOOKUP("[S05_DefaultValues][392][InstallationCategory]",Submission!$O:$O,Submission!$H:$N,""))</f>
        <v/>
      </c>
      <c r="D594" s="350"/>
      <c r="E594" s="350"/>
      <c r="F594" s="350"/>
      <c r="G594" s="347"/>
      <c r="H594" s="123" t="str">
        <f>_xlfn.CONCAT(_xlfn.XLOOKUP("[S05_DefaultValues][392][FuelMaterialType]",Submission!$O:$O,Submission!$H:$N,""))</f>
        <v/>
      </c>
      <c r="I594" s="106" t="str">
        <f>_xlfn.CONCAT(_xlfn.XLOOKUP("[S05_DefaultValues][392][InstallationNumber]",Submission!$O:$O,Submission!$H:$N,""))</f>
        <v/>
      </c>
    </row>
    <row r="595" spans="1:9" ht="15.9" hidden="1" customHeight="1" outlineLevel="1" x14ac:dyDescent="0.3">
      <c r="A595" s="13"/>
      <c r="B595" s="34"/>
      <c r="C595" s="281" t="str">
        <f>_xlfn.CONCAT(_xlfn.XLOOKUP("[S05_DefaultValues][393][InstallationCategory]",Submission!$O:$O,Submission!$H:$N,""))</f>
        <v/>
      </c>
      <c r="D595" s="350"/>
      <c r="E595" s="350"/>
      <c r="F595" s="350"/>
      <c r="G595" s="347"/>
      <c r="H595" s="123" t="str">
        <f>_xlfn.CONCAT(_xlfn.XLOOKUP("[S05_DefaultValues][393][FuelMaterialType]",Submission!$O:$O,Submission!$H:$N,""))</f>
        <v/>
      </c>
      <c r="I595" s="106" t="str">
        <f>_xlfn.CONCAT(_xlfn.XLOOKUP("[S05_DefaultValues][393][InstallationNumber]",Submission!$O:$O,Submission!$H:$N,""))</f>
        <v/>
      </c>
    </row>
    <row r="596" spans="1:9" ht="15.9" hidden="1" customHeight="1" outlineLevel="1" x14ac:dyDescent="0.3">
      <c r="A596" s="13"/>
      <c r="B596" s="34"/>
      <c r="C596" s="281" t="str">
        <f>_xlfn.CONCAT(_xlfn.XLOOKUP("[S05_DefaultValues][394][InstallationCategory]",Submission!$O:$O,Submission!$H:$N,""))</f>
        <v/>
      </c>
      <c r="D596" s="350"/>
      <c r="E596" s="350"/>
      <c r="F596" s="350"/>
      <c r="G596" s="347"/>
      <c r="H596" s="123" t="str">
        <f>_xlfn.CONCAT(_xlfn.XLOOKUP("[S05_DefaultValues][394][FuelMaterialType]",Submission!$O:$O,Submission!$H:$N,""))</f>
        <v/>
      </c>
      <c r="I596" s="106" t="str">
        <f>_xlfn.CONCAT(_xlfn.XLOOKUP("[S05_DefaultValues][394][InstallationNumber]",Submission!$O:$O,Submission!$H:$N,""))</f>
        <v/>
      </c>
    </row>
    <row r="597" spans="1:9" ht="15.9" hidden="1" customHeight="1" outlineLevel="1" x14ac:dyDescent="0.3">
      <c r="A597" s="13"/>
      <c r="B597" s="34"/>
      <c r="C597" s="281" t="str">
        <f>_xlfn.CONCAT(_xlfn.XLOOKUP("[S05_DefaultValues][395][InstallationCategory]",Submission!$O:$O,Submission!$H:$N,""))</f>
        <v/>
      </c>
      <c r="D597" s="350"/>
      <c r="E597" s="350"/>
      <c r="F597" s="350"/>
      <c r="G597" s="347"/>
      <c r="H597" s="123" t="str">
        <f>_xlfn.CONCAT(_xlfn.XLOOKUP("[S05_DefaultValues][395][FuelMaterialType]",Submission!$O:$O,Submission!$H:$N,""))</f>
        <v/>
      </c>
      <c r="I597" s="106" t="str">
        <f>_xlfn.CONCAT(_xlfn.XLOOKUP("[S05_DefaultValues][395][InstallationNumber]",Submission!$O:$O,Submission!$H:$N,""))</f>
        <v/>
      </c>
    </row>
    <row r="598" spans="1:9" ht="15.9" hidden="1" customHeight="1" outlineLevel="1" x14ac:dyDescent="0.3">
      <c r="A598" s="13"/>
      <c r="B598" s="34"/>
      <c r="C598" s="281" t="str">
        <f>_xlfn.CONCAT(_xlfn.XLOOKUP("[S05_DefaultValues][396][InstallationCategory]",Submission!$O:$O,Submission!$H:$N,""))</f>
        <v/>
      </c>
      <c r="D598" s="350"/>
      <c r="E598" s="350"/>
      <c r="F598" s="350"/>
      <c r="G598" s="347"/>
      <c r="H598" s="123" t="str">
        <f>_xlfn.CONCAT(_xlfn.XLOOKUP("[S05_DefaultValues][396][FuelMaterialType]",Submission!$O:$O,Submission!$H:$N,""))</f>
        <v/>
      </c>
      <c r="I598" s="106" t="str">
        <f>_xlfn.CONCAT(_xlfn.XLOOKUP("[S05_DefaultValues][396][InstallationNumber]",Submission!$O:$O,Submission!$H:$N,""))</f>
        <v/>
      </c>
    </row>
    <row r="599" spans="1:9" ht="15.9" hidden="1" customHeight="1" outlineLevel="1" x14ac:dyDescent="0.3">
      <c r="A599" s="13"/>
      <c r="B599" s="34"/>
      <c r="C599" s="281" t="str">
        <f>_xlfn.CONCAT(_xlfn.XLOOKUP("[S05_DefaultValues][397][InstallationCategory]",Submission!$O:$O,Submission!$H:$N,""))</f>
        <v/>
      </c>
      <c r="D599" s="350"/>
      <c r="E599" s="350"/>
      <c r="F599" s="350"/>
      <c r="G599" s="347"/>
      <c r="H599" s="123" t="str">
        <f>_xlfn.CONCAT(_xlfn.XLOOKUP("[S05_DefaultValues][397][FuelMaterialType]",Submission!$O:$O,Submission!$H:$N,""))</f>
        <v/>
      </c>
      <c r="I599" s="106" t="str">
        <f>_xlfn.CONCAT(_xlfn.XLOOKUP("[S05_DefaultValues][397][InstallationNumber]",Submission!$O:$O,Submission!$H:$N,""))</f>
        <v/>
      </c>
    </row>
    <row r="600" spans="1:9" ht="15.9" hidden="1" customHeight="1" outlineLevel="1" x14ac:dyDescent="0.3">
      <c r="A600" s="13"/>
      <c r="B600" s="34"/>
      <c r="C600" s="281" t="str">
        <f>_xlfn.CONCAT(_xlfn.XLOOKUP("[S05_DefaultValues][398][InstallationCategory]",Submission!$O:$O,Submission!$H:$N,""))</f>
        <v/>
      </c>
      <c r="D600" s="350"/>
      <c r="E600" s="350"/>
      <c r="F600" s="350"/>
      <c r="G600" s="347"/>
      <c r="H600" s="123" t="str">
        <f>_xlfn.CONCAT(_xlfn.XLOOKUP("[S05_DefaultValues][398][FuelMaterialType]",Submission!$O:$O,Submission!$H:$N,""))</f>
        <v/>
      </c>
      <c r="I600" s="106" t="str">
        <f>_xlfn.CONCAT(_xlfn.XLOOKUP("[S05_DefaultValues][398][InstallationNumber]",Submission!$O:$O,Submission!$H:$N,""))</f>
        <v/>
      </c>
    </row>
    <row r="601" spans="1:9" ht="15.9" hidden="1" customHeight="1" outlineLevel="1" x14ac:dyDescent="0.3">
      <c r="A601" s="13"/>
      <c r="B601" s="34"/>
      <c r="C601" s="281" t="str">
        <f>_xlfn.CONCAT(_xlfn.XLOOKUP("[S05_DefaultValues][399][InstallationCategory]",Submission!$O:$O,Submission!$H:$N,""))</f>
        <v/>
      </c>
      <c r="D601" s="350"/>
      <c r="E601" s="350"/>
      <c r="F601" s="350"/>
      <c r="G601" s="347"/>
      <c r="H601" s="123" t="str">
        <f>_xlfn.CONCAT(_xlfn.XLOOKUP("[S05_DefaultValues][399][FuelMaterialType]",Submission!$O:$O,Submission!$H:$N,""))</f>
        <v/>
      </c>
      <c r="I601" s="106" t="str">
        <f>_xlfn.CONCAT(_xlfn.XLOOKUP("[S05_DefaultValues][399][InstallationNumber]",Submission!$O:$O,Submission!$H:$N,""))</f>
        <v/>
      </c>
    </row>
    <row r="602" spans="1:9" ht="15.9" hidden="1" customHeight="1" outlineLevel="1" x14ac:dyDescent="0.3">
      <c r="A602" s="13"/>
      <c r="B602" s="34"/>
      <c r="C602" s="281" t="str">
        <f>_xlfn.CONCAT(_xlfn.XLOOKUP("[S05_DefaultValues][400][InstallationCategory]",Submission!$O:$O,Submission!$H:$N,""))</f>
        <v/>
      </c>
      <c r="D602" s="350"/>
      <c r="E602" s="350"/>
      <c r="F602" s="350"/>
      <c r="G602" s="347"/>
      <c r="H602" s="123" t="str">
        <f>_xlfn.CONCAT(_xlfn.XLOOKUP("[S05_DefaultValues][400][FuelMaterialType]",Submission!$O:$O,Submission!$H:$N,""))</f>
        <v/>
      </c>
      <c r="I602" s="106" t="str">
        <f>_xlfn.CONCAT(_xlfn.XLOOKUP("[S05_DefaultValues][400][InstallationNumber]",Submission!$O:$O,Submission!$H:$N,""))</f>
        <v/>
      </c>
    </row>
    <row r="603" spans="1:9" ht="15.9" hidden="1" customHeight="1" outlineLevel="1" x14ac:dyDescent="0.3">
      <c r="A603" s="13"/>
      <c r="B603" s="34"/>
      <c r="C603" s="281" t="str">
        <f>_xlfn.CONCAT(_xlfn.XLOOKUP("[S05_DefaultValues][401][InstallationCategory]",Submission!$O:$O,Submission!$H:$N,""))</f>
        <v/>
      </c>
      <c r="D603" s="350"/>
      <c r="E603" s="350"/>
      <c r="F603" s="350"/>
      <c r="G603" s="347"/>
      <c r="H603" s="123" t="str">
        <f>_xlfn.CONCAT(_xlfn.XLOOKUP("[S05_DefaultValues][401][FuelMaterialType]",Submission!$O:$O,Submission!$H:$N,""))</f>
        <v/>
      </c>
      <c r="I603" s="106" t="str">
        <f>_xlfn.CONCAT(_xlfn.XLOOKUP("[S05_DefaultValues][401][InstallationNumber]",Submission!$O:$O,Submission!$H:$N,""))</f>
        <v/>
      </c>
    </row>
    <row r="604" spans="1:9" ht="15.9" hidden="1" customHeight="1" outlineLevel="1" x14ac:dyDescent="0.3">
      <c r="A604" s="13"/>
      <c r="B604" s="34"/>
      <c r="C604" s="281" t="str">
        <f>_xlfn.CONCAT(_xlfn.XLOOKUP("[S05_DefaultValues][402][InstallationCategory]",Submission!$O:$O,Submission!$H:$N,""))</f>
        <v/>
      </c>
      <c r="D604" s="350"/>
      <c r="E604" s="350"/>
      <c r="F604" s="350"/>
      <c r="G604" s="347"/>
      <c r="H604" s="123" t="str">
        <f>_xlfn.CONCAT(_xlfn.XLOOKUP("[S05_DefaultValues][402][FuelMaterialType]",Submission!$O:$O,Submission!$H:$N,""))</f>
        <v/>
      </c>
      <c r="I604" s="106" t="str">
        <f>_xlfn.CONCAT(_xlfn.XLOOKUP("[S05_DefaultValues][402][InstallationNumber]",Submission!$O:$O,Submission!$H:$N,""))</f>
        <v/>
      </c>
    </row>
    <row r="605" spans="1:9" ht="15.9" hidden="1" customHeight="1" outlineLevel="1" x14ac:dyDescent="0.3">
      <c r="A605" s="13"/>
      <c r="B605" s="34"/>
      <c r="C605" s="281" t="str">
        <f>_xlfn.CONCAT(_xlfn.XLOOKUP("[S05_DefaultValues][403][InstallationCategory]",Submission!$O:$O,Submission!$H:$N,""))</f>
        <v/>
      </c>
      <c r="D605" s="350"/>
      <c r="E605" s="350"/>
      <c r="F605" s="350"/>
      <c r="G605" s="347"/>
      <c r="H605" s="123" t="str">
        <f>_xlfn.CONCAT(_xlfn.XLOOKUP("[S05_DefaultValues][403][FuelMaterialType]",Submission!$O:$O,Submission!$H:$N,""))</f>
        <v/>
      </c>
      <c r="I605" s="106" t="str">
        <f>_xlfn.CONCAT(_xlfn.XLOOKUP("[S05_DefaultValues][403][InstallationNumber]",Submission!$O:$O,Submission!$H:$N,""))</f>
        <v/>
      </c>
    </row>
    <row r="606" spans="1:9" ht="15.9" hidden="1" customHeight="1" outlineLevel="1" x14ac:dyDescent="0.3">
      <c r="A606" s="13"/>
      <c r="B606" s="34"/>
      <c r="C606" s="281" t="str">
        <f>_xlfn.CONCAT(_xlfn.XLOOKUP("[S05_DefaultValues][404][InstallationCategory]",Submission!$O:$O,Submission!$H:$N,""))</f>
        <v/>
      </c>
      <c r="D606" s="350"/>
      <c r="E606" s="350"/>
      <c r="F606" s="350"/>
      <c r="G606" s="347"/>
      <c r="H606" s="123" t="str">
        <f>_xlfn.CONCAT(_xlfn.XLOOKUP("[S05_DefaultValues][404][FuelMaterialType]",Submission!$O:$O,Submission!$H:$N,""))</f>
        <v/>
      </c>
      <c r="I606" s="106" t="str">
        <f>_xlfn.CONCAT(_xlfn.XLOOKUP("[S05_DefaultValues][404][InstallationNumber]",Submission!$O:$O,Submission!$H:$N,""))</f>
        <v/>
      </c>
    </row>
    <row r="607" spans="1:9" ht="15.9" hidden="1" customHeight="1" outlineLevel="1" x14ac:dyDescent="0.3">
      <c r="A607" s="13"/>
      <c r="B607" s="34"/>
      <c r="C607" s="281" t="str">
        <f>_xlfn.CONCAT(_xlfn.XLOOKUP("[S05_DefaultValues][405][InstallationCategory]",Submission!$O:$O,Submission!$H:$N,""))</f>
        <v/>
      </c>
      <c r="D607" s="350"/>
      <c r="E607" s="350"/>
      <c r="F607" s="350"/>
      <c r="G607" s="347"/>
      <c r="H607" s="123" t="str">
        <f>_xlfn.CONCAT(_xlfn.XLOOKUP("[S05_DefaultValues][405][FuelMaterialType]",Submission!$O:$O,Submission!$H:$N,""))</f>
        <v/>
      </c>
      <c r="I607" s="106" t="str">
        <f>_xlfn.CONCAT(_xlfn.XLOOKUP("[S05_DefaultValues][405][InstallationNumber]",Submission!$O:$O,Submission!$H:$N,""))</f>
        <v/>
      </c>
    </row>
    <row r="608" spans="1:9" ht="15.9" hidden="1" customHeight="1" outlineLevel="1" x14ac:dyDescent="0.3">
      <c r="A608" s="13"/>
      <c r="B608" s="34"/>
      <c r="C608" s="281" t="str">
        <f>_xlfn.CONCAT(_xlfn.XLOOKUP("[S05_DefaultValues][406][InstallationCategory]",Submission!$O:$O,Submission!$H:$N,""))</f>
        <v/>
      </c>
      <c r="D608" s="350"/>
      <c r="E608" s="350"/>
      <c r="F608" s="350"/>
      <c r="G608" s="347"/>
      <c r="H608" s="123" t="str">
        <f>_xlfn.CONCAT(_xlfn.XLOOKUP("[S05_DefaultValues][406][FuelMaterialType]",Submission!$O:$O,Submission!$H:$N,""))</f>
        <v/>
      </c>
      <c r="I608" s="106" t="str">
        <f>_xlfn.CONCAT(_xlfn.XLOOKUP("[S05_DefaultValues][406][InstallationNumber]",Submission!$O:$O,Submission!$H:$N,""))</f>
        <v/>
      </c>
    </row>
    <row r="609" spans="1:9" ht="15.9" hidden="1" customHeight="1" outlineLevel="1" x14ac:dyDescent="0.3">
      <c r="A609" s="13"/>
      <c r="B609" s="34"/>
      <c r="C609" s="281" t="str">
        <f>_xlfn.CONCAT(_xlfn.XLOOKUP("[S05_DefaultValues][407][InstallationCategory]",Submission!$O:$O,Submission!$H:$N,""))</f>
        <v/>
      </c>
      <c r="D609" s="350"/>
      <c r="E609" s="350"/>
      <c r="F609" s="350"/>
      <c r="G609" s="347"/>
      <c r="H609" s="123" t="str">
        <f>_xlfn.CONCAT(_xlfn.XLOOKUP("[S05_DefaultValues][407][FuelMaterialType]",Submission!$O:$O,Submission!$H:$N,""))</f>
        <v/>
      </c>
      <c r="I609" s="106" t="str">
        <f>_xlfn.CONCAT(_xlfn.XLOOKUP("[S05_DefaultValues][407][InstallationNumber]",Submission!$O:$O,Submission!$H:$N,""))</f>
        <v/>
      </c>
    </row>
    <row r="610" spans="1:9" ht="15.9" hidden="1" customHeight="1" outlineLevel="1" x14ac:dyDescent="0.3">
      <c r="A610" s="13"/>
      <c r="B610" s="34"/>
      <c r="C610" s="281" t="str">
        <f>_xlfn.CONCAT(_xlfn.XLOOKUP("[S05_DefaultValues][408][InstallationCategory]",Submission!$O:$O,Submission!$H:$N,""))</f>
        <v/>
      </c>
      <c r="D610" s="350"/>
      <c r="E610" s="350"/>
      <c r="F610" s="350"/>
      <c r="G610" s="347"/>
      <c r="H610" s="123" t="str">
        <f>_xlfn.CONCAT(_xlfn.XLOOKUP("[S05_DefaultValues][408][FuelMaterialType]",Submission!$O:$O,Submission!$H:$N,""))</f>
        <v/>
      </c>
      <c r="I610" s="106" t="str">
        <f>_xlfn.CONCAT(_xlfn.XLOOKUP("[S05_DefaultValues][408][InstallationNumber]",Submission!$O:$O,Submission!$H:$N,""))</f>
        <v/>
      </c>
    </row>
    <row r="611" spans="1:9" ht="15.9" hidden="1" customHeight="1" outlineLevel="1" x14ac:dyDescent="0.3">
      <c r="A611" s="13"/>
      <c r="B611" s="34"/>
      <c r="C611" s="281" t="str">
        <f>_xlfn.CONCAT(_xlfn.XLOOKUP("[S05_DefaultValues][409][InstallationCategory]",Submission!$O:$O,Submission!$H:$N,""))</f>
        <v/>
      </c>
      <c r="D611" s="350"/>
      <c r="E611" s="350"/>
      <c r="F611" s="350"/>
      <c r="G611" s="347"/>
      <c r="H611" s="123" t="str">
        <f>_xlfn.CONCAT(_xlfn.XLOOKUP("[S05_DefaultValues][409][FuelMaterialType]",Submission!$O:$O,Submission!$H:$N,""))</f>
        <v/>
      </c>
      <c r="I611" s="106" t="str">
        <f>_xlfn.CONCAT(_xlfn.XLOOKUP("[S05_DefaultValues][409][InstallationNumber]",Submission!$O:$O,Submission!$H:$N,""))</f>
        <v/>
      </c>
    </row>
    <row r="612" spans="1:9" ht="15.9" hidden="1" customHeight="1" outlineLevel="1" x14ac:dyDescent="0.3">
      <c r="A612" s="13"/>
      <c r="B612" s="34"/>
      <c r="C612" s="281" t="str">
        <f>_xlfn.CONCAT(_xlfn.XLOOKUP("[S05_DefaultValues][410][InstallationCategory]",Submission!$O:$O,Submission!$H:$N,""))</f>
        <v/>
      </c>
      <c r="D612" s="350"/>
      <c r="E612" s="350"/>
      <c r="F612" s="350"/>
      <c r="G612" s="347"/>
      <c r="H612" s="123" t="str">
        <f>_xlfn.CONCAT(_xlfn.XLOOKUP("[S05_DefaultValues][410][FuelMaterialType]",Submission!$O:$O,Submission!$H:$N,""))</f>
        <v/>
      </c>
      <c r="I612" s="106" t="str">
        <f>_xlfn.CONCAT(_xlfn.XLOOKUP("[S05_DefaultValues][410][InstallationNumber]",Submission!$O:$O,Submission!$H:$N,""))</f>
        <v/>
      </c>
    </row>
    <row r="613" spans="1:9" ht="15.9" hidden="1" customHeight="1" outlineLevel="1" x14ac:dyDescent="0.3">
      <c r="A613" s="13"/>
      <c r="B613" s="34"/>
      <c r="C613" s="281" t="str">
        <f>_xlfn.CONCAT(_xlfn.XLOOKUP("[S05_DefaultValues][411][InstallationCategory]",Submission!$O:$O,Submission!$H:$N,""))</f>
        <v/>
      </c>
      <c r="D613" s="350"/>
      <c r="E613" s="350"/>
      <c r="F613" s="350"/>
      <c r="G613" s="347"/>
      <c r="H613" s="123" t="str">
        <f>_xlfn.CONCAT(_xlfn.XLOOKUP("[S05_DefaultValues][411][FuelMaterialType]",Submission!$O:$O,Submission!$H:$N,""))</f>
        <v/>
      </c>
      <c r="I613" s="106" t="str">
        <f>_xlfn.CONCAT(_xlfn.XLOOKUP("[S05_DefaultValues][411][InstallationNumber]",Submission!$O:$O,Submission!$H:$N,""))</f>
        <v/>
      </c>
    </row>
    <row r="614" spans="1:9" ht="15.9" hidden="1" customHeight="1" outlineLevel="1" x14ac:dyDescent="0.3">
      <c r="A614" s="13"/>
      <c r="B614" s="34"/>
      <c r="C614" s="281" t="str">
        <f>_xlfn.CONCAT(_xlfn.XLOOKUP("[S05_DefaultValues][412][InstallationCategory]",Submission!$O:$O,Submission!$H:$N,""))</f>
        <v/>
      </c>
      <c r="D614" s="350"/>
      <c r="E614" s="350"/>
      <c r="F614" s="350"/>
      <c r="G614" s="347"/>
      <c r="H614" s="123" t="str">
        <f>_xlfn.CONCAT(_xlfn.XLOOKUP("[S05_DefaultValues][412][FuelMaterialType]",Submission!$O:$O,Submission!$H:$N,""))</f>
        <v/>
      </c>
      <c r="I614" s="106" t="str">
        <f>_xlfn.CONCAT(_xlfn.XLOOKUP("[S05_DefaultValues][412][InstallationNumber]",Submission!$O:$O,Submission!$H:$N,""))</f>
        <v/>
      </c>
    </row>
    <row r="615" spans="1:9" ht="15.9" hidden="1" customHeight="1" outlineLevel="1" x14ac:dyDescent="0.3">
      <c r="A615" s="13"/>
      <c r="B615" s="34"/>
      <c r="C615" s="281" t="str">
        <f>_xlfn.CONCAT(_xlfn.XLOOKUP("[S05_DefaultValues][413][InstallationCategory]",Submission!$O:$O,Submission!$H:$N,""))</f>
        <v/>
      </c>
      <c r="D615" s="350"/>
      <c r="E615" s="350"/>
      <c r="F615" s="350"/>
      <c r="G615" s="347"/>
      <c r="H615" s="123" t="str">
        <f>_xlfn.CONCAT(_xlfn.XLOOKUP("[S05_DefaultValues][413][FuelMaterialType]",Submission!$O:$O,Submission!$H:$N,""))</f>
        <v/>
      </c>
      <c r="I615" s="106" t="str">
        <f>_xlfn.CONCAT(_xlfn.XLOOKUP("[S05_DefaultValues][413][InstallationNumber]",Submission!$O:$O,Submission!$H:$N,""))</f>
        <v/>
      </c>
    </row>
    <row r="616" spans="1:9" ht="15.9" hidden="1" customHeight="1" outlineLevel="1" x14ac:dyDescent="0.3">
      <c r="A616" s="13"/>
      <c r="B616" s="34"/>
      <c r="C616" s="281" t="str">
        <f>_xlfn.CONCAT(_xlfn.XLOOKUP("[S05_DefaultValues][414][InstallationCategory]",Submission!$O:$O,Submission!$H:$N,""))</f>
        <v/>
      </c>
      <c r="D616" s="350"/>
      <c r="E616" s="350"/>
      <c r="F616" s="350"/>
      <c r="G616" s="347"/>
      <c r="H616" s="123" t="str">
        <f>_xlfn.CONCAT(_xlfn.XLOOKUP("[S05_DefaultValues][414][FuelMaterialType]",Submission!$O:$O,Submission!$H:$N,""))</f>
        <v/>
      </c>
      <c r="I616" s="106" t="str">
        <f>_xlfn.CONCAT(_xlfn.XLOOKUP("[S05_DefaultValues][414][InstallationNumber]",Submission!$O:$O,Submission!$H:$N,""))</f>
        <v/>
      </c>
    </row>
    <row r="617" spans="1:9" ht="15.9" hidden="1" customHeight="1" outlineLevel="1" x14ac:dyDescent="0.3">
      <c r="A617" s="13"/>
      <c r="B617" s="34"/>
      <c r="C617" s="281" t="str">
        <f>_xlfn.CONCAT(_xlfn.XLOOKUP("[S05_DefaultValues][415][InstallationCategory]",Submission!$O:$O,Submission!$H:$N,""))</f>
        <v/>
      </c>
      <c r="D617" s="350"/>
      <c r="E617" s="350"/>
      <c r="F617" s="350"/>
      <c r="G617" s="347"/>
      <c r="H617" s="123" t="str">
        <f>_xlfn.CONCAT(_xlfn.XLOOKUP("[S05_DefaultValues][415][FuelMaterialType]",Submission!$O:$O,Submission!$H:$N,""))</f>
        <v/>
      </c>
      <c r="I617" s="106" t="str">
        <f>_xlfn.CONCAT(_xlfn.XLOOKUP("[S05_DefaultValues][415][InstallationNumber]",Submission!$O:$O,Submission!$H:$N,""))</f>
        <v/>
      </c>
    </row>
    <row r="618" spans="1:9" ht="15.9" hidden="1" customHeight="1" outlineLevel="1" x14ac:dyDescent="0.3">
      <c r="A618" s="13"/>
      <c r="B618" s="34"/>
      <c r="C618" s="281" t="str">
        <f>_xlfn.CONCAT(_xlfn.XLOOKUP("[S05_DefaultValues][416][InstallationCategory]",Submission!$O:$O,Submission!$H:$N,""))</f>
        <v/>
      </c>
      <c r="D618" s="350"/>
      <c r="E618" s="350"/>
      <c r="F618" s="350"/>
      <c r="G618" s="347"/>
      <c r="H618" s="123" t="str">
        <f>_xlfn.CONCAT(_xlfn.XLOOKUP("[S05_DefaultValues][416][FuelMaterialType]",Submission!$O:$O,Submission!$H:$N,""))</f>
        <v/>
      </c>
      <c r="I618" s="106" t="str">
        <f>_xlfn.CONCAT(_xlfn.XLOOKUP("[S05_DefaultValues][416][InstallationNumber]",Submission!$O:$O,Submission!$H:$N,""))</f>
        <v/>
      </c>
    </row>
    <row r="619" spans="1:9" ht="15.9" hidden="1" customHeight="1" outlineLevel="1" x14ac:dyDescent="0.3">
      <c r="A619" s="13"/>
      <c r="B619" s="34"/>
      <c r="C619" s="281" t="str">
        <f>_xlfn.CONCAT(_xlfn.XLOOKUP("[S05_DefaultValues][417][InstallationCategory]",Submission!$O:$O,Submission!$H:$N,""))</f>
        <v/>
      </c>
      <c r="D619" s="350"/>
      <c r="E619" s="350"/>
      <c r="F619" s="350"/>
      <c r="G619" s="347"/>
      <c r="H619" s="123" t="str">
        <f>_xlfn.CONCAT(_xlfn.XLOOKUP("[S05_DefaultValues][417][FuelMaterialType]",Submission!$O:$O,Submission!$H:$N,""))</f>
        <v/>
      </c>
      <c r="I619" s="106" t="str">
        <f>_xlfn.CONCAT(_xlfn.XLOOKUP("[S05_DefaultValues][417][InstallationNumber]",Submission!$O:$O,Submission!$H:$N,""))</f>
        <v/>
      </c>
    </row>
    <row r="620" spans="1:9" ht="15.9" hidden="1" customHeight="1" outlineLevel="1" x14ac:dyDescent="0.3">
      <c r="A620" s="13"/>
      <c r="B620" s="34"/>
      <c r="C620" s="281" t="str">
        <f>_xlfn.CONCAT(_xlfn.XLOOKUP("[S05_DefaultValues][418][InstallationCategory]",Submission!$O:$O,Submission!$H:$N,""))</f>
        <v/>
      </c>
      <c r="D620" s="350"/>
      <c r="E620" s="350"/>
      <c r="F620" s="350"/>
      <c r="G620" s="347"/>
      <c r="H620" s="123" t="str">
        <f>_xlfn.CONCAT(_xlfn.XLOOKUP("[S05_DefaultValues][418][FuelMaterialType]",Submission!$O:$O,Submission!$H:$N,""))</f>
        <v/>
      </c>
      <c r="I620" s="106" t="str">
        <f>_xlfn.CONCAT(_xlfn.XLOOKUP("[S05_DefaultValues][418][InstallationNumber]",Submission!$O:$O,Submission!$H:$N,""))</f>
        <v/>
      </c>
    </row>
    <row r="621" spans="1:9" ht="15.9" hidden="1" customHeight="1" outlineLevel="1" x14ac:dyDescent="0.3">
      <c r="A621" s="13"/>
      <c r="B621" s="34"/>
      <c r="C621" s="281" t="str">
        <f>_xlfn.CONCAT(_xlfn.XLOOKUP("[S05_DefaultValues][419][InstallationCategory]",Submission!$O:$O,Submission!$H:$N,""))</f>
        <v/>
      </c>
      <c r="D621" s="350"/>
      <c r="E621" s="350"/>
      <c r="F621" s="350"/>
      <c r="G621" s="347"/>
      <c r="H621" s="123" t="str">
        <f>_xlfn.CONCAT(_xlfn.XLOOKUP("[S05_DefaultValues][419][FuelMaterialType]",Submission!$O:$O,Submission!$H:$N,""))</f>
        <v/>
      </c>
      <c r="I621" s="106" t="str">
        <f>_xlfn.CONCAT(_xlfn.XLOOKUP("[S05_DefaultValues][419][InstallationNumber]",Submission!$O:$O,Submission!$H:$N,""))</f>
        <v/>
      </c>
    </row>
    <row r="622" spans="1:9" ht="15.9" hidden="1" customHeight="1" outlineLevel="1" x14ac:dyDescent="0.3">
      <c r="A622" s="13"/>
      <c r="B622" s="34"/>
      <c r="C622" s="281" t="str">
        <f>_xlfn.CONCAT(_xlfn.XLOOKUP("[S05_DefaultValues][420][InstallationCategory]",Submission!$O:$O,Submission!$H:$N,""))</f>
        <v/>
      </c>
      <c r="D622" s="350"/>
      <c r="E622" s="350"/>
      <c r="F622" s="350"/>
      <c r="G622" s="347"/>
      <c r="H622" s="123" t="str">
        <f>_xlfn.CONCAT(_xlfn.XLOOKUP("[S05_DefaultValues][420][FuelMaterialType]",Submission!$O:$O,Submission!$H:$N,""))</f>
        <v/>
      </c>
      <c r="I622" s="106" t="str">
        <f>_xlfn.CONCAT(_xlfn.XLOOKUP("[S05_DefaultValues][420][InstallationNumber]",Submission!$O:$O,Submission!$H:$N,""))</f>
        <v/>
      </c>
    </row>
    <row r="623" spans="1:9" ht="15.9" hidden="1" customHeight="1" outlineLevel="1" x14ac:dyDescent="0.3">
      <c r="A623" s="13"/>
      <c r="B623" s="34"/>
      <c r="C623" s="281" t="str">
        <f>_xlfn.CONCAT(_xlfn.XLOOKUP("[S05_DefaultValues][421][InstallationCategory]",Submission!$O:$O,Submission!$H:$N,""))</f>
        <v/>
      </c>
      <c r="D623" s="350"/>
      <c r="E623" s="350"/>
      <c r="F623" s="350"/>
      <c r="G623" s="347"/>
      <c r="H623" s="123" t="str">
        <f>_xlfn.CONCAT(_xlfn.XLOOKUP("[S05_DefaultValues][421][FuelMaterialType]",Submission!$O:$O,Submission!$H:$N,""))</f>
        <v/>
      </c>
      <c r="I623" s="106" t="str">
        <f>_xlfn.CONCAT(_xlfn.XLOOKUP("[S05_DefaultValues][421][InstallationNumber]",Submission!$O:$O,Submission!$H:$N,""))</f>
        <v/>
      </c>
    </row>
    <row r="624" spans="1:9" ht="15.9" hidden="1" customHeight="1" outlineLevel="1" x14ac:dyDescent="0.3">
      <c r="A624" s="13"/>
      <c r="B624" s="34"/>
      <c r="C624" s="281" t="str">
        <f>_xlfn.CONCAT(_xlfn.XLOOKUP("[S05_DefaultValues][422][InstallationCategory]",Submission!$O:$O,Submission!$H:$N,""))</f>
        <v/>
      </c>
      <c r="D624" s="350"/>
      <c r="E624" s="350"/>
      <c r="F624" s="350"/>
      <c r="G624" s="347"/>
      <c r="H624" s="123" t="str">
        <f>_xlfn.CONCAT(_xlfn.XLOOKUP("[S05_DefaultValues][422][FuelMaterialType]",Submission!$O:$O,Submission!$H:$N,""))</f>
        <v/>
      </c>
      <c r="I624" s="106" t="str">
        <f>_xlfn.CONCAT(_xlfn.XLOOKUP("[S05_DefaultValues][422][InstallationNumber]",Submission!$O:$O,Submission!$H:$N,""))</f>
        <v/>
      </c>
    </row>
    <row r="625" spans="1:9" ht="15.9" hidden="1" customHeight="1" outlineLevel="1" x14ac:dyDescent="0.3">
      <c r="A625" s="13"/>
      <c r="B625" s="34"/>
      <c r="C625" s="281" t="str">
        <f>_xlfn.CONCAT(_xlfn.XLOOKUP("[S05_DefaultValues][423][InstallationCategory]",Submission!$O:$O,Submission!$H:$N,""))</f>
        <v/>
      </c>
      <c r="D625" s="350"/>
      <c r="E625" s="350"/>
      <c r="F625" s="350"/>
      <c r="G625" s="347"/>
      <c r="H625" s="123" t="str">
        <f>_xlfn.CONCAT(_xlfn.XLOOKUP("[S05_DefaultValues][423][FuelMaterialType]",Submission!$O:$O,Submission!$H:$N,""))</f>
        <v/>
      </c>
      <c r="I625" s="106" t="str">
        <f>_xlfn.CONCAT(_xlfn.XLOOKUP("[S05_DefaultValues][423][InstallationNumber]",Submission!$O:$O,Submission!$H:$N,""))</f>
        <v/>
      </c>
    </row>
    <row r="626" spans="1:9" ht="15.9" hidden="1" customHeight="1" outlineLevel="1" x14ac:dyDescent="0.3">
      <c r="A626" s="13"/>
      <c r="B626" s="34"/>
      <c r="C626" s="281" t="str">
        <f>_xlfn.CONCAT(_xlfn.XLOOKUP("[S05_DefaultValues][424][InstallationCategory]",Submission!$O:$O,Submission!$H:$N,""))</f>
        <v/>
      </c>
      <c r="D626" s="350"/>
      <c r="E626" s="350"/>
      <c r="F626" s="350"/>
      <c r="G626" s="347"/>
      <c r="H626" s="123" t="str">
        <f>_xlfn.CONCAT(_xlfn.XLOOKUP("[S05_DefaultValues][424][FuelMaterialType]",Submission!$O:$O,Submission!$H:$N,""))</f>
        <v/>
      </c>
      <c r="I626" s="106" t="str">
        <f>_xlfn.CONCAT(_xlfn.XLOOKUP("[S05_DefaultValues][424][InstallationNumber]",Submission!$O:$O,Submission!$H:$N,""))</f>
        <v/>
      </c>
    </row>
    <row r="627" spans="1:9" ht="15.9" hidden="1" customHeight="1" outlineLevel="1" x14ac:dyDescent="0.3">
      <c r="A627" s="13"/>
      <c r="B627" s="34"/>
      <c r="C627" s="281" t="str">
        <f>_xlfn.CONCAT(_xlfn.XLOOKUP("[S05_DefaultValues][425][InstallationCategory]",Submission!$O:$O,Submission!$H:$N,""))</f>
        <v/>
      </c>
      <c r="D627" s="350"/>
      <c r="E627" s="350"/>
      <c r="F627" s="350"/>
      <c r="G627" s="347"/>
      <c r="H627" s="123" t="str">
        <f>_xlfn.CONCAT(_xlfn.XLOOKUP("[S05_DefaultValues][425][FuelMaterialType]",Submission!$O:$O,Submission!$H:$N,""))</f>
        <v/>
      </c>
      <c r="I627" s="106" t="str">
        <f>_xlfn.CONCAT(_xlfn.XLOOKUP("[S05_DefaultValues][425][InstallationNumber]",Submission!$O:$O,Submission!$H:$N,""))</f>
        <v/>
      </c>
    </row>
    <row r="628" spans="1:9" ht="15.9" hidden="1" customHeight="1" outlineLevel="1" x14ac:dyDescent="0.3">
      <c r="A628" s="13"/>
      <c r="B628" s="34"/>
      <c r="C628" s="281" t="str">
        <f>_xlfn.CONCAT(_xlfn.XLOOKUP("[S05_DefaultValues][426][InstallationCategory]",Submission!$O:$O,Submission!$H:$N,""))</f>
        <v/>
      </c>
      <c r="D628" s="350"/>
      <c r="E628" s="350"/>
      <c r="F628" s="350"/>
      <c r="G628" s="347"/>
      <c r="H628" s="123" t="str">
        <f>_xlfn.CONCAT(_xlfn.XLOOKUP("[S05_DefaultValues][426][FuelMaterialType]",Submission!$O:$O,Submission!$H:$N,""))</f>
        <v/>
      </c>
      <c r="I628" s="106" t="str">
        <f>_xlfn.CONCAT(_xlfn.XLOOKUP("[S05_DefaultValues][426][InstallationNumber]",Submission!$O:$O,Submission!$H:$N,""))</f>
        <v/>
      </c>
    </row>
    <row r="629" spans="1:9" ht="15.9" hidden="1" customHeight="1" outlineLevel="1" x14ac:dyDescent="0.3">
      <c r="A629" s="13"/>
      <c r="B629" s="34"/>
      <c r="C629" s="281" t="str">
        <f>_xlfn.CONCAT(_xlfn.XLOOKUP("[S05_DefaultValues][427][InstallationCategory]",Submission!$O:$O,Submission!$H:$N,""))</f>
        <v/>
      </c>
      <c r="D629" s="350"/>
      <c r="E629" s="350"/>
      <c r="F629" s="350"/>
      <c r="G629" s="347"/>
      <c r="H629" s="123" t="str">
        <f>_xlfn.CONCAT(_xlfn.XLOOKUP("[S05_DefaultValues][427][FuelMaterialType]",Submission!$O:$O,Submission!$H:$N,""))</f>
        <v/>
      </c>
      <c r="I629" s="106" t="str">
        <f>_xlfn.CONCAT(_xlfn.XLOOKUP("[S05_DefaultValues][427][InstallationNumber]",Submission!$O:$O,Submission!$H:$N,""))</f>
        <v/>
      </c>
    </row>
    <row r="630" spans="1:9" ht="15.9" hidden="1" customHeight="1" outlineLevel="1" x14ac:dyDescent="0.3">
      <c r="A630" s="13"/>
      <c r="B630" s="34"/>
      <c r="C630" s="281" t="str">
        <f>_xlfn.CONCAT(_xlfn.XLOOKUP("[S05_DefaultValues][428][InstallationCategory]",Submission!$O:$O,Submission!$H:$N,""))</f>
        <v/>
      </c>
      <c r="D630" s="350"/>
      <c r="E630" s="350"/>
      <c r="F630" s="350"/>
      <c r="G630" s="347"/>
      <c r="H630" s="123" t="str">
        <f>_xlfn.CONCAT(_xlfn.XLOOKUP("[S05_DefaultValues][428][FuelMaterialType]",Submission!$O:$O,Submission!$H:$N,""))</f>
        <v/>
      </c>
      <c r="I630" s="106" t="str">
        <f>_xlfn.CONCAT(_xlfn.XLOOKUP("[S05_DefaultValues][428][InstallationNumber]",Submission!$O:$O,Submission!$H:$N,""))</f>
        <v/>
      </c>
    </row>
    <row r="631" spans="1:9" ht="15.9" hidden="1" customHeight="1" outlineLevel="1" x14ac:dyDescent="0.3">
      <c r="A631" s="13"/>
      <c r="B631" s="34"/>
      <c r="C631" s="281" t="str">
        <f>_xlfn.CONCAT(_xlfn.XLOOKUP("[S05_DefaultValues][429][InstallationCategory]",Submission!$O:$O,Submission!$H:$N,""))</f>
        <v/>
      </c>
      <c r="D631" s="350"/>
      <c r="E631" s="350"/>
      <c r="F631" s="350"/>
      <c r="G631" s="347"/>
      <c r="H631" s="123" t="str">
        <f>_xlfn.CONCAT(_xlfn.XLOOKUP("[S05_DefaultValues][429][FuelMaterialType]",Submission!$O:$O,Submission!$H:$N,""))</f>
        <v/>
      </c>
      <c r="I631" s="106" t="str">
        <f>_xlfn.CONCAT(_xlfn.XLOOKUP("[S05_DefaultValues][429][InstallationNumber]",Submission!$O:$O,Submission!$H:$N,""))</f>
        <v/>
      </c>
    </row>
    <row r="632" spans="1:9" ht="15.9" hidden="1" customHeight="1" outlineLevel="1" x14ac:dyDescent="0.3">
      <c r="A632" s="13"/>
      <c r="B632" s="34"/>
      <c r="C632" s="281" t="str">
        <f>_xlfn.CONCAT(_xlfn.XLOOKUP("[S05_DefaultValues][430][InstallationCategory]",Submission!$O:$O,Submission!$H:$N,""))</f>
        <v/>
      </c>
      <c r="D632" s="350"/>
      <c r="E632" s="350"/>
      <c r="F632" s="350"/>
      <c r="G632" s="347"/>
      <c r="H632" s="123" t="str">
        <f>_xlfn.CONCAT(_xlfn.XLOOKUP("[S05_DefaultValues][430][FuelMaterialType]",Submission!$O:$O,Submission!$H:$N,""))</f>
        <v/>
      </c>
      <c r="I632" s="106" t="str">
        <f>_xlfn.CONCAT(_xlfn.XLOOKUP("[S05_DefaultValues][430][InstallationNumber]",Submission!$O:$O,Submission!$H:$N,""))</f>
        <v/>
      </c>
    </row>
    <row r="633" spans="1:9" ht="15.9" hidden="1" customHeight="1" outlineLevel="1" x14ac:dyDescent="0.3">
      <c r="A633" s="13"/>
      <c r="B633" s="34"/>
      <c r="C633" s="281" t="str">
        <f>_xlfn.CONCAT(_xlfn.XLOOKUP("[S05_DefaultValues][431][InstallationCategory]",Submission!$O:$O,Submission!$H:$N,""))</f>
        <v/>
      </c>
      <c r="D633" s="350"/>
      <c r="E633" s="350"/>
      <c r="F633" s="350"/>
      <c r="G633" s="347"/>
      <c r="H633" s="123" t="str">
        <f>_xlfn.CONCAT(_xlfn.XLOOKUP("[S05_DefaultValues][431][FuelMaterialType]",Submission!$O:$O,Submission!$H:$N,""))</f>
        <v/>
      </c>
      <c r="I633" s="106" t="str">
        <f>_xlfn.CONCAT(_xlfn.XLOOKUP("[S05_DefaultValues][431][InstallationNumber]",Submission!$O:$O,Submission!$H:$N,""))</f>
        <v/>
      </c>
    </row>
    <row r="634" spans="1:9" ht="15.9" hidden="1" customHeight="1" outlineLevel="1" x14ac:dyDescent="0.3">
      <c r="A634" s="13"/>
      <c r="B634" s="34"/>
      <c r="C634" s="281" t="str">
        <f>_xlfn.CONCAT(_xlfn.XLOOKUP("[S05_DefaultValues][432][InstallationCategory]",Submission!$O:$O,Submission!$H:$N,""))</f>
        <v/>
      </c>
      <c r="D634" s="350"/>
      <c r="E634" s="350"/>
      <c r="F634" s="350"/>
      <c r="G634" s="347"/>
      <c r="H634" s="123" t="str">
        <f>_xlfn.CONCAT(_xlfn.XLOOKUP("[S05_DefaultValues][432][FuelMaterialType]",Submission!$O:$O,Submission!$H:$N,""))</f>
        <v/>
      </c>
      <c r="I634" s="106" t="str">
        <f>_xlfn.CONCAT(_xlfn.XLOOKUP("[S05_DefaultValues][432][InstallationNumber]",Submission!$O:$O,Submission!$H:$N,""))</f>
        <v/>
      </c>
    </row>
    <row r="635" spans="1:9" ht="15.9" hidden="1" customHeight="1" outlineLevel="1" x14ac:dyDescent="0.3">
      <c r="A635" s="13"/>
      <c r="B635" s="34"/>
      <c r="C635" s="281" t="str">
        <f>_xlfn.CONCAT(_xlfn.XLOOKUP("[S05_DefaultValues][433][InstallationCategory]",Submission!$O:$O,Submission!$H:$N,""))</f>
        <v/>
      </c>
      <c r="D635" s="350"/>
      <c r="E635" s="350"/>
      <c r="F635" s="350"/>
      <c r="G635" s="347"/>
      <c r="H635" s="123" t="str">
        <f>_xlfn.CONCAT(_xlfn.XLOOKUP("[S05_DefaultValues][433][FuelMaterialType]",Submission!$O:$O,Submission!$H:$N,""))</f>
        <v/>
      </c>
      <c r="I635" s="106" t="str">
        <f>_xlfn.CONCAT(_xlfn.XLOOKUP("[S05_DefaultValues][433][InstallationNumber]",Submission!$O:$O,Submission!$H:$N,""))</f>
        <v/>
      </c>
    </row>
    <row r="636" spans="1:9" ht="15.9" hidden="1" customHeight="1" outlineLevel="1" x14ac:dyDescent="0.3">
      <c r="A636" s="13"/>
      <c r="B636" s="34"/>
      <c r="C636" s="281" t="str">
        <f>_xlfn.CONCAT(_xlfn.XLOOKUP("[S05_DefaultValues][434][InstallationCategory]",Submission!$O:$O,Submission!$H:$N,""))</f>
        <v/>
      </c>
      <c r="D636" s="350"/>
      <c r="E636" s="350"/>
      <c r="F636" s="350"/>
      <c r="G636" s="347"/>
      <c r="H636" s="123" t="str">
        <f>_xlfn.CONCAT(_xlfn.XLOOKUP("[S05_DefaultValues][434][FuelMaterialType]",Submission!$O:$O,Submission!$H:$N,""))</f>
        <v/>
      </c>
      <c r="I636" s="106" t="str">
        <f>_xlfn.CONCAT(_xlfn.XLOOKUP("[S05_DefaultValues][434][InstallationNumber]",Submission!$O:$O,Submission!$H:$N,""))</f>
        <v/>
      </c>
    </row>
    <row r="637" spans="1:9" ht="15.9" hidden="1" customHeight="1" outlineLevel="1" x14ac:dyDescent="0.3">
      <c r="A637" s="13"/>
      <c r="B637" s="34"/>
      <c r="C637" s="281" t="str">
        <f>_xlfn.CONCAT(_xlfn.XLOOKUP("[S05_DefaultValues][435][InstallationCategory]",Submission!$O:$O,Submission!$H:$N,""))</f>
        <v/>
      </c>
      <c r="D637" s="350"/>
      <c r="E637" s="350"/>
      <c r="F637" s="350"/>
      <c r="G637" s="347"/>
      <c r="H637" s="123" t="str">
        <f>_xlfn.CONCAT(_xlfn.XLOOKUP("[S05_DefaultValues][435][FuelMaterialType]",Submission!$O:$O,Submission!$H:$N,""))</f>
        <v/>
      </c>
      <c r="I637" s="106" t="str">
        <f>_xlfn.CONCAT(_xlfn.XLOOKUP("[S05_DefaultValues][435][InstallationNumber]",Submission!$O:$O,Submission!$H:$N,""))</f>
        <v/>
      </c>
    </row>
    <row r="638" spans="1:9" ht="15.9" hidden="1" customHeight="1" outlineLevel="1" x14ac:dyDescent="0.3">
      <c r="A638" s="13"/>
      <c r="B638" s="34"/>
      <c r="C638" s="281" t="str">
        <f>_xlfn.CONCAT(_xlfn.XLOOKUP("[S05_DefaultValues][436][InstallationCategory]",Submission!$O:$O,Submission!$H:$N,""))</f>
        <v/>
      </c>
      <c r="D638" s="350"/>
      <c r="E638" s="350"/>
      <c r="F638" s="350"/>
      <c r="G638" s="347"/>
      <c r="H638" s="123" t="str">
        <f>_xlfn.CONCAT(_xlfn.XLOOKUP("[S05_DefaultValues][436][FuelMaterialType]",Submission!$O:$O,Submission!$H:$N,""))</f>
        <v/>
      </c>
      <c r="I638" s="106" t="str">
        <f>_xlfn.CONCAT(_xlfn.XLOOKUP("[S05_DefaultValues][436][InstallationNumber]",Submission!$O:$O,Submission!$H:$N,""))</f>
        <v/>
      </c>
    </row>
    <row r="639" spans="1:9" ht="15.9" hidden="1" customHeight="1" outlineLevel="1" x14ac:dyDescent="0.3">
      <c r="A639" s="13"/>
      <c r="B639" s="34"/>
      <c r="C639" s="281" t="str">
        <f>_xlfn.CONCAT(_xlfn.XLOOKUP("[S05_DefaultValues][437][InstallationCategory]",Submission!$O:$O,Submission!$H:$N,""))</f>
        <v/>
      </c>
      <c r="D639" s="350"/>
      <c r="E639" s="350"/>
      <c r="F639" s="350"/>
      <c r="G639" s="347"/>
      <c r="H639" s="123" t="str">
        <f>_xlfn.CONCAT(_xlfn.XLOOKUP("[S05_DefaultValues][437][FuelMaterialType]",Submission!$O:$O,Submission!$H:$N,""))</f>
        <v/>
      </c>
      <c r="I639" s="106" t="str">
        <f>_xlfn.CONCAT(_xlfn.XLOOKUP("[S05_DefaultValues][437][InstallationNumber]",Submission!$O:$O,Submission!$H:$N,""))</f>
        <v/>
      </c>
    </row>
    <row r="640" spans="1:9" ht="15.9" hidden="1" customHeight="1" outlineLevel="1" x14ac:dyDescent="0.3">
      <c r="A640" s="13"/>
      <c r="B640" s="34"/>
      <c r="C640" s="281" t="str">
        <f>_xlfn.CONCAT(_xlfn.XLOOKUP("[S05_DefaultValues][438][InstallationCategory]",Submission!$O:$O,Submission!$H:$N,""))</f>
        <v/>
      </c>
      <c r="D640" s="350"/>
      <c r="E640" s="350"/>
      <c r="F640" s="350"/>
      <c r="G640" s="347"/>
      <c r="H640" s="123" t="str">
        <f>_xlfn.CONCAT(_xlfn.XLOOKUP("[S05_DefaultValues][438][FuelMaterialType]",Submission!$O:$O,Submission!$H:$N,""))</f>
        <v/>
      </c>
      <c r="I640" s="106" t="str">
        <f>_xlfn.CONCAT(_xlfn.XLOOKUP("[S05_DefaultValues][438][InstallationNumber]",Submission!$O:$O,Submission!$H:$N,""))</f>
        <v/>
      </c>
    </row>
    <row r="641" spans="1:9" ht="15.9" hidden="1" customHeight="1" outlineLevel="1" x14ac:dyDescent="0.3">
      <c r="A641" s="13"/>
      <c r="B641" s="34"/>
      <c r="C641" s="281" t="str">
        <f>_xlfn.CONCAT(_xlfn.XLOOKUP("[S05_DefaultValues][439][InstallationCategory]",Submission!$O:$O,Submission!$H:$N,""))</f>
        <v/>
      </c>
      <c r="D641" s="350"/>
      <c r="E641" s="350"/>
      <c r="F641" s="350"/>
      <c r="G641" s="347"/>
      <c r="H641" s="123" t="str">
        <f>_xlfn.CONCAT(_xlfn.XLOOKUP("[S05_DefaultValues][439][FuelMaterialType]",Submission!$O:$O,Submission!$H:$N,""))</f>
        <v/>
      </c>
      <c r="I641" s="106" t="str">
        <f>_xlfn.CONCAT(_xlfn.XLOOKUP("[S05_DefaultValues][439][InstallationNumber]",Submission!$O:$O,Submission!$H:$N,""))</f>
        <v/>
      </c>
    </row>
    <row r="642" spans="1:9" ht="15.9" hidden="1" customHeight="1" outlineLevel="1" x14ac:dyDescent="0.3">
      <c r="A642" s="13"/>
      <c r="B642" s="34"/>
      <c r="C642" s="281" t="str">
        <f>_xlfn.CONCAT(_xlfn.XLOOKUP("[S05_DefaultValues][440][InstallationCategory]",Submission!$O:$O,Submission!$H:$N,""))</f>
        <v/>
      </c>
      <c r="D642" s="350"/>
      <c r="E642" s="350"/>
      <c r="F642" s="350"/>
      <c r="G642" s="347"/>
      <c r="H642" s="123" t="str">
        <f>_xlfn.CONCAT(_xlfn.XLOOKUP("[S05_DefaultValues][440][FuelMaterialType]",Submission!$O:$O,Submission!$H:$N,""))</f>
        <v/>
      </c>
      <c r="I642" s="106" t="str">
        <f>_xlfn.CONCAT(_xlfn.XLOOKUP("[S05_DefaultValues][440][InstallationNumber]",Submission!$O:$O,Submission!$H:$N,""))</f>
        <v/>
      </c>
    </row>
    <row r="643" spans="1:9" ht="15.9" hidden="1" customHeight="1" outlineLevel="1" x14ac:dyDescent="0.3">
      <c r="A643" s="13"/>
      <c r="B643" s="34"/>
      <c r="C643" s="281" t="str">
        <f>_xlfn.CONCAT(_xlfn.XLOOKUP("[S05_DefaultValues][441][InstallationCategory]",Submission!$O:$O,Submission!$H:$N,""))</f>
        <v/>
      </c>
      <c r="D643" s="350"/>
      <c r="E643" s="350"/>
      <c r="F643" s="350"/>
      <c r="G643" s="347"/>
      <c r="H643" s="123" t="str">
        <f>_xlfn.CONCAT(_xlfn.XLOOKUP("[S05_DefaultValues][441][FuelMaterialType]",Submission!$O:$O,Submission!$H:$N,""))</f>
        <v/>
      </c>
      <c r="I643" s="106" t="str">
        <f>_xlfn.CONCAT(_xlfn.XLOOKUP("[S05_DefaultValues][441][InstallationNumber]",Submission!$O:$O,Submission!$H:$N,""))</f>
        <v/>
      </c>
    </row>
    <row r="644" spans="1:9" ht="15.9" hidden="1" customHeight="1" outlineLevel="1" x14ac:dyDescent="0.3">
      <c r="A644" s="13"/>
      <c r="B644" s="34"/>
      <c r="C644" s="281" t="str">
        <f>_xlfn.CONCAT(_xlfn.XLOOKUP("[S05_DefaultValues][442][InstallationCategory]",Submission!$O:$O,Submission!$H:$N,""))</f>
        <v/>
      </c>
      <c r="D644" s="350"/>
      <c r="E644" s="350"/>
      <c r="F644" s="350"/>
      <c r="G644" s="347"/>
      <c r="H644" s="123" t="str">
        <f>_xlfn.CONCAT(_xlfn.XLOOKUP("[S05_DefaultValues][442][FuelMaterialType]",Submission!$O:$O,Submission!$H:$N,""))</f>
        <v/>
      </c>
      <c r="I644" s="106" t="str">
        <f>_xlfn.CONCAT(_xlfn.XLOOKUP("[S05_DefaultValues][442][InstallationNumber]",Submission!$O:$O,Submission!$H:$N,""))</f>
        <v/>
      </c>
    </row>
    <row r="645" spans="1:9" ht="15.9" hidden="1" customHeight="1" outlineLevel="1" x14ac:dyDescent="0.3">
      <c r="A645" s="13"/>
      <c r="B645" s="34"/>
      <c r="C645" s="281" t="str">
        <f>_xlfn.CONCAT(_xlfn.XLOOKUP("[S05_DefaultValues][443][InstallationCategory]",Submission!$O:$O,Submission!$H:$N,""))</f>
        <v/>
      </c>
      <c r="D645" s="350"/>
      <c r="E645" s="350"/>
      <c r="F645" s="350"/>
      <c r="G645" s="347"/>
      <c r="H645" s="123" t="str">
        <f>_xlfn.CONCAT(_xlfn.XLOOKUP("[S05_DefaultValues][443][FuelMaterialType]",Submission!$O:$O,Submission!$H:$N,""))</f>
        <v/>
      </c>
      <c r="I645" s="106" t="str">
        <f>_xlfn.CONCAT(_xlfn.XLOOKUP("[S05_DefaultValues][443][InstallationNumber]",Submission!$O:$O,Submission!$H:$N,""))</f>
        <v/>
      </c>
    </row>
    <row r="646" spans="1:9" ht="15.9" hidden="1" customHeight="1" outlineLevel="1" x14ac:dyDescent="0.3">
      <c r="A646" s="13"/>
      <c r="B646" s="34"/>
      <c r="C646" s="281" t="str">
        <f>_xlfn.CONCAT(_xlfn.XLOOKUP("[S05_DefaultValues][444][InstallationCategory]",Submission!$O:$O,Submission!$H:$N,""))</f>
        <v/>
      </c>
      <c r="D646" s="350"/>
      <c r="E646" s="350"/>
      <c r="F646" s="350"/>
      <c r="G646" s="347"/>
      <c r="H646" s="123" t="str">
        <f>_xlfn.CONCAT(_xlfn.XLOOKUP("[S05_DefaultValues][444][FuelMaterialType]",Submission!$O:$O,Submission!$H:$N,""))</f>
        <v/>
      </c>
      <c r="I646" s="106" t="str">
        <f>_xlfn.CONCAT(_xlfn.XLOOKUP("[S05_DefaultValues][444][InstallationNumber]",Submission!$O:$O,Submission!$H:$N,""))</f>
        <v/>
      </c>
    </row>
    <row r="647" spans="1:9" ht="15.9" hidden="1" customHeight="1" outlineLevel="1" x14ac:dyDescent="0.3">
      <c r="A647" s="13"/>
      <c r="B647" s="34"/>
      <c r="C647" s="281" t="str">
        <f>_xlfn.CONCAT(_xlfn.XLOOKUP("[S05_DefaultValues][445][InstallationCategory]",Submission!$O:$O,Submission!$H:$N,""))</f>
        <v/>
      </c>
      <c r="D647" s="350"/>
      <c r="E647" s="350"/>
      <c r="F647" s="350"/>
      <c r="G647" s="347"/>
      <c r="H647" s="123" t="str">
        <f>_xlfn.CONCAT(_xlfn.XLOOKUP("[S05_DefaultValues][445][FuelMaterialType]",Submission!$O:$O,Submission!$H:$N,""))</f>
        <v/>
      </c>
      <c r="I647" s="106" t="str">
        <f>_xlfn.CONCAT(_xlfn.XLOOKUP("[S05_DefaultValues][445][InstallationNumber]",Submission!$O:$O,Submission!$H:$N,""))</f>
        <v/>
      </c>
    </row>
    <row r="648" spans="1:9" ht="15.9" hidden="1" customHeight="1" outlineLevel="1" x14ac:dyDescent="0.3">
      <c r="A648" s="13"/>
      <c r="B648" s="34"/>
      <c r="C648" s="281" t="str">
        <f>_xlfn.CONCAT(_xlfn.XLOOKUP("[S05_DefaultValues][446][InstallationCategory]",Submission!$O:$O,Submission!$H:$N,""))</f>
        <v/>
      </c>
      <c r="D648" s="350"/>
      <c r="E648" s="350"/>
      <c r="F648" s="350"/>
      <c r="G648" s="347"/>
      <c r="H648" s="123" t="str">
        <f>_xlfn.CONCAT(_xlfn.XLOOKUP("[S05_DefaultValues][446][FuelMaterialType]",Submission!$O:$O,Submission!$H:$N,""))</f>
        <v/>
      </c>
      <c r="I648" s="106" t="str">
        <f>_xlfn.CONCAT(_xlfn.XLOOKUP("[S05_DefaultValues][446][InstallationNumber]",Submission!$O:$O,Submission!$H:$N,""))</f>
        <v/>
      </c>
    </row>
    <row r="649" spans="1:9" ht="15.9" hidden="1" customHeight="1" outlineLevel="1" x14ac:dyDescent="0.3">
      <c r="A649" s="13"/>
      <c r="B649" s="34"/>
      <c r="C649" s="281" t="str">
        <f>_xlfn.CONCAT(_xlfn.XLOOKUP("[S05_DefaultValues][447][InstallationCategory]",Submission!$O:$O,Submission!$H:$N,""))</f>
        <v/>
      </c>
      <c r="D649" s="350"/>
      <c r="E649" s="350"/>
      <c r="F649" s="350"/>
      <c r="G649" s="347"/>
      <c r="H649" s="123" t="str">
        <f>_xlfn.CONCAT(_xlfn.XLOOKUP("[S05_DefaultValues][447][FuelMaterialType]",Submission!$O:$O,Submission!$H:$N,""))</f>
        <v/>
      </c>
      <c r="I649" s="106" t="str">
        <f>_xlfn.CONCAT(_xlfn.XLOOKUP("[S05_DefaultValues][447][InstallationNumber]",Submission!$O:$O,Submission!$H:$N,""))</f>
        <v/>
      </c>
    </row>
    <row r="650" spans="1:9" ht="15.9" hidden="1" customHeight="1" outlineLevel="1" x14ac:dyDescent="0.3">
      <c r="A650" s="13"/>
      <c r="B650" s="34"/>
      <c r="C650" s="281" t="str">
        <f>_xlfn.CONCAT(_xlfn.XLOOKUP("[S05_DefaultValues][448][InstallationCategory]",Submission!$O:$O,Submission!$H:$N,""))</f>
        <v/>
      </c>
      <c r="D650" s="350"/>
      <c r="E650" s="350"/>
      <c r="F650" s="350"/>
      <c r="G650" s="347"/>
      <c r="H650" s="123" t="str">
        <f>_xlfn.CONCAT(_xlfn.XLOOKUP("[S05_DefaultValues][448][FuelMaterialType]",Submission!$O:$O,Submission!$H:$N,""))</f>
        <v/>
      </c>
      <c r="I650" s="106" t="str">
        <f>_xlfn.CONCAT(_xlfn.XLOOKUP("[S05_DefaultValues][448][InstallationNumber]",Submission!$O:$O,Submission!$H:$N,""))</f>
        <v/>
      </c>
    </row>
    <row r="651" spans="1:9" ht="15.9" hidden="1" customHeight="1" outlineLevel="1" x14ac:dyDescent="0.3">
      <c r="A651" s="13"/>
      <c r="B651" s="34"/>
      <c r="C651" s="281" t="str">
        <f>_xlfn.CONCAT(_xlfn.XLOOKUP("[S05_DefaultValues][449][InstallationCategory]",Submission!$O:$O,Submission!$H:$N,""))</f>
        <v/>
      </c>
      <c r="D651" s="350"/>
      <c r="E651" s="350"/>
      <c r="F651" s="350"/>
      <c r="G651" s="347"/>
      <c r="H651" s="123" t="str">
        <f>_xlfn.CONCAT(_xlfn.XLOOKUP("[S05_DefaultValues][449][FuelMaterialType]",Submission!$O:$O,Submission!$H:$N,""))</f>
        <v/>
      </c>
      <c r="I651" s="106" t="str">
        <f>_xlfn.CONCAT(_xlfn.XLOOKUP("[S05_DefaultValues][449][InstallationNumber]",Submission!$O:$O,Submission!$H:$N,""))</f>
        <v/>
      </c>
    </row>
    <row r="652" spans="1:9" ht="15.9" hidden="1" customHeight="1" outlineLevel="1" x14ac:dyDescent="0.3">
      <c r="A652" s="13"/>
      <c r="B652" s="34"/>
      <c r="C652" s="281" t="str">
        <f>_xlfn.CONCAT(_xlfn.XLOOKUP("[S05_DefaultValues][450][InstallationCategory]",Submission!$O:$O,Submission!$H:$N,""))</f>
        <v/>
      </c>
      <c r="D652" s="350"/>
      <c r="E652" s="350"/>
      <c r="F652" s="350"/>
      <c r="G652" s="347"/>
      <c r="H652" s="123" t="str">
        <f>_xlfn.CONCAT(_xlfn.XLOOKUP("[S05_DefaultValues][450][FuelMaterialType]",Submission!$O:$O,Submission!$H:$N,""))</f>
        <v/>
      </c>
      <c r="I652" s="106" t="str">
        <f>_xlfn.CONCAT(_xlfn.XLOOKUP("[S05_DefaultValues][450][InstallationNumber]",Submission!$O:$O,Submission!$H:$N,""))</f>
        <v/>
      </c>
    </row>
    <row r="653" spans="1:9" ht="15.9" hidden="1" customHeight="1" outlineLevel="1" x14ac:dyDescent="0.3">
      <c r="A653" s="13"/>
      <c r="B653" s="34"/>
      <c r="C653" s="281" t="str">
        <f>_xlfn.CONCAT(_xlfn.XLOOKUP("[S05_DefaultValues][451][InstallationCategory]",Submission!$O:$O,Submission!$H:$N,""))</f>
        <v/>
      </c>
      <c r="D653" s="350"/>
      <c r="E653" s="350"/>
      <c r="F653" s="350"/>
      <c r="G653" s="347"/>
      <c r="H653" s="123" t="str">
        <f>_xlfn.CONCAT(_xlfn.XLOOKUP("[S05_DefaultValues][451][FuelMaterialType]",Submission!$O:$O,Submission!$H:$N,""))</f>
        <v/>
      </c>
      <c r="I653" s="106" t="str">
        <f>_xlfn.CONCAT(_xlfn.XLOOKUP("[S05_DefaultValues][451][InstallationNumber]",Submission!$O:$O,Submission!$H:$N,""))</f>
        <v/>
      </c>
    </row>
    <row r="654" spans="1:9" ht="15.9" hidden="1" customHeight="1" outlineLevel="1" x14ac:dyDescent="0.3">
      <c r="A654" s="13"/>
      <c r="B654" s="34"/>
      <c r="C654" s="281" t="str">
        <f>_xlfn.CONCAT(_xlfn.XLOOKUP("[S05_DefaultValues][452][InstallationCategory]",Submission!$O:$O,Submission!$H:$N,""))</f>
        <v/>
      </c>
      <c r="D654" s="350"/>
      <c r="E654" s="350"/>
      <c r="F654" s="350"/>
      <c r="G654" s="347"/>
      <c r="H654" s="123" t="str">
        <f>_xlfn.CONCAT(_xlfn.XLOOKUP("[S05_DefaultValues][452][FuelMaterialType]",Submission!$O:$O,Submission!$H:$N,""))</f>
        <v/>
      </c>
      <c r="I654" s="106" t="str">
        <f>_xlfn.CONCAT(_xlfn.XLOOKUP("[S05_DefaultValues][452][InstallationNumber]",Submission!$O:$O,Submission!$H:$N,""))</f>
        <v/>
      </c>
    </row>
    <row r="655" spans="1:9" ht="15.9" hidden="1" customHeight="1" outlineLevel="1" x14ac:dyDescent="0.3">
      <c r="A655" s="13"/>
      <c r="B655" s="34"/>
      <c r="C655" s="281" t="str">
        <f>_xlfn.CONCAT(_xlfn.XLOOKUP("[S05_DefaultValues][453][InstallationCategory]",Submission!$O:$O,Submission!$H:$N,""))</f>
        <v/>
      </c>
      <c r="D655" s="350"/>
      <c r="E655" s="350"/>
      <c r="F655" s="350"/>
      <c r="G655" s="347"/>
      <c r="H655" s="123" t="str">
        <f>_xlfn.CONCAT(_xlfn.XLOOKUP("[S05_DefaultValues][453][FuelMaterialType]",Submission!$O:$O,Submission!$H:$N,""))</f>
        <v/>
      </c>
      <c r="I655" s="106" t="str">
        <f>_xlfn.CONCAT(_xlfn.XLOOKUP("[S05_DefaultValues][453][InstallationNumber]",Submission!$O:$O,Submission!$H:$N,""))</f>
        <v/>
      </c>
    </row>
    <row r="656" spans="1:9" ht="15.9" hidden="1" customHeight="1" outlineLevel="1" x14ac:dyDescent="0.3">
      <c r="A656" s="13"/>
      <c r="B656" s="34"/>
      <c r="C656" s="281" t="str">
        <f>_xlfn.CONCAT(_xlfn.XLOOKUP("[S05_DefaultValues][454][InstallationCategory]",Submission!$O:$O,Submission!$H:$N,""))</f>
        <v/>
      </c>
      <c r="D656" s="350"/>
      <c r="E656" s="350"/>
      <c r="F656" s="350"/>
      <c r="G656" s="347"/>
      <c r="H656" s="123" t="str">
        <f>_xlfn.CONCAT(_xlfn.XLOOKUP("[S05_DefaultValues][454][FuelMaterialType]",Submission!$O:$O,Submission!$H:$N,""))</f>
        <v/>
      </c>
      <c r="I656" s="106" t="str">
        <f>_xlfn.CONCAT(_xlfn.XLOOKUP("[S05_DefaultValues][454][InstallationNumber]",Submission!$O:$O,Submission!$H:$N,""))</f>
        <v/>
      </c>
    </row>
    <row r="657" spans="1:9" ht="15.9" hidden="1" customHeight="1" outlineLevel="1" x14ac:dyDescent="0.3">
      <c r="A657" s="13"/>
      <c r="B657" s="34"/>
      <c r="C657" s="281" t="str">
        <f>_xlfn.CONCAT(_xlfn.XLOOKUP("[S05_DefaultValues][455][InstallationCategory]",Submission!$O:$O,Submission!$H:$N,""))</f>
        <v/>
      </c>
      <c r="D657" s="350"/>
      <c r="E657" s="350"/>
      <c r="F657" s="350"/>
      <c r="G657" s="347"/>
      <c r="H657" s="123" t="str">
        <f>_xlfn.CONCAT(_xlfn.XLOOKUP("[S05_DefaultValues][455][FuelMaterialType]",Submission!$O:$O,Submission!$H:$N,""))</f>
        <v/>
      </c>
      <c r="I657" s="106" t="str">
        <f>_xlfn.CONCAT(_xlfn.XLOOKUP("[S05_DefaultValues][455][InstallationNumber]",Submission!$O:$O,Submission!$H:$N,""))</f>
        <v/>
      </c>
    </row>
    <row r="658" spans="1:9" ht="15.9" hidden="1" customHeight="1" outlineLevel="1" x14ac:dyDescent="0.3">
      <c r="A658" s="13"/>
      <c r="B658" s="34"/>
      <c r="C658" s="281" t="str">
        <f>_xlfn.CONCAT(_xlfn.XLOOKUP("[S05_DefaultValues][456][InstallationCategory]",Submission!$O:$O,Submission!$H:$N,""))</f>
        <v/>
      </c>
      <c r="D658" s="350"/>
      <c r="E658" s="350"/>
      <c r="F658" s="350"/>
      <c r="G658" s="347"/>
      <c r="H658" s="123" t="str">
        <f>_xlfn.CONCAT(_xlfn.XLOOKUP("[S05_DefaultValues][456][FuelMaterialType]",Submission!$O:$O,Submission!$H:$N,""))</f>
        <v/>
      </c>
      <c r="I658" s="106" t="str">
        <f>_xlfn.CONCAT(_xlfn.XLOOKUP("[S05_DefaultValues][456][InstallationNumber]",Submission!$O:$O,Submission!$H:$N,""))</f>
        <v/>
      </c>
    </row>
    <row r="659" spans="1:9" ht="15.9" hidden="1" customHeight="1" outlineLevel="1" x14ac:dyDescent="0.3">
      <c r="A659" s="13"/>
      <c r="B659" s="34"/>
      <c r="C659" s="281" t="str">
        <f>_xlfn.CONCAT(_xlfn.XLOOKUP("[S05_DefaultValues][457][InstallationCategory]",Submission!$O:$O,Submission!$H:$N,""))</f>
        <v/>
      </c>
      <c r="D659" s="350"/>
      <c r="E659" s="350"/>
      <c r="F659" s="350"/>
      <c r="G659" s="347"/>
      <c r="H659" s="123" t="str">
        <f>_xlfn.CONCAT(_xlfn.XLOOKUP("[S05_DefaultValues][457][FuelMaterialType]",Submission!$O:$O,Submission!$H:$N,""))</f>
        <v/>
      </c>
      <c r="I659" s="106" t="str">
        <f>_xlfn.CONCAT(_xlfn.XLOOKUP("[S05_DefaultValues][457][InstallationNumber]",Submission!$O:$O,Submission!$H:$N,""))</f>
        <v/>
      </c>
    </row>
    <row r="660" spans="1:9" ht="15.9" hidden="1" customHeight="1" outlineLevel="1" x14ac:dyDescent="0.3">
      <c r="A660" s="13"/>
      <c r="B660" s="34"/>
      <c r="C660" s="281" t="str">
        <f>_xlfn.CONCAT(_xlfn.XLOOKUP("[S05_DefaultValues][458][InstallationCategory]",Submission!$O:$O,Submission!$H:$N,""))</f>
        <v/>
      </c>
      <c r="D660" s="350"/>
      <c r="E660" s="350"/>
      <c r="F660" s="350"/>
      <c r="G660" s="347"/>
      <c r="H660" s="123" t="str">
        <f>_xlfn.CONCAT(_xlfn.XLOOKUP("[S05_DefaultValues][458][FuelMaterialType]",Submission!$O:$O,Submission!$H:$N,""))</f>
        <v/>
      </c>
      <c r="I660" s="106" t="str">
        <f>_xlfn.CONCAT(_xlfn.XLOOKUP("[S05_DefaultValues][458][InstallationNumber]",Submission!$O:$O,Submission!$H:$N,""))</f>
        <v/>
      </c>
    </row>
    <row r="661" spans="1:9" ht="15.9" hidden="1" customHeight="1" outlineLevel="1" x14ac:dyDescent="0.3">
      <c r="A661" s="13"/>
      <c r="B661" s="34"/>
      <c r="C661" s="281" t="str">
        <f>_xlfn.CONCAT(_xlfn.XLOOKUP("[S05_DefaultValues][459][InstallationCategory]",Submission!$O:$O,Submission!$H:$N,""))</f>
        <v/>
      </c>
      <c r="D661" s="350"/>
      <c r="E661" s="350"/>
      <c r="F661" s="350"/>
      <c r="G661" s="347"/>
      <c r="H661" s="123" t="str">
        <f>_xlfn.CONCAT(_xlfn.XLOOKUP("[S05_DefaultValues][459][FuelMaterialType]",Submission!$O:$O,Submission!$H:$N,""))</f>
        <v/>
      </c>
      <c r="I661" s="106" t="str">
        <f>_xlfn.CONCAT(_xlfn.XLOOKUP("[S05_DefaultValues][459][InstallationNumber]",Submission!$O:$O,Submission!$H:$N,""))</f>
        <v/>
      </c>
    </row>
    <row r="662" spans="1:9" ht="15.9" hidden="1" customHeight="1" outlineLevel="1" x14ac:dyDescent="0.3">
      <c r="A662" s="13"/>
      <c r="B662" s="34"/>
      <c r="C662" s="281" t="str">
        <f>_xlfn.CONCAT(_xlfn.XLOOKUP("[S05_DefaultValues][460][InstallationCategory]",Submission!$O:$O,Submission!$H:$N,""))</f>
        <v/>
      </c>
      <c r="D662" s="350"/>
      <c r="E662" s="350"/>
      <c r="F662" s="350"/>
      <c r="G662" s="347"/>
      <c r="H662" s="123" t="str">
        <f>_xlfn.CONCAT(_xlfn.XLOOKUP("[S05_DefaultValues][460][FuelMaterialType]",Submission!$O:$O,Submission!$H:$N,""))</f>
        <v/>
      </c>
      <c r="I662" s="106" t="str">
        <f>_xlfn.CONCAT(_xlfn.XLOOKUP("[S05_DefaultValues][460][InstallationNumber]",Submission!$O:$O,Submission!$H:$N,""))</f>
        <v/>
      </c>
    </row>
    <row r="663" spans="1:9" ht="15.9" hidden="1" customHeight="1" outlineLevel="1" x14ac:dyDescent="0.3">
      <c r="A663" s="13"/>
      <c r="B663" s="34"/>
      <c r="C663" s="281" t="str">
        <f>_xlfn.CONCAT(_xlfn.XLOOKUP("[S05_DefaultValues][461][InstallationCategory]",Submission!$O:$O,Submission!$H:$N,""))</f>
        <v/>
      </c>
      <c r="D663" s="350"/>
      <c r="E663" s="350"/>
      <c r="F663" s="350"/>
      <c r="G663" s="347"/>
      <c r="H663" s="123" t="str">
        <f>_xlfn.CONCAT(_xlfn.XLOOKUP("[S05_DefaultValues][461][FuelMaterialType]",Submission!$O:$O,Submission!$H:$N,""))</f>
        <v/>
      </c>
      <c r="I663" s="106" t="str">
        <f>_xlfn.CONCAT(_xlfn.XLOOKUP("[S05_DefaultValues][461][InstallationNumber]",Submission!$O:$O,Submission!$H:$N,""))</f>
        <v/>
      </c>
    </row>
    <row r="664" spans="1:9" ht="15.9" hidden="1" customHeight="1" outlineLevel="1" x14ac:dyDescent="0.3">
      <c r="A664" s="13"/>
      <c r="B664" s="34"/>
      <c r="C664" s="281" t="str">
        <f>_xlfn.CONCAT(_xlfn.XLOOKUP("[S05_DefaultValues][462][InstallationCategory]",Submission!$O:$O,Submission!$H:$N,""))</f>
        <v/>
      </c>
      <c r="D664" s="350"/>
      <c r="E664" s="350"/>
      <c r="F664" s="350"/>
      <c r="G664" s="347"/>
      <c r="H664" s="123" t="str">
        <f>_xlfn.CONCAT(_xlfn.XLOOKUP("[S05_DefaultValues][462][FuelMaterialType]",Submission!$O:$O,Submission!$H:$N,""))</f>
        <v/>
      </c>
      <c r="I664" s="106" t="str">
        <f>_xlfn.CONCAT(_xlfn.XLOOKUP("[S05_DefaultValues][462][InstallationNumber]",Submission!$O:$O,Submission!$H:$N,""))</f>
        <v/>
      </c>
    </row>
    <row r="665" spans="1:9" ht="15.9" hidden="1" customHeight="1" outlineLevel="1" x14ac:dyDescent="0.3">
      <c r="A665" s="13"/>
      <c r="B665" s="34"/>
      <c r="C665" s="281" t="str">
        <f>_xlfn.CONCAT(_xlfn.XLOOKUP("[S05_DefaultValues][463][InstallationCategory]",Submission!$O:$O,Submission!$H:$N,""))</f>
        <v/>
      </c>
      <c r="D665" s="350"/>
      <c r="E665" s="350"/>
      <c r="F665" s="350"/>
      <c r="G665" s="347"/>
      <c r="H665" s="123" t="str">
        <f>_xlfn.CONCAT(_xlfn.XLOOKUP("[S05_DefaultValues][463][FuelMaterialType]",Submission!$O:$O,Submission!$H:$N,""))</f>
        <v/>
      </c>
      <c r="I665" s="106" t="str">
        <f>_xlfn.CONCAT(_xlfn.XLOOKUP("[S05_DefaultValues][463][InstallationNumber]",Submission!$O:$O,Submission!$H:$N,""))</f>
        <v/>
      </c>
    </row>
    <row r="666" spans="1:9" ht="15.9" hidden="1" customHeight="1" outlineLevel="1" x14ac:dyDescent="0.3">
      <c r="A666" s="13"/>
      <c r="B666" s="34"/>
      <c r="C666" s="281" t="str">
        <f>_xlfn.CONCAT(_xlfn.XLOOKUP("[S05_DefaultValues][464][InstallationCategory]",Submission!$O:$O,Submission!$H:$N,""))</f>
        <v/>
      </c>
      <c r="D666" s="350"/>
      <c r="E666" s="350"/>
      <c r="F666" s="350"/>
      <c r="G666" s="347"/>
      <c r="H666" s="123" t="str">
        <f>_xlfn.CONCAT(_xlfn.XLOOKUP("[S05_DefaultValues][464][FuelMaterialType]",Submission!$O:$O,Submission!$H:$N,""))</f>
        <v/>
      </c>
      <c r="I666" s="106" t="str">
        <f>_xlfn.CONCAT(_xlfn.XLOOKUP("[S05_DefaultValues][464][InstallationNumber]",Submission!$O:$O,Submission!$H:$N,""))</f>
        <v/>
      </c>
    </row>
    <row r="667" spans="1:9" ht="15.9" hidden="1" customHeight="1" outlineLevel="1" x14ac:dyDescent="0.3">
      <c r="A667" s="13"/>
      <c r="B667" s="34"/>
      <c r="C667" s="281" t="str">
        <f>_xlfn.CONCAT(_xlfn.XLOOKUP("[S05_DefaultValues][465][InstallationCategory]",Submission!$O:$O,Submission!$H:$N,""))</f>
        <v/>
      </c>
      <c r="D667" s="350"/>
      <c r="E667" s="350"/>
      <c r="F667" s="350"/>
      <c r="G667" s="347"/>
      <c r="H667" s="123" t="str">
        <f>_xlfn.CONCAT(_xlfn.XLOOKUP("[S05_DefaultValues][465][FuelMaterialType]",Submission!$O:$O,Submission!$H:$N,""))</f>
        <v/>
      </c>
      <c r="I667" s="106" t="str">
        <f>_xlfn.CONCAT(_xlfn.XLOOKUP("[S05_DefaultValues][465][InstallationNumber]",Submission!$O:$O,Submission!$H:$N,""))</f>
        <v/>
      </c>
    </row>
    <row r="668" spans="1:9" ht="15.9" hidden="1" customHeight="1" outlineLevel="1" x14ac:dyDescent="0.3">
      <c r="A668" s="13"/>
      <c r="B668" s="34"/>
      <c r="C668" s="281" t="str">
        <f>_xlfn.CONCAT(_xlfn.XLOOKUP("[S05_DefaultValues][466][InstallationCategory]",Submission!$O:$O,Submission!$H:$N,""))</f>
        <v/>
      </c>
      <c r="D668" s="350"/>
      <c r="E668" s="350"/>
      <c r="F668" s="350"/>
      <c r="G668" s="347"/>
      <c r="H668" s="123" t="str">
        <f>_xlfn.CONCAT(_xlfn.XLOOKUP("[S05_DefaultValues][466][FuelMaterialType]",Submission!$O:$O,Submission!$H:$N,""))</f>
        <v/>
      </c>
      <c r="I668" s="106" t="str">
        <f>_xlfn.CONCAT(_xlfn.XLOOKUP("[S05_DefaultValues][466][InstallationNumber]",Submission!$O:$O,Submission!$H:$N,""))</f>
        <v/>
      </c>
    </row>
    <row r="669" spans="1:9" ht="15.9" hidden="1" customHeight="1" outlineLevel="1" x14ac:dyDescent="0.3">
      <c r="A669" s="13"/>
      <c r="B669" s="34"/>
      <c r="C669" s="281" t="str">
        <f>_xlfn.CONCAT(_xlfn.XLOOKUP("[S05_DefaultValues][467][InstallationCategory]",Submission!$O:$O,Submission!$H:$N,""))</f>
        <v/>
      </c>
      <c r="D669" s="350"/>
      <c r="E669" s="350"/>
      <c r="F669" s="350"/>
      <c r="G669" s="347"/>
      <c r="H669" s="123" t="str">
        <f>_xlfn.CONCAT(_xlfn.XLOOKUP("[S05_DefaultValues][467][FuelMaterialType]",Submission!$O:$O,Submission!$H:$N,""))</f>
        <v/>
      </c>
      <c r="I669" s="106" t="str">
        <f>_xlfn.CONCAT(_xlfn.XLOOKUP("[S05_DefaultValues][467][InstallationNumber]",Submission!$O:$O,Submission!$H:$N,""))</f>
        <v/>
      </c>
    </row>
    <row r="670" spans="1:9" ht="15.9" hidden="1" customHeight="1" outlineLevel="1" x14ac:dyDescent="0.3">
      <c r="A670" s="13"/>
      <c r="B670" s="34"/>
      <c r="C670" s="281" t="str">
        <f>_xlfn.CONCAT(_xlfn.XLOOKUP("[S05_DefaultValues][468][InstallationCategory]",Submission!$O:$O,Submission!$H:$N,""))</f>
        <v/>
      </c>
      <c r="D670" s="350"/>
      <c r="E670" s="350"/>
      <c r="F670" s="350"/>
      <c r="G670" s="347"/>
      <c r="H670" s="123" t="str">
        <f>_xlfn.CONCAT(_xlfn.XLOOKUP("[S05_DefaultValues][468][FuelMaterialType]",Submission!$O:$O,Submission!$H:$N,""))</f>
        <v/>
      </c>
      <c r="I670" s="106" t="str">
        <f>_xlfn.CONCAT(_xlfn.XLOOKUP("[S05_DefaultValues][468][InstallationNumber]",Submission!$O:$O,Submission!$H:$N,""))</f>
        <v/>
      </c>
    </row>
    <row r="671" spans="1:9" ht="15.9" hidden="1" customHeight="1" outlineLevel="1" x14ac:dyDescent="0.3">
      <c r="A671" s="13"/>
      <c r="B671" s="34"/>
      <c r="C671" s="281" t="str">
        <f>_xlfn.CONCAT(_xlfn.XLOOKUP("[S05_DefaultValues][469][InstallationCategory]",Submission!$O:$O,Submission!$H:$N,""))</f>
        <v/>
      </c>
      <c r="D671" s="350"/>
      <c r="E671" s="350"/>
      <c r="F671" s="350"/>
      <c r="G671" s="347"/>
      <c r="H671" s="123" t="str">
        <f>_xlfn.CONCAT(_xlfn.XLOOKUP("[S05_DefaultValues][469][FuelMaterialType]",Submission!$O:$O,Submission!$H:$N,""))</f>
        <v/>
      </c>
      <c r="I671" s="106" t="str">
        <f>_xlfn.CONCAT(_xlfn.XLOOKUP("[S05_DefaultValues][469][InstallationNumber]",Submission!$O:$O,Submission!$H:$N,""))</f>
        <v/>
      </c>
    </row>
    <row r="672" spans="1:9" ht="15.9" hidden="1" customHeight="1" outlineLevel="1" x14ac:dyDescent="0.3">
      <c r="A672" s="13"/>
      <c r="B672" s="34"/>
      <c r="C672" s="281" t="str">
        <f>_xlfn.CONCAT(_xlfn.XLOOKUP("[S05_DefaultValues][470][InstallationCategory]",Submission!$O:$O,Submission!$H:$N,""))</f>
        <v/>
      </c>
      <c r="D672" s="350"/>
      <c r="E672" s="350"/>
      <c r="F672" s="350"/>
      <c r="G672" s="347"/>
      <c r="H672" s="123" t="str">
        <f>_xlfn.CONCAT(_xlfn.XLOOKUP("[S05_DefaultValues][470][FuelMaterialType]",Submission!$O:$O,Submission!$H:$N,""))</f>
        <v/>
      </c>
      <c r="I672" s="106" t="str">
        <f>_xlfn.CONCAT(_xlfn.XLOOKUP("[S05_DefaultValues][470][InstallationNumber]",Submission!$O:$O,Submission!$H:$N,""))</f>
        <v/>
      </c>
    </row>
    <row r="673" spans="1:9" ht="15.9" hidden="1" customHeight="1" outlineLevel="1" x14ac:dyDescent="0.3">
      <c r="A673" s="13"/>
      <c r="B673" s="34"/>
      <c r="C673" s="281" t="str">
        <f>_xlfn.CONCAT(_xlfn.XLOOKUP("[S05_DefaultValues][471][InstallationCategory]",Submission!$O:$O,Submission!$H:$N,""))</f>
        <v/>
      </c>
      <c r="D673" s="350"/>
      <c r="E673" s="350"/>
      <c r="F673" s="350"/>
      <c r="G673" s="347"/>
      <c r="H673" s="123" t="str">
        <f>_xlfn.CONCAT(_xlfn.XLOOKUP("[S05_DefaultValues][471][FuelMaterialType]",Submission!$O:$O,Submission!$H:$N,""))</f>
        <v/>
      </c>
      <c r="I673" s="106" t="str">
        <f>_xlfn.CONCAT(_xlfn.XLOOKUP("[S05_DefaultValues][471][InstallationNumber]",Submission!$O:$O,Submission!$H:$N,""))</f>
        <v/>
      </c>
    </row>
    <row r="674" spans="1:9" ht="15.9" hidden="1" customHeight="1" outlineLevel="1" x14ac:dyDescent="0.3">
      <c r="A674" s="13"/>
      <c r="B674" s="34"/>
      <c r="C674" s="281" t="str">
        <f>_xlfn.CONCAT(_xlfn.XLOOKUP("[S05_DefaultValues][472][InstallationCategory]",Submission!$O:$O,Submission!$H:$N,""))</f>
        <v/>
      </c>
      <c r="D674" s="350"/>
      <c r="E674" s="350"/>
      <c r="F674" s="350"/>
      <c r="G674" s="347"/>
      <c r="H674" s="123" t="str">
        <f>_xlfn.CONCAT(_xlfn.XLOOKUP("[S05_DefaultValues][472][FuelMaterialType]",Submission!$O:$O,Submission!$H:$N,""))</f>
        <v/>
      </c>
      <c r="I674" s="106" t="str">
        <f>_xlfn.CONCAT(_xlfn.XLOOKUP("[S05_DefaultValues][472][InstallationNumber]",Submission!$O:$O,Submission!$H:$N,""))</f>
        <v/>
      </c>
    </row>
    <row r="675" spans="1:9" ht="15.9" hidden="1" customHeight="1" outlineLevel="1" x14ac:dyDescent="0.3">
      <c r="A675" s="13"/>
      <c r="B675" s="34"/>
      <c r="C675" s="281" t="str">
        <f>_xlfn.CONCAT(_xlfn.XLOOKUP("[S05_DefaultValues][473][InstallationCategory]",Submission!$O:$O,Submission!$H:$N,""))</f>
        <v/>
      </c>
      <c r="D675" s="350"/>
      <c r="E675" s="350"/>
      <c r="F675" s="350"/>
      <c r="G675" s="347"/>
      <c r="H675" s="123" t="str">
        <f>_xlfn.CONCAT(_xlfn.XLOOKUP("[S05_DefaultValues][473][FuelMaterialType]",Submission!$O:$O,Submission!$H:$N,""))</f>
        <v/>
      </c>
      <c r="I675" s="106" t="str">
        <f>_xlfn.CONCAT(_xlfn.XLOOKUP("[S05_DefaultValues][473][InstallationNumber]",Submission!$O:$O,Submission!$H:$N,""))</f>
        <v/>
      </c>
    </row>
    <row r="676" spans="1:9" ht="15.9" hidden="1" customHeight="1" outlineLevel="1" x14ac:dyDescent="0.3">
      <c r="A676" s="13"/>
      <c r="B676" s="34"/>
      <c r="C676" s="281" t="str">
        <f>_xlfn.CONCAT(_xlfn.XLOOKUP("[S05_DefaultValues][474][InstallationCategory]",Submission!$O:$O,Submission!$H:$N,""))</f>
        <v/>
      </c>
      <c r="D676" s="350"/>
      <c r="E676" s="350"/>
      <c r="F676" s="350"/>
      <c r="G676" s="347"/>
      <c r="H676" s="123" t="str">
        <f>_xlfn.CONCAT(_xlfn.XLOOKUP("[S05_DefaultValues][474][FuelMaterialType]",Submission!$O:$O,Submission!$H:$N,""))</f>
        <v/>
      </c>
      <c r="I676" s="106" t="str">
        <f>_xlfn.CONCAT(_xlfn.XLOOKUP("[S05_DefaultValues][474][InstallationNumber]",Submission!$O:$O,Submission!$H:$N,""))</f>
        <v/>
      </c>
    </row>
    <row r="677" spans="1:9" ht="15.9" hidden="1" customHeight="1" outlineLevel="1" x14ac:dyDescent="0.3">
      <c r="A677" s="13"/>
      <c r="B677" s="34"/>
      <c r="C677" s="281" t="str">
        <f>_xlfn.CONCAT(_xlfn.XLOOKUP("[S05_DefaultValues][475][InstallationCategory]",Submission!$O:$O,Submission!$H:$N,""))</f>
        <v/>
      </c>
      <c r="D677" s="350"/>
      <c r="E677" s="350"/>
      <c r="F677" s="350"/>
      <c r="G677" s="347"/>
      <c r="H677" s="123" t="str">
        <f>_xlfn.CONCAT(_xlfn.XLOOKUP("[S05_DefaultValues][475][FuelMaterialType]",Submission!$O:$O,Submission!$H:$N,""))</f>
        <v/>
      </c>
      <c r="I677" s="106" t="str">
        <f>_xlfn.CONCAT(_xlfn.XLOOKUP("[S05_DefaultValues][475][InstallationNumber]",Submission!$O:$O,Submission!$H:$N,""))</f>
        <v/>
      </c>
    </row>
    <row r="678" spans="1:9" ht="15.9" hidden="1" customHeight="1" outlineLevel="1" x14ac:dyDescent="0.3">
      <c r="A678" s="13"/>
      <c r="B678" s="34"/>
      <c r="C678" s="281" t="str">
        <f>_xlfn.CONCAT(_xlfn.XLOOKUP("[S05_DefaultValues][476][InstallationCategory]",Submission!$O:$O,Submission!$H:$N,""))</f>
        <v/>
      </c>
      <c r="D678" s="350"/>
      <c r="E678" s="350"/>
      <c r="F678" s="350"/>
      <c r="G678" s="347"/>
      <c r="H678" s="123" t="str">
        <f>_xlfn.CONCAT(_xlfn.XLOOKUP("[S05_DefaultValues][476][FuelMaterialType]",Submission!$O:$O,Submission!$H:$N,""))</f>
        <v/>
      </c>
      <c r="I678" s="106" t="str">
        <f>_xlfn.CONCAT(_xlfn.XLOOKUP("[S05_DefaultValues][476][InstallationNumber]",Submission!$O:$O,Submission!$H:$N,""))</f>
        <v/>
      </c>
    </row>
    <row r="679" spans="1:9" ht="15.9" hidden="1" customHeight="1" outlineLevel="1" x14ac:dyDescent="0.3">
      <c r="A679" s="13"/>
      <c r="B679" s="34"/>
      <c r="C679" s="281" t="str">
        <f>_xlfn.CONCAT(_xlfn.XLOOKUP("[S05_DefaultValues][477][InstallationCategory]",Submission!$O:$O,Submission!$H:$N,""))</f>
        <v/>
      </c>
      <c r="D679" s="350"/>
      <c r="E679" s="350"/>
      <c r="F679" s="350"/>
      <c r="G679" s="347"/>
      <c r="H679" s="123" t="str">
        <f>_xlfn.CONCAT(_xlfn.XLOOKUP("[S05_DefaultValues][477][FuelMaterialType]",Submission!$O:$O,Submission!$H:$N,""))</f>
        <v/>
      </c>
      <c r="I679" s="106" t="str">
        <f>_xlfn.CONCAT(_xlfn.XLOOKUP("[S05_DefaultValues][477][InstallationNumber]",Submission!$O:$O,Submission!$H:$N,""))</f>
        <v/>
      </c>
    </row>
    <row r="680" spans="1:9" ht="15.9" hidden="1" customHeight="1" outlineLevel="1" x14ac:dyDescent="0.3">
      <c r="A680" s="13"/>
      <c r="B680" s="34"/>
      <c r="C680" s="281" t="str">
        <f>_xlfn.CONCAT(_xlfn.XLOOKUP("[S05_DefaultValues][478][InstallationCategory]",Submission!$O:$O,Submission!$H:$N,""))</f>
        <v/>
      </c>
      <c r="D680" s="350"/>
      <c r="E680" s="350"/>
      <c r="F680" s="350"/>
      <c r="G680" s="347"/>
      <c r="H680" s="123" t="str">
        <f>_xlfn.CONCAT(_xlfn.XLOOKUP("[S05_DefaultValues][478][FuelMaterialType]",Submission!$O:$O,Submission!$H:$N,""))</f>
        <v/>
      </c>
      <c r="I680" s="106" t="str">
        <f>_xlfn.CONCAT(_xlfn.XLOOKUP("[S05_DefaultValues][478][InstallationNumber]",Submission!$O:$O,Submission!$H:$N,""))</f>
        <v/>
      </c>
    </row>
    <row r="681" spans="1:9" ht="15.9" hidden="1" customHeight="1" outlineLevel="1" x14ac:dyDescent="0.3">
      <c r="A681" s="13"/>
      <c r="B681" s="34"/>
      <c r="C681" s="281" t="str">
        <f>_xlfn.CONCAT(_xlfn.XLOOKUP("[S05_DefaultValues][479][InstallationCategory]",Submission!$O:$O,Submission!$H:$N,""))</f>
        <v/>
      </c>
      <c r="D681" s="350"/>
      <c r="E681" s="350"/>
      <c r="F681" s="350"/>
      <c r="G681" s="347"/>
      <c r="H681" s="123" t="str">
        <f>_xlfn.CONCAT(_xlfn.XLOOKUP("[S05_DefaultValues][479][FuelMaterialType]",Submission!$O:$O,Submission!$H:$N,""))</f>
        <v/>
      </c>
      <c r="I681" s="106" t="str">
        <f>_xlfn.CONCAT(_xlfn.XLOOKUP("[S05_DefaultValues][479][InstallationNumber]",Submission!$O:$O,Submission!$H:$N,""))</f>
        <v/>
      </c>
    </row>
    <row r="682" spans="1:9" ht="15.9" hidden="1" customHeight="1" outlineLevel="1" x14ac:dyDescent="0.3">
      <c r="A682" s="13"/>
      <c r="B682" s="34"/>
      <c r="C682" s="281" t="str">
        <f>_xlfn.CONCAT(_xlfn.XLOOKUP("[S05_DefaultValues][480][InstallationCategory]",Submission!$O:$O,Submission!$H:$N,""))</f>
        <v/>
      </c>
      <c r="D682" s="350"/>
      <c r="E682" s="350"/>
      <c r="F682" s="350"/>
      <c r="G682" s="347"/>
      <c r="H682" s="123" t="str">
        <f>_xlfn.CONCAT(_xlfn.XLOOKUP("[S05_DefaultValues][480][FuelMaterialType]",Submission!$O:$O,Submission!$H:$N,""))</f>
        <v/>
      </c>
      <c r="I682" s="106" t="str">
        <f>_xlfn.CONCAT(_xlfn.XLOOKUP("[S05_DefaultValues][480][InstallationNumber]",Submission!$O:$O,Submission!$H:$N,""))</f>
        <v/>
      </c>
    </row>
    <row r="683" spans="1:9" ht="15.9" hidden="1" customHeight="1" outlineLevel="1" x14ac:dyDescent="0.3">
      <c r="A683" s="13"/>
      <c r="B683" s="34"/>
      <c r="C683" s="281" t="str">
        <f>_xlfn.CONCAT(_xlfn.XLOOKUP("[S05_DefaultValues][481][InstallationCategory]",Submission!$O:$O,Submission!$H:$N,""))</f>
        <v/>
      </c>
      <c r="D683" s="350"/>
      <c r="E683" s="350"/>
      <c r="F683" s="350"/>
      <c r="G683" s="347"/>
      <c r="H683" s="123" t="str">
        <f>_xlfn.CONCAT(_xlfn.XLOOKUP("[S05_DefaultValues][481][FuelMaterialType]",Submission!$O:$O,Submission!$H:$N,""))</f>
        <v/>
      </c>
      <c r="I683" s="106" t="str">
        <f>_xlfn.CONCAT(_xlfn.XLOOKUP("[S05_DefaultValues][481][InstallationNumber]",Submission!$O:$O,Submission!$H:$N,""))</f>
        <v/>
      </c>
    </row>
    <row r="684" spans="1:9" ht="15.9" hidden="1" customHeight="1" outlineLevel="1" x14ac:dyDescent="0.3">
      <c r="A684" s="13"/>
      <c r="B684" s="34"/>
      <c r="C684" s="281" t="str">
        <f>_xlfn.CONCAT(_xlfn.XLOOKUP("[S05_DefaultValues][482][InstallationCategory]",Submission!$O:$O,Submission!$H:$N,""))</f>
        <v/>
      </c>
      <c r="D684" s="350"/>
      <c r="E684" s="350"/>
      <c r="F684" s="350"/>
      <c r="G684" s="347"/>
      <c r="H684" s="123" t="str">
        <f>_xlfn.CONCAT(_xlfn.XLOOKUP("[S05_DefaultValues][482][FuelMaterialType]",Submission!$O:$O,Submission!$H:$N,""))</f>
        <v/>
      </c>
      <c r="I684" s="106" t="str">
        <f>_xlfn.CONCAT(_xlfn.XLOOKUP("[S05_DefaultValues][482][InstallationNumber]",Submission!$O:$O,Submission!$H:$N,""))</f>
        <v/>
      </c>
    </row>
    <row r="685" spans="1:9" ht="15.9" hidden="1" customHeight="1" outlineLevel="1" x14ac:dyDescent="0.3">
      <c r="A685" s="13"/>
      <c r="B685" s="34"/>
      <c r="C685" s="281" t="str">
        <f>_xlfn.CONCAT(_xlfn.XLOOKUP("[S05_DefaultValues][483][InstallationCategory]",Submission!$O:$O,Submission!$H:$N,""))</f>
        <v/>
      </c>
      <c r="D685" s="350"/>
      <c r="E685" s="350"/>
      <c r="F685" s="350"/>
      <c r="G685" s="347"/>
      <c r="H685" s="123" t="str">
        <f>_xlfn.CONCAT(_xlfn.XLOOKUP("[S05_DefaultValues][483][FuelMaterialType]",Submission!$O:$O,Submission!$H:$N,""))</f>
        <v/>
      </c>
      <c r="I685" s="106" t="str">
        <f>_xlfn.CONCAT(_xlfn.XLOOKUP("[S05_DefaultValues][483][InstallationNumber]",Submission!$O:$O,Submission!$H:$N,""))</f>
        <v/>
      </c>
    </row>
    <row r="686" spans="1:9" ht="15.9" hidden="1" customHeight="1" outlineLevel="1" x14ac:dyDescent="0.3">
      <c r="A686" s="13"/>
      <c r="B686" s="34"/>
      <c r="C686" s="281" t="str">
        <f>_xlfn.CONCAT(_xlfn.XLOOKUP("[S05_DefaultValues][484][InstallationCategory]",Submission!$O:$O,Submission!$H:$N,""))</f>
        <v/>
      </c>
      <c r="D686" s="350"/>
      <c r="E686" s="350"/>
      <c r="F686" s="350"/>
      <c r="G686" s="347"/>
      <c r="H686" s="123" t="str">
        <f>_xlfn.CONCAT(_xlfn.XLOOKUP("[S05_DefaultValues][484][FuelMaterialType]",Submission!$O:$O,Submission!$H:$N,""))</f>
        <v/>
      </c>
      <c r="I686" s="106" t="str">
        <f>_xlfn.CONCAT(_xlfn.XLOOKUP("[S05_DefaultValues][484][InstallationNumber]",Submission!$O:$O,Submission!$H:$N,""))</f>
        <v/>
      </c>
    </row>
    <row r="687" spans="1:9" ht="15.9" hidden="1" customHeight="1" outlineLevel="1" x14ac:dyDescent="0.3">
      <c r="A687" s="13"/>
      <c r="B687" s="34"/>
      <c r="C687" s="281" t="str">
        <f>_xlfn.CONCAT(_xlfn.XLOOKUP("[S05_DefaultValues][485][InstallationCategory]",Submission!$O:$O,Submission!$H:$N,""))</f>
        <v/>
      </c>
      <c r="D687" s="350"/>
      <c r="E687" s="350"/>
      <c r="F687" s="350"/>
      <c r="G687" s="347"/>
      <c r="H687" s="123" t="str">
        <f>_xlfn.CONCAT(_xlfn.XLOOKUP("[S05_DefaultValues][485][FuelMaterialType]",Submission!$O:$O,Submission!$H:$N,""))</f>
        <v/>
      </c>
      <c r="I687" s="106" t="str">
        <f>_xlfn.CONCAT(_xlfn.XLOOKUP("[S05_DefaultValues][485][InstallationNumber]",Submission!$O:$O,Submission!$H:$N,""))</f>
        <v/>
      </c>
    </row>
    <row r="688" spans="1:9" ht="15.9" hidden="1" customHeight="1" outlineLevel="1" x14ac:dyDescent="0.3">
      <c r="A688" s="13"/>
      <c r="B688" s="34"/>
      <c r="C688" s="281" t="str">
        <f>_xlfn.CONCAT(_xlfn.XLOOKUP("[S05_DefaultValues][486][InstallationCategory]",Submission!$O:$O,Submission!$H:$N,""))</f>
        <v/>
      </c>
      <c r="D688" s="350"/>
      <c r="E688" s="350"/>
      <c r="F688" s="350"/>
      <c r="G688" s="347"/>
      <c r="H688" s="123" t="str">
        <f>_xlfn.CONCAT(_xlfn.XLOOKUP("[S05_DefaultValues][486][FuelMaterialType]",Submission!$O:$O,Submission!$H:$N,""))</f>
        <v/>
      </c>
      <c r="I688" s="106" t="str">
        <f>_xlfn.CONCAT(_xlfn.XLOOKUP("[S05_DefaultValues][486][InstallationNumber]",Submission!$O:$O,Submission!$H:$N,""))</f>
        <v/>
      </c>
    </row>
    <row r="689" spans="1:9" ht="15.9" hidden="1" customHeight="1" outlineLevel="1" x14ac:dyDescent="0.3">
      <c r="A689" s="13"/>
      <c r="B689" s="34"/>
      <c r="C689" s="281" t="str">
        <f>_xlfn.CONCAT(_xlfn.XLOOKUP("[S05_DefaultValues][487][InstallationCategory]",Submission!$O:$O,Submission!$H:$N,""))</f>
        <v/>
      </c>
      <c r="D689" s="350"/>
      <c r="E689" s="350"/>
      <c r="F689" s="350"/>
      <c r="G689" s="347"/>
      <c r="H689" s="123" t="str">
        <f>_xlfn.CONCAT(_xlfn.XLOOKUP("[S05_DefaultValues][487][FuelMaterialType]",Submission!$O:$O,Submission!$H:$N,""))</f>
        <v/>
      </c>
      <c r="I689" s="106" t="str">
        <f>_xlfn.CONCAT(_xlfn.XLOOKUP("[S05_DefaultValues][487][InstallationNumber]",Submission!$O:$O,Submission!$H:$N,""))</f>
        <v/>
      </c>
    </row>
    <row r="690" spans="1:9" ht="15.9" hidden="1" customHeight="1" outlineLevel="1" x14ac:dyDescent="0.3">
      <c r="A690" s="13"/>
      <c r="B690" s="34"/>
      <c r="C690" s="281" t="str">
        <f>_xlfn.CONCAT(_xlfn.XLOOKUP("[S05_DefaultValues][488][InstallationCategory]",Submission!$O:$O,Submission!$H:$N,""))</f>
        <v/>
      </c>
      <c r="D690" s="350"/>
      <c r="E690" s="350"/>
      <c r="F690" s="350"/>
      <c r="G690" s="347"/>
      <c r="H690" s="123" t="str">
        <f>_xlfn.CONCAT(_xlfn.XLOOKUP("[S05_DefaultValues][488][FuelMaterialType]",Submission!$O:$O,Submission!$H:$N,""))</f>
        <v/>
      </c>
      <c r="I690" s="106" t="str">
        <f>_xlfn.CONCAT(_xlfn.XLOOKUP("[S05_DefaultValues][488][InstallationNumber]",Submission!$O:$O,Submission!$H:$N,""))</f>
        <v/>
      </c>
    </row>
    <row r="691" spans="1:9" ht="15.9" hidden="1" customHeight="1" outlineLevel="1" x14ac:dyDescent="0.3">
      <c r="A691" s="13"/>
      <c r="B691" s="34"/>
      <c r="C691" s="281" t="str">
        <f>_xlfn.CONCAT(_xlfn.XLOOKUP("[S05_DefaultValues][489][InstallationCategory]",Submission!$O:$O,Submission!$H:$N,""))</f>
        <v/>
      </c>
      <c r="D691" s="350"/>
      <c r="E691" s="350"/>
      <c r="F691" s="350"/>
      <c r="G691" s="347"/>
      <c r="H691" s="123" t="str">
        <f>_xlfn.CONCAT(_xlfn.XLOOKUP("[S05_DefaultValues][489][FuelMaterialType]",Submission!$O:$O,Submission!$H:$N,""))</f>
        <v/>
      </c>
      <c r="I691" s="106" t="str">
        <f>_xlfn.CONCAT(_xlfn.XLOOKUP("[S05_DefaultValues][489][InstallationNumber]",Submission!$O:$O,Submission!$H:$N,""))</f>
        <v/>
      </c>
    </row>
    <row r="692" spans="1:9" ht="15.9" hidden="1" customHeight="1" outlineLevel="1" x14ac:dyDescent="0.3">
      <c r="A692" s="13"/>
      <c r="B692" s="34"/>
      <c r="C692" s="281" t="str">
        <f>_xlfn.CONCAT(_xlfn.XLOOKUP("[S05_DefaultValues][490][InstallationCategory]",Submission!$O:$O,Submission!$H:$N,""))</f>
        <v/>
      </c>
      <c r="D692" s="350"/>
      <c r="E692" s="350"/>
      <c r="F692" s="350"/>
      <c r="G692" s="347"/>
      <c r="H692" s="123" t="str">
        <f>_xlfn.CONCAT(_xlfn.XLOOKUP("[S05_DefaultValues][490][FuelMaterialType]",Submission!$O:$O,Submission!$H:$N,""))</f>
        <v/>
      </c>
      <c r="I692" s="106" t="str">
        <f>_xlfn.CONCAT(_xlfn.XLOOKUP("[S05_DefaultValues][490][InstallationNumber]",Submission!$O:$O,Submission!$H:$N,""))</f>
        <v/>
      </c>
    </row>
    <row r="693" spans="1:9" ht="15.9" hidden="1" customHeight="1" outlineLevel="1" x14ac:dyDescent="0.3">
      <c r="A693" s="13"/>
      <c r="B693" s="34"/>
      <c r="C693" s="281" t="str">
        <f>_xlfn.CONCAT(_xlfn.XLOOKUP("[S05_DefaultValues][491][InstallationCategory]",Submission!$O:$O,Submission!$H:$N,""))</f>
        <v/>
      </c>
      <c r="D693" s="350"/>
      <c r="E693" s="350"/>
      <c r="F693" s="350"/>
      <c r="G693" s="347"/>
      <c r="H693" s="123" t="str">
        <f>_xlfn.CONCAT(_xlfn.XLOOKUP("[S05_DefaultValues][491][FuelMaterialType]",Submission!$O:$O,Submission!$H:$N,""))</f>
        <v/>
      </c>
      <c r="I693" s="106" t="str">
        <f>_xlfn.CONCAT(_xlfn.XLOOKUP("[S05_DefaultValues][491][InstallationNumber]",Submission!$O:$O,Submission!$H:$N,""))</f>
        <v/>
      </c>
    </row>
    <row r="694" spans="1:9" ht="15.9" hidden="1" customHeight="1" outlineLevel="1" x14ac:dyDescent="0.3">
      <c r="A694" s="13"/>
      <c r="B694" s="34"/>
      <c r="C694" s="281" t="str">
        <f>_xlfn.CONCAT(_xlfn.XLOOKUP("[S05_DefaultValues][492][InstallationCategory]",Submission!$O:$O,Submission!$H:$N,""))</f>
        <v/>
      </c>
      <c r="D694" s="350"/>
      <c r="E694" s="350"/>
      <c r="F694" s="350"/>
      <c r="G694" s="347"/>
      <c r="H694" s="123" t="str">
        <f>_xlfn.CONCAT(_xlfn.XLOOKUP("[S05_DefaultValues][492][FuelMaterialType]",Submission!$O:$O,Submission!$H:$N,""))</f>
        <v/>
      </c>
      <c r="I694" s="106" t="str">
        <f>_xlfn.CONCAT(_xlfn.XLOOKUP("[S05_DefaultValues][492][InstallationNumber]",Submission!$O:$O,Submission!$H:$N,""))</f>
        <v/>
      </c>
    </row>
    <row r="695" spans="1:9" ht="15.9" hidden="1" customHeight="1" outlineLevel="1" x14ac:dyDescent="0.3">
      <c r="A695" s="13"/>
      <c r="B695" s="34"/>
      <c r="C695" s="281" t="str">
        <f>_xlfn.CONCAT(_xlfn.XLOOKUP("[S05_DefaultValues][493][InstallationCategory]",Submission!$O:$O,Submission!$H:$N,""))</f>
        <v/>
      </c>
      <c r="D695" s="350"/>
      <c r="E695" s="350"/>
      <c r="F695" s="350"/>
      <c r="G695" s="347"/>
      <c r="H695" s="123" t="str">
        <f>_xlfn.CONCAT(_xlfn.XLOOKUP("[S05_DefaultValues][493][FuelMaterialType]",Submission!$O:$O,Submission!$H:$N,""))</f>
        <v/>
      </c>
      <c r="I695" s="106" t="str">
        <f>_xlfn.CONCAT(_xlfn.XLOOKUP("[S05_DefaultValues][493][InstallationNumber]",Submission!$O:$O,Submission!$H:$N,""))</f>
        <v/>
      </c>
    </row>
    <row r="696" spans="1:9" ht="15.9" hidden="1" customHeight="1" outlineLevel="1" x14ac:dyDescent="0.3">
      <c r="A696" s="13"/>
      <c r="B696" s="34"/>
      <c r="C696" s="281" t="str">
        <f>_xlfn.CONCAT(_xlfn.XLOOKUP("[S05_DefaultValues][494][InstallationCategory]",Submission!$O:$O,Submission!$H:$N,""))</f>
        <v/>
      </c>
      <c r="D696" s="350"/>
      <c r="E696" s="350"/>
      <c r="F696" s="350"/>
      <c r="G696" s="347"/>
      <c r="H696" s="123" t="str">
        <f>_xlfn.CONCAT(_xlfn.XLOOKUP("[S05_DefaultValues][494][FuelMaterialType]",Submission!$O:$O,Submission!$H:$N,""))</f>
        <v/>
      </c>
      <c r="I696" s="106" t="str">
        <f>_xlfn.CONCAT(_xlfn.XLOOKUP("[S05_DefaultValues][494][InstallationNumber]",Submission!$O:$O,Submission!$H:$N,""))</f>
        <v/>
      </c>
    </row>
    <row r="697" spans="1:9" ht="15.9" hidden="1" customHeight="1" outlineLevel="1" x14ac:dyDescent="0.3">
      <c r="A697" s="13"/>
      <c r="B697" s="34"/>
      <c r="C697" s="281" t="str">
        <f>_xlfn.CONCAT(_xlfn.XLOOKUP("[S05_DefaultValues][495][InstallationCategory]",Submission!$O:$O,Submission!$H:$N,""))</f>
        <v/>
      </c>
      <c r="D697" s="350"/>
      <c r="E697" s="350"/>
      <c r="F697" s="350"/>
      <c r="G697" s="347"/>
      <c r="H697" s="123" t="str">
        <f>_xlfn.CONCAT(_xlfn.XLOOKUP("[S05_DefaultValues][495][FuelMaterialType]",Submission!$O:$O,Submission!$H:$N,""))</f>
        <v/>
      </c>
      <c r="I697" s="106" t="str">
        <f>_xlfn.CONCAT(_xlfn.XLOOKUP("[S05_DefaultValues][495][InstallationNumber]",Submission!$O:$O,Submission!$H:$N,""))</f>
        <v/>
      </c>
    </row>
    <row r="698" spans="1:9" ht="15.9" hidden="1" customHeight="1" outlineLevel="1" x14ac:dyDescent="0.3">
      <c r="A698" s="13"/>
      <c r="B698" s="34"/>
      <c r="C698" s="281" t="str">
        <f>_xlfn.CONCAT(_xlfn.XLOOKUP("[S05_DefaultValues][496][InstallationCategory]",Submission!$O:$O,Submission!$H:$N,""))</f>
        <v/>
      </c>
      <c r="D698" s="350"/>
      <c r="E698" s="350"/>
      <c r="F698" s="350"/>
      <c r="G698" s="347"/>
      <c r="H698" s="123" t="str">
        <f>_xlfn.CONCAT(_xlfn.XLOOKUP("[S05_DefaultValues][496][FuelMaterialType]",Submission!$O:$O,Submission!$H:$N,""))</f>
        <v/>
      </c>
      <c r="I698" s="106" t="str">
        <f>_xlfn.CONCAT(_xlfn.XLOOKUP("[S05_DefaultValues][496][InstallationNumber]",Submission!$O:$O,Submission!$H:$N,""))</f>
        <v/>
      </c>
    </row>
    <row r="699" spans="1:9" ht="15.9" hidden="1" customHeight="1" outlineLevel="1" x14ac:dyDescent="0.3">
      <c r="A699" s="13"/>
      <c r="B699" s="34"/>
      <c r="C699" s="281" t="str">
        <f>_xlfn.CONCAT(_xlfn.XLOOKUP("[S05_DefaultValues][497][InstallationCategory]",Submission!$O:$O,Submission!$H:$N,""))</f>
        <v/>
      </c>
      <c r="D699" s="350"/>
      <c r="E699" s="350"/>
      <c r="F699" s="350"/>
      <c r="G699" s="347"/>
      <c r="H699" s="123" t="str">
        <f>_xlfn.CONCAT(_xlfn.XLOOKUP("[S05_DefaultValues][497][FuelMaterialType]",Submission!$O:$O,Submission!$H:$N,""))</f>
        <v/>
      </c>
      <c r="I699" s="106" t="str">
        <f>_xlfn.CONCAT(_xlfn.XLOOKUP("[S05_DefaultValues][497][InstallationNumber]",Submission!$O:$O,Submission!$H:$N,""))</f>
        <v/>
      </c>
    </row>
    <row r="700" spans="1:9" ht="15.9" hidden="1" customHeight="1" outlineLevel="1" x14ac:dyDescent="0.3">
      <c r="A700" s="13"/>
      <c r="B700" s="34"/>
      <c r="C700" s="281" t="str">
        <f>_xlfn.CONCAT(_xlfn.XLOOKUP("[S05_DefaultValues][498][InstallationCategory]",Submission!$O:$O,Submission!$H:$N,""))</f>
        <v/>
      </c>
      <c r="D700" s="350"/>
      <c r="E700" s="350"/>
      <c r="F700" s="350"/>
      <c r="G700" s="347"/>
      <c r="H700" s="123" t="str">
        <f>_xlfn.CONCAT(_xlfn.XLOOKUP("[S05_DefaultValues][498][FuelMaterialType]",Submission!$O:$O,Submission!$H:$N,""))</f>
        <v/>
      </c>
      <c r="I700" s="106" t="str">
        <f>_xlfn.CONCAT(_xlfn.XLOOKUP("[S05_DefaultValues][498][InstallationNumber]",Submission!$O:$O,Submission!$H:$N,""))</f>
        <v/>
      </c>
    </row>
    <row r="701" spans="1:9" ht="15.9" hidden="1" customHeight="1" outlineLevel="1" x14ac:dyDescent="0.3">
      <c r="A701" s="13"/>
      <c r="B701" s="34"/>
      <c r="C701" s="281" t="str">
        <f>_xlfn.CONCAT(_xlfn.XLOOKUP("[S05_DefaultValues][499][InstallationCategory]",Submission!$O:$O,Submission!$H:$N,""))</f>
        <v/>
      </c>
      <c r="D701" s="350"/>
      <c r="E701" s="350"/>
      <c r="F701" s="350"/>
      <c r="G701" s="347"/>
      <c r="H701" s="123" t="str">
        <f>_xlfn.CONCAT(_xlfn.XLOOKUP("[S05_DefaultValues][499][FuelMaterialType]",Submission!$O:$O,Submission!$H:$N,""))</f>
        <v/>
      </c>
      <c r="I701" s="106" t="str">
        <f>_xlfn.CONCAT(_xlfn.XLOOKUP("[S05_DefaultValues][499][InstallationNumber]",Submission!$O:$O,Submission!$H:$N,""))</f>
        <v/>
      </c>
    </row>
    <row r="702" spans="1:9" ht="15.9" hidden="1" customHeight="1" outlineLevel="1" x14ac:dyDescent="0.3">
      <c r="A702" s="13"/>
      <c r="B702" s="34"/>
      <c r="C702" s="281" t="str">
        <f>_xlfn.CONCAT(_xlfn.XLOOKUP("[S05_DefaultValues][500][InstallationCategory]",Submission!$O:$O,Submission!$H:$N,""))</f>
        <v/>
      </c>
      <c r="D702" s="350"/>
      <c r="E702" s="350"/>
      <c r="F702" s="350"/>
      <c r="G702" s="347"/>
      <c r="H702" s="123" t="str">
        <f>_xlfn.CONCAT(_xlfn.XLOOKUP("[S05_DefaultValues][500][FuelMaterialType]",Submission!$O:$O,Submission!$H:$N,""))</f>
        <v/>
      </c>
      <c r="I702" s="106" t="str">
        <f>_xlfn.CONCAT(_xlfn.XLOOKUP("[S05_DefaultValues][500][InstallationNumber]",Submission!$O:$O,Submission!$H:$N,""))</f>
        <v/>
      </c>
    </row>
    <row r="703" spans="1:9" ht="15.9" hidden="1" customHeight="1" outlineLevel="1" x14ac:dyDescent="0.3">
      <c r="A703" s="13"/>
      <c r="B703" s="34"/>
      <c r="C703" s="281" t="str">
        <f>_xlfn.CONCAT(_xlfn.XLOOKUP("[S05_DefaultValues][501][InstallationCategory]",Submission!$O:$O,Submission!$H:$N,""))</f>
        <v/>
      </c>
      <c r="D703" s="350"/>
      <c r="E703" s="350"/>
      <c r="F703" s="350"/>
      <c r="G703" s="347"/>
      <c r="H703" s="123" t="str">
        <f>_xlfn.CONCAT(_xlfn.XLOOKUP("[S05_DefaultValues][501][FuelMaterialType]",Submission!$O:$O,Submission!$H:$N,""))</f>
        <v/>
      </c>
      <c r="I703" s="106" t="str">
        <f>_xlfn.CONCAT(_xlfn.XLOOKUP("[S05_DefaultValues][501][InstallationNumber]",Submission!$O:$O,Submission!$H:$N,""))</f>
        <v/>
      </c>
    </row>
    <row r="704" spans="1:9" ht="15.9" hidden="1" customHeight="1" outlineLevel="1" x14ac:dyDescent="0.3">
      <c r="A704" s="13"/>
      <c r="B704" s="34"/>
      <c r="C704" s="281" t="str">
        <f>_xlfn.CONCAT(_xlfn.XLOOKUP("[S05_DefaultValues][502][InstallationCategory]",Submission!$O:$O,Submission!$H:$N,""))</f>
        <v/>
      </c>
      <c r="D704" s="350"/>
      <c r="E704" s="350"/>
      <c r="F704" s="350"/>
      <c r="G704" s="347"/>
      <c r="H704" s="123" t="str">
        <f>_xlfn.CONCAT(_xlfn.XLOOKUP("[S05_DefaultValues][502][FuelMaterialType]",Submission!$O:$O,Submission!$H:$N,""))</f>
        <v/>
      </c>
      <c r="I704" s="106" t="str">
        <f>_xlfn.CONCAT(_xlfn.XLOOKUP("[S05_DefaultValues][502][InstallationNumber]",Submission!$O:$O,Submission!$H:$N,""))</f>
        <v/>
      </c>
    </row>
    <row r="705" spans="1:9" ht="15.9" hidden="1" customHeight="1" outlineLevel="1" x14ac:dyDescent="0.3">
      <c r="A705" s="13"/>
      <c r="B705" s="34"/>
      <c r="C705" s="281" t="str">
        <f>_xlfn.CONCAT(_xlfn.XLOOKUP("[S05_DefaultValues][503][InstallationCategory]",Submission!$O:$O,Submission!$H:$N,""))</f>
        <v/>
      </c>
      <c r="D705" s="350"/>
      <c r="E705" s="350"/>
      <c r="F705" s="350"/>
      <c r="G705" s="347"/>
      <c r="H705" s="123" t="str">
        <f>_xlfn.CONCAT(_xlfn.XLOOKUP("[S05_DefaultValues][503][FuelMaterialType]",Submission!$O:$O,Submission!$H:$N,""))</f>
        <v/>
      </c>
      <c r="I705" s="106" t="str">
        <f>_xlfn.CONCAT(_xlfn.XLOOKUP("[S05_DefaultValues][503][InstallationNumber]",Submission!$O:$O,Submission!$H:$N,""))</f>
        <v/>
      </c>
    </row>
    <row r="706" spans="1:9" ht="15.9" hidden="1" customHeight="1" outlineLevel="1" x14ac:dyDescent="0.3">
      <c r="A706" s="13"/>
      <c r="B706" s="34"/>
      <c r="C706" s="281" t="str">
        <f>_xlfn.CONCAT(_xlfn.XLOOKUP("[S05_DefaultValues][504][InstallationCategory]",Submission!$O:$O,Submission!$H:$N,""))</f>
        <v/>
      </c>
      <c r="D706" s="350"/>
      <c r="E706" s="350"/>
      <c r="F706" s="350"/>
      <c r="G706" s="347"/>
      <c r="H706" s="123" t="str">
        <f>_xlfn.CONCAT(_xlfn.XLOOKUP("[S05_DefaultValues][504][FuelMaterialType]",Submission!$O:$O,Submission!$H:$N,""))</f>
        <v/>
      </c>
      <c r="I706" s="106" t="str">
        <f>_xlfn.CONCAT(_xlfn.XLOOKUP("[S05_DefaultValues][504][InstallationNumber]",Submission!$O:$O,Submission!$H:$N,""))</f>
        <v/>
      </c>
    </row>
    <row r="707" spans="1:9" ht="15.9" hidden="1" customHeight="1" outlineLevel="1" x14ac:dyDescent="0.3">
      <c r="A707" s="13"/>
      <c r="B707" s="34"/>
      <c r="C707" s="281" t="str">
        <f>_xlfn.CONCAT(_xlfn.XLOOKUP("[S05_DefaultValues][505][InstallationCategory]",Submission!$O:$O,Submission!$H:$N,""))</f>
        <v/>
      </c>
      <c r="D707" s="350"/>
      <c r="E707" s="350"/>
      <c r="F707" s="350"/>
      <c r="G707" s="347"/>
      <c r="H707" s="123" t="str">
        <f>_xlfn.CONCAT(_xlfn.XLOOKUP("[S05_DefaultValues][505][FuelMaterialType]",Submission!$O:$O,Submission!$H:$N,""))</f>
        <v/>
      </c>
      <c r="I707" s="106" t="str">
        <f>_xlfn.CONCAT(_xlfn.XLOOKUP("[S05_DefaultValues][505][InstallationNumber]",Submission!$O:$O,Submission!$H:$N,""))</f>
        <v/>
      </c>
    </row>
    <row r="708" spans="1:9" ht="15.9" hidden="1" customHeight="1" outlineLevel="1" x14ac:dyDescent="0.3">
      <c r="A708" s="13"/>
      <c r="B708" s="34"/>
      <c r="C708" s="281" t="str">
        <f>_xlfn.CONCAT(_xlfn.XLOOKUP("[S05_DefaultValues][506][InstallationCategory]",Submission!$O:$O,Submission!$H:$N,""))</f>
        <v/>
      </c>
      <c r="D708" s="350"/>
      <c r="E708" s="350"/>
      <c r="F708" s="350"/>
      <c r="G708" s="347"/>
      <c r="H708" s="123" t="str">
        <f>_xlfn.CONCAT(_xlfn.XLOOKUP("[S05_DefaultValues][506][FuelMaterialType]",Submission!$O:$O,Submission!$H:$N,""))</f>
        <v/>
      </c>
      <c r="I708" s="106" t="str">
        <f>_xlfn.CONCAT(_xlfn.XLOOKUP("[S05_DefaultValues][506][InstallationNumber]",Submission!$O:$O,Submission!$H:$N,""))</f>
        <v/>
      </c>
    </row>
    <row r="709" spans="1:9" ht="15.9" hidden="1" customHeight="1" outlineLevel="1" x14ac:dyDescent="0.3">
      <c r="A709" s="13"/>
      <c r="B709" s="34"/>
      <c r="C709" s="281" t="str">
        <f>_xlfn.CONCAT(_xlfn.XLOOKUP("[S05_DefaultValues][507][InstallationCategory]",Submission!$O:$O,Submission!$H:$N,""))</f>
        <v/>
      </c>
      <c r="D709" s="350"/>
      <c r="E709" s="350"/>
      <c r="F709" s="350"/>
      <c r="G709" s="347"/>
      <c r="H709" s="123" t="str">
        <f>_xlfn.CONCAT(_xlfn.XLOOKUP("[S05_DefaultValues][507][FuelMaterialType]",Submission!$O:$O,Submission!$H:$N,""))</f>
        <v/>
      </c>
      <c r="I709" s="106" t="str">
        <f>_xlfn.CONCAT(_xlfn.XLOOKUP("[S05_DefaultValues][507][InstallationNumber]",Submission!$O:$O,Submission!$H:$N,""))</f>
        <v/>
      </c>
    </row>
    <row r="710" spans="1:9" ht="15.9" hidden="1" customHeight="1" outlineLevel="1" x14ac:dyDescent="0.3">
      <c r="A710" s="13"/>
      <c r="B710" s="34"/>
      <c r="C710" s="281" t="str">
        <f>_xlfn.CONCAT(_xlfn.XLOOKUP("[S05_DefaultValues][508][InstallationCategory]",Submission!$O:$O,Submission!$H:$N,""))</f>
        <v/>
      </c>
      <c r="D710" s="350"/>
      <c r="E710" s="350"/>
      <c r="F710" s="350"/>
      <c r="G710" s="347"/>
      <c r="H710" s="123" t="str">
        <f>_xlfn.CONCAT(_xlfn.XLOOKUP("[S05_DefaultValues][508][FuelMaterialType]",Submission!$O:$O,Submission!$H:$N,""))</f>
        <v/>
      </c>
      <c r="I710" s="106" t="str">
        <f>_xlfn.CONCAT(_xlfn.XLOOKUP("[S05_DefaultValues][508][InstallationNumber]",Submission!$O:$O,Submission!$H:$N,""))</f>
        <v/>
      </c>
    </row>
    <row r="711" spans="1:9" ht="15.9" hidden="1" customHeight="1" outlineLevel="1" x14ac:dyDescent="0.3">
      <c r="A711" s="13"/>
      <c r="B711" s="34"/>
      <c r="C711" s="281" t="str">
        <f>_xlfn.CONCAT(_xlfn.XLOOKUP("[S05_DefaultValues][509][InstallationCategory]",Submission!$O:$O,Submission!$H:$N,""))</f>
        <v/>
      </c>
      <c r="D711" s="350"/>
      <c r="E711" s="350"/>
      <c r="F711" s="350"/>
      <c r="G711" s="347"/>
      <c r="H711" s="123" t="str">
        <f>_xlfn.CONCAT(_xlfn.XLOOKUP("[S05_DefaultValues][509][FuelMaterialType]",Submission!$O:$O,Submission!$H:$N,""))</f>
        <v/>
      </c>
      <c r="I711" s="106" t="str">
        <f>_xlfn.CONCAT(_xlfn.XLOOKUP("[S05_DefaultValues][509][InstallationNumber]",Submission!$O:$O,Submission!$H:$N,""))</f>
        <v/>
      </c>
    </row>
    <row r="712" spans="1:9" ht="15.9" hidden="1" customHeight="1" outlineLevel="1" x14ac:dyDescent="0.3">
      <c r="A712" s="13"/>
      <c r="B712" s="34"/>
      <c r="C712" s="281" t="str">
        <f>_xlfn.CONCAT(_xlfn.XLOOKUP("[S05_DefaultValues][510][InstallationCategory]",Submission!$O:$O,Submission!$H:$N,""))</f>
        <v/>
      </c>
      <c r="D712" s="350"/>
      <c r="E712" s="350"/>
      <c r="F712" s="350"/>
      <c r="G712" s="347"/>
      <c r="H712" s="123" t="str">
        <f>_xlfn.CONCAT(_xlfn.XLOOKUP("[S05_DefaultValues][510][FuelMaterialType]",Submission!$O:$O,Submission!$H:$N,""))</f>
        <v/>
      </c>
      <c r="I712" s="106" t="str">
        <f>_xlfn.CONCAT(_xlfn.XLOOKUP("[S05_DefaultValues][510][InstallationNumber]",Submission!$O:$O,Submission!$H:$N,""))</f>
        <v/>
      </c>
    </row>
    <row r="713" spans="1:9" ht="15.9" hidden="1" customHeight="1" outlineLevel="1" x14ac:dyDescent="0.3">
      <c r="A713" s="13"/>
      <c r="B713" s="34"/>
      <c r="C713" s="281" t="str">
        <f>_xlfn.CONCAT(_xlfn.XLOOKUP("[S05_DefaultValues][511][InstallationCategory]",Submission!$O:$O,Submission!$H:$N,""))</f>
        <v/>
      </c>
      <c r="D713" s="350"/>
      <c r="E713" s="350"/>
      <c r="F713" s="350"/>
      <c r="G713" s="347"/>
      <c r="H713" s="123" t="str">
        <f>_xlfn.CONCAT(_xlfn.XLOOKUP("[S05_DefaultValues][511][FuelMaterialType]",Submission!$O:$O,Submission!$H:$N,""))</f>
        <v/>
      </c>
      <c r="I713" s="106" t="str">
        <f>_xlfn.CONCAT(_xlfn.XLOOKUP("[S05_DefaultValues][511][InstallationNumber]",Submission!$O:$O,Submission!$H:$N,""))</f>
        <v/>
      </c>
    </row>
    <row r="714" spans="1:9" ht="15.9" hidden="1" customHeight="1" outlineLevel="1" x14ac:dyDescent="0.3">
      <c r="A714" s="13"/>
      <c r="B714" s="34"/>
      <c r="C714" s="281" t="str">
        <f>_xlfn.CONCAT(_xlfn.XLOOKUP("[S05_DefaultValues][512][InstallationCategory]",Submission!$O:$O,Submission!$H:$N,""))</f>
        <v/>
      </c>
      <c r="D714" s="350"/>
      <c r="E714" s="350"/>
      <c r="F714" s="350"/>
      <c r="G714" s="347"/>
      <c r="H714" s="123" t="str">
        <f>_xlfn.CONCAT(_xlfn.XLOOKUP("[S05_DefaultValues][512][FuelMaterialType]",Submission!$O:$O,Submission!$H:$N,""))</f>
        <v/>
      </c>
      <c r="I714" s="106" t="str">
        <f>_xlfn.CONCAT(_xlfn.XLOOKUP("[S05_DefaultValues][512][InstallationNumber]",Submission!$O:$O,Submission!$H:$N,""))</f>
        <v/>
      </c>
    </row>
    <row r="715" spans="1:9" ht="15.9" hidden="1" customHeight="1" outlineLevel="1" x14ac:dyDescent="0.3">
      <c r="A715" s="13"/>
      <c r="B715" s="34"/>
      <c r="C715" s="281" t="str">
        <f>_xlfn.CONCAT(_xlfn.XLOOKUP("[S05_DefaultValues][513][InstallationCategory]",Submission!$O:$O,Submission!$H:$N,""))</f>
        <v/>
      </c>
      <c r="D715" s="350"/>
      <c r="E715" s="350"/>
      <c r="F715" s="350"/>
      <c r="G715" s="347"/>
      <c r="H715" s="123" t="str">
        <f>_xlfn.CONCAT(_xlfn.XLOOKUP("[S05_DefaultValues][513][FuelMaterialType]",Submission!$O:$O,Submission!$H:$N,""))</f>
        <v/>
      </c>
      <c r="I715" s="106" t="str">
        <f>_xlfn.CONCAT(_xlfn.XLOOKUP("[S05_DefaultValues][513][InstallationNumber]",Submission!$O:$O,Submission!$H:$N,""))</f>
        <v/>
      </c>
    </row>
    <row r="716" spans="1:9" ht="15.9" hidden="1" customHeight="1" outlineLevel="1" x14ac:dyDescent="0.3">
      <c r="A716" s="13"/>
      <c r="B716" s="34"/>
      <c r="C716" s="281" t="str">
        <f>_xlfn.CONCAT(_xlfn.XLOOKUP("[S05_DefaultValues][514][InstallationCategory]",Submission!$O:$O,Submission!$H:$N,""))</f>
        <v/>
      </c>
      <c r="D716" s="350"/>
      <c r="E716" s="350"/>
      <c r="F716" s="350"/>
      <c r="G716" s="347"/>
      <c r="H716" s="123" t="str">
        <f>_xlfn.CONCAT(_xlfn.XLOOKUP("[S05_DefaultValues][514][FuelMaterialType]",Submission!$O:$O,Submission!$H:$N,""))</f>
        <v/>
      </c>
      <c r="I716" s="106" t="str">
        <f>_xlfn.CONCAT(_xlfn.XLOOKUP("[S05_DefaultValues][514][InstallationNumber]",Submission!$O:$O,Submission!$H:$N,""))</f>
        <v/>
      </c>
    </row>
    <row r="717" spans="1:9" ht="15.9" hidden="1" customHeight="1" outlineLevel="1" x14ac:dyDescent="0.3">
      <c r="A717" s="13"/>
      <c r="B717" s="34"/>
      <c r="C717" s="281" t="str">
        <f>_xlfn.CONCAT(_xlfn.XLOOKUP("[S05_DefaultValues][515][InstallationCategory]",Submission!$O:$O,Submission!$H:$N,""))</f>
        <v/>
      </c>
      <c r="D717" s="350"/>
      <c r="E717" s="350"/>
      <c r="F717" s="350"/>
      <c r="G717" s="347"/>
      <c r="H717" s="123" t="str">
        <f>_xlfn.CONCAT(_xlfn.XLOOKUP("[S05_DefaultValues][515][FuelMaterialType]",Submission!$O:$O,Submission!$H:$N,""))</f>
        <v/>
      </c>
      <c r="I717" s="106" t="str">
        <f>_xlfn.CONCAT(_xlfn.XLOOKUP("[S05_DefaultValues][515][InstallationNumber]",Submission!$O:$O,Submission!$H:$N,""))</f>
        <v/>
      </c>
    </row>
    <row r="718" spans="1:9" ht="15.9" hidden="1" customHeight="1" outlineLevel="1" x14ac:dyDescent="0.3">
      <c r="A718" s="13"/>
      <c r="B718" s="34"/>
      <c r="C718" s="281" t="str">
        <f>_xlfn.CONCAT(_xlfn.XLOOKUP("[S05_DefaultValues][516][InstallationCategory]",Submission!$O:$O,Submission!$H:$N,""))</f>
        <v/>
      </c>
      <c r="D718" s="350"/>
      <c r="E718" s="350"/>
      <c r="F718" s="350"/>
      <c r="G718" s="347"/>
      <c r="H718" s="123" t="str">
        <f>_xlfn.CONCAT(_xlfn.XLOOKUP("[S05_DefaultValues][516][FuelMaterialType]",Submission!$O:$O,Submission!$H:$N,""))</f>
        <v/>
      </c>
      <c r="I718" s="106" t="str">
        <f>_xlfn.CONCAT(_xlfn.XLOOKUP("[S05_DefaultValues][516][InstallationNumber]",Submission!$O:$O,Submission!$H:$N,""))</f>
        <v/>
      </c>
    </row>
    <row r="719" spans="1:9" ht="15.9" hidden="1" customHeight="1" outlineLevel="1" x14ac:dyDescent="0.3">
      <c r="A719" s="13"/>
      <c r="B719" s="34"/>
      <c r="C719" s="281" t="str">
        <f>_xlfn.CONCAT(_xlfn.XLOOKUP("[S05_DefaultValues][517][InstallationCategory]",Submission!$O:$O,Submission!$H:$N,""))</f>
        <v/>
      </c>
      <c r="D719" s="350"/>
      <c r="E719" s="350"/>
      <c r="F719" s="350"/>
      <c r="G719" s="347"/>
      <c r="H719" s="123" t="str">
        <f>_xlfn.CONCAT(_xlfn.XLOOKUP("[S05_DefaultValues][517][FuelMaterialType]",Submission!$O:$O,Submission!$H:$N,""))</f>
        <v/>
      </c>
      <c r="I719" s="106" t="str">
        <f>_xlfn.CONCAT(_xlfn.XLOOKUP("[S05_DefaultValues][517][InstallationNumber]",Submission!$O:$O,Submission!$H:$N,""))</f>
        <v/>
      </c>
    </row>
    <row r="720" spans="1:9" ht="15.9" hidden="1" customHeight="1" outlineLevel="1" x14ac:dyDescent="0.3">
      <c r="A720" s="13"/>
      <c r="B720" s="34"/>
      <c r="C720" s="281" t="str">
        <f>_xlfn.CONCAT(_xlfn.XLOOKUP("[S05_DefaultValues][518][InstallationCategory]",Submission!$O:$O,Submission!$H:$N,""))</f>
        <v/>
      </c>
      <c r="D720" s="350"/>
      <c r="E720" s="350"/>
      <c r="F720" s="350"/>
      <c r="G720" s="347"/>
      <c r="H720" s="123" t="str">
        <f>_xlfn.CONCAT(_xlfn.XLOOKUP("[S05_DefaultValues][518][FuelMaterialType]",Submission!$O:$O,Submission!$H:$N,""))</f>
        <v/>
      </c>
      <c r="I720" s="106" t="str">
        <f>_xlfn.CONCAT(_xlfn.XLOOKUP("[S05_DefaultValues][518][InstallationNumber]",Submission!$O:$O,Submission!$H:$N,""))</f>
        <v/>
      </c>
    </row>
    <row r="721" spans="1:9" ht="15.9" hidden="1" customHeight="1" outlineLevel="1" x14ac:dyDescent="0.3">
      <c r="A721" s="13"/>
      <c r="B721" s="34"/>
      <c r="C721" s="281" t="str">
        <f>_xlfn.CONCAT(_xlfn.XLOOKUP("[S05_DefaultValues][519][InstallationCategory]",Submission!$O:$O,Submission!$H:$N,""))</f>
        <v/>
      </c>
      <c r="D721" s="350"/>
      <c r="E721" s="350"/>
      <c r="F721" s="350"/>
      <c r="G721" s="347"/>
      <c r="H721" s="123" t="str">
        <f>_xlfn.CONCAT(_xlfn.XLOOKUP("[S05_DefaultValues][519][FuelMaterialType]",Submission!$O:$O,Submission!$H:$N,""))</f>
        <v/>
      </c>
      <c r="I721" s="106" t="str">
        <f>_xlfn.CONCAT(_xlfn.XLOOKUP("[S05_DefaultValues][519][InstallationNumber]",Submission!$O:$O,Submission!$H:$N,""))</f>
        <v/>
      </c>
    </row>
    <row r="722" spans="1:9" ht="15.9" hidden="1" customHeight="1" outlineLevel="1" x14ac:dyDescent="0.3">
      <c r="A722" s="13"/>
      <c r="B722" s="34"/>
      <c r="C722" s="281" t="str">
        <f>_xlfn.CONCAT(_xlfn.XLOOKUP("[S05_DefaultValues][520][InstallationCategory]",Submission!$O:$O,Submission!$H:$N,""))</f>
        <v/>
      </c>
      <c r="D722" s="350"/>
      <c r="E722" s="350"/>
      <c r="F722" s="350"/>
      <c r="G722" s="347"/>
      <c r="H722" s="123" t="str">
        <f>_xlfn.CONCAT(_xlfn.XLOOKUP("[S05_DefaultValues][520][FuelMaterialType]",Submission!$O:$O,Submission!$H:$N,""))</f>
        <v/>
      </c>
      <c r="I722" s="106" t="str">
        <f>_xlfn.CONCAT(_xlfn.XLOOKUP("[S05_DefaultValues][520][InstallationNumber]",Submission!$O:$O,Submission!$H:$N,""))</f>
        <v/>
      </c>
    </row>
    <row r="723" spans="1:9" ht="15.9" hidden="1" customHeight="1" outlineLevel="1" x14ac:dyDescent="0.3">
      <c r="A723" s="13"/>
      <c r="B723" s="34"/>
      <c r="C723" s="281" t="str">
        <f>_xlfn.CONCAT(_xlfn.XLOOKUP("[S05_DefaultValues][521][InstallationCategory]",Submission!$O:$O,Submission!$H:$N,""))</f>
        <v/>
      </c>
      <c r="D723" s="350"/>
      <c r="E723" s="350"/>
      <c r="F723" s="350"/>
      <c r="G723" s="347"/>
      <c r="H723" s="123" t="str">
        <f>_xlfn.CONCAT(_xlfn.XLOOKUP("[S05_DefaultValues][521][FuelMaterialType]",Submission!$O:$O,Submission!$H:$N,""))</f>
        <v/>
      </c>
      <c r="I723" s="106" t="str">
        <f>_xlfn.CONCAT(_xlfn.XLOOKUP("[S05_DefaultValues][521][InstallationNumber]",Submission!$O:$O,Submission!$H:$N,""))</f>
        <v/>
      </c>
    </row>
    <row r="724" spans="1:9" ht="15.9" hidden="1" customHeight="1" outlineLevel="1" x14ac:dyDescent="0.3">
      <c r="A724" s="13"/>
      <c r="B724" s="34"/>
      <c r="C724" s="281" t="str">
        <f>_xlfn.CONCAT(_xlfn.XLOOKUP("[S05_DefaultValues][522][InstallationCategory]",Submission!$O:$O,Submission!$H:$N,""))</f>
        <v/>
      </c>
      <c r="D724" s="350"/>
      <c r="E724" s="350"/>
      <c r="F724" s="350"/>
      <c r="G724" s="347"/>
      <c r="H724" s="123" t="str">
        <f>_xlfn.CONCAT(_xlfn.XLOOKUP("[S05_DefaultValues][522][FuelMaterialType]",Submission!$O:$O,Submission!$H:$N,""))</f>
        <v/>
      </c>
      <c r="I724" s="106" t="str">
        <f>_xlfn.CONCAT(_xlfn.XLOOKUP("[S05_DefaultValues][522][InstallationNumber]",Submission!$O:$O,Submission!$H:$N,""))</f>
        <v/>
      </c>
    </row>
    <row r="725" spans="1:9" ht="15.9" hidden="1" customHeight="1" outlineLevel="1" x14ac:dyDescent="0.3">
      <c r="A725" s="13"/>
      <c r="B725" s="34"/>
      <c r="C725" s="281" t="str">
        <f>_xlfn.CONCAT(_xlfn.XLOOKUP("[S05_DefaultValues][523][InstallationCategory]",Submission!$O:$O,Submission!$H:$N,""))</f>
        <v/>
      </c>
      <c r="D725" s="350"/>
      <c r="E725" s="350"/>
      <c r="F725" s="350"/>
      <c r="G725" s="347"/>
      <c r="H725" s="123" t="str">
        <f>_xlfn.CONCAT(_xlfn.XLOOKUP("[S05_DefaultValues][523][FuelMaterialType]",Submission!$O:$O,Submission!$H:$N,""))</f>
        <v/>
      </c>
      <c r="I725" s="106" t="str">
        <f>_xlfn.CONCAT(_xlfn.XLOOKUP("[S05_DefaultValues][523][InstallationNumber]",Submission!$O:$O,Submission!$H:$N,""))</f>
        <v/>
      </c>
    </row>
    <row r="726" spans="1:9" ht="15.9" hidden="1" customHeight="1" outlineLevel="1" x14ac:dyDescent="0.3">
      <c r="A726" s="13"/>
      <c r="B726" s="34"/>
      <c r="C726" s="281" t="str">
        <f>_xlfn.CONCAT(_xlfn.XLOOKUP("[S05_DefaultValues][524][InstallationCategory]",Submission!$O:$O,Submission!$H:$N,""))</f>
        <v/>
      </c>
      <c r="D726" s="350"/>
      <c r="E726" s="350"/>
      <c r="F726" s="350"/>
      <c r="G726" s="347"/>
      <c r="H726" s="123" t="str">
        <f>_xlfn.CONCAT(_xlfn.XLOOKUP("[S05_DefaultValues][524][FuelMaterialType]",Submission!$O:$O,Submission!$H:$N,""))</f>
        <v/>
      </c>
      <c r="I726" s="106" t="str">
        <f>_xlfn.CONCAT(_xlfn.XLOOKUP("[S05_DefaultValues][524][InstallationNumber]",Submission!$O:$O,Submission!$H:$N,""))</f>
        <v/>
      </c>
    </row>
    <row r="727" spans="1:9" ht="15.9" hidden="1" customHeight="1" outlineLevel="1" x14ac:dyDescent="0.3">
      <c r="A727" s="13"/>
      <c r="B727" s="34"/>
      <c r="C727" s="281" t="str">
        <f>_xlfn.CONCAT(_xlfn.XLOOKUP("[S05_DefaultValues][525][InstallationCategory]",Submission!$O:$O,Submission!$H:$N,""))</f>
        <v/>
      </c>
      <c r="D727" s="350"/>
      <c r="E727" s="350"/>
      <c r="F727" s="350"/>
      <c r="G727" s="347"/>
      <c r="H727" s="123" t="str">
        <f>_xlfn.CONCAT(_xlfn.XLOOKUP("[S05_DefaultValues][525][FuelMaterialType]",Submission!$O:$O,Submission!$H:$N,""))</f>
        <v/>
      </c>
      <c r="I727" s="106" t="str">
        <f>_xlfn.CONCAT(_xlfn.XLOOKUP("[S05_DefaultValues][525][InstallationNumber]",Submission!$O:$O,Submission!$H:$N,""))</f>
        <v/>
      </c>
    </row>
    <row r="728" spans="1:9" ht="15.9" hidden="1" customHeight="1" outlineLevel="1" x14ac:dyDescent="0.3">
      <c r="A728" s="13"/>
      <c r="B728" s="34"/>
      <c r="C728" s="281" t="str">
        <f>_xlfn.CONCAT(_xlfn.XLOOKUP("[S05_DefaultValues][526][InstallationCategory]",Submission!$O:$O,Submission!$H:$N,""))</f>
        <v/>
      </c>
      <c r="D728" s="350"/>
      <c r="E728" s="350"/>
      <c r="F728" s="350"/>
      <c r="G728" s="347"/>
      <c r="H728" s="123" t="str">
        <f>_xlfn.CONCAT(_xlfn.XLOOKUP("[S05_DefaultValues][526][FuelMaterialType]",Submission!$O:$O,Submission!$H:$N,""))</f>
        <v/>
      </c>
      <c r="I728" s="106" t="str">
        <f>_xlfn.CONCAT(_xlfn.XLOOKUP("[S05_DefaultValues][526][InstallationNumber]",Submission!$O:$O,Submission!$H:$N,""))</f>
        <v/>
      </c>
    </row>
    <row r="729" spans="1:9" ht="15.9" hidden="1" customHeight="1" outlineLevel="1" x14ac:dyDescent="0.3">
      <c r="A729" s="13"/>
      <c r="B729" s="34"/>
      <c r="C729" s="281" t="str">
        <f>_xlfn.CONCAT(_xlfn.XLOOKUP("[S05_DefaultValues][527][InstallationCategory]",Submission!$O:$O,Submission!$H:$N,""))</f>
        <v/>
      </c>
      <c r="D729" s="350"/>
      <c r="E729" s="350"/>
      <c r="F729" s="350"/>
      <c r="G729" s="347"/>
      <c r="H729" s="123" t="str">
        <f>_xlfn.CONCAT(_xlfn.XLOOKUP("[S05_DefaultValues][527][FuelMaterialType]",Submission!$O:$O,Submission!$H:$N,""))</f>
        <v/>
      </c>
      <c r="I729" s="106" t="str">
        <f>_xlfn.CONCAT(_xlfn.XLOOKUP("[S05_DefaultValues][527][InstallationNumber]",Submission!$O:$O,Submission!$H:$N,""))</f>
        <v/>
      </c>
    </row>
    <row r="730" spans="1:9" ht="15.9" hidden="1" customHeight="1" outlineLevel="1" x14ac:dyDescent="0.3">
      <c r="A730" s="13"/>
      <c r="B730" s="34"/>
      <c r="C730" s="281" t="str">
        <f>_xlfn.CONCAT(_xlfn.XLOOKUP("[S05_DefaultValues][528][InstallationCategory]",Submission!$O:$O,Submission!$H:$N,""))</f>
        <v/>
      </c>
      <c r="D730" s="350"/>
      <c r="E730" s="350"/>
      <c r="F730" s="350"/>
      <c r="G730" s="347"/>
      <c r="H730" s="123" t="str">
        <f>_xlfn.CONCAT(_xlfn.XLOOKUP("[S05_DefaultValues][528][FuelMaterialType]",Submission!$O:$O,Submission!$H:$N,""))</f>
        <v/>
      </c>
      <c r="I730" s="106" t="str">
        <f>_xlfn.CONCAT(_xlfn.XLOOKUP("[S05_DefaultValues][528][InstallationNumber]",Submission!$O:$O,Submission!$H:$N,""))</f>
        <v/>
      </c>
    </row>
    <row r="731" spans="1:9" ht="15.9" hidden="1" customHeight="1" outlineLevel="1" x14ac:dyDescent="0.3">
      <c r="A731" s="13"/>
      <c r="B731" s="34"/>
      <c r="C731" s="281" t="str">
        <f>_xlfn.CONCAT(_xlfn.XLOOKUP("[S05_DefaultValues][529][InstallationCategory]",Submission!$O:$O,Submission!$H:$N,""))</f>
        <v/>
      </c>
      <c r="D731" s="350"/>
      <c r="E731" s="350"/>
      <c r="F731" s="350"/>
      <c r="G731" s="347"/>
      <c r="H731" s="123" t="str">
        <f>_xlfn.CONCAT(_xlfn.XLOOKUP("[S05_DefaultValues][529][FuelMaterialType]",Submission!$O:$O,Submission!$H:$N,""))</f>
        <v/>
      </c>
      <c r="I731" s="106" t="str">
        <f>_xlfn.CONCAT(_xlfn.XLOOKUP("[S05_DefaultValues][529][InstallationNumber]",Submission!$O:$O,Submission!$H:$N,""))</f>
        <v/>
      </c>
    </row>
    <row r="732" spans="1:9" ht="15.9" hidden="1" customHeight="1" outlineLevel="1" x14ac:dyDescent="0.3">
      <c r="A732" s="13"/>
      <c r="B732" s="34"/>
      <c r="C732" s="281" t="str">
        <f>_xlfn.CONCAT(_xlfn.XLOOKUP("[S05_DefaultValues][530][InstallationCategory]",Submission!$O:$O,Submission!$H:$N,""))</f>
        <v/>
      </c>
      <c r="D732" s="350"/>
      <c r="E732" s="350"/>
      <c r="F732" s="350"/>
      <c r="G732" s="347"/>
      <c r="H732" s="123" t="str">
        <f>_xlfn.CONCAT(_xlfn.XLOOKUP("[S05_DefaultValues][530][FuelMaterialType]",Submission!$O:$O,Submission!$H:$N,""))</f>
        <v/>
      </c>
      <c r="I732" s="106" t="str">
        <f>_xlfn.CONCAT(_xlfn.XLOOKUP("[S05_DefaultValues][530][InstallationNumber]",Submission!$O:$O,Submission!$H:$N,""))</f>
        <v/>
      </c>
    </row>
    <row r="733" spans="1:9" ht="15.9" hidden="1" customHeight="1" outlineLevel="1" x14ac:dyDescent="0.3">
      <c r="A733" s="13"/>
      <c r="B733" s="34"/>
      <c r="C733" s="281" t="str">
        <f>_xlfn.CONCAT(_xlfn.XLOOKUP("[S05_DefaultValues][531][InstallationCategory]",Submission!$O:$O,Submission!$H:$N,""))</f>
        <v/>
      </c>
      <c r="D733" s="350"/>
      <c r="E733" s="350"/>
      <c r="F733" s="350"/>
      <c r="G733" s="347"/>
      <c r="H733" s="123" t="str">
        <f>_xlfn.CONCAT(_xlfn.XLOOKUP("[S05_DefaultValues][531][FuelMaterialType]",Submission!$O:$O,Submission!$H:$N,""))</f>
        <v/>
      </c>
      <c r="I733" s="106" t="str">
        <f>_xlfn.CONCAT(_xlfn.XLOOKUP("[S05_DefaultValues][531][InstallationNumber]",Submission!$O:$O,Submission!$H:$N,""))</f>
        <v/>
      </c>
    </row>
    <row r="734" spans="1:9" ht="15.9" hidden="1" customHeight="1" outlineLevel="1" x14ac:dyDescent="0.3">
      <c r="A734" s="13"/>
      <c r="B734" s="34"/>
      <c r="C734" s="281" t="str">
        <f>_xlfn.CONCAT(_xlfn.XLOOKUP("[S05_DefaultValues][532][InstallationCategory]",Submission!$O:$O,Submission!$H:$N,""))</f>
        <v/>
      </c>
      <c r="D734" s="350"/>
      <c r="E734" s="350"/>
      <c r="F734" s="350"/>
      <c r="G734" s="347"/>
      <c r="H734" s="123" t="str">
        <f>_xlfn.CONCAT(_xlfn.XLOOKUP("[S05_DefaultValues][532][FuelMaterialType]",Submission!$O:$O,Submission!$H:$N,""))</f>
        <v/>
      </c>
      <c r="I734" s="106" t="str">
        <f>_xlfn.CONCAT(_xlfn.XLOOKUP("[S05_DefaultValues][532][InstallationNumber]",Submission!$O:$O,Submission!$H:$N,""))</f>
        <v/>
      </c>
    </row>
    <row r="735" spans="1:9" ht="15.9" hidden="1" customHeight="1" outlineLevel="1" x14ac:dyDescent="0.3">
      <c r="A735" s="13"/>
      <c r="B735" s="34"/>
      <c r="C735" s="281" t="str">
        <f>_xlfn.CONCAT(_xlfn.XLOOKUP("[S05_DefaultValues][533][InstallationCategory]",Submission!$O:$O,Submission!$H:$N,""))</f>
        <v/>
      </c>
      <c r="D735" s="350"/>
      <c r="E735" s="350"/>
      <c r="F735" s="350"/>
      <c r="G735" s="347"/>
      <c r="H735" s="123" t="str">
        <f>_xlfn.CONCAT(_xlfn.XLOOKUP("[S05_DefaultValues][533][FuelMaterialType]",Submission!$O:$O,Submission!$H:$N,""))</f>
        <v/>
      </c>
      <c r="I735" s="106" t="str">
        <f>_xlfn.CONCAT(_xlfn.XLOOKUP("[S05_DefaultValues][533][InstallationNumber]",Submission!$O:$O,Submission!$H:$N,""))</f>
        <v/>
      </c>
    </row>
    <row r="736" spans="1:9" ht="15.9" hidden="1" customHeight="1" outlineLevel="1" x14ac:dyDescent="0.3">
      <c r="A736" s="13"/>
      <c r="B736" s="34"/>
      <c r="C736" s="281" t="str">
        <f>_xlfn.CONCAT(_xlfn.XLOOKUP("[S05_DefaultValues][534][InstallationCategory]",Submission!$O:$O,Submission!$H:$N,""))</f>
        <v/>
      </c>
      <c r="D736" s="350"/>
      <c r="E736" s="350"/>
      <c r="F736" s="350"/>
      <c r="G736" s="347"/>
      <c r="H736" s="123" t="str">
        <f>_xlfn.CONCAT(_xlfn.XLOOKUP("[S05_DefaultValues][534][FuelMaterialType]",Submission!$O:$O,Submission!$H:$N,""))</f>
        <v/>
      </c>
      <c r="I736" s="106" t="str">
        <f>_xlfn.CONCAT(_xlfn.XLOOKUP("[S05_DefaultValues][534][InstallationNumber]",Submission!$O:$O,Submission!$H:$N,""))</f>
        <v/>
      </c>
    </row>
    <row r="737" spans="1:9" ht="15.9" hidden="1" customHeight="1" outlineLevel="1" x14ac:dyDescent="0.3">
      <c r="A737" s="13"/>
      <c r="B737" s="34"/>
      <c r="C737" s="281" t="str">
        <f>_xlfn.CONCAT(_xlfn.XLOOKUP("[S05_DefaultValues][535][InstallationCategory]",Submission!$O:$O,Submission!$H:$N,""))</f>
        <v/>
      </c>
      <c r="D737" s="350"/>
      <c r="E737" s="350"/>
      <c r="F737" s="350"/>
      <c r="G737" s="347"/>
      <c r="H737" s="123" t="str">
        <f>_xlfn.CONCAT(_xlfn.XLOOKUP("[S05_DefaultValues][535][FuelMaterialType]",Submission!$O:$O,Submission!$H:$N,""))</f>
        <v/>
      </c>
      <c r="I737" s="106" t="str">
        <f>_xlfn.CONCAT(_xlfn.XLOOKUP("[S05_DefaultValues][535][InstallationNumber]",Submission!$O:$O,Submission!$H:$N,""))</f>
        <v/>
      </c>
    </row>
    <row r="738" spans="1:9" ht="15.9" hidden="1" customHeight="1" outlineLevel="1" x14ac:dyDescent="0.3">
      <c r="A738" s="13"/>
      <c r="B738" s="34"/>
      <c r="C738" s="281" t="str">
        <f>_xlfn.CONCAT(_xlfn.XLOOKUP("[S05_DefaultValues][536][InstallationCategory]",Submission!$O:$O,Submission!$H:$N,""))</f>
        <v/>
      </c>
      <c r="D738" s="350"/>
      <c r="E738" s="350"/>
      <c r="F738" s="350"/>
      <c r="G738" s="347"/>
      <c r="H738" s="123" t="str">
        <f>_xlfn.CONCAT(_xlfn.XLOOKUP("[S05_DefaultValues][536][FuelMaterialType]",Submission!$O:$O,Submission!$H:$N,""))</f>
        <v/>
      </c>
      <c r="I738" s="106" t="str">
        <f>_xlfn.CONCAT(_xlfn.XLOOKUP("[S05_DefaultValues][536][InstallationNumber]",Submission!$O:$O,Submission!$H:$N,""))</f>
        <v/>
      </c>
    </row>
    <row r="739" spans="1:9" ht="15.9" hidden="1" customHeight="1" outlineLevel="1" x14ac:dyDescent="0.3">
      <c r="A739" s="13"/>
      <c r="B739" s="34"/>
      <c r="C739" s="281" t="str">
        <f>_xlfn.CONCAT(_xlfn.XLOOKUP("[S05_DefaultValues][537][InstallationCategory]",Submission!$O:$O,Submission!$H:$N,""))</f>
        <v/>
      </c>
      <c r="D739" s="350"/>
      <c r="E739" s="350"/>
      <c r="F739" s="350"/>
      <c r="G739" s="347"/>
      <c r="H739" s="123" t="str">
        <f>_xlfn.CONCAT(_xlfn.XLOOKUP("[S05_DefaultValues][537][FuelMaterialType]",Submission!$O:$O,Submission!$H:$N,""))</f>
        <v/>
      </c>
      <c r="I739" s="106" t="str">
        <f>_xlfn.CONCAT(_xlfn.XLOOKUP("[S05_DefaultValues][537][InstallationNumber]",Submission!$O:$O,Submission!$H:$N,""))</f>
        <v/>
      </c>
    </row>
    <row r="740" spans="1:9" ht="15.9" hidden="1" customHeight="1" outlineLevel="1" x14ac:dyDescent="0.3">
      <c r="A740" s="13"/>
      <c r="B740" s="34"/>
      <c r="C740" s="281" t="str">
        <f>_xlfn.CONCAT(_xlfn.XLOOKUP("[S05_DefaultValues][538][InstallationCategory]",Submission!$O:$O,Submission!$H:$N,""))</f>
        <v/>
      </c>
      <c r="D740" s="350"/>
      <c r="E740" s="350"/>
      <c r="F740" s="350"/>
      <c r="G740" s="347"/>
      <c r="H740" s="123" t="str">
        <f>_xlfn.CONCAT(_xlfn.XLOOKUP("[S05_DefaultValues][538][FuelMaterialType]",Submission!$O:$O,Submission!$H:$N,""))</f>
        <v/>
      </c>
      <c r="I740" s="106" t="str">
        <f>_xlfn.CONCAT(_xlfn.XLOOKUP("[S05_DefaultValues][538][InstallationNumber]",Submission!$O:$O,Submission!$H:$N,""))</f>
        <v/>
      </c>
    </row>
    <row r="741" spans="1:9" ht="15.9" hidden="1" customHeight="1" outlineLevel="1" x14ac:dyDescent="0.3">
      <c r="A741" s="13"/>
      <c r="B741" s="34"/>
      <c r="C741" s="281" t="str">
        <f>_xlfn.CONCAT(_xlfn.XLOOKUP("[S05_DefaultValues][539][InstallationCategory]",Submission!$O:$O,Submission!$H:$N,""))</f>
        <v/>
      </c>
      <c r="D741" s="350"/>
      <c r="E741" s="350"/>
      <c r="F741" s="350"/>
      <c r="G741" s="347"/>
      <c r="H741" s="123" t="str">
        <f>_xlfn.CONCAT(_xlfn.XLOOKUP("[S05_DefaultValues][539][FuelMaterialType]",Submission!$O:$O,Submission!$H:$N,""))</f>
        <v/>
      </c>
      <c r="I741" s="106" t="str">
        <f>_xlfn.CONCAT(_xlfn.XLOOKUP("[S05_DefaultValues][539][InstallationNumber]",Submission!$O:$O,Submission!$H:$N,""))</f>
        <v/>
      </c>
    </row>
    <row r="742" spans="1:9" ht="15.9" hidden="1" customHeight="1" outlineLevel="1" x14ac:dyDescent="0.3">
      <c r="A742" s="13"/>
      <c r="B742" s="34"/>
      <c r="C742" s="281" t="str">
        <f>_xlfn.CONCAT(_xlfn.XLOOKUP("[S05_DefaultValues][540][InstallationCategory]",Submission!$O:$O,Submission!$H:$N,""))</f>
        <v/>
      </c>
      <c r="D742" s="350"/>
      <c r="E742" s="350"/>
      <c r="F742" s="350"/>
      <c r="G742" s="347"/>
      <c r="H742" s="123" t="str">
        <f>_xlfn.CONCAT(_xlfn.XLOOKUP("[S05_DefaultValues][540][FuelMaterialType]",Submission!$O:$O,Submission!$H:$N,""))</f>
        <v/>
      </c>
      <c r="I742" s="106" t="str">
        <f>_xlfn.CONCAT(_xlfn.XLOOKUP("[S05_DefaultValues][540][InstallationNumber]",Submission!$O:$O,Submission!$H:$N,""))</f>
        <v/>
      </c>
    </row>
    <row r="743" spans="1:9" ht="15.9" hidden="1" customHeight="1" outlineLevel="1" x14ac:dyDescent="0.3">
      <c r="A743" s="13"/>
      <c r="B743" s="34"/>
      <c r="C743" s="281" t="str">
        <f>_xlfn.CONCAT(_xlfn.XLOOKUP("[S05_DefaultValues][541][InstallationCategory]",Submission!$O:$O,Submission!$H:$N,""))</f>
        <v/>
      </c>
      <c r="D743" s="350"/>
      <c r="E743" s="350"/>
      <c r="F743" s="350"/>
      <c r="G743" s="347"/>
      <c r="H743" s="123" t="str">
        <f>_xlfn.CONCAT(_xlfn.XLOOKUP("[S05_DefaultValues][541][FuelMaterialType]",Submission!$O:$O,Submission!$H:$N,""))</f>
        <v/>
      </c>
      <c r="I743" s="106" t="str">
        <f>_xlfn.CONCAT(_xlfn.XLOOKUP("[S05_DefaultValues][541][InstallationNumber]",Submission!$O:$O,Submission!$H:$N,""))</f>
        <v/>
      </c>
    </row>
    <row r="744" spans="1:9" ht="15.9" hidden="1" customHeight="1" outlineLevel="1" x14ac:dyDescent="0.3">
      <c r="A744" s="13"/>
      <c r="B744" s="34"/>
      <c r="C744" s="281" t="str">
        <f>_xlfn.CONCAT(_xlfn.XLOOKUP("[S05_DefaultValues][542][InstallationCategory]",Submission!$O:$O,Submission!$H:$N,""))</f>
        <v/>
      </c>
      <c r="D744" s="350"/>
      <c r="E744" s="350"/>
      <c r="F744" s="350"/>
      <c r="G744" s="347"/>
      <c r="H744" s="123" t="str">
        <f>_xlfn.CONCAT(_xlfn.XLOOKUP("[S05_DefaultValues][542][FuelMaterialType]",Submission!$O:$O,Submission!$H:$N,""))</f>
        <v/>
      </c>
      <c r="I744" s="106" t="str">
        <f>_xlfn.CONCAT(_xlfn.XLOOKUP("[S05_DefaultValues][542][InstallationNumber]",Submission!$O:$O,Submission!$H:$N,""))</f>
        <v/>
      </c>
    </row>
    <row r="745" spans="1:9" ht="15.9" hidden="1" customHeight="1" outlineLevel="1" x14ac:dyDescent="0.3">
      <c r="A745" s="13"/>
      <c r="B745" s="34"/>
      <c r="C745" s="281" t="str">
        <f>_xlfn.CONCAT(_xlfn.XLOOKUP("[S05_DefaultValues][543][InstallationCategory]",Submission!$O:$O,Submission!$H:$N,""))</f>
        <v/>
      </c>
      <c r="D745" s="350"/>
      <c r="E745" s="350"/>
      <c r="F745" s="350"/>
      <c r="G745" s="347"/>
      <c r="H745" s="123" t="str">
        <f>_xlfn.CONCAT(_xlfn.XLOOKUP("[S05_DefaultValues][543][FuelMaterialType]",Submission!$O:$O,Submission!$H:$N,""))</f>
        <v/>
      </c>
      <c r="I745" s="106" t="str">
        <f>_xlfn.CONCAT(_xlfn.XLOOKUP("[S05_DefaultValues][543][InstallationNumber]",Submission!$O:$O,Submission!$H:$N,""))</f>
        <v/>
      </c>
    </row>
    <row r="746" spans="1:9" ht="15.9" hidden="1" customHeight="1" outlineLevel="1" x14ac:dyDescent="0.3">
      <c r="A746" s="13"/>
      <c r="B746" s="34"/>
      <c r="C746" s="281" t="str">
        <f>_xlfn.CONCAT(_xlfn.XLOOKUP("[S05_DefaultValues][544][InstallationCategory]",Submission!$O:$O,Submission!$H:$N,""))</f>
        <v/>
      </c>
      <c r="D746" s="350"/>
      <c r="E746" s="350"/>
      <c r="F746" s="350"/>
      <c r="G746" s="347"/>
      <c r="H746" s="123" t="str">
        <f>_xlfn.CONCAT(_xlfn.XLOOKUP("[S05_DefaultValues][544][FuelMaterialType]",Submission!$O:$O,Submission!$H:$N,""))</f>
        <v/>
      </c>
      <c r="I746" s="106" t="str">
        <f>_xlfn.CONCAT(_xlfn.XLOOKUP("[S05_DefaultValues][544][InstallationNumber]",Submission!$O:$O,Submission!$H:$N,""))</f>
        <v/>
      </c>
    </row>
    <row r="747" spans="1:9" ht="15.9" hidden="1" customHeight="1" outlineLevel="1" x14ac:dyDescent="0.3">
      <c r="A747" s="13"/>
      <c r="B747" s="34"/>
      <c r="C747" s="281" t="str">
        <f>_xlfn.CONCAT(_xlfn.XLOOKUP("[S05_DefaultValues][545][InstallationCategory]",Submission!$O:$O,Submission!$H:$N,""))</f>
        <v/>
      </c>
      <c r="D747" s="350"/>
      <c r="E747" s="350"/>
      <c r="F747" s="350"/>
      <c r="G747" s="347"/>
      <c r="H747" s="123" t="str">
        <f>_xlfn.CONCAT(_xlfn.XLOOKUP("[S05_DefaultValues][545][FuelMaterialType]",Submission!$O:$O,Submission!$H:$N,""))</f>
        <v/>
      </c>
      <c r="I747" s="106" t="str">
        <f>_xlfn.CONCAT(_xlfn.XLOOKUP("[S05_DefaultValues][545][InstallationNumber]",Submission!$O:$O,Submission!$H:$N,""))</f>
        <v/>
      </c>
    </row>
    <row r="748" spans="1:9" ht="15.9" hidden="1" customHeight="1" outlineLevel="1" x14ac:dyDescent="0.3">
      <c r="A748" s="13"/>
      <c r="B748" s="34"/>
      <c r="C748" s="281" t="str">
        <f>_xlfn.CONCAT(_xlfn.XLOOKUP("[S05_DefaultValues][546][InstallationCategory]",Submission!$O:$O,Submission!$H:$N,""))</f>
        <v/>
      </c>
      <c r="D748" s="350"/>
      <c r="E748" s="350"/>
      <c r="F748" s="350"/>
      <c r="G748" s="347"/>
      <c r="H748" s="123" t="str">
        <f>_xlfn.CONCAT(_xlfn.XLOOKUP("[S05_DefaultValues][546][FuelMaterialType]",Submission!$O:$O,Submission!$H:$N,""))</f>
        <v/>
      </c>
      <c r="I748" s="106" t="str">
        <f>_xlfn.CONCAT(_xlfn.XLOOKUP("[S05_DefaultValues][546][InstallationNumber]",Submission!$O:$O,Submission!$H:$N,""))</f>
        <v/>
      </c>
    </row>
    <row r="749" spans="1:9" ht="15.9" hidden="1" customHeight="1" outlineLevel="1" x14ac:dyDescent="0.3">
      <c r="A749" s="13"/>
      <c r="B749" s="34"/>
      <c r="C749" s="281" t="str">
        <f>_xlfn.CONCAT(_xlfn.XLOOKUP("[S05_DefaultValues][547][InstallationCategory]",Submission!$O:$O,Submission!$H:$N,""))</f>
        <v/>
      </c>
      <c r="D749" s="350"/>
      <c r="E749" s="350"/>
      <c r="F749" s="350"/>
      <c r="G749" s="347"/>
      <c r="H749" s="123" t="str">
        <f>_xlfn.CONCAT(_xlfn.XLOOKUP("[S05_DefaultValues][547][FuelMaterialType]",Submission!$O:$O,Submission!$H:$N,""))</f>
        <v/>
      </c>
      <c r="I749" s="106" t="str">
        <f>_xlfn.CONCAT(_xlfn.XLOOKUP("[S05_DefaultValues][547][InstallationNumber]",Submission!$O:$O,Submission!$H:$N,""))</f>
        <v/>
      </c>
    </row>
    <row r="750" spans="1:9" ht="15.9" hidden="1" customHeight="1" outlineLevel="1" x14ac:dyDescent="0.3">
      <c r="A750" s="13"/>
      <c r="B750" s="34"/>
      <c r="C750" s="281" t="str">
        <f>_xlfn.CONCAT(_xlfn.XLOOKUP("[S05_DefaultValues][548][InstallationCategory]",Submission!$O:$O,Submission!$H:$N,""))</f>
        <v/>
      </c>
      <c r="D750" s="350"/>
      <c r="E750" s="350"/>
      <c r="F750" s="350"/>
      <c r="G750" s="347"/>
      <c r="H750" s="123" t="str">
        <f>_xlfn.CONCAT(_xlfn.XLOOKUP("[S05_DefaultValues][548][FuelMaterialType]",Submission!$O:$O,Submission!$H:$N,""))</f>
        <v/>
      </c>
      <c r="I750" s="106" t="str">
        <f>_xlfn.CONCAT(_xlfn.XLOOKUP("[S05_DefaultValues][548][InstallationNumber]",Submission!$O:$O,Submission!$H:$N,""))</f>
        <v/>
      </c>
    </row>
    <row r="751" spans="1:9" ht="15.9" hidden="1" customHeight="1" outlineLevel="1" x14ac:dyDescent="0.3">
      <c r="A751" s="13"/>
      <c r="B751" s="34"/>
      <c r="C751" s="281" t="str">
        <f>_xlfn.CONCAT(_xlfn.XLOOKUP("[S05_DefaultValues][549][InstallationCategory]",Submission!$O:$O,Submission!$H:$N,""))</f>
        <v/>
      </c>
      <c r="D751" s="350"/>
      <c r="E751" s="350"/>
      <c r="F751" s="350"/>
      <c r="G751" s="347"/>
      <c r="H751" s="123" t="str">
        <f>_xlfn.CONCAT(_xlfn.XLOOKUP("[S05_DefaultValues][549][FuelMaterialType]",Submission!$O:$O,Submission!$H:$N,""))</f>
        <v/>
      </c>
      <c r="I751" s="106" t="str">
        <f>_xlfn.CONCAT(_xlfn.XLOOKUP("[S05_DefaultValues][549][InstallationNumber]",Submission!$O:$O,Submission!$H:$N,""))</f>
        <v/>
      </c>
    </row>
    <row r="752" spans="1:9" ht="15.9" hidden="1" customHeight="1" outlineLevel="1" x14ac:dyDescent="0.3">
      <c r="A752" s="13"/>
      <c r="B752" s="34"/>
      <c r="C752" s="281" t="str">
        <f>_xlfn.CONCAT(_xlfn.XLOOKUP("[S05_DefaultValues][550][InstallationCategory]",Submission!$O:$O,Submission!$H:$N,""))</f>
        <v/>
      </c>
      <c r="D752" s="350"/>
      <c r="E752" s="350"/>
      <c r="F752" s="350"/>
      <c r="G752" s="347"/>
      <c r="H752" s="123" t="str">
        <f>_xlfn.CONCAT(_xlfn.XLOOKUP("[S05_DefaultValues][550][FuelMaterialType]",Submission!$O:$O,Submission!$H:$N,""))</f>
        <v/>
      </c>
      <c r="I752" s="106" t="str">
        <f>_xlfn.CONCAT(_xlfn.XLOOKUP("[S05_DefaultValues][550][InstallationNumber]",Submission!$O:$O,Submission!$H:$N,""))</f>
        <v/>
      </c>
    </row>
    <row r="753" spans="1:9" ht="15.9" hidden="1" customHeight="1" outlineLevel="1" x14ac:dyDescent="0.3">
      <c r="A753" s="13"/>
      <c r="B753" s="34"/>
      <c r="C753" s="281" t="str">
        <f>_xlfn.CONCAT(_xlfn.XLOOKUP("[S05_DefaultValues][551][InstallationCategory]",Submission!$O:$O,Submission!$H:$N,""))</f>
        <v/>
      </c>
      <c r="D753" s="350"/>
      <c r="E753" s="350"/>
      <c r="F753" s="350"/>
      <c r="G753" s="347"/>
      <c r="H753" s="123" t="str">
        <f>_xlfn.CONCAT(_xlfn.XLOOKUP("[S05_DefaultValues][551][FuelMaterialType]",Submission!$O:$O,Submission!$H:$N,""))</f>
        <v/>
      </c>
      <c r="I753" s="106" t="str">
        <f>_xlfn.CONCAT(_xlfn.XLOOKUP("[S05_DefaultValues][551][InstallationNumber]",Submission!$O:$O,Submission!$H:$N,""))</f>
        <v/>
      </c>
    </row>
    <row r="754" spans="1:9" ht="15.9" hidden="1" customHeight="1" outlineLevel="1" x14ac:dyDescent="0.3">
      <c r="A754" s="13"/>
      <c r="B754" s="34"/>
      <c r="C754" s="281" t="str">
        <f>_xlfn.CONCAT(_xlfn.XLOOKUP("[S05_DefaultValues][552][InstallationCategory]",Submission!$O:$O,Submission!$H:$N,""))</f>
        <v/>
      </c>
      <c r="D754" s="350"/>
      <c r="E754" s="350"/>
      <c r="F754" s="350"/>
      <c r="G754" s="347"/>
      <c r="H754" s="123" t="str">
        <f>_xlfn.CONCAT(_xlfn.XLOOKUP("[S05_DefaultValues][552][FuelMaterialType]",Submission!$O:$O,Submission!$H:$N,""))</f>
        <v/>
      </c>
      <c r="I754" s="106" t="str">
        <f>_xlfn.CONCAT(_xlfn.XLOOKUP("[S05_DefaultValues][552][InstallationNumber]",Submission!$O:$O,Submission!$H:$N,""))</f>
        <v/>
      </c>
    </row>
    <row r="755" spans="1:9" ht="15.9" hidden="1" customHeight="1" outlineLevel="1" x14ac:dyDescent="0.3">
      <c r="A755" s="13"/>
      <c r="B755" s="34"/>
      <c r="C755" s="281" t="str">
        <f>_xlfn.CONCAT(_xlfn.XLOOKUP("[S05_DefaultValues][553][InstallationCategory]",Submission!$O:$O,Submission!$H:$N,""))</f>
        <v/>
      </c>
      <c r="D755" s="350"/>
      <c r="E755" s="350"/>
      <c r="F755" s="350"/>
      <c r="G755" s="347"/>
      <c r="H755" s="123" t="str">
        <f>_xlfn.CONCAT(_xlfn.XLOOKUP("[S05_DefaultValues][553][FuelMaterialType]",Submission!$O:$O,Submission!$H:$N,""))</f>
        <v/>
      </c>
      <c r="I755" s="106" t="str">
        <f>_xlfn.CONCAT(_xlfn.XLOOKUP("[S05_DefaultValues][553][InstallationNumber]",Submission!$O:$O,Submission!$H:$N,""))</f>
        <v/>
      </c>
    </row>
    <row r="756" spans="1:9" ht="15.9" hidden="1" customHeight="1" outlineLevel="1" x14ac:dyDescent="0.3">
      <c r="A756" s="13"/>
      <c r="B756" s="34"/>
      <c r="C756" s="281" t="str">
        <f>_xlfn.CONCAT(_xlfn.XLOOKUP("[S05_DefaultValues][554][InstallationCategory]",Submission!$O:$O,Submission!$H:$N,""))</f>
        <v/>
      </c>
      <c r="D756" s="350"/>
      <c r="E756" s="350"/>
      <c r="F756" s="350"/>
      <c r="G756" s="347"/>
      <c r="H756" s="123" t="str">
        <f>_xlfn.CONCAT(_xlfn.XLOOKUP("[S05_DefaultValues][554][FuelMaterialType]",Submission!$O:$O,Submission!$H:$N,""))</f>
        <v/>
      </c>
      <c r="I756" s="106" t="str">
        <f>_xlfn.CONCAT(_xlfn.XLOOKUP("[S05_DefaultValues][554][InstallationNumber]",Submission!$O:$O,Submission!$H:$N,""))</f>
        <v/>
      </c>
    </row>
    <row r="757" spans="1:9" ht="15.9" hidden="1" customHeight="1" outlineLevel="1" x14ac:dyDescent="0.3">
      <c r="A757" s="13"/>
      <c r="B757" s="34"/>
      <c r="C757" s="281" t="str">
        <f>_xlfn.CONCAT(_xlfn.XLOOKUP("[S05_DefaultValues][555][InstallationCategory]",Submission!$O:$O,Submission!$H:$N,""))</f>
        <v/>
      </c>
      <c r="D757" s="350"/>
      <c r="E757" s="350"/>
      <c r="F757" s="350"/>
      <c r="G757" s="347"/>
      <c r="H757" s="123" t="str">
        <f>_xlfn.CONCAT(_xlfn.XLOOKUP("[S05_DefaultValues][555][FuelMaterialType]",Submission!$O:$O,Submission!$H:$N,""))</f>
        <v/>
      </c>
      <c r="I757" s="106" t="str">
        <f>_xlfn.CONCAT(_xlfn.XLOOKUP("[S05_DefaultValues][555][InstallationNumber]",Submission!$O:$O,Submission!$H:$N,""))</f>
        <v/>
      </c>
    </row>
    <row r="758" spans="1:9" ht="15.9" hidden="1" customHeight="1" outlineLevel="1" x14ac:dyDescent="0.3">
      <c r="A758" s="13"/>
      <c r="B758" s="34"/>
      <c r="C758" s="281" t="str">
        <f>_xlfn.CONCAT(_xlfn.XLOOKUP("[S05_DefaultValues][556][InstallationCategory]",Submission!$O:$O,Submission!$H:$N,""))</f>
        <v/>
      </c>
      <c r="D758" s="350"/>
      <c r="E758" s="350"/>
      <c r="F758" s="350"/>
      <c r="G758" s="347"/>
      <c r="H758" s="123" t="str">
        <f>_xlfn.CONCAT(_xlfn.XLOOKUP("[S05_DefaultValues][556][FuelMaterialType]",Submission!$O:$O,Submission!$H:$N,""))</f>
        <v/>
      </c>
      <c r="I758" s="106" t="str">
        <f>_xlfn.CONCAT(_xlfn.XLOOKUP("[S05_DefaultValues][556][InstallationNumber]",Submission!$O:$O,Submission!$H:$N,""))</f>
        <v/>
      </c>
    </row>
    <row r="759" spans="1:9" ht="15.9" hidden="1" customHeight="1" outlineLevel="1" x14ac:dyDescent="0.3">
      <c r="A759" s="13"/>
      <c r="B759" s="34"/>
      <c r="C759" s="281" t="str">
        <f>_xlfn.CONCAT(_xlfn.XLOOKUP("[S05_DefaultValues][557][InstallationCategory]",Submission!$O:$O,Submission!$H:$N,""))</f>
        <v/>
      </c>
      <c r="D759" s="350"/>
      <c r="E759" s="350"/>
      <c r="F759" s="350"/>
      <c r="G759" s="347"/>
      <c r="H759" s="123" t="str">
        <f>_xlfn.CONCAT(_xlfn.XLOOKUP("[S05_DefaultValues][557][FuelMaterialType]",Submission!$O:$O,Submission!$H:$N,""))</f>
        <v/>
      </c>
      <c r="I759" s="106" t="str">
        <f>_xlfn.CONCAT(_xlfn.XLOOKUP("[S05_DefaultValues][557][InstallationNumber]",Submission!$O:$O,Submission!$H:$N,""))</f>
        <v/>
      </c>
    </row>
    <row r="760" spans="1:9" ht="15.9" hidden="1" customHeight="1" outlineLevel="1" x14ac:dyDescent="0.3">
      <c r="A760" s="13"/>
      <c r="B760" s="34"/>
      <c r="C760" s="281" t="str">
        <f>_xlfn.CONCAT(_xlfn.XLOOKUP("[S05_DefaultValues][558][InstallationCategory]",Submission!$O:$O,Submission!$H:$N,""))</f>
        <v/>
      </c>
      <c r="D760" s="350"/>
      <c r="E760" s="350"/>
      <c r="F760" s="350"/>
      <c r="G760" s="347"/>
      <c r="H760" s="123" t="str">
        <f>_xlfn.CONCAT(_xlfn.XLOOKUP("[S05_DefaultValues][558][FuelMaterialType]",Submission!$O:$O,Submission!$H:$N,""))</f>
        <v/>
      </c>
      <c r="I760" s="106" t="str">
        <f>_xlfn.CONCAT(_xlfn.XLOOKUP("[S05_DefaultValues][558][InstallationNumber]",Submission!$O:$O,Submission!$H:$N,""))</f>
        <v/>
      </c>
    </row>
    <row r="761" spans="1:9" ht="15.9" hidden="1" customHeight="1" outlineLevel="1" x14ac:dyDescent="0.3">
      <c r="A761" s="13"/>
      <c r="B761" s="34"/>
      <c r="C761" s="281" t="str">
        <f>_xlfn.CONCAT(_xlfn.XLOOKUP("[S05_DefaultValues][559][InstallationCategory]",Submission!$O:$O,Submission!$H:$N,""))</f>
        <v/>
      </c>
      <c r="D761" s="350"/>
      <c r="E761" s="350"/>
      <c r="F761" s="350"/>
      <c r="G761" s="347"/>
      <c r="H761" s="123" t="str">
        <f>_xlfn.CONCAT(_xlfn.XLOOKUP("[S05_DefaultValues][559][FuelMaterialType]",Submission!$O:$O,Submission!$H:$N,""))</f>
        <v/>
      </c>
      <c r="I761" s="106" t="str">
        <f>_xlfn.CONCAT(_xlfn.XLOOKUP("[S05_DefaultValues][559][InstallationNumber]",Submission!$O:$O,Submission!$H:$N,""))</f>
        <v/>
      </c>
    </row>
    <row r="762" spans="1:9" ht="15.9" hidden="1" customHeight="1" outlineLevel="1" x14ac:dyDescent="0.3">
      <c r="A762" s="13"/>
      <c r="B762" s="34"/>
      <c r="C762" s="281" t="str">
        <f>_xlfn.CONCAT(_xlfn.XLOOKUP("[S05_DefaultValues][560][InstallationCategory]",Submission!$O:$O,Submission!$H:$N,""))</f>
        <v/>
      </c>
      <c r="D762" s="350"/>
      <c r="E762" s="350"/>
      <c r="F762" s="350"/>
      <c r="G762" s="347"/>
      <c r="H762" s="123" t="str">
        <f>_xlfn.CONCAT(_xlfn.XLOOKUP("[S05_DefaultValues][560][FuelMaterialType]",Submission!$O:$O,Submission!$H:$N,""))</f>
        <v/>
      </c>
      <c r="I762" s="106" t="str">
        <f>_xlfn.CONCAT(_xlfn.XLOOKUP("[S05_DefaultValues][560][InstallationNumber]",Submission!$O:$O,Submission!$H:$N,""))</f>
        <v/>
      </c>
    </row>
    <row r="763" spans="1:9" ht="15.9" hidden="1" customHeight="1" outlineLevel="1" x14ac:dyDescent="0.3">
      <c r="A763" s="13"/>
      <c r="B763" s="34"/>
      <c r="C763" s="281" t="str">
        <f>_xlfn.CONCAT(_xlfn.XLOOKUP("[S05_DefaultValues][561][InstallationCategory]",Submission!$O:$O,Submission!$H:$N,""))</f>
        <v/>
      </c>
      <c r="D763" s="350"/>
      <c r="E763" s="350"/>
      <c r="F763" s="350"/>
      <c r="G763" s="347"/>
      <c r="H763" s="123" t="str">
        <f>_xlfn.CONCAT(_xlfn.XLOOKUP("[S05_DefaultValues][561][FuelMaterialType]",Submission!$O:$O,Submission!$H:$N,""))</f>
        <v/>
      </c>
      <c r="I763" s="106" t="str">
        <f>_xlfn.CONCAT(_xlfn.XLOOKUP("[S05_DefaultValues][561][InstallationNumber]",Submission!$O:$O,Submission!$H:$N,""))</f>
        <v/>
      </c>
    </row>
    <row r="764" spans="1:9" ht="15.9" hidden="1" customHeight="1" outlineLevel="1" x14ac:dyDescent="0.3">
      <c r="A764" s="13"/>
      <c r="B764" s="34"/>
      <c r="C764" s="281" t="str">
        <f>_xlfn.CONCAT(_xlfn.XLOOKUP("[S05_DefaultValues][562][InstallationCategory]",Submission!$O:$O,Submission!$H:$N,""))</f>
        <v/>
      </c>
      <c r="D764" s="350"/>
      <c r="E764" s="350"/>
      <c r="F764" s="350"/>
      <c r="G764" s="347"/>
      <c r="H764" s="123" t="str">
        <f>_xlfn.CONCAT(_xlfn.XLOOKUP("[S05_DefaultValues][562][FuelMaterialType]",Submission!$O:$O,Submission!$H:$N,""))</f>
        <v/>
      </c>
      <c r="I764" s="106" t="str">
        <f>_xlfn.CONCAT(_xlfn.XLOOKUP("[S05_DefaultValues][562][InstallationNumber]",Submission!$O:$O,Submission!$H:$N,""))</f>
        <v/>
      </c>
    </row>
    <row r="765" spans="1:9" ht="15.9" hidden="1" customHeight="1" outlineLevel="1" x14ac:dyDescent="0.3">
      <c r="A765" s="13"/>
      <c r="B765" s="34"/>
      <c r="C765" s="281" t="str">
        <f>_xlfn.CONCAT(_xlfn.XLOOKUP("[S05_DefaultValues][563][InstallationCategory]",Submission!$O:$O,Submission!$H:$N,""))</f>
        <v/>
      </c>
      <c r="D765" s="350"/>
      <c r="E765" s="350"/>
      <c r="F765" s="350"/>
      <c r="G765" s="347"/>
      <c r="H765" s="123" t="str">
        <f>_xlfn.CONCAT(_xlfn.XLOOKUP("[S05_DefaultValues][563][FuelMaterialType]",Submission!$O:$O,Submission!$H:$N,""))</f>
        <v/>
      </c>
      <c r="I765" s="106" t="str">
        <f>_xlfn.CONCAT(_xlfn.XLOOKUP("[S05_DefaultValues][563][InstallationNumber]",Submission!$O:$O,Submission!$H:$N,""))</f>
        <v/>
      </c>
    </row>
    <row r="766" spans="1:9" ht="15.9" hidden="1" customHeight="1" outlineLevel="1" x14ac:dyDescent="0.3">
      <c r="A766" s="13"/>
      <c r="B766" s="34"/>
      <c r="C766" s="281" t="str">
        <f>_xlfn.CONCAT(_xlfn.XLOOKUP("[S05_DefaultValues][564][InstallationCategory]",Submission!$O:$O,Submission!$H:$N,""))</f>
        <v/>
      </c>
      <c r="D766" s="350"/>
      <c r="E766" s="350"/>
      <c r="F766" s="350"/>
      <c r="G766" s="347"/>
      <c r="H766" s="123" t="str">
        <f>_xlfn.CONCAT(_xlfn.XLOOKUP("[S05_DefaultValues][564][FuelMaterialType]",Submission!$O:$O,Submission!$H:$N,""))</f>
        <v/>
      </c>
      <c r="I766" s="106" t="str">
        <f>_xlfn.CONCAT(_xlfn.XLOOKUP("[S05_DefaultValues][564][InstallationNumber]",Submission!$O:$O,Submission!$H:$N,""))</f>
        <v/>
      </c>
    </row>
    <row r="767" spans="1:9" ht="15.9" hidden="1" customHeight="1" outlineLevel="1" x14ac:dyDescent="0.3">
      <c r="A767" s="13"/>
      <c r="B767" s="34"/>
      <c r="C767" s="281" t="str">
        <f>_xlfn.CONCAT(_xlfn.XLOOKUP("[S05_DefaultValues][565][InstallationCategory]",Submission!$O:$O,Submission!$H:$N,""))</f>
        <v/>
      </c>
      <c r="D767" s="350"/>
      <c r="E767" s="350"/>
      <c r="F767" s="350"/>
      <c r="G767" s="347"/>
      <c r="H767" s="123" t="str">
        <f>_xlfn.CONCAT(_xlfn.XLOOKUP("[S05_DefaultValues][565][FuelMaterialType]",Submission!$O:$O,Submission!$H:$N,""))</f>
        <v/>
      </c>
      <c r="I767" s="106" t="str">
        <f>_xlfn.CONCAT(_xlfn.XLOOKUP("[S05_DefaultValues][565][InstallationNumber]",Submission!$O:$O,Submission!$H:$N,""))</f>
        <v/>
      </c>
    </row>
    <row r="768" spans="1:9" ht="15.9" hidden="1" customHeight="1" outlineLevel="1" x14ac:dyDescent="0.3">
      <c r="A768" s="13"/>
      <c r="B768" s="34"/>
      <c r="C768" s="281" t="str">
        <f>_xlfn.CONCAT(_xlfn.XLOOKUP("[S05_DefaultValues][566][InstallationCategory]",Submission!$O:$O,Submission!$H:$N,""))</f>
        <v/>
      </c>
      <c r="D768" s="350"/>
      <c r="E768" s="350"/>
      <c r="F768" s="350"/>
      <c r="G768" s="347"/>
      <c r="H768" s="123" t="str">
        <f>_xlfn.CONCAT(_xlfn.XLOOKUP("[S05_DefaultValues][566][FuelMaterialType]",Submission!$O:$O,Submission!$H:$N,""))</f>
        <v/>
      </c>
      <c r="I768" s="106" t="str">
        <f>_xlfn.CONCAT(_xlfn.XLOOKUP("[S05_DefaultValues][566][InstallationNumber]",Submission!$O:$O,Submission!$H:$N,""))</f>
        <v/>
      </c>
    </row>
    <row r="769" spans="1:9" ht="15.9" hidden="1" customHeight="1" outlineLevel="1" x14ac:dyDescent="0.3">
      <c r="A769" s="13"/>
      <c r="B769" s="34"/>
      <c r="C769" s="281" t="str">
        <f>_xlfn.CONCAT(_xlfn.XLOOKUP("[S05_DefaultValues][567][InstallationCategory]",Submission!$O:$O,Submission!$H:$N,""))</f>
        <v/>
      </c>
      <c r="D769" s="350"/>
      <c r="E769" s="350"/>
      <c r="F769" s="350"/>
      <c r="G769" s="347"/>
      <c r="H769" s="123" t="str">
        <f>_xlfn.CONCAT(_xlfn.XLOOKUP("[S05_DefaultValues][567][FuelMaterialType]",Submission!$O:$O,Submission!$H:$N,""))</f>
        <v/>
      </c>
      <c r="I769" s="106" t="str">
        <f>_xlfn.CONCAT(_xlfn.XLOOKUP("[S05_DefaultValues][567][InstallationNumber]",Submission!$O:$O,Submission!$H:$N,""))</f>
        <v/>
      </c>
    </row>
    <row r="770" spans="1:9" ht="15.9" hidden="1" customHeight="1" outlineLevel="1" x14ac:dyDescent="0.3">
      <c r="A770" s="13"/>
      <c r="B770" s="34"/>
      <c r="C770" s="281" t="str">
        <f>_xlfn.CONCAT(_xlfn.XLOOKUP("[S05_DefaultValues][568][InstallationCategory]",Submission!$O:$O,Submission!$H:$N,""))</f>
        <v/>
      </c>
      <c r="D770" s="350"/>
      <c r="E770" s="350"/>
      <c r="F770" s="350"/>
      <c r="G770" s="347"/>
      <c r="H770" s="123" t="str">
        <f>_xlfn.CONCAT(_xlfn.XLOOKUP("[S05_DefaultValues][568][FuelMaterialType]",Submission!$O:$O,Submission!$H:$N,""))</f>
        <v/>
      </c>
      <c r="I770" s="106" t="str">
        <f>_xlfn.CONCAT(_xlfn.XLOOKUP("[S05_DefaultValues][568][InstallationNumber]",Submission!$O:$O,Submission!$H:$N,""))</f>
        <v/>
      </c>
    </row>
    <row r="771" spans="1:9" ht="15.9" hidden="1" customHeight="1" outlineLevel="1" x14ac:dyDescent="0.3">
      <c r="A771" s="13"/>
      <c r="B771" s="34"/>
      <c r="C771" s="281" t="str">
        <f>_xlfn.CONCAT(_xlfn.XLOOKUP("[S05_DefaultValues][569][InstallationCategory]",Submission!$O:$O,Submission!$H:$N,""))</f>
        <v/>
      </c>
      <c r="D771" s="350"/>
      <c r="E771" s="350"/>
      <c r="F771" s="350"/>
      <c r="G771" s="347"/>
      <c r="H771" s="123" t="str">
        <f>_xlfn.CONCAT(_xlfn.XLOOKUP("[S05_DefaultValues][569][FuelMaterialType]",Submission!$O:$O,Submission!$H:$N,""))</f>
        <v/>
      </c>
      <c r="I771" s="106" t="str">
        <f>_xlfn.CONCAT(_xlfn.XLOOKUP("[S05_DefaultValues][569][InstallationNumber]",Submission!$O:$O,Submission!$H:$N,""))</f>
        <v/>
      </c>
    </row>
    <row r="772" spans="1:9" ht="15.9" hidden="1" customHeight="1" outlineLevel="1" x14ac:dyDescent="0.3">
      <c r="A772" s="13"/>
      <c r="B772" s="34"/>
      <c r="C772" s="281" t="str">
        <f>_xlfn.CONCAT(_xlfn.XLOOKUP("[S05_DefaultValues][570][InstallationCategory]",Submission!$O:$O,Submission!$H:$N,""))</f>
        <v/>
      </c>
      <c r="D772" s="350"/>
      <c r="E772" s="350"/>
      <c r="F772" s="350"/>
      <c r="G772" s="347"/>
      <c r="H772" s="123" t="str">
        <f>_xlfn.CONCAT(_xlfn.XLOOKUP("[S05_DefaultValues][570][FuelMaterialType]",Submission!$O:$O,Submission!$H:$N,""))</f>
        <v/>
      </c>
      <c r="I772" s="106" t="str">
        <f>_xlfn.CONCAT(_xlfn.XLOOKUP("[S05_DefaultValues][570][InstallationNumber]",Submission!$O:$O,Submission!$H:$N,""))</f>
        <v/>
      </c>
    </row>
    <row r="773" spans="1:9" ht="15.9" hidden="1" customHeight="1" outlineLevel="1" x14ac:dyDescent="0.3">
      <c r="A773" s="13"/>
      <c r="B773" s="34"/>
      <c r="C773" s="281" t="str">
        <f>_xlfn.CONCAT(_xlfn.XLOOKUP("[S05_DefaultValues][571][InstallationCategory]",Submission!$O:$O,Submission!$H:$N,""))</f>
        <v/>
      </c>
      <c r="D773" s="350"/>
      <c r="E773" s="350"/>
      <c r="F773" s="350"/>
      <c r="G773" s="347"/>
      <c r="H773" s="123" t="str">
        <f>_xlfn.CONCAT(_xlfn.XLOOKUP("[S05_DefaultValues][571][FuelMaterialType]",Submission!$O:$O,Submission!$H:$N,""))</f>
        <v/>
      </c>
      <c r="I773" s="106" t="str">
        <f>_xlfn.CONCAT(_xlfn.XLOOKUP("[S05_DefaultValues][571][InstallationNumber]",Submission!$O:$O,Submission!$H:$N,""))</f>
        <v/>
      </c>
    </row>
    <row r="774" spans="1:9" ht="15.9" hidden="1" customHeight="1" outlineLevel="1" x14ac:dyDescent="0.3">
      <c r="A774" s="13"/>
      <c r="B774" s="34"/>
      <c r="C774" s="281" t="str">
        <f>_xlfn.CONCAT(_xlfn.XLOOKUP("[S05_DefaultValues][572][InstallationCategory]",Submission!$O:$O,Submission!$H:$N,""))</f>
        <v/>
      </c>
      <c r="D774" s="350"/>
      <c r="E774" s="350"/>
      <c r="F774" s="350"/>
      <c r="G774" s="347"/>
      <c r="H774" s="123" t="str">
        <f>_xlfn.CONCAT(_xlfn.XLOOKUP("[S05_DefaultValues][572][FuelMaterialType]",Submission!$O:$O,Submission!$H:$N,""))</f>
        <v/>
      </c>
      <c r="I774" s="106" t="str">
        <f>_xlfn.CONCAT(_xlfn.XLOOKUP("[S05_DefaultValues][572][InstallationNumber]",Submission!$O:$O,Submission!$H:$N,""))</f>
        <v/>
      </c>
    </row>
    <row r="775" spans="1:9" ht="15.9" hidden="1" customHeight="1" outlineLevel="1" x14ac:dyDescent="0.3">
      <c r="A775" s="13"/>
      <c r="B775" s="34"/>
      <c r="C775" s="281" t="str">
        <f>_xlfn.CONCAT(_xlfn.XLOOKUP("[S05_DefaultValues][573][InstallationCategory]",Submission!$O:$O,Submission!$H:$N,""))</f>
        <v/>
      </c>
      <c r="D775" s="350"/>
      <c r="E775" s="350"/>
      <c r="F775" s="350"/>
      <c r="G775" s="347"/>
      <c r="H775" s="123" t="str">
        <f>_xlfn.CONCAT(_xlfn.XLOOKUP("[S05_DefaultValues][573][FuelMaterialType]",Submission!$O:$O,Submission!$H:$N,""))</f>
        <v/>
      </c>
      <c r="I775" s="106" t="str">
        <f>_xlfn.CONCAT(_xlfn.XLOOKUP("[S05_DefaultValues][573][InstallationNumber]",Submission!$O:$O,Submission!$H:$N,""))</f>
        <v/>
      </c>
    </row>
    <row r="776" spans="1:9" ht="15.9" hidden="1" customHeight="1" outlineLevel="1" x14ac:dyDescent="0.3">
      <c r="A776" s="13"/>
      <c r="B776" s="34"/>
      <c r="C776" s="281" t="str">
        <f>_xlfn.CONCAT(_xlfn.XLOOKUP("[S05_DefaultValues][574][InstallationCategory]",Submission!$O:$O,Submission!$H:$N,""))</f>
        <v/>
      </c>
      <c r="D776" s="350"/>
      <c r="E776" s="350"/>
      <c r="F776" s="350"/>
      <c r="G776" s="347"/>
      <c r="H776" s="123" t="str">
        <f>_xlfn.CONCAT(_xlfn.XLOOKUP("[S05_DefaultValues][574][FuelMaterialType]",Submission!$O:$O,Submission!$H:$N,""))</f>
        <v/>
      </c>
      <c r="I776" s="106" t="str">
        <f>_xlfn.CONCAT(_xlfn.XLOOKUP("[S05_DefaultValues][574][InstallationNumber]",Submission!$O:$O,Submission!$H:$N,""))</f>
        <v/>
      </c>
    </row>
    <row r="777" spans="1:9" ht="15.9" hidden="1" customHeight="1" outlineLevel="1" x14ac:dyDescent="0.3">
      <c r="A777" s="13"/>
      <c r="B777" s="34"/>
      <c r="C777" s="281" t="str">
        <f>_xlfn.CONCAT(_xlfn.XLOOKUP("[S05_DefaultValues][575][InstallationCategory]",Submission!$O:$O,Submission!$H:$N,""))</f>
        <v/>
      </c>
      <c r="D777" s="350"/>
      <c r="E777" s="350"/>
      <c r="F777" s="350"/>
      <c r="G777" s="347"/>
      <c r="H777" s="123" t="str">
        <f>_xlfn.CONCAT(_xlfn.XLOOKUP("[S05_DefaultValues][575][FuelMaterialType]",Submission!$O:$O,Submission!$H:$N,""))</f>
        <v/>
      </c>
      <c r="I777" s="106" t="str">
        <f>_xlfn.CONCAT(_xlfn.XLOOKUP("[S05_DefaultValues][575][InstallationNumber]",Submission!$O:$O,Submission!$H:$N,""))</f>
        <v/>
      </c>
    </row>
    <row r="778" spans="1:9" ht="15.9" hidden="1" customHeight="1" outlineLevel="1" x14ac:dyDescent="0.3">
      <c r="A778" s="13"/>
      <c r="B778" s="34"/>
      <c r="C778" s="281" t="str">
        <f>_xlfn.CONCAT(_xlfn.XLOOKUP("[S05_DefaultValues][576][InstallationCategory]",Submission!$O:$O,Submission!$H:$N,""))</f>
        <v/>
      </c>
      <c r="D778" s="350"/>
      <c r="E778" s="350"/>
      <c r="F778" s="350"/>
      <c r="G778" s="347"/>
      <c r="H778" s="123" t="str">
        <f>_xlfn.CONCAT(_xlfn.XLOOKUP("[S05_DefaultValues][576][FuelMaterialType]",Submission!$O:$O,Submission!$H:$N,""))</f>
        <v/>
      </c>
      <c r="I778" s="106" t="str">
        <f>_xlfn.CONCAT(_xlfn.XLOOKUP("[S05_DefaultValues][576][InstallationNumber]",Submission!$O:$O,Submission!$H:$N,""))</f>
        <v/>
      </c>
    </row>
    <row r="779" spans="1:9" ht="15.9" hidden="1" customHeight="1" outlineLevel="1" x14ac:dyDescent="0.3">
      <c r="A779" s="13"/>
      <c r="B779" s="34"/>
      <c r="C779" s="281" t="str">
        <f>_xlfn.CONCAT(_xlfn.XLOOKUP("[S05_DefaultValues][577][InstallationCategory]",Submission!$O:$O,Submission!$H:$N,""))</f>
        <v/>
      </c>
      <c r="D779" s="350"/>
      <c r="E779" s="350"/>
      <c r="F779" s="350"/>
      <c r="G779" s="347"/>
      <c r="H779" s="123" t="str">
        <f>_xlfn.CONCAT(_xlfn.XLOOKUP("[S05_DefaultValues][577][FuelMaterialType]",Submission!$O:$O,Submission!$H:$N,""))</f>
        <v/>
      </c>
      <c r="I779" s="106" t="str">
        <f>_xlfn.CONCAT(_xlfn.XLOOKUP("[S05_DefaultValues][577][InstallationNumber]",Submission!$O:$O,Submission!$H:$N,""))</f>
        <v/>
      </c>
    </row>
    <row r="780" spans="1:9" ht="15.9" hidden="1" customHeight="1" outlineLevel="1" x14ac:dyDescent="0.3">
      <c r="A780" s="13"/>
      <c r="B780" s="34"/>
      <c r="C780" s="281" t="str">
        <f>_xlfn.CONCAT(_xlfn.XLOOKUP("[S05_DefaultValues][578][InstallationCategory]",Submission!$O:$O,Submission!$H:$N,""))</f>
        <v/>
      </c>
      <c r="D780" s="350"/>
      <c r="E780" s="350"/>
      <c r="F780" s="350"/>
      <c r="G780" s="347"/>
      <c r="H780" s="123" t="str">
        <f>_xlfn.CONCAT(_xlfn.XLOOKUP("[S05_DefaultValues][578][FuelMaterialType]",Submission!$O:$O,Submission!$H:$N,""))</f>
        <v/>
      </c>
      <c r="I780" s="106" t="str">
        <f>_xlfn.CONCAT(_xlfn.XLOOKUP("[S05_DefaultValues][578][InstallationNumber]",Submission!$O:$O,Submission!$H:$N,""))</f>
        <v/>
      </c>
    </row>
    <row r="781" spans="1:9" ht="15.9" hidden="1" customHeight="1" outlineLevel="1" x14ac:dyDescent="0.3">
      <c r="A781" s="13"/>
      <c r="B781" s="34"/>
      <c r="C781" s="281" t="str">
        <f>_xlfn.CONCAT(_xlfn.XLOOKUP("[S05_DefaultValues][579][InstallationCategory]",Submission!$O:$O,Submission!$H:$N,""))</f>
        <v/>
      </c>
      <c r="D781" s="350"/>
      <c r="E781" s="350"/>
      <c r="F781" s="350"/>
      <c r="G781" s="347"/>
      <c r="H781" s="123" t="str">
        <f>_xlfn.CONCAT(_xlfn.XLOOKUP("[S05_DefaultValues][579][FuelMaterialType]",Submission!$O:$O,Submission!$H:$N,""))</f>
        <v/>
      </c>
      <c r="I781" s="106" t="str">
        <f>_xlfn.CONCAT(_xlfn.XLOOKUP("[S05_DefaultValues][579][InstallationNumber]",Submission!$O:$O,Submission!$H:$N,""))</f>
        <v/>
      </c>
    </row>
    <row r="782" spans="1:9" ht="15.9" hidden="1" customHeight="1" outlineLevel="1" x14ac:dyDescent="0.3">
      <c r="A782" s="13"/>
      <c r="B782" s="34"/>
      <c r="C782" s="281" t="str">
        <f>_xlfn.CONCAT(_xlfn.XLOOKUP("[S05_DefaultValues][580][InstallationCategory]",Submission!$O:$O,Submission!$H:$N,""))</f>
        <v/>
      </c>
      <c r="D782" s="350"/>
      <c r="E782" s="350"/>
      <c r="F782" s="350"/>
      <c r="G782" s="347"/>
      <c r="H782" s="123" t="str">
        <f>_xlfn.CONCAT(_xlfn.XLOOKUP("[S05_DefaultValues][580][FuelMaterialType]",Submission!$O:$O,Submission!$H:$N,""))</f>
        <v/>
      </c>
      <c r="I782" s="106" t="str">
        <f>_xlfn.CONCAT(_xlfn.XLOOKUP("[S05_DefaultValues][580][InstallationNumber]",Submission!$O:$O,Submission!$H:$N,""))</f>
        <v/>
      </c>
    </row>
    <row r="783" spans="1:9" ht="15.9" hidden="1" customHeight="1" outlineLevel="1" x14ac:dyDescent="0.3">
      <c r="A783" s="13"/>
      <c r="B783" s="34"/>
      <c r="C783" s="281" t="str">
        <f>_xlfn.CONCAT(_xlfn.XLOOKUP("[S05_DefaultValues][581][InstallationCategory]",Submission!$O:$O,Submission!$H:$N,""))</f>
        <v/>
      </c>
      <c r="D783" s="350"/>
      <c r="E783" s="350"/>
      <c r="F783" s="350"/>
      <c r="G783" s="347"/>
      <c r="H783" s="123" t="str">
        <f>_xlfn.CONCAT(_xlfn.XLOOKUP("[S05_DefaultValues][581][FuelMaterialType]",Submission!$O:$O,Submission!$H:$N,""))</f>
        <v/>
      </c>
      <c r="I783" s="106" t="str">
        <f>_xlfn.CONCAT(_xlfn.XLOOKUP("[S05_DefaultValues][581][InstallationNumber]",Submission!$O:$O,Submission!$H:$N,""))</f>
        <v/>
      </c>
    </row>
    <row r="784" spans="1:9" ht="15.9" hidden="1" customHeight="1" outlineLevel="1" x14ac:dyDescent="0.3">
      <c r="A784" s="13"/>
      <c r="B784" s="34"/>
      <c r="C784" s="281" t="str">
        <f>_xlfn.CONCAT(_xlfn.XLOOKUP("[S05_DefaultValues][582][InstallationCategory]",Submission!$O:$O,Submission!$H:$N,""))</f>
        <v/>
      </c>
      <c r="D784" s="350"/>
      <c r="E784" s="350"/>
      <c r="F784" s="350"/>
      <c r="G784" s="347"/>
      <c r="H784" s="123" t="str">
        <f>_xlfn.CONCAT(_xlfn.XLOOKUP("[S05_DefaultValues][582][FuelMaterialType]",Submission!$O:$O,Submission!$H:$N,""))</f>
        <v/>
      </c>
      <c r="I784" s="106" t="str">
        <f>_xlfn.CONCAT(_xlfn.XLOOKUP("[S05_DefaultValues][582][InstallationNumber]",Submission!$O:$O,Submission!$H:$N,""))</f>
        <v/>
      </c>
    </row>
    <row r="785" spans="1:9" ht="15.9" hidden="1" customHeight="1" outlineLevel="1" x14ac:dyDescent="0.3">
      <c r="A785" s="13"/>
      <c r="B785" s="34"/>
      <c r="C785" s="281" t="str">
        <f>_xlfn.CONCAT(_xlfn.XLOOKUP("[S05_DefaultValues][583][InstallationCategory]",Submission!$O:$O,Submission!$H:$N,""))</f>
        <v/>
      </c>
      <c r="D785" s="350"/>
      <c r="E785" s="350"/>
      <c r="F785" s="350"/>
      <c r="G785" s="347"/>
      <c r="H785" s="123" t="str">
        <f>_xlfn.CONCAT(_xlfn.XLOOKUP("[S05_DefaultValues][583][FuelMaterialType]",Submission!$O:$O,Submission!$H:$N,""))</f>
        <v/>
      </c>
      <c r="I785" s="106" t="str">
        <f>_xlfn.CONCAT(_xlfn.XLOOKUP("[S05_DefaultValues][583][InstallationNumber]",Submission!$O:$O,Submission!$H:$N,""))</f>
        <v/>
      </c>
    </row>
    <row r="786" spans="1:9" ht="15.9" hidden="1" customHeight="1" outlineLevel="1" x14ac:dyDescent="0.3">
      <c r="A786" s="13"/>
      <c r="B786" s="34"/>
      <c r="C786" s="281" t="str">
        <f>_xlfn.CONCAT(_xlfn.XLOOKUP("[S05_DefaultValues][584][InstallationCategory]",Submission!$O:$O,Submission!$H:$N,""))</f>
        <v/>
      </c>
      <c r="D786" s="350"/>
      <c r="E786" s="350"/>
      <c r="F786" s="350"/>
      <c r="G786" s="347"/>
      <c r="H786" s="123" t="str">
        <f>_xlfn.CONCAT(_xlfn.XLOOKUP("[S05_DefaultValues][584][FuelMaterialType]",Submission!$O:$O,Submission!$H:$N,""))</f>
        <v/>
      </c>
      <c r="I786" s="106" t="str">
        <f>_xlfn.CONCAT(_xlfn.XLOOKUP("[S05_DefaultValues][584][InstallationNumber]",Submission!$O:$O,Submission!$H:$N,""))</f>
        <v/>
      </c>
    </row>
    <row r="787" spans="1:9" ht="15.9" hidden="1" customHeight="1" outlineLevel="1" x14ac:dyDescent="0.3">
      <c r="A787" s="13"/>
      <c r="B787" s="34"/>
      <c r="C787" s="281" t="str">
        <f>_xlfn.CONCAT(_xlfn.XLOOKUP("[S05_DefaultValues][585][InstallationCategory]",Submission!$O:$O,Submission!$H:$N,""))</f>
        <v/>
      </c>
      <c r="D787" s="350"/>
      <c r="E787" s="350"/>
      <c r="F787" s="350"/>
      <c r="G787" s="347"/>
      <c r="H787" s="123" t="str">
        <f>_xlfn.CONCAT(_xlfn.XLOOKUP("[S05_DefaultValues][585][FuelMaterialType]",Submission!$O:$O,Submission!$H:$N,""))</f>
        <v/>
      </c>
      <c r="I787" s="106" t="str">
        <f>_xlfn.CONCAT(_xlfn.XLOOKUP("[S05_DefaultValues][585][InstallationNumber]",Submission!$O:$O,Submission!$H:$N,""))</f>
        <v/>
      </c>
    </row>
    <row r="788" spans="1:9" ht="15.9" hidden="1" customHeight="1" outlineLevel="1" x14ac:dyDescent="0.3">
      <c r="A788" s="13"/>
      <c r="B788" s="34"/>
      <c r="C788" s="281" t="str">
        <f>_xlfn.CONCAT(_xlfn.XLOOKUP("[S05_DefaultValues][586][InstallationCategory]",Submission!$O:$O,Submission!$H:$N,""))</f>
        <v/>
      </c>
      <c r="D788" s="350"/>
      <c r="E788" s="350"/>
      <c r="F788" s="350"/>
      <c r="G788" s="347"/>
      <c r="H788" s="123" t="str">
        <f>_xlfn.CONCAT(_xlfn.XLOOKUP("[S05_DefaultValues][586][FuelMaterialType]",Submission!$O:$O,Submission!$H:$N,""))</f>
        <v/>
      </c>
      <c r="I788" s="106" t="str">
        <f>_xlfn.CONCAT(_xlfn.XLOOKUP("[S05_DefaultValues][586][InstallationNumber]",Submission!$O:$O,Submission!$H:$N,""))</f>
        <v/>
      </c>
    </row>
    <row r="789" spans="1:9" ht="15.9" hidden="1" customHeight="1" outlineLevel="1" x14ac:dyDescent="0.3">
      <c r="A789" s="13"/>
      <c r="B789" s="34"/>
      <c r="C789" s="281" t="str">
        <f>_xlfn.CONCAT(_xlfn.XLOOKUP("[S05_DefaultValues][587][InstallationCategory]",Submission!$O:$O,Submission!$H:$N,""))</f>
        <v/>
      </c>
      <c r="D789" s="350"/>
      <c r="E789" s="350"/>
      <c r="F789" s="350"/>
      <c r="G789" s="347"/>
      <c r="H789" s="123" t="str">
        <f>_xlfn.CONCAT(_xlfn.XLOOKUP("[S05_DefaultValues][587][FuelMaterialType]",Submission!$O:$O,Submission!$H:$N,""))</f>
        <v/>
      </c>
      <c r="I789" s="106" t="str">
        <f>_xlfn.CONCAT(_xlfn.XLOOKUP("[S05_DefaultValues][587][InstallationNumber]",Submission!$O:$O,Submission!$H:$N,""))</f>
        <v/>
      </c>
    </row>
    <row r="790" spans="1:9" ht="15.9" hidden="1" customHeight="1" outlineLevel="1" x14ac:dyDescent="0.3">
      <c r="A790" s="13"/>
      <c r="B790" s="34"/>
      <c r="C790" s="281" t="str">
        <f>_xlfn.CONCAT(_xlfn.XLOOKUP("[S05_DefaultValues][588][InstallationCategory]",Submission!$O:$O,Submission!$H:$N,""))</f>
        <v/>
      </c>
      <c r="D790" s="350"/>
      <c r="E790" s="350"/>
      <c r="F790" s="350"/>
      <c r="G790" s="347"/>
      <c r="H790" s="123" t="str">
        <f>_xlfn.CONCAT(_xlfn.XLOOKUP("[S05_DefaultValues][588][FuelMaterialType]",Submission!$O:$O,Submission!$H:$N,""))</f>
        <v/>
      </c>
      <c r="I790" s="106" t="str">
        <f>_xlfn.CONCAT(_xlfn.XLOOKUP("[S05_DefaultValues][588][InstallationNumber]",Submission!$O:$O,Submission!$H:$N,""))</f>
        <v/>
      </c>
    </row>
    <row r="791" spans="1:9" ht="15.9" hidden="1" customHeight="1" outlineLevel="1" x14ac:dyDescent="0.3">
      <c r="A791" s="13"/>
      <c r="B791" s="34"/>
      <c r="C791" s="281" t="str">
        <f>_xlfn.CONCAT(_xlfn.XLOOKUP("[S05_DefaultValues][589][InstallationCategory]",Submission!$O:$O,Submission!$H:$N,""))</f>
        <v/>
      </c>
      <c r="D791" s="350"/>
      <c r="E791" s="350"/>
      <c r="F791" s="350"/>
      <c r="G791" s="347"/>
      <c r="H791" s="123" t="str">
        <f>_xlfn.CONCAT(_xlfn.XLOOKUP("[S05_DefaultValues][589][FuelMaterialType]",Submission!$O:$O,Submission!$H:$N,""))</f>
        <v/>
      </c>
      <c r="I791" s="106" t="str">
        <f>_xlfn.CONCAT(_xlfn.XLOOKUP("[S05_DefaultValues][589][InstallationNumber]",Submission!$O:$O,Submission!$H:$N,""))</f>
        <v/>
      </c>
    </row>
    <row r="792" spans="1:9" ht="15.9" hidden="1" customHeight="1" outlineLevel="1" x14ac:dyDescent="0.3">
      <c r="A792" s="13"/>
      <c r="B792" s="34"/>
      <c r="C792" s="281" t="str">
        <f>_xlfn.CONCAT(_xlfn.XLOOKUP("[S05_DefaultValues][590][InstallationCategory]",Submission!$O:$O,Submission!$H:$N,""))</f>
        <v/>
      </c>
      <c r="D792" s="350"/>
      <c r="E792" s="350"/>
      <c r="F792" s="350"/>
      <c r="G792" s="347"/>
      <c r="H792" s="123" t="str">
        <f>_xlfn.CONCAT(_xlfn.XLOOKUP("[S05_DefaultValues][590][FuelMaterialType]",Submission!$O:$O,Submission!$H:$N,""))</f>
        <v/>
      </c>
      <c r="I792" s="106" t="str">
        <f>_xlfn.CONCAT(_xlfn.XLOOKUP("[S05_DefaultValues][590][InstallationNumber]",Submission!$O:$O,Submission!$H:$N,""))</f>
        <v/>
      </c>
    </row>
    <row r="793" spans="1:9" ht="15.9" hidden="1" customHeight="1" outlineLevel="1" x14ac:dyDescent="0.3">
      <c r="A793" s="13"/>
      <c r="B793" s="34"/>
      <c r="C793" s="281" t="str">
        <f>_xlfn.CONCAT(_xlfn.XLOOKUP("[S05_DefaultValues][591][InstallationCategory]",Submission!$O:$O,Submission!$H:$N,""))</f>
        <v/>
      </c>
      <c r="D793" s="350"/>
      <c r="E793" s="350"/>
      <c r="F793" s="350"/>
      <c r="G793" s="347"/>
      <c r="H793" s="123" t="str">
        <f>_xlfn.CONCAT(_xlfn.XLOOKUP("[S05_DefaultValues][591][FuelMaterialType]",Submission!$O:$O,Submission!$H:$N,""))</f>
        <v/>
      </c>
      <c r="I793" s="106" t="str">
        <f>_xlfn.CONCAT(_xlfn.XLOOKUP("[S05_DefaultValues][591][InstallationNumber]",Submission!$O:$O,Submission!$H:$N,""))</f>
        <v/>
      </c>
    </row>
    <row r="794" spans="1:9" ht="15.9" hidden="1" customHeight="1" outlineLevel="1" x14ac:dyDescent="0.3">
      <c r="A794" s="13"/>
      <c r="B794" s="34"/>
      <c r="C794" s="281" t="str">
        <f>_xlfn.CONCAT(_xlfn.XLOOKUP("[S05_DefaultValues][592][InstallationCategory]",Submission!$O:$O,Submission!$H:$N,""))</f>
        <v/>
      </c>
      <c r="D794" s="350"/>
      <c r="E794" s="350"/>
      <c r="F794" s="350"/>
      <c r="G794" s="347"/>
      <c r="H794" s="123" t="str">
        <f>_xlfn.CONCAT(_xlfn.XLOOKUP("[S05_DefaultValues][592][FuelMaterialType]",Submission!$O:$O,Submission!$H:$N,""))</f>
        <v/>
      </c>
      <c r="I794" s="106" t="str">
        <f>_xlfn.CONCAT(_xlfn.XLOOKUP("[S05_DefaultValues][592][InstallationNumber]",Submission!$O:$O,Submission!$H:$N,""))</f>
        <v/>
      </c>
    </row>
    <row r="795" spans="1:9" ht="15.9" hidden="1" customHeight="1" outlineLevel="1" x14ac:dyDescent="0.3">
      <c r="A795" s="13"/>
      <c r="B795" s="34"/>
      <c r="C795" s="281" t="str">
        <f>_xlfn.CONCAT(_xlfn.XLOOKUP("[S05_DefaultValues][593][InstallationCategory]",Submission!$O:$O,Submission!$H:$N,""))</f>
        <v/>
      </c>
      <c r="D795" s="350"/>
      <c r="E795" s="350"/>
      <c r="F795" s="350"/>
      <c r="G795" s="347"/>
      <c r="H795" s="123" t="str">
        <f>_xlfn.CONCAT(_xlfn.XLOOKUP("[S05_DefaultValues][593][FuelMaterialType]",Submission!$O:$O,Submission!$H:$N,""))</f>
        <v/>
      </c>
      <c r="I795" s="106" t="str">
        <f>_xlfn.CONCAT(_xlfn.XLOOKUP("[S05_DefaultValues][593][InstallationNumber]",Submission!$O:$O,Submission!$H:$N,""))</f>
        <v/>
      </c>
    </row>
    <row r="796" spans="1:9" ht="15.9" hidden="1" customHeight="1" outlineLevel="1" x14ac:dyDescent="0.3">
      <c r="A796" s="13"/>
      <c r="B796" s="34"/>
      <c r="C796" s="281" t="str">
        <f>_xlfn.CONCAT(_xlfn.XLOOKUP("[S05_DefaultValues][594][InstallationCategory]",Submission!$O:$O,Submission!$H:$N,""))</f>
        <v/>
      </c>
      <c r="D796" s="350"/>
      <c r="E796" s="350"/>
      <c r="F796" s="350"/>
      <c r="G796" s="347"/>
      <c r="H796" s="123" t="str">
        <f>_xlfn.CONCAT(_xlfn.XLOOKUP("[S05_DefaultValues][594][FuelMaterialType]",Submission!$O:$O,Submission!$H:$N,""))</f>
        <v/>
      </c>
      <c r="I796" s="106" t="str">
        <f>_xlfn.CONCAT(_xlfn.XLOOKUP("[S05_DefaultValues][594][InstallationNumber]",Submission!$O:$O,Submission!$H:$N,""))</f>
        <v/>
      </c>
    </row>
    <row r="797" spans="1:9" ht="15.9" hidden="1" customHeight="1" outlineLevel="1" x14ac:dyDescent="0.3">
      <c r="A797" s="13"/>
      <c r="B797" s="34"/>
      <c r="C797" s="281" t="str">
        <f>_xlfn.CONCAT(_xlfn.XLOOKUP("[S05_DefaultValues][595][InstallationCategory]",Submission!$O:$O,Submission!$H:$N,""))</f>
        <v/>
      </c>
      <c r="D797" s="350"/>
      <c r="E797" s="350"/>
      <c r="F797" s="350"/>
      <c r="G797" s="347"/>
      <c r="H797" s="123" t="str">
        <f>_xlfn.CONCAT(_xlfn.XLOOKUP("[S05_DefaultValues][595][FuelMaterialType]",Submission!$O:$O,Submission!$H:$N,""))</f>
        <v/>
      </c>
      <c r="I797" s="106" t="str">
        <f>_xlfn.CONCAT(_xlfn.XLOOKUP("[S05_DefaultValues][595][InstallationNumber]",Submission!$O:$O,Submission!$H:$N,""))</f>
        <v/>
      </c>
    </row>
    <row r="798" spans="1:9" ht="15.9" hidden="1" customHeight="1" outlineLevel="1" x14ac:dyDescent="0.3">
      <c r="A798" s="13"/>
      <c r="B798" s="34"/>
      <c r="C798" s="281" t="str">
        <f>_xlfn.CONCAT(_xlfn.XLOOKUP("[S05_DefaultValues][596][InstallationCategory]",Submission!$O:$O,Submission!$H:$N,""))</f>
        <v/>
      </c>
      <c r="D798" s="350"/>
      <c r="E798" s="350"/>
      <c r="F798" s="350"/>
      <c r="G798" s="347"/>
      <c r="H798" s="123" t="str">
        <f>_xlfn.CONCAT(_xlfn.XLOOKUP("[S05_DefaultValues][596][FuelMaterialType]",Submission!$O:$O,Submission!$H:$N,""))</f>
        <v/>
      </c>
      <c r="I798" s="106" t="str">
        <f>_xlfn.CONCAT(_xlfn.XLOOKUP("[S05_DefaultValues][596][InstallationNumber]",Submission!$O:$O,Submission!$H:$N,""))</f>
        <v/>
      </c>
    </row>
    <row r="799" spans="1:9" ht="15.9" hidden="1" customHeight="1" outlineLevel="1" x14ac:dyDescent="0.3">
      <c r="A799" s="13"/>
      <c r="B799" s="34"/>
      <c r="C799" s="281" t="str">
        <f>_xlfn.CONCAT(_xlfn.XLOOKUP("[S05_DefaultValues][597][InstallationCategory]",Submission!$O:$O,Submission!$H:$N,""))</f>
        <v/>
      </c>
      <c r="D799" s="350"/>
      <c r="E799" s="350"/>
      <c r="F799" s="350"/>
      <c r="G799" s="347"/>
      <c r="H799" s="123" t="str">
        <f>_xlfn.CONCAT(_xlfn.XLOOKUP("[S05_DefaultValues][597][FuelMaterialType]",Submission!$O:$O,Submission!$H:$N,""))</f>
        <v/>
      </c>
      <c r="I799" s="106" t="str">
        <f>_xlfn.CONCAT(_xlfn.XLOOKUP("[S05_DefaultValues][597][InstallationNumber]",Submission!$O:$O,Submission!$H:$N,""))</f>
        <v/>
      </c>
    </row>
    <row r="800" spans="1:9" ht="15.9" hidden="1" customHeight="1" outlineLevel="1" x14ac:dyDescent="0.3">
      <c r="A800" s="13"/>
      <c r="B800" s="34"/>
      <c r="C800" s="281" t="str">
        <f>_xlfn.CONCAT(_xlfn.XLOOKUP("[S05_DefaultValues][598][InstallationCategory]",Submission!$O:$O,Submission!$H:$N,""))</f>
        <v/>
      </c>
      <c r="D800" s="350"/>
      <c r="E800" s="350"/>
      <c r="F800" s="350"/>
      <c r="G800" s="347"/>
      <c r="H800" s="123" t="str">
        <f>_xlfn.CONCAT(_xlfn.XLOOKUP("[S05_DefaultValues][598][FuelMaterialType]",Submission!$O:$O,Submission!$H:$N,""))</f>
        <v/>
      </c>
      <c r="I800" s="106" t="str">
        <f>_xlfn.CONCAT(_xlfn.XLOOKUP("[S05_DefaultValues][598][InstallationNumber]",Submission!$O:$O,Submission!$H:$N,""))</f>
        <v/>
      </c>
    </row>
    <row r="801" spans="1:9" ht="15.9" hidden="1" customHeight="1" outlineLevel="1" x14ac:dyDescent="0.3">
      <c r="A801" s="13"/>
      <c r="B801" s="34"/>
      <c r="C801" s="281" t="str">
        <f>_xlfn.CONCAT(_xlfn.XLOOKUP("[S05_DefaultValues][599][InstallationCategory]",Submission!$O:$O,Submission!$H:$N,""))</f>
        <v/>
      </c>
      <c r="D801" s="350"/>
      <c r="E801" s="350"/>
      <c r="F801" s="350"/>
      <c r="G801" s="347"/>
      <c r="H801" s="123" t="str">
        <f>_xlfn.CONCAT(_xlfn.XLOOKUP("[S05_DefaultValues][599][FuelMaterialType]",Submission!$O:$O,Submission!$H:$N,""))</f>
        <v/>
      </c>
      <c r="I801" s="106" t="str">
        <f>_xlfn.CONCAT(_xlfn.XLOOKUP("[S05_DefaultValues][599][InstallationNumber]",Submission!$O:$O,Submission!$H:$N,""))</f>
        <v/>
      </c>
    </row>
    <row r="802" spans="1:9" ht="15.9" hidden="1" customHeight="1" outlineLevel="1" x14ac:dyDescent="0.3">
      <c r="A802" s="13"/>
      <c r="B802" s="34"/>
      <c r="C802" s="281" t="str">
        <f>_xlfn.CONCAT(_xlfn.XLOOKUP("[S05_DefaultValues][600][InstallationCategory]",Submission!$O:$O,Submission!$H:$N,""))</f>
        <v/>
      </c>
      <c r="D802" s="350"/>
      <c r="E802" s="350"/>
      <c r="F802" s="350"/>
      <c r="G802" s="347"/>
      <c r="H802" s="123" t="str">
        <f>_xlfn.CONCAT(_xlfn.XLOOKUP("[S05_DefaultValues][600][FuelMaterialType]",Submission!$O:$O,Submission!$H:$N,""))</f>
        <v/>
      </c>
      <c r="I802" s="106" t="str">
        <f>_xlfn.CONCAT(_xlfn.XLOOKUP("[S05_DefaultValues][600][InstallationNumber]",Submission!$O:$O,Submission!$H:$N,""))</f>
        <v/>
      </c>
    </row>
    <row r="803" spans="1:9" ht="15.9" hidden="1" customHeight="1" outlineLevel="1" x14ac:dyDescent="0.3">
      <c r="A803" s="13"/>
      <c r="B803" s="34"/>
      <c r="C803" s="281" t="str">
        <f>_xlfn.CONCAT(_xlfn.XLOOKUP("[S05_DefaultValues][601][InstallationCategory]",Submission!$O:$O,Submission!$H:$N,""))</f>
        <v/>
      </c>
      <c r="D803" s="350"/>
      <c r="E803" s="350"/>
      <c r="F803" s="350"/>
      <c r="G803" s="347"/>
      <c r="H803" s="123" t="str">
        <f>_xlfn.CONCAT(_xlfn.XLOOKUP("[S05_DefaultValues][601][FuelMaterialType]",Submission!$O:$O,Submission!$H:$N,""))</f>
        <v/>
      </c>
      <c r="I803" s="106" t="str">
        <f>_xlfn.CONCAT(_xlfn.XLOOKUP("[S05_DefaultValues][601][InstallationNumber]",Submission!$O:$O,Submission!$H:$N,""))</f>
        <v/>
      </c>
    </row>
    <row r="804" spans="1:9" ht="15.9" hidden="1" customHeight="1" outlineLevel="1" x14ac:dyDescent="0.3">
      <c r="A804" s="13"/>
      <c r="B804" s="34"/>
      <c r="C804" s="281" t="str">
        <f>_xlfn.CONCAT(_xlfn.XLOOKUP("[S05_DefaultValues][602][InstallationCategory]",Submission!$O:$O,Submission!$H:$N,""))</f>
        <v/>
      </c>
      <c r="D804" s="350"/>
      <c r="E804" s="350"/>
      <c r="F804" s="350"/>
      <c r="G804" s="347"/>
      <c r="H804" s="123" t="str">
        <f>_xlfn.CONCAT(_xlfn.XLOOKUP("[S05_DefaultValues][602][FuelMaterialType]",Submission!$O:$O,Submission!$H:$N,""))</f>
        <v/>
      </c>
      <c r="I804" s="106" t="str">
        <f>_xlfn.CONCAT(_xlfn.XLOOKUP("[S05_DefaultValues][602][InstallationNumber]",Submission!$O:$O,Submission!$H:$N,""))</f>
        <v/>
      </c>
    </row>
    <row r="805" spans="1:9" ht="15.9" hidden="1" customHeight="1" outlineLevel="1" x14ac:dyDescent="0.3">
      <c r="A805" s="13"/>
      <c r="B805" s="34"/>
      <c r="C805" s="281" t="str">
        <f>_xlfn.CONCAT(_xlfn.XLOOKUP("[S05_DefaultValues][603][InstallationCategory]",Submission!$O:$O,Submission!$H:$N,""))</f>
        <v/>
      </c>
      <c r="D805" s="350"/>
      <c r="E805" s="350"/>
      <c r="F805" s="350"/>
      <c r="G805" s="347"/>
      <c r="H805" s="123" t="str">
        <f>_xlfn.CONCAT(_xlfn.XLOOKUP("[S05_DefaultValues][603][FuelMaterialType]",Submission!$O:$O,Submission!$H:$N,""))</f>
        <v/>
      </c>
      <c r="I805" s="106" t="str">
        <f>_xlfn.CONCAT(_xlfn.XLOOKUP("[S05_DefaultValues][603][InstallationNumber]",Submission!$O:$O,Submission!$H:$N,""))</f>
        <v/>
      </c>
    </row>
    <row r="806" spans="1:9" ht="15.9" hidden="1" customHeight="1" outlineLevel="1" x14ac:dyDescent="0.3">
      <c r="A806" s="13"/>
      <c r="B806" s="34"/>
      <c r="C806" s="281" t="str">
        <f>_xlfn.CONCAT(_xlfn.XLOOKUP("[S05_DefaultValues][604][InstallationCategory]",Submission!$O:$O,Submission!$H:$N,""))</f>
        <v/>
      </c>
      <c r="D806" s="350"/>
      <c r="E806" s="350"/>
      <c r="F806" s="350"/>
      <c r="G806" s="347"/>
      <c r="H806" s="123" t="str">
        <f>_xlfn.CONCAT(_xlfn.XLOOKUP("[S05_DefaultValues][604][FuelMaterialType]",Submission!$O:$O,Submission!$H:$N,""))</f>
        <v/>
      </c>
      <c r="I806" s="106" t="str">
        <f>_xlfn.CONCAT(_xlfn.XLOOKUP("[S05_DefaultValues][604][InstallationNumber]",Submission!$O:$O,Submission!$H:$N,""))</f>
        <v/>
      </c>
    </row>
    <row r="807" spans="1:9" ht="15.9" hidden="1" customHeight="1" outlineLevel="1" x14ac:dyDescent="0.3">
      <c r="A807" s="13"/>
      <c r="B807" s="34"/>
      <c r="C807" s="281" t="str">
        <f>_xlfn.CONCAT(_xlfn.XLOOKUP("[S05_DefaultValues][605][InstallationCategory]",Submission!$O:$O,Submission!$H:$N,""))</f>
        <v/>
      </c>
      <c r="D807" s="350"/>
      <c r="E807" s="350"/>
      <c r="F807" s="350"/>
      <c r="G807" s="347"/>
      <c r="H807" s="123" t="str">
        <f>_xlfn.CONCAT(_xlfn.XLOOKUP("[S05_DefaultValues][605][FuelMaterialType]",Submission!$O:$O,Submission!$H:$N,""))</f>
        <v/>
      </c>
      <c r="I807" s="106" t="str">
        <f>_xlfn.CONCAT(_xlfn.XLOOKUP("[S05_DefaultValues][605][InstallationNumber]",Submission!$O:$O,Submission!$H:$N,""))</f>
        <v/>
      </c>
    </row>
    <row r="808" spans="1:9" ht="15.9" hidden="1" customHeight="1" outlineLevel="1" x14ac:dyDescent="0.3">
      <c r="A808" s="13"/>
      <c r="B808" s="34"/>
      <c r="C808" s="281" t="str">
        <f>_xlfn.CONCAT(_xlfn.XLOOKUP("[S05_DefaultValues][606][InstallationCategory]",Submission!$O:$O,Submission!$H:$N,""))</f>
        <v/>
      </c>
      <c r="D808" s="350"/>
      <c r="E808" s="350"/>
      <c r="F808" s="350"/>
      <c r="G808" s="347"/>
      <c r="H808" s="123" t="str">
        <f>_xlfn.CONCAT(_xlfn.XLOOKUP("[S05_DefaultValues][606][FuelMaterialType]",Submission!$O:$O,Submission!$H:$N,""))</f>
        <v/>
      </c>
      <c r="I808" s="106" t="str">
        <f>_xlfn.CONCAT(_xlfn.XLOOKUP("[S05_DefaultValues][606][InstallationNumber]",Submission!$O:$O,Submission!$H:$N,""))</f>
        <v/>
      </c>
    </row>
    <row r="809" spans="1:9" ht="15.9" hidden="1" customHeight="1" outlineLevel="1" x14ac:dyDescent="0.3">
      <c r="A809" s="13"/>
      <c r="B809" s="34"/>
      <c r="C809" s="281" t="str">
        <f>_xlfn.CONCAT(_xlfn.XLOOKUP("[S05_DefaultValues][607][InstallationCategory]",Submission!$O:$O,Submission!$H:$N,""))</f>
        <v/>
      </c>
      <c r="D809" s="350"/>
      <c r="E809" s="350"/>
      <c r="F809" s="350"/>
      <c r="G809" s="347"/>
      <c r="H809" s="123" t="str">
        <f>_xlfn.CONCAT(_xlfn.XLOOKUP("[S05_DefaultValues][607][FuelMaterialType]",Submission!$O:$O,Submission!$H:$N,""))</f>
        <v/>
      </c>
      <c r="I809" s="106" t="str">
        <f>_xlfn.CONCAT(_xlfn.XLOOKUP("[S05_DefaultValues][607][InstallationNumber]",Submission!$O:$O,Submission!$H:$N,""))</f>
        <v/>
      </c>
    </row>
    <row r="810" spans="1:9" ht="15.9" hidden="1" customHeight="1" outlineLevel="1" x14ac:dyDescent="0.3">
      <c r="A810" s="13"/>
      <c r="B810" s="34"/>
      <c r="C810" s="281" t="str">
        <f>_xlfn.CONCAT(_xlfn.XLOOKUP("[S05_DefaultValues][608][InstallationCategory]",Submission!$O:$O,Submission!$H:$N,""))</f>
        <v/>
      </c>
      <c r="D810" s="350"/>
      <c r="E810" s="350"/>
      <c r="F810" s="350"/>
      <c r="G810" s="347"/>
      <c r="H810" s="123" t="str">
        <f>_xlfn.CONCAT(_xlfn.XLOOKUP("[S05_DefaultValues][608][FuelMaterialType]",Submission!$O:$O,Submission!$H:$N,""))</f>
        <v/>
      </c>
      <c r="I810" s="106" t="str">
        <f>_xlfn.CONCAT(_xlfn.XLOOKUP("[S05_DefaultValues][608][InstallationNumber]",Submission!$O:$O,Submission!$H:$N,""))</f>
        <v/>
      </c>
    </row>
    <row r="811" spans="1:9" ht="15.9" hidden="1" customHeight="1" outlineLevel="1" x14ac:dyDescent="0.3">
      <c r="A811" s="13"/>
      <c r="B811" s="34"/>
      <c r="C811" s="281" t="str">
        <f>_xlfn.CONCAT(_xlfn.XLOOKUP("[S05_DefaultValues][609][InstallationCategory]",Submission!$O:$O,Submission!$H:$N,""))</f>
        <v/>
      </c>
      <c r="D811" s="350"/>
      <c r="E811" s="350"/>
      <c r="F811" s="350"/>
      <c r="G811" s="347"/>
      <c r="H811" s="123" t="str">
        <f>_xlfn.CONCAT(_xlfn.XLOOKUP("[S05_DefaultValues][609][FuelMaterialType]",Submission!$O:$O,Submission!$H:$N,""))</f>
        <v/>
      </c>
      <c r="I811" s="106" t="str">
        <f>_xlfn.CONCAT(_xlfn.XLOOKUP("[S05_DefaultValues][609][InstallationNumber]",Submission!$O:$O,Submission!$H:$N,""))</f>
        <v/>
      </c>
    </row>
    <row r="812" spans="1:9" ht="15.9" hidden="1" customHeight="1" outlineLevel="1" x14ac:dyDescent="0.3">
      <c r="A812" s="13"/>
      <c r="B812" s="34"/>
      <c r="C812" s="281" t="str">
        <f>_xlfn.CONCAT(_xlfn.XLOOKUP("[S05_DefaultValues][610][InstallationCategory]",Submission!$O:$O,Submission!$H:$N,""))</f>
        <v/>
      </c>
      <c r="D812" s="350"/>
      <c r="E812" s="350"/>
      <c r="F812" s="350"/>
      <c r="G812" s="347"/>
      <c r="H812" s="123" t="str">
        <f>_xlfn.CONCAT(_xlfn.XLOOKUP("[S05_DefaultValues][610][FuelMaterialType]",Submission!$O:$O,Submission!$H:$N,""))</f>
        <v/>
      </c>
      <c r="I812" s="106" t="str">
        <f>_xlfn.CONCAT(_xlfn.XLOOKUP("[S05_DefaultValues][610][InstallationNumber]",Submission!$O:$O,Submission!$H:$N,""))</f>
        <v/>
      </c>
    </row>
    <row r="813" spans="1:9" ht="15.9" hidden="1" customHeight="1" outlineLevel="1" x14ac:dyDescent="0.3">
      <c r="A813" s="13"/>
      <c r="B813" s="34"/>
      <c r="C813" s="281" t="str">
        <f>_xlfn.CONCAT(_xlfn.XLOOKUP("[S05_DefaultValues][611][InstallationCategory]",Submission!$O:$O,Submission!$H:$N,""))</f>
        <v/>
      </c>
      <c r="D813" s="350"/>
      <c r="E813" s="350"/>
      <c r="F813" s="350"/>
      <c r="G813" s="347"/>
      <c r="H813" s="123" t="str">
        <f>_xlfn.CONCAT(_xlfn.XLOOKUP("[S05_DefaultValues][611][FuelMaterialType]",Submission!$O:$O,Submission!$H:$N,""))</f>
        <v/>
      </c>
      <c r="I813" s="106" t="str">
        <f>_xlfn.CONCAT(_xlfn.XLOOKUP("[S05_DefaultValues][611][InstallationNumber]",Submission!$O:$O,Submission!$H:$N,""))</f>
        <v/>
      </c>
    </row>
    <row r="814" spans="1:9" ht="15.9" hidden="1" customHeight="1" outlineLevel="1" x14ac:dyDescent="0.3">
      <c r="A814" s="13"/>
      <c r="B814" s="34"/>
      <c r="C814" s="281" t="str">
        <f>_xlfn.CONCAT(_xlfn.XLOOKUP("[S05_DefaultValues][612][InstallationCategory]",Submission!$O:$O,Submission!$H:$N,""))</f>
        <v/>
      </c>
      <c r="D814" s="350"/>
      <c r="E814" s="350"/>
      <c r="F814" s="350"/>
      <c r="G814" s="347"/>
      <c r="H814" s="123" t="str">
        <f>_xlfn.CONCAT(_xlfn.XLOOKUP("[S05_DefaultValues][612][FuelMaterialType]",Submission!$O:$O,Submission!$H:$N,""))</f>
        <v/>
      </c>
      <c r="I814" s="106" t="str">
        <f>_xlfn.CONCAT(_xlfn.XLOOKUP("[S05_DefaultValues][612][InstallationNumber]",Submission!$O:$O,Submission!$H:$N,""))</f>
        <v/>
      </c>
    </row>
    <row r="815" spans="1:9" ht="15.9" hidden="1" customHeight="1" outlineLevel="1" x14ac:dyDescent="0.3">
      <c r="A815" s="13"/>
      <c r="B815" s="34"/>
      <c r="C815" s="281" t="str">
        <f>_xlfn.CONCAT(_xlfn.XLOOKUP("[S05_DefaultValues][613][InstallationCategory]",Submission!$O:$O,Submission!$H:$N,""))</f>
        <v/>
      </c>
      <c r="D815" s="350"/>
      <c r="E815" s="350"/>
      <c r="F815" s="350"/>
      <c r="G815" s="347"/>
      <c r="H815" s="123" t="str">
        <f>_xlfn.CONCAT(_xlfn.XLOOKUP("[S05_DefaultValues][613][FuelMaterialType]",Submission!$O:$O,Submission!$H:$N,""))</f>
        <v/>
      </c>
      <c r="I815" s="106" t="str">
        <f>_xlfn.CONCAT(_xlfn.XLOOKUP("[S05_DefaultValues][613][InstallationNumber]",Submission!$O:$O,Submission!$H:$N,""))</f>
        <v/>
      </c>
    </row>
    <row r="816" spans="1:9" ht="15.9" hidden="1" customHeight="1" outlineLevel="1" x14ac:dyDescent="0.3">
      <c r="A816" s="13"/>
      <c r="B816" s="34"/>
      <c r="C816" s="281" t="str">
        <f>_xlfn.CONCAT(_xlfn.XLOOKUP("[S05_DefaultValues][614][InstallationCategory]",Submission!$O:$O,Submission!$H:$N,""))</f>
        <v/>
      </c>
      <c r="D816" s="350"/>
      <c r="E816" s="350"/>
      <c r="F816" s="350"/>
      <c r="G816" s="347"/>
      <c r="H816" s="123" t="str">
        <f>_xlfn.CONCAT(_xlfn.XLOOKUP("[S05_DefaultValues][614][FuelMaterialType]",Submission!$O:$O,Submission!$H:$N,""))</f>
        <v/>
      </c>
      <c r="I816" s="106" t="str">
        <f>_xlfn.CONCAT(_xlfn.XLOOKUP("[S05_DefaultValues][614][InstallationNumber]",Submission!$O:$O,Submission!$H:$N,""))</f>
        <v/>
      </c>
    </row>
    <row r="817" spans="1:9" ht="15.9" hidden="1" customHeight="1" outlineLevel="1" x14ac:dyDescent="0.3">
      <c r="A817" s="13"/>
      <c r="B817" s="34"/>
      <c r="C817" s="281" t="str">
        <f>_xlfn.CONCAT(_xlfn.XLOOKUP("[S05_DefaultValues][615][InstallationCategory]",Submission!$O:$O,Submission!$H:$N,""))</f>
        <v/>
      </c>
      <c r="D817" s="350"/>
      <c r="E817" s="350"/>
      <c r="F817" s="350"/>
      <c r="G817" s="347"/>
      <c r="H817" s="123" t="str">
        <f>_xlfn.CONCAT(_xlfn.XLOOKUP("[S05_DefaultValues][615][FuelMaterialType]",Submission!$O:$O,Submission!$H:$N,""))</f>
        <v/>
      </c>
      <c r="I817" s="106" t="str">
        <f>_xlfn.CONCAT(_xlfn.XLOOKUP("[S05_DefaultValues][615][InstallationNumber]",Submission!$O:$O,Submission!$H:$N,""))</f>
        <v/>
      </c>
    </row>
    <row r="818" spans="1:9" ht="15.9" hidden="1" customHeight="1" outlineLevel="1" x14ac:dyDescent="0.3">
      <c r="A818" s="13"/>
      <c r="B818" s="34"/>
      <c r="C818" s="281" t="str">
        <f>_xlfn.CONCAT(_xlfn.XLOOKUP("[S05_DefaultValues][616][InstallationCategory]",Submission!$O:$O,Submission!$H:$N,""))</f>
        <v/>
      </c>
      <c r="D818" s="350"/>
      <c r="E818" s="350"/>
      <c r="F818" s="350"/>
      <c r="G818" s="347"/>
      <c r="H818" s="123" t="str">
        <f>_xlfn.CONCAT(_xlfn.XLOOKUP("[S05_DefaultValues][616][FuelMaterialType]",Submission!$O:$O,Submission!$H:$N,""))</f>
        <v/>
      </c>
      <c r="I818" s="106" t="str">
        <f>_xlfn.CONCAT(_xlfn.XLOOKUP("[S05_DefaultValues][616][InstallationNumber]",Submission!$O:$O,Submission!$H:$N,""))</f>
        <v/>
      </c>
    </row>
    <row r="819" spans="1:9" ht="15.9" hidden="1" customHeight="1" outlineLevel="1" x14ac:dyDescent="0.3">
      <c r="A819" s="13"/>
      <c r="B819" s="34"/>
      <c r="C819" s="281" t="str">
        <f>_xlfn.CONCAT(_xlfn.XLOOKUP("[S05_DefaultValues][617][InstallationCategory]",Submission!$O:$O,Submission!$H:$N,""))</f>
        <v/>
      </c>
      <c r="D819" s="350"/>
      <c r="E819" s="350"/>
      <c r="F819" s="350"/>
      <c r="G819" s="347"/>
      <c r="H819" s="123" t="str">
        <f>_xlfn.CONCAT(_xlfn.XLOOKUP("[S05_DefaultValues][617][FuelMaterialType]",Submission!$O:$O,Submission!$H:$N,""))</f>
        <v/>
      </c>
      <c r="I819" s="106" t="str">
        <f>_xlfn.CONCAT(_xlfn.XLOOKUP("[S05_DefaultValues][617][InstallationNumber]",Submission!$O:$O,Submission!$H:$N,""))</f>
        <v/>
      </c>
    </row>
    <row r="820" spans="1:9" ht="15.9" hidden="1" customHeight="1" outlineLevel="1" x14ac:dyDescent="0.3">
      <c r="A820" s="13"/>
      <c r="B820" s="34"/>
      <c r="C820" s="281" t="str">
        <f>_xlfn.CONCAT(_xlfn.XLOOKUP("[S05_DefaultValues][618][InstallationCategory]",Submission!$O:$O,Submission!$H:$N,""))</f>
        <v/>
      </c>
      <c r="D820" s="350"/>
      <c r="E820" s="350"/>
      <c r="F820" s="350"/>
      <c r="G820" s="347"/>
      <c r="H820" s="123" t="str">
        <f>_xlfn.CONCAT(_xlfn.XLOOKUP("[S05_DefaultValues][618][FuelMaterialType]",Submission!$O:$O,Submission!$H:$N,""))</f>
        <v/>
      </c>
      <c r="I820" s="106" t="str">
        <f>_xlfn.CONCAT(_xlfn.XLOOKUP("[S05_DefaultValues][618][InstallationNumber]",Submission!$O:$O,Submission!$H:$N,""))</f>
        <v/>
      </c>
    </row>
    <row r="821" spans="1:9" ht="15.9" hidden="1" customHeight="1" outlineLevel="1" x14ac:dyDescent="0.3">
      <c r="A821" s="13"/>
      <c r="B821" s="34"/>
      <c r="C821" s="281" t="str">
        <f>_xlfn.CONCAT(_xlfn.XLOOKUP("[S05_DefaultValues][619][InstallationCategory]",Submission!$O:$O,Submission!$H:$N,""))</f>
        <v/>
      </c>
      <c r="D821" s="350"/>
      <c r="E821" s="350"/>
      <c r="F821" s="350"/>
      <c r="G821" s="347"/>
      <c r="H821" s="123" t="str">
        <f>_xlfn.CONCAT(_xlfn.XLOOKUP("[S05_DefaultValues][619][FuelMaterialType]",Submission!$O:$O,Submission!$H:$N,""))</f>
        <v/>
      </c>
      <c r="I821" s="106" t="str">
        <f>_xlfn.CONCAT(_xlfn.XLOOKUP("[S05_DefaultValues][619][InstallationNumber]",Submission!$O:$O,Submission!$H:$N,""))</f>
        <v/>
      </c>
    </row>
    <row r="822" spans="1:9" ht="15.9" hidden="1" customHeight="1" outlineLevel="1" x14ac:dyDescent="0.3">
      <c r="A822" s="13"/>
      <c r="B822" s="34"/>
      <c r="C822" s="281" t="str">
        <f>_xlfn.CONCAT(_xlfn.XLOOKUP("[S05_DefaultValues][620][InstallationCategory]",Submission!$O:$O,Submission!$H:$N,""))</f>
        <v/>
      </c>
      <c r="D822" s="350"/>
      <c r="E822" s="350"/>
      <c r="F822" s="350"/>
      <c r="G822" s="347"/>
      <c r="H822" s="123" t="str">
        <f>_xlfn.CONCAT(_xlfn.XLOOKUP("[S05_DefaultValues][620][FuelMaterialType]",Submission!$O:$O,Submission!$H:$N,""))</f>
        <v/>
      </c>
      <c r="I822" s="106" t="str">
        <f>_xlfn.CONCAT(_xlfn.XLOOKUP("[S05_DefaultValues][620][InstallationNumber]",Submission!$O:$O,Submission!$H:$N,""))</f>
        <v/>
      </c>
    </row>
    <row r="823" spans="1:9" ht="15.9" hidden="1" customHeight="1" outlineLevel="1" x14ac:dyDescent="0.3">
      <c r="A823" s="13"/>
      <c r="B823" s="34"/>
      <c r="C823" s="281" t="str">
        <f>_xlfn.CONCAT(_xlfn.XLOOKUP("[S05_DefaultValues][621][InstallationCategory]",Submission!$O:$O,Submission!$H:$N,""))</f>
        <v/>
      </c>
      <c r="D823" s="350"/>
      <c r="E823" s="350"/>
      <c r="F823" s="350"/>
      <c r="G823" s="347"/>
      <c r="H823" s="123" t="str">
        <f>_xlfn.CONCAT(_xlfn.XLOOKUP("[S05_DefaultValues][621][FuelMaterialType]",Submission!$O:$O,Submission!$H:$N,""))</f>
        <v/>
      </c>
      <c r="I823" s="106" t="str">
        <f>_xlfn.CONCAT(_xlfn.XLOOKUP("[S05_DefaultValues][621][InstallationNumber]",Submission!$O:$O,Submission!$H:$N,""))</f>
        <v/>
      </c>
    </row>
    <row r="824" spans="1:9" ht="15.9" hidden="1" customHeight="1" outlineLevel="1" x14ac:dyDescent="0.3">
      <c r="A824" s="13"/>
      <c r="B824" s="34"/>
      <c r="C824" s="281" t="str">
        <f>_xlfn.CONCAT(_xlfn.XLOOKUP("[S05_DefaultValues][622][InstallationCategory]",Submission!$O:$O,Submission!$H:$N,""))</f>
        <v/>
      </c>
      <c r="D824" s="350"/>
      <c r="E824" s="350"/>
      <c r="F824" s="350"/>
      <c r="G824" s="347"/>
      <c r="H824" s="123" t="str">
        <f>_xlfn.CONCAT(_xlfn.XLOOKUP("[S05_DefaultValues][622][FuelMaterialType]",Submission!$O:$O,Submission!$H:$N,""))</f>
        <v/>
      </c>
      <c r="I824" s="106" t="str">
        <f>_xlfn.CONCAT(_xlfn.XLOOKUP("[S05_DefaultValues][622][InstallationNumber]",Submission!$O:$O,Submission!$H:$N,""))</f>
        <v/>
      </c>
    </row>
    <row r="825" spans="1:9" ht="15.9" hidden="1" customHeight="1" outlineLevel="1" x14ac:dyDescent="0.3">
      <c r="A825" s="13"/>
      <c r="B825" s="34"/>
      <c r="C825" s="281" t="str">
        <f>_xlfn.CONCAT(_xlfn.XLOOKUP("[S05_DefaultValues][623][InstallationCategory]",Submission!$O:$O,Submission!$H:$N,""))</f>
        <v/>
      </c>
      <c r="D825" s="350"/>
      <c r="E825" s="350"/>
      <c r="F825" s="350"/>
      <c r="G825" s="347"/>
      <c r="H825" s="123" t="str">
        <f>_xlfn.CONCAT(_xlfn.XLOOKUP("[S05_DefaultValues][623][FuelMaterialType]",Submission!$O:$O,Submission!$H:$N,""))</f>
        <v/>
      </c>
      <c r="I825" s="106" t="str">
        <f>_xlfn.CONCAT(_xlfn.XLOOKUP("[S05_DefaultValues][623][InstallationNumber]",Submission!$O:$O,Submission!$H:$N,""))</f>
        <v/>
      </c>
    </row>
    <row r="826" spans="1:9" ht="15.9" hidden="1" customHeight="1" outlineLevel="1" x14ac:dyDescent="0.3">
      <c r="A826" s="13"/>
      <c r="B826" s="34"/>
      <c r="C826" s="281" t="str">
        <f>_xlfn.CONCAT(_xlfn.XLOOKUP("[S05_DefaultValues][624][InstallationCategory]",Submission!$O:$O,Submission!$H:$N,""))</f>
        <v/>
      </c>
      <c r="D826" s="350"/>
      <c r="E826" s="350"/>
      <c r="F826" s="350"/>
      <c r="G826" s="347"/>
      <c r="H826" s="123" t="str">
        <f>_xlfn.CONCAT(_xlfn.XLOOKUP("[S05_DefaultValues][624][FuelMaterialType]",Submission!$O:$O,Submission!$H:$N,""))</f>
        <v/>
      </c>
      <c r="I826" s="106" t="str">
        <f>_xlfn.CONCAT(_xlfn.XLOOKUP("[S05_DefaultValues][624][InstallationNumber]",Submission!$O:$O,Submission!$H:$N,""))</f>
        <v/>
      </c>
    </row>
    <row r="827" spans="1:9" ht="15.9" hidden="1" customHeight="1" outlineLevel="1" x14ac:dyDescent="0.3">
      <c r="A827" s="13"/>
      <c r="B827" s="34"/>
      <c r="C827" s="281" t="str">
        <f>_xlfn.CONCAT(_xlfn.XLOOKUP("[S05_DefaultValues][625][InstallationCategory]",Submission!$O:$O,Submission!$H:$N,""))</f>
        <v/>
      </c>
      <c r="D827" s="350"/>
      <c r="E827" s="350"/>
      <c r="F827" s="350"/>
      <c r="G827" s="347"/>
      <c r="H827" s="123" t="str">
        <f>_xlfn.CONCAT(_xlfn.XLOOKUP("[S05_DefaultValues][625][FuelMaterialType]",Submission!$O:$O,Submission!$H:$N,""))</f>
        <v/>
      </c>
      <c r="I827" s="106" t="str">
        <f>_xlfn.CONCAT(_xlfn.XLOOKUP("[S05_DefaultValues][625][InstallationNumber]",Submission!$O:$O,Submission!$H:$N,""))</f>
        <v/>
      </c>
    </row>
    <row r="828" spans="1:9" ht="15.9" hidden="1" customHeight="1" outlineLevel="1" x14ac:dyDescent="0.3">
      <c r="A828" s="13"/>
      <c r="B828" s="34"/>
      <c r="C828" s="281" t="str">
        <f>_xlfn.CONCAT(_xlfn.XLOOKUP("[S05_DefaultValues][626][InstallationCategory]",Submission!$O:$O,Submission!$H:$N,""))</f>
        <v/>
      </c>
      <c r="D828" s="350"/>
      <c r="E828" s="350"/>
      <c r="F828" s="350"/>
      <c r="G828" s="347"/>
      <c r="H828" s="123" t="str">
        <f>_xlfn.CONCAT(_xlfn.XLOOKUP("[S05_DefaultValues][626][FuelMaterialType]",Submission!$O:$O,Submission!$H:$N,""))</f>
        <v/>
      </c>
      <c r="I828" s="106" t="str">
        <f>_xlfn.CONCAT(_xlfn.XLOOKUP("[S05_DefaultValues][626][InstallationNumber]",Submission!$O:$O,Submission!$H:$N,""))</f>
        <v/>
      </c>
    </row>
    <row r="829" spans="1:9" ht="15.9" hidden="1" customHeight="1" outlineLevel="1" x14ac:dyDescent="0.3">
      <c r="A829" s="13"/>
      <c r="B829" s="34"/>
      <c r="C829" s="281" t="str">
        <f>_xlfn.CONCAT(_xlfn.XLOOKUP("[S05_DefaultValues][627][InstallationCategory]",Submission!$O:$O,Submission!$H:$N,""))</f>
        <v/>
      </c>
      <c r="D829" s="350"/>
      <c r="E829" s="350"/>
      <c r="F829" s="350"/>
      <c r="G829" s="347"/>
      <c r="H829" s="123" t="str">
        <f>_xlfn.CONCAT(_xlfn.XLOOKUP("[S05_DefaultValues][627][FuelMaterialType]",Submission!$O:$O,Submission!$H:$N,""))</f>
        <v/>
      </c>
      <c r="I829" s="106" t="str">
        <f>_xlfn.CONCAT(_xlfn.XLOOKUP("[S05_DefaultValues][627][InstallationNumber]",Submission!$O:$O,Submission!$H:$N,""))</f>
        <v/>
      </c>
    </row>
    <row r="830" spans="1:9" ht="15.9" hidden="1" customHeight="1" outlineLevel="1" x14ac:dyDescent="0.3">
      <c r="A830" s="13"/>
      <c r="B830" s="34"/>
      <c r="C830" s="281" t="str">
        <f>_xlfn.CONCAT(_xlfn.XLOOKUP("[S05_DefaultValues][628][InstallationCategory]",Submission!$O:$O,Submission!$H:$N,""))</f>
        <v/>
      </c>
      <c r="D830" s="350"/>
      <c r="E830" s="350"/>
      <c r="F830" s="350"/>
      <c r="G830" s="347"/>
      <c r="H830" s="123" t="str">
        <f>_xlfn.CONCAT(_xlfn.XLOOKUP("[S05_DefaultValues][628][FuelMaterialType]",Submission!$O:$O,Submission!$H:$N,""))</f>
        <v/>
      </c>
      <c r="I830" s="106" t="str">
        <f>_xlfn.CONCAT(_xlfn.XLOOKUP("[S05_DefaultValues][628][InstallationNumber]",Submission!$O:$O,Submission!$H:$N,""))</f>
        <v/>
      </c>
    </row>
    <row r="831" spans="1:9" ht="15.9" hidden="1" customHeight="1" outlineLevel="1" x14ac:dyDescent="0.3">
      <c r="A831" s="13"/>
      <c r="B831" s="34"/>
      <c r="C831" s="281" t="str">
        <f>_xlfn.CONCAT(_xlfn.XLOOKUP("[S05_DefaultValues][629][InstallationCategory]",Submission!$O:$O,Submission!$H:$N,""))</f>
        <v/>
      </c>
      <c r="D831" s="350"/>
      <c r="E831" s="350"/>
      <c r="F831" s="350"/>
      <c r="G831" s="347"/>
      <c r="H831" s="123" t="str">
        <f>_xlfn.CONCAT(_xlfn.XLOOKUP("[S05_DefaultValues][629][FuelMaterialType]",Submission!$O:$O,Submission!$H:$N,""))</f>
        <v/>
      </c>
      <c r="I831" s="106" t="str">
        <f>_xlfn.CONCAT(_xlfn.XLOOKUP("[S05_DefaultValues][629][InstallationNumber]",Submission!$O:$O,Submission!$H:$N,""))</f>
        <v/>
      </c>
    </row>
    <row r="832" spans="1:9" ht="15.9" hidden="1" customHeight="1" outlineLevel="1" x14ac:dyDescent="0.3">
      <c r="A832" s="13"/>
      <c r="B832" s="34"/>
      <c r="C832" s="281" t="str">
        <f>_xlfn.CONCAT(_xlfn.XLOOKUP("[S05_DefaultValues][630][InstallationCategory]",Submission!$O:$O,Submission!$H:$N,""))</f>
        <v/>
      </c>
      <c r="D832" s="350"/>
      <c r="E832" s="350"/>
      <c r="F832" s="350"/>
      <c r="G832" s="347"/>
      <c r="H832" s="123" t="str">
        <f>_xlfn.CONCAT(_xlfn.XLOOKUP("[S05_DefaultValues][630][FuelMaterialType]",Submission!$O:$O,Submission!$H:$N,""))</f>
        <v/>
      </c>
      <c r="I832" s="106" t="str">
        <f>_xlfn.CONCAT(_xlfn.XLOOKUP("[S05_DefaultValues][630][InstallationNumber]",Submission!$O:$O,Submission!$H:$N,""))</f>
        <v/>
      </c>
    </row>
    <row r="833" spans="1:9" ht="15.9" hidden="1" customHeight="1" outlineLevel="1" x14ac:dyDescent="0.3">
      <c r="A833" s="13"/>
      <c r="B833" s="34"/>
      <c r="C833" s="281" t="str">
        <f>_xlfn.CONCAT(_xlfn.XLOOKUP("[S05_DefaultValues][631][InstallationCategory]",Submission!$O:$O,Submission!$H:$N,""))</f>
        <v/>
      </c>
      <c r="D833" s="350"/>
      <c r="E833" s="350"/>
      <c r="F833" s="350"/>
      <c r="G833" s="347"/>
      <c r="H833" s="123" t="str">
        <f>_xlfn.CONCAT(_xlfn.XLOOKUP("[S05_DefaultValues][631][FuelMaterialType]",Submission!$O:$O,Submission!$H:$N,""))</f>
        <v/>
      </c>
      <c r="I833" s="106" t="str">
        <f>_xlfn.CONCAT(_xlfn.XLOOKUP("[S05_DefaultValues][631][InstallationNumber]",Submission!$O:$O,Submission!$H:$N,""))</f>
        <v/>
      </c>
    </row>
    <row r="834" spans="1:9" ht="15.9" hidden="1" customHeight="1" outlineLevel="1" x14ac:dyDescent="0.3">
      <c r="A834" s="13"/>
      <c r="B834" s="34"/>
      <c r="C834" s="281" t="str">
        <f>_xlfn.CONCAT(_xlfn.XLOOKUP("[S05_DefaultValues][632][InstallationCategory]",Submission!$O:$O,Submission!$H:$N,""))</f>
        <v/>
      </c>
      <c r="D834" s="350"/>
      <c r="E834" s="350"/>
      <c r="F834" s="350"/>
      <c r="G834" s="347"/>
      <c r="H834" s="123" t="str">
        <f>_xlfn.CONCAT(_xlfn.XLOOKUP("[S05_DefaultValues][632][FuelMaterialType]",Submission!$O:$O,Submission!$H:$N,""))</f>
        <v/>
      </c>
      <c r="I834" s="106" t="str">
        <f>_xlfn.CONCAT(_xlfn.XLOOKUP("[S05_DefaultValues][632][InstallationNumber]",Submission!$O:$O,Submission!$H:$N,""))</f>
        <v/>
      </c>
    </row>
    <row r="835" spans="1:9" ht="15.9" hidden="1" customHeight="1" outlineLevel="1" x14ac:dyDescent="0.3">
      <c r="A835" s="13"/>
      <c r="B835" s="34"/>
      <c r="C835" s="281" t="str">
        <f>_xlfn.CONCAT(_xlfn.XLOOKUP("[S05_DefaultValues][633][InstallationCategory]",Submission!$O:$O,Submission!$H:$N,""))</f>
        <v/>
      </c>
      <c r="D835" s="350"/>
      <c r="E835" s="350"/>
      <c r="F835" s="350"/>
      <c r="G835" s="347"/>
      <c r="H835" s="123" t="str">
        <f>_xlfn.CONCAT(_xlfn.XLOOKUP("[S05_DefaultValues][633][FuelMaterialType]",Submission!$O:$O,Submission!$H:$N,""))</f>
        <v/>
      </c>
      <c r="I835" s="106" t="str">
        <f>_xlfn.CONCAT(_xlfn.XLOOKUP("[S05_DefaultValues][633][InstallationNumber]",Submission!$O:$O,Submission!$H:$N,""))</f>
        <v/>
      </c>
    </row>
    <row r="836" spans="1:9" ht="15.9" hidden="1" customHeight="1" outlineLevel="1" x14ac:dyDescent="0.3">
      <c r="A836" s="13"/>
      <c r="B836" s="34"/>
      <c r="C836" s="281" t="str">
        <f>_xlfn.CONCAT(_xlfn.XLOOKUP("[S05_DefaultValues][634][InstallationCategory]",Submission!$O:$O,Submission!$H:$N,""))</f>
        <v/>
      </c>
      <c r="D836" s="350"/>
      <c r="E836" s="350"/>
      <c r="F836" s="350"/>
      <c r="G836" s="347"/>
      <c r="H836" s="123" t="str">
        <f>_xlfn.CONCAT(_xlfn.XLOOKUP("[S05_DefaultValues][634][FuelMaterialType]",Submission!$O:$O,Submission!$H:$N,""))</f>
        <v/>
      </c>
      <c r="I836" s="106" t="str">
        <f>_xlfn.CONCAT(_xlfn.XLOOKUP("[S05_DefaultValues][634][InstallationNumber]",Submission!$O:$O,Submission!$H:$N,""))</f>
        <v/>
      </c>
    </row>
    <row r="837" spans="1:9" ht="15.9" hidden="1" customHeight="1" outlineLevel="1" x14ac:dyDescent="0.3">
      <c r="A837" s="13"/>
      <c r="B837" s="34"/>
      <c r="C837" s="281" t="str">
        <f>_xlfn.CONCAT(_xlfn.XLOOKUP("[S05_DefaultValues][635][InstallationCategory]",Submission!$O:$O,Submission!$H:$N,""))</f>
        <v/>
      </c>
      <c r="D837" s="350"/>
      <c r="E837" s="350"/>
      <c r="F837" s="350"/>
      <c r="G837" s="347"/>
      <c r="H837" s="123" t="str">
        <f>_xlfn.CONCAT(_xlfn.XLOOKUP("[S05_DefaultValues][635][FuelMaterialType]",Submission!$O:$O,Submission!$H:$N,""))</f>
        <v/>
      </c>
      <c r="I837" s="106" t="str">
        <f>_xlfn.CONCAT(_xlfn.XLOOKUP("[S05_DefaultValues][635][InstallationNumber]",Submission!$O:$O,Submission!$H:$N,""))</f>
        <v/>
      </c>
    </row>
    <row r="838" spans="1:9" ht="15.9" hidden="1" customHeight="1" outlineLevel="1" x14ac:dyDescent="0.3">
      <c r="A838" s="13"/>
      <c r="B838" s="34"/>
      <c r="C838" s="281" t="str">
        <f>_xlfn.CONCAT(_xlfn.XLOOKUP("[S05_DefaultValues][636][InstallationCategory]",Submission!$O:$O,Submission!$H:$N,""))</f>
        <v/>
      </c>
      <c r="D838" s="350"/>
      <c r="E838" s="350"/>
      <c r="F838" s="350"/>
      <c r="G838" s="347"/>
      <c r="H838" s="123" t="str">
        <f>_xlfn.CONCAT(_xlfn.XLOOKUP("[S05_DefaultValues][636][FuelMaterialType]",Submission!$O:$O,Submission!$H:$N,""))</f>
        <v/>
      </c>
      <c r="I838" s="106" t="str">
        <f>_xlfn.CONCAT(_xlfn.XLOOKUP("[S05_DefaultValues][636][InstallationNumber]",Submission!$O:$O,Submission!$H:$N,""))</f>
        <v/>
      </c>
    </row>
    <row r="839" spans="1:9" ht="15.9" hidden="1" customHeight="1" outlineLevel="1" x14ac:dyDescent="0.3">
      <c r="A839" s="13"/>
      <c r="B839" s="34"/>
      <c r="C839" s="281" t="str">
        <f>_xlfn.CONCAT(_xlfn.XLOOKUP("[S05_DefaultValues][637][InstallationCategory]",Submission!$O:$O,Submission!$H:$N,""))</f>
        <v/>
      </c>
      <c r="D839" s="350"/>
      <c r="E839" s="350"/>
      <c r="F839" s="350"/>
      <c r="G839" s="347"/>
      <c r="H839" s="123" t="str">
        <f>_xlfn.CONCAT(_xlfn.XLOOKUP("[S05_DefaultValues][637][FuelMaterialType]",Submission!$O:$O,Submission!$H:$N,""))</f>
        <v/>
      </c>
      <c r="I839" s="106" t="str">
        <f>_xlfn.CONCAT(_xlfn.XLOOKUP("[S05_DefaultValues][637][InstallationNumber]",Submission!$O:$O,Submission!$H:$N,""))</f>
        <v/>
      </c>
    </row>
    <row r="840" spans="1:9" ht="15.9" hidden="1" customHeight="1" outlineLevel="1" x14ac:dyDescent="0.3">
      <c r="A840" s="13"/>
      <c r="B840" s="34"/>
      <c r="C840" s="281" t="str">
        <f>_xlfn.CONCAT(_xlfn.XLOOKUP("[S05_DefaultValues][638][InstallationCategory]",Submission!$O:$O,Submission!$H:$N,""))</f>
        <v/>
      </c>
      <c r="D840" s="350"/>
      <c r="E840" s="350"/>
      <c r="F840" s="350"/>
      <c r="G840" s="347"/>
      <c r="H840" s="123" t="str">
        <f>_xlfn.CONCAT(_xlfn.XLOOKUP("[S05_DefaultValues][638][FuelMaterialType]",Submission!$O:$O,Submission!$H:$N,""))</f>
        <v/>
      </c>
      <c r="I840" s="106" t="str">
        <f>_xlfn.CONCAT(_xlfn.XLOOKUP("[S05_DefaultValues][638][InstallationNumber]",Submission!$O:$O,Submission!$H:$N,""))</f>
        <v/>
      </c>
    </row>
    <row r="841" spans="1:9" ht="15.9" hidden="1" customHeight="1" outlineLevel="1" x14ac:dyDescent="0.3">
      <c r="A841" s="13"/>
      <c r="B841" s="34"/>
      <c r="C841" s="281" t="str">
        <f>_xlfn.CONCAT(_xlfn.XLOOKUP("[S05_DefaultValues][639][InstallationCategory]",Submission!$O:$O,Submission!$H:$N,""))</f>
        <v/>
      </c>
      <c r="D841" s="350"/>
      <c r="E841" s="350"/>
      <c r="F841" s="350"/>
      <c r="G841" s="347"/>
      <c r="H841" s="123" t="str">
        <f>_xlfn.CONCAT(_xlfn.XLOOKUP("[S05_DefaultValues][639][FuelMaterialType]",Submission!$O:$O,Submission!$H:$N,""))</f>
        <v/>
      </c>
      <c r="I841" s="106" t="str">
        <f>_xlfn.CONCAT(_xlfn.XLOOKUP("[S05_DefaultValues][639][InstallationNumber]",Submission!$O:$O,Submission!$H:$N,""))</f>
        <v/>
      </c>
    </row>
    <row r="842" spans="1:9" ht="15.9" hidden="1" customHeight="1" outlineLevel="1" x14ac:dyDescent="0.3">
      <c r="A842" s="13"/>
      <c r="B842" s="34"/>
      <c r="C842" s="281" t="str">
        <f>_xlfn.CONCAT(_xlfn.XLOOKUP("[S05_DefaultValues][640][InstallationCategory]",Submission!$O:$O,Submission!$H:$N,""))</f>
        <v/>
      </c>
      <c r="D842" s="350"/>
      <c r="E842" s="350"/>
      <c r="F842" s="350"/>
      <c r="G842" s="347"/>
      <c r="H842" s="123" t="str">
        <f>_xlfn.CONCAT(_xlfn.XLOOKUP("[S05_DefaultValues][640][FuelMaterialType]",Submission!$O:$O,Submission!$H:$N,""))</f>
        <v/>
      </c>
      <c r="I842" s="106" t="str">
        <f>_xlfn.CONCAT(_xlfn.XLOOKUP("[S05_DefaultValues][640][InstallationNumber]",Submission!$O:$O,Submission!$H:$N,""))</f>
        <v/>
      </c>
    </row>
    <row r="843" spans="1:9" ht="15.9" hidden="1" customHeight="1" outlineLevel="1" x14ac:dyDescent="0.3">
      <c r="A843" s="13"/>
      <c r="B843" s="34"/>
      <c r="C843" s="281" t="str">
        <f>_xlfn.CONCAT(_xlfn.XLOOKUP("[S05_DefaultValues][641][InstallationCategory]",Submission!$O:$O,Submission!$H:$N,""))</f>
        <v/>
      </c>
      <c r="D843" s="350"/>
      <c r="E843" s="350"/>
      <c r="F843" s="350"/>
      <c r="G843" s="347"/>
      <c r="H843" s="123" t="str">
        <f>_xlfn.CONCAT(_xlfn.XLOOKUP("[S05_DefaultValues][641][FuelMaterialType]",Submission!$O:$O,Submission!$H:$N,""))</f>
        <v/>
      </c>
      <c r="I843" s="106" t="str">
        <f>_xlfn.CONCAT(_xlfn.XLOOKUP("[S05_DefaultValues][641][InstallationNumber]",Submission!$O:$O,Submission!$H:$N,""))</f>
        <v/>
      </c>
    </row>
    <row r="844" spans="1:9" ht="15.9" hidden="1" customHeight="1" outlineLevel="1" x14ac:dyDescent="0.3">
      <c r="A844" s="13"/>
      <c r="B844" s="34"/>
      <c r="C844" s="281" t="str">
        <f>_xlfn.CONCAT(_xlfn.XLOOKUP("[S05_DefaultValues][642][InstallationCategory]",Submission!$O:$O,Submission!$H:$N,""))</f>
        <v/>
      </c>
      <c r="D844" s="350"/>
      <c r="E844" s="350"/>
      <c r="F844" s="350"/>
      <c r="G844" s="347"/>
      <c r="H844" s="123" t="str">
        <f>_xlfn.CONCAT(_xlfn.XLOOKUP("[S05_DefaultValues][642][FuelMaterialType]",Submission!$O:$O,Submission!$H:$N,""))</f>
        <v/>
      </c>
      <c r="I844" s="106" t="str">
        <f>_xlfn.CONCAT(_xlfn.XLOOKUP("[S05_DefaultValues][642][InstallationNumber]",Submission!$O:$O,Submission!$H:$N,""))</f>
        <v/>
      </c>
    </row>
    <row r="845" spans="1:9" ht="15.9" hidden="1" customHeight="1" outlineLevel="1" x14ac:dyDescent="0.3">
      <c r="A845" s="13"/>
      <c r="B845" s="34"/>
      <c r="C845" s="281" t="str">
        <f>_xlfn.CONCAT(_xlfn.XLOOKUP("[S05_DefaultValues][643][InstallationCategory]",Submission!$O:$O,Submission!$H:$N,""))</f>
        <v/>
      </c>
      <c r="D845" s="350"/>
      <c r="E845" s="350"/>
      <c r="F845" s="350"/>
      <c r="G845" s="347"/>
      <c r="H845" s="123" t="str">
        <f>_xlfn.CONCAT(_xlfn.XLOOKUP("[S05_DefaultValues][643][FuelMaterialType]",Submission!$O:$O,Submission!$H:$N,""))</f>
        <v/>
      </c>
      <c r="I845" s="106" t="str">
        <f>_xlfn.CONCAT(_xlfn.XLOOKUP("[S05_DefaultValues][643][InstallationNumber]",Submission!$O:$O,Submission!$H:$N,""))</f>
        <v/>
      </c>
    </row>
    <row r="846" spans="1:9" ht="15.9" hidden="1" customHeight="1" outlineLevel="1" x14ac:dyDescent="0.3">
      <c r="A846" s="13"/>
      <c r="B846" s="34"/>
      <c r="C846" s="281" t="str">
        <f>_xlfn.CONCAT(_xlfn.XLOOKUP("[S05_DefaultValues][644][InstallationCategory]",Submission!$O:$O,Submission!$H:$N,""))</f>
        <v/>
      </c>
      <c r="D846" s="350"/>
      <c r="E846" s="350"/>
      <c r="F846" s="350"/>
      <c r="G846" s="347"/>
      <c r="H846" s="123" t="str">
        <f>_xlfn.CONCAT(_xlfn.XLOOKUP("[S05_DefaultValues][644][FuelMaterialType]",Submission!$O:$O,Submission!$H:$N,""))</f>
        <v/>
      </c>
      <c r="I846" s="106" t="str">
        <f>_xlfn.CONCAT(_xlfn.XLOOKUP("[S05_DefaultValues][644][InstallationNumber]",Submission!$O:$O,Submission!$H:$N,""))</f>
        <v/>
      </c>
    </row>
    <row r="847" spans="1:9" ht="15.9" hidden="1" customHeight="1" outlineLevel="1" x14ac:dyDescent="0.3">
      <c r="A847" s="13"/>
      <c r="B847" s="34"/>
      <c r="C847" s="281" t="str">
        <f>_xlfn.CONCAT(_xlfn.XLOOKUP("[S05_DefaultValues][645][InstallationCategory]",Submission!$O:$O,Submission!$H:$N,""))</f>
        <v/>
      </c>
      <c r="D847" s="350"/>
      <c r="E847" s="350"/>
      <c r="F847" s="350"/>
      <c r="G847" s="347"/>
      <c r="H847" s="123" t="str">
        <f>_xlfn.CONCAT(_xlfn.XLOOKUP("[S05_DefaultValues][645][FuelMaterialType]",Submission!$O:$O,Submission!$H:$N,""))</f>
        <v/>
      </c>
      <c r="I847" s="106" t="str">
        <f>_xlfn.CONCAT(_xlfn.XLOOKUP("[S05_DefaultValues][645][InstallationNumber]",Submission!$O:$O,Submission!$H:$N,""))</f>
        <v/>
      </c>
    </row>
    <row r="848" spans="1:9" ht="15.9" hidden="1" customHeight="1" outlineLevel="1" x14ac:dyDescent="0.3">
      <c r="A848" s="13"/>
      <c r="B848" s="34"/>
      <c r="C848" s="281" t="str">
        <f>_xlfn.CONCAT(_xlfn.XLOOKUP("[S05_DefaultValues][646][InstallationCategory]",Submission!$O:$O,Submission!$H:$N,""))</f>
        <v/>
      </c>
      <c r="D848" s="350"/>
      <c r="E848" s="350"/>
      <c r="F848" s="350"/>
      <c r="G848" s="347"/>
      <c r="H848" s="123" t="str">
        <f>_xlfn.CONCAT(_xlfn.XLOOKUP("[S05_DefaultValues][646][FuelMaterialType]",Submission!$O:$O,Submission!$H:$N,""))</f>
        <v/>
      </c>
      <c r="I848" s="106" t="str">
        <f>_xlfn.CONCAT(_xlfn.XLOOKUP("[S05_DefaultValues][646][InstallationNumber]",Submission!$O:$O,Submission!$H:$N,""))</f>
        <v/>
      </c>
    </row>
    <row r="849" spans="1:9" ht="15.9" hidden="1" customHeight="1" outlineLevel="1" x14ac:dyDescent="0.3">
      <c r="A849" s="13"/>
      <c r="B849" s="34"/>
      <c r="C849" s="281" t="str">
        <f>_xlfn.CONCAT(_xlfn.XLOOKUP("[S05_DefaultValues][647][InstallationCategory]",Submission!$O:$O,Submission!$H:$N,""))</f>
        <v/>
      </c>
      <c r="D849" s="350"/>
      <c r="E849" s="350"/>
      <c r="F849" s="350"/>
      <c r="G849" s="347"/>
      <c r="H849" s="123" t="str">
        <f>_xlfn.CONCAT(_xlfn.XLOOKUP("[S05_DefaultValues][647][FuelMaterialType]",Submission!$O:$O,Submission!$H:$N,""))</f>
        <v/>
      </c>
      <c r="I849" s="106" t="str">
        <f>_xlfn.CONCAT(_xlfn.XLOOKUP("[S05_DefaultValues][647][InstallationNumber]",Submission!$O:$O,Submission!$H:$N,""))</f>
        <v/>
      </c>
    </row>
    <row r="850" spans="1:9" ht="15.9" hidden="1" customHeight="1" outlineLevel="1" x14ac:dyDescent="0.3">
      <c r="A850" s="13"/>
      <c r="B850" s="34"/>
      <c r="C850" s="281" t="str">
        <f>_xlfn.CONCAT(_xlfn.XLOOKUP("[S05_DefaultValues][648][InstallationCategory]",Submission!$O:$O,Submission!$H:$N,""))</f>
        <v/>
      </c>
      <c r="D850" s="350"/>
      <c r="E850" s="350"/>
      <c r="F850" s="350"/>
      <c r="G850" s="347"/>
      <c r="H850" s="123" t="str">
        <f>_xlfn.CONCAT(_xlfn.XLOOKUP("[S05_DefaultValues][648][FuelMaterialType]",Submission!$O:$O,Submission!$H:$N,""))</f>
        <v/>
      </c>
      <c r="I850" s="106" t="str">
        <f>_xlfn.CONCAT(_xlfn.XLOOKUP("[S05_DefaultValues][648][InstallationNumber]",Submission!$O:$O,Submission!$H:$N,""))</f>
        <v/>
      </c>
    </row>
    <row r="851" spans="1:9" ht="15.9" hidden="1" customHeight="1" outlineLevel="1" x14ac:dyDescent="0.3">
      <c r="A851" s="13"/>
      <c r="B851" s="34"/>
      <c r="C851" s="281" t="str">
        <f>_xlfn.CONCAT(_xlfn.XLOOKUP("[S05_DefaultValues][649][InstallationCategory]",Submission!$O:$O,Submission!$H:$N,""))</f>
        <v/>
      </c>
      <c r="D851" s="350"/>
      <c r="E851" s="350"/>
      <c r="F851" s="350"/>
      <c r="G851" s="347"/>
      <c r="H851" s="123" t="str">
        <f>_xlfn.CONCAT(_xlfn.XLOOKUP("[S05_DefaultValues][649][FuelMaterialType]",Submission!$O:$O,Submission!$H:$N,""))</f>
        <v/>
      </c>
      <c r="I851" s="106" t="str">
        <f>_xlfn.CONCAT(_xlfn.XLOOKUP("[S05_DefaultValues][649][InstallationNumber]",Submission!$O:$O,Submission!$H:$N,""))</f>
        <v/>
      </c>
    </row>
    <row r="852" spans="1:9" ht="15.9" hidden="1" customHeight="1" outlineLevel="1" x14ac:dyDescent="0.3">
      <c r="A852" s="13"/>
      <c r="B852" s="34"/>
      <c r="C852" s="281" t="str">
        <f>_xlfn.CONCAT(_xlfn.XLOOKUP("[S05_DefaultValues][650][InstallationCategory]",Submission!$O:$O,Submission!$H:$N,""))</f>
        <v/>
      </c>
      <c r="D852" s="350"/>
      <c r="E852" s="350"/>
      <c r="F852" s="350"/>
      <c r="G852" s="347"/>
      <c r="H852" s="123" t="str">
        <f>_xlfn.CONCAT(_xlfn.XLOOKUP("[S05_DefaultValues][650][FuelMaterialType]",Submission!$O:$O,Submission!$H:$N,""))</f>
        <v/>
      </c>
      <c r="I852" s="106" t="str">
        <f>_xlfn.CONCAT(_xlfn.XLOOKUP("[S05_DefaultValues][650][InstallationNumber]",Submission!$O:$O,Submission!$H:$N,""))</f>
        <v/>
      </c>
    </row>
    <row r="853" spans="1:9" ht="15.9" hidden="1" customHeight="1" outlineLevel="1" x14ac:dyDescent="0.3">
      <c r="A853" s="13"/>
      <c r="B853" s="34"/>
      <c r="C853" s="281" t="str">
        <f>_xlfn.CONCAT(_xlfn.XLOOKUP("[S05_DefaultValues][651][InstallationCategory]",Submission!$O:$O,Submission!$H:$N,""))</f>
        <v/>
      </c>
      <c r="D853" s="350"/>
      <c r="E853" s="350"/>
      <c r="F853" s="350"/>
      <c r="G853" s="347"/>
      <c r="H853" s="123" t="str">
        <f>_xlfn.CONCAT(_xlfn.XLOOKUP("[S05_DefaultValues][651][FuelMaterialType]",Submission!$O:$O,Submission!$H:$N,""))</f>
        <v/>
      </c>
      <c r="I853" s="106" t="str">
        <f>_xlfn.CONCAT(_xlfn.XLOOKUP("[S05_DefaultValues][651][InstallationNumber]",Submission!$O:$O,Submission!$H:$N,""))</f>
        <v/>
      </c>
    </row>
    <row r="854" spans="1:9" ht="15.9" hidden="1" customHeight="1" outlineLevel="1" x14ac:dyDescent="0.3">
      <c r="A854" s="13"/>
      <c r="B854" s="34"/>
      <c r="C854" s="281" t="str">
        <f>_xlfn.CONCAT(_xlfn.XLOOKUP("[S05_DefaultValues][652][InstallationCategory]",Submission!$O:$O,Submission!$H:$N,""))</f>
        <v/>
      </c>
      <c r="D854" s="350"/>
      <c r="E854" s="350"/>
      <c r="F854" s="350"/>
      <c r="G854" s="347"/>
      <c r="H854" s="123" t="str">
        <f>_xlfn.CONCAT(_xlfn.XLOOKUP("[S05_DefaultValues][652][FuelMaterialType]",Submission!$O:$O,Submission!$H:$N,""))</f>
        <v/>
      </c>
      <c r="I854" s="106" t="str">
        <f>_xlfn.CONCAT(_xlfn.XLOOKUP("[S05_DefaultValues][652][InstallationNumber]",Submission!$O:$O,Submission!$H:$N,""))</f>
        <v/>
      </c>
    </row>
    <row r="855" spans="1:9" ht="15.9" hidden="1" customHeight="1" outlineLevel="1" x14ac:dyDescent="0.3">
      <c r="A855" s="13"/>
      <c r="B855" s="34"/>
      <c r="C855" s="281" t="str">
        <f>_xlfn.CONCAT(_xlfn.XLOOKUP("[S05_DefaultValues][653][InstallationCategory]",Submission!$O:$O,Submission!$H:$N,""))</f>
        <v/>
      </c>
      <c r="D855" s="350"/>
      <c r="E855" s="350"/>
      <c r="F855" s="350"/>
      <c r="G855" s="347"/>
      <c r="H855" s="123" t="str">
        <f>_xlfn.CONCAT(_xlfn.XLOOKUP("[S05_DefaultValues][653][FuelMaterialType]",Submission!$O:$O,Submission!$H:$N,""))</f>
        <v/>
      </c>
      <c r="I855" s="106" t="str">
        <f>_xlfn.CONCAT(_xlfn.XLOOKUP("[S05_DefaultValues][653][InstallationNumber]",Submission!$O:$O,Submission!$H:$N,""))</f>
        <v/>
      </c>
    </row>
    <row r="856" spans="1:9" ht="15.9" hidden="1" customHeight="1" outlineLevel="1" x14ac:dyDescent="0.3">
      <c r="A856" s="13"/>
      <c r="B856" s="34"/>
      <c r="C856" s="281" t="str">
        <f>_xlfn.CONCAT(_xlfn.XLOOKUP("[S05_DefaultValues][654][InstallationCategory]",Submission!$O:$O,Submission!$H:$N,""))</f>
        <v/>
      </c>
      <c r="D856" s="350"/>
      <c r="E856" s="350"/>
      <c r="F856" s="350"/>
      <c r="G856" s="347"/>
      <c r="H856" s="123" t="str">
        <f>_xlfn.CONCAT(_xlfn.XLOOKUP("[S05_DefaultValues][654][FuelMaterialType]",Submission!$O:$O,Submission!$H:$N,""))</f>
        <v/>
      </c>
      <c r="I856" s="106" t="str">
        <f>_xlfn.CONCAT(_xlfn.XLOOKUP("[S05_DefaultValues][654][InstallationNumber]",Submission!$O:$O,Submission!$H:$N,""))</f>
        <v/>
      </c>
    </row>
    <row r="857" spans="1:9" ht="15.9" hidden="1" customHeight="1" outlineLevel="1" x14ac:dyDescent="0.3">
      <c r="A857" s="13"/>
      <c r="B857" s="34"/>
      <c r="C857" s="281" t="str">
        <f>_xlfn.CONCAT(_xlfn.XLOOKUP("[S05_DefaultValues][655][InstallationCategory]",Submission!$O:$O,Submission!$H:$N,""))</f>
        <v/>
      </c>
      <c r="D857" s="350"/>
      <c r="E857" s="350"/>
      <c r="F857" s="350"/>
      <c r="G857" s="347"/>
      <c r="H857" s="123" t="str">
        <f>_xlfn.CONCAT(_xlfn.XLOOKUP("[S05_DefaultValues][655][FuelMaterialType]",Submission!$O:$O,Submission!$H:$N,""))</f>
        <v/>
      </c>
      <c r="I857" s="106" t="str">
        <f>_xlfn.CONCAT(_xlfn.XLOOKUP("[S05_DefaultValues][655][InstallationNumber]",Submission!$O:$O,Submission!$H:$N,""))</f>
        <v/>
      </c>
    </row>
    <row r="858" spans="1:9" ht="15.9" hidden="1" customHeight="1" outlineLevel="1" x14ac:dyDescent="0.3">
      <c r="A858" s="13"/>
      <c r="B858" s="34"/>
      <c r="C858" s="281" t="str">
        <f>_xlfn.CONCAT(_xlfn.XLOOKUP("[S05_DefaultValues][656][InstallationCategory]",Submission!$O:$O,Submission!$H:$N,""))</f>
        <v/>
      </c>
      <c r="D858" s="350"/>
      <c r="E858" s="350"/>
      <c r="F858" s="350"/>
      <c r="G858" s="347"/>
      <c r="H858" s="123" t="str">
        <f>_xlfn.CONCAT(_xlfn.XLOOKUP("[S05_DefaultValues][656][FuelMaterialType]",Submission!$O:$O,Submission!$H:$N,""))</f>
        <v/>
      </c>
      <c r="I858" s="106" t="str">
        <f>_xlfn.CONCAT(_xlfn.XLOOKUP("[S05_DefaultValues][656][InstallationNumber]",Submission!$O:$O,Submission!$H:$N,""))</f>
        <v/>
      </c>
    </row>
    <row r="859" spans="1:9" ht="15.9" hidden="1" customHeight="1" outlineLevel="1" x14ac:dyDescent="0.3">
      <c r="A859" s="13"/>
      <c r="B859" s="34"/>
      <c r="C859" s="281" t="str">
        <f>_xlfn.CONCAT(_xlfn.XLOOKUP("[S05_DefaultValues][657][InstallationCategory]",Submission!$O:$O,Submission!$H:$N,""))</f>
        <v/>
      </c>
      <c r="D859" s="350"/>
      <c r="E859" s="350"/>
      <c r="F859" s="350"/>
      <c r="G859" s="347"/>
      <c r="H859" s="123" t="str">
        <f>_xlfn.CONCAT(_xlfn.XLOOKUP("[S05_DefaultValues][657][FuelMaterialType]",Submission!$O:$O,Submission!$H:$N,""))</f>
        <v/>
      </c>
      <c r="I859" s="106" t="str">
        <f>_xlfn.CONCAT(_xlfn.XLOOKUP("[S05_DefaultValues][657][InstallationNumber]",Submission!$O:$O,Submission!$H:$N,""))</f>
        <v/>
      </c>
    </row>
    <row r="860" spans="1:9" ht="15.9" hidden="1" customHeight="1" outlineLevel="1" x14ac:dyDescent="0.3">
      <c r="A860" s="13"/>
      <c r="B860" s="34"/>
      <c r="C860" s="281" t="str">
        <f>_xlfn.CONCAT(_xlfn.XLOOKUP("[S05_DefaultValues][658][InstallationCategory]",Submission!$O:$O,Submission!$H:$N,""))</f>
        <v/>
      </c>
      <c r="D860" s="350"/>
      <c r="E860" s="350"/>
      <c r="F860" s="350"/>
      <c r="G860" s="347"/>
      <c r="H860" s="123" t="str">
        <f>_xlfn.CONCAT(_xlfn.XLOOKUP("[S05_DefaultValues][658][FuelMaterialType]",Submission!$O:$O,Submission!$H:$N,""))</f>
        <v/>
      </c>
      <c r="I860" s="106" t="str">
        <f>_xlfn.CONCAT(_xlfn.XLOOKUP("[S05_DefaultValues][658][InstallationNumber]",Submission!$O:$O,Submission!$H:$N,""))</f>
        <v/>
      </c>
    </row>
    <row r="861" spans="1:9" ht="15.9" hidden="1" customHeight="1" outlineLevel="1" x14ac:dyDescent="0.3">
      <c r="A861" s="13"/>
      <c r="B861" s="34"/>
      <c r="C861" s="281" t="str">
        <f>_xlfn.CONCAT(_xlfn.XLOOKUP("[S05_DefaultValues][659][InstallationCategory]",Submission!$O:$O,Submission!$H:$N,""))</f>
        <v/>
      </c>
      <c r="D861" s="350"/>
      <c r="E861" s="350"/>
      <c r="F861" s="350"/>
      <c r="G861" s="347"/>
      <c r="H861" s="123" t="str">
        <f>_xlfn.CONCAT(_xlfn.XLOOKUP("[S05_DefaultValues][659][FuelMaterialType]",Submission!$O:$O,Submission!$H:$N,""))</f>
        <v/>
      </c>
      <c r="I861" s="106" t="str">
        <f>_xlfn.CONCAT(_xlfn.XLOOKUP("[S05_DefaultValues][659][InstallationNumber]",Submission!$O:$O,Submission!$H:$N,""))</f>
        <v/>
      </c>
    </row>
    <row r="862" spans="1:9" ht="15.9" hidden="1" customHeight="1" outlineLevel="1" x14ac:dyDescent="0.3">
      <c r="A862" s="13"/>
      <c r="B862" s="34"/>
      <c r="C862" s="281" t="str">
        <f>_xlfn.CONCAT(_xlfn.XLOOKUP("[S05_DefaultValues][660][InstallationCategory]",Submission!$O:$O,Submission!$H:$N,""))</f>
        <v/>
      </c>
      <c r="D862" s="350"/>
      <c r="E862" s="350"/>
      <c r="F862" s="350"/>
      <c r="G862" s="347"/>
      <c r="H862" s="123" t="str">
        <f>_xlfn.CONCAT(_xlfn.XLOOKUP("[S05_DefaultValues][660][FuelMaterialType]",Submission!$O:$O,Submission!$H:$N,""))</f>
        <v/>
      </c>
      <c r="I862" s="106" t="str">
        <f>_xlfn.CONCAT(_xlfn.XLOOKUP("[S05_DefaultValues][660][InstallationNumber]",Submission!$O:$O,Submission!$H:$N,""))</f>
        <v/>
      </c>
    </row>
    <row r="863" spans="1:9" ht="15.9" hidden="1" customHeight="1" outlineLevel="1" x14ac:dyDescent="0.3">
      <c r="A863" s="13"/>
      <c r="B863" s="34"/>
      <c r="C863" s="281" t="str">
        <f>_xlfn.CONCAT(_xlfn.XLOOKUP("[S05_DefaultValues][661][InstallationCategory]",Submission!$O:$O,Submission!$H:$N,""))</f>
        <v/>
      </c>
      <c r="D863" s="350"/>
      <c r="E863" s="350"/>
      <c r="F863" s="350"/>
      <c r="G863" s="347"/>
      <c r="H863" s="123" t="str">
        <f>_xlfn.CONCAT(_xlfn.XLOOKUP("[S05_DefaultValues][661][FuelMaterialType]",Submission!$O:$O,Submission!$H:$N,""))</f>
        <v/>
      </c>
      <c r="I863" s="106" t="str">
        <f>_xlfn.CONCAT(_xlfn.XLOOKUP("[S05_DefaultValues][661][InstallationNumber]",Submission!$O:$O,Submission!$H:$N,""))</f>
        <v/>
      </c>
    </row>
    <row r="864" spans="1:9" ht="15.9" hidden="1" customHeight="1" outlineLevel="1" x14ac:dyDescent="0.3">
      <c r="A864" s="13"/>
      <c r="B864" s="34"/>
      <c r="C864" s="281" t="str">
        <f>_xlfn.CONCAT(_xlfn.XLOOKUP("[S05_DefaultValues][662][InstallationCategory]",Submission!$O:$O,Submission!$H:$N,""))</f>
        <v/>
      </c>
      <c r="D864" s="350"/>
      <c r="E864" s="350"/>
      <c r="F864" s="350"/>
      <c r="G864" s="347"/>
      <c r="H864" s="123" t="str">
        <f>_xlfn.CONCAT(_xlfn.XLOOKUP("[S05_DefaultValues][662][FuelMaterialType]",Submission!$O:$O,Submission!$H:$N,""))</f>
        <v/>
      </c>
      <c r="I864" s="106" t="str">
        <f>_xlfn.CONCAT(_xlfn.XLOOKUP("[S05_DefaultValues][662][InstallationNumber]",Submission!$O:$O,Submission!$H:$N,""))</f>
        <v/>
      </c>
    </row>
    <row r="865" spans="1:9" ht="15.9" hidden="1" customHeight="1" outlineLevel="1" x14ac:dyDescent="0.3">
      <c r="A865" s="13"/>
      <c r="B865" s="34"/>
      <c r="C865" s="281" t="str">
        <f>_xlfn.CONCAT(_xlfn.XLOOKUP("[S05_DefaultValues][663][InstallationCategory]",Submission!$O:$O,Submission!$H:$N,""))</f>
        <v/>
      </c>
      <c r="D865" s="350"/>
      <c r="E865" s="350"/>
      <c r="F865" s="350"/>
      <c r="G865" s="347"/>
      <c r="H865" s="123" t="str">
        <f>_xlfn.CONCAT(_xlfn.XLOOKUP("[S05_DefaultValues][663][FuelMaterialType]",Submission!$O:$O,Submission!$H:$N,""))</f>
        <v/>
      </c>
      <c r="I865" s="106" t="str">
        <f>_xlfn.CONCAT(_xlfn.XLOOKUP("[S05_DefaultValues][663][InstallationNumber]",Submission!$O:$O,Submission!$H:$N,""))</f>
        <v/>
      </c>
    </row>
    <row r="866" spans="1:9" ht="15.9" hidden="1" customHeight="1" outlineLevel="1" x14ac:dyDescent="0.3">
      <c r="A866" s="13"/>
      <c r="B866" s="34"/>
      <c r="C866" s="281" t="str">
        <f>_xlfn.CONCAT(_xlfn.XLOOKUP("[S05_DefaultValues][664][InstallationCategory]",Submission!$O:$O,Submission!$H:$N,""))</f>
        <v/>
      </c>
      <c r="D866" s="350"/>
      <c r="E866" s="350"/>
      <c r="F866" s="350"/>
      <c r="G866" s="347"/>
      <c r="H866" s="123" t="str">
        <f>_xlfn.CONCAT(_xlfn.XLOOKUP("[S05_DefaultValues][664][FuelMaterialType]",Submission!$O:$O,Submission!$H:$N,""))</f>
        <v/>
      </c>
      <c r="I866" s="106" t="str">
        <f>_xlfn.CONCAT(_xlfn.XLOOKUP("[S05_DefaultValues][664][InstallationNumber]",Submission!$O:$O,Submission!$H:$N,""))</f>
        <v/>
      </c>
    </row>
    <row r="867" spans="1:9" ht="15.9" hidden="1" customHeight="1" outlineLevel="1" x14ac:dyDescent="0.3">
      <c r="A867" s="13"/>
      <c r="B867" s="34"/>
      <c r="C867" s="281" t="str">
        <f>_xlfn.CONCAT(_xlfn.XLOOKUP("[S05_DefaultValues][665][InstallationCategory]",Submission!$O:$O,Submission!$H:$N,""))</f>
        <v/>
      </c>
      <c r="D867" s="350"/>
      <c r="E867" s="350"/>
      <c r="F867" s="350"/>
      <c r="G867" s="347"/>
      <c r="H867" s="123" t="str">
        <f>_xlfn.CONCAT(_xlfn.XLOOKUP("[S05_DefaultValues][665][FuelMaterialType]",Submission!$O:$O,Submission!$H:$N,""))</f>
        <v/>
      </c>
      <c r="I867" s="106" t="str">
        <f>_xlfn.CONCAT(_xlfn.XLOOKUP("[S05_DefaultValues][665][InstallationNumber]",Submission!$O:$O,Submission!$H:$N,""))</f>
        <v/>
      </c>
    </row>
    <row r="868" spans="1:9" ht="15.9" hidden="1" customHeight="1" outlineLevel="1" x14ac:dyDescent="0.3">
      <c r="A868" s="13"/>
      <c r="B868" s="34"/>
      <c r="C868" s="281" t="str">
        <f>_xlfn.CONCAT(_xlfn.XLOOKUP("[S05_DefaultValues][666][InstallationCategory]",Submission!$O:$O,Submission!$H:$N,""))</f>
        <v/>
      </c>
      <c r="D868" s="350"/>
      <c r="E868" s="350"/>
      <c r="F868" s="350"/>
      <c r="G868" s="347"/>
      <c r="H868" s="123" t="str">
        <f>_xlfn.CONCAT(_xlfn.XLOOKUP("[S05_DefaultValues][666][FuelMaterialType]",Submission!$O:$O,Submission!$H:$N,""))</f>
        <v/>
      </c>
      <c r="I868" s="106" t="str">
        <f>_xlfn.CONCAT(_xlfn.XLOOKUP("[S05_DefaultValues][666][InstallationNumber]",Submission!$O:$O,Submission!$H:$N,""))</f>
        <v/>
      </c>
    </row>
    <row r="869" spans="1:9" ht="15.9" hidden="1" customHeight="1" outlineLevel="1" x14ac:dyDescent="0.3">
      <c r="A869" s="13"/>
      <c r="B869" s="34"/>
      <c r="C869" s="281" t="str">
        <f>_xlfn.CONCAT(_xlfn.XLOOKUP("[S05_DefaultValues][667][InstallationCategory]",Submission!$O:$O,Submission!$H:$N,""))</f>
        <v/>
      </c>
      <c r="D869" s="350"/>
      <c r="E869" s="350"/>
      <c r="F869" s="350"/>
      <c r="G869" s="347"/>
      <c r="H869" s="123" t="str">
        <f>_xlfn.CONCAT(_xlfn.XLOOKUP("[S05_DefaultValues][667][FuelMaterialType]",Submission!$O:$O,Submission!$H:$N,""))</f>
        <v/>
      </c>
      <c r="I869" s="106" t="str">
        <f>_xlfn.CONCAT(_xlfn.XLOOKUP("[S05_DefaultValues][667][InstallationNumber]",Submission!$O:$O,Submission!$H:$N,""))</f>
        <v/>
      </c>
    </row>
    <row r="870" spans="1:9" ht="15.9" hidden="1" customHeight="1" outlineLevel="1" x14ac:dyDescent="0.3">
      <c r="A870" s="13"/>
      <c r="B870" s="34"/>
      <c r="C870" s="281" t="str">
        <f>_xlfn.CONCAT(_xlfn.XLOOKUP("[S05_DefaultValues][668][InstallationCategory]",Submission!$O:$O,Submission!$H:$N,""))</f>
        <v/>
      </c>
      <c r="D870" s="350"/>
      <c r="E870" s="350"/>
      <c r="F870" s="350"/>
      <c r="G870" s="347"/>
      <c r="H870" s="123" t="str">
        <f>_xlfn.CONCAT(_xlfn.XLOOKUP("[S05_DefaultValues][668][FuelMaterialType]",Submission!$O:$O,Submission!$H:$N,""))</f>
        <v/>
      </c>
      <c r="I870" s="106" t="str">
        <f>_xlfn.CONCAT(_xlfn.XLOOKUP("[S05_DefaultValues][668][InstallationNumber]",Submission!$O:$O,Submission!$H:$N,""))</f>
        <v/>
      </c>
    </row>
    <row r="871" spans="1:9" ht="15.9" hidden="1" customHeight="1" outlineLevel="1" x14ac:dyDescent="0.3">
      <c r="A871" s="13"/>
      <c r="B871" s="34"/>
      <c r="C871" s="281" t="str">
        <f>_xlfn.CONCAT(_xlfn.XLOOKUP("[S05_DefaultValues][669][InstallationCategory]",Submission!$O:$O,Submission!$H:$N,""))</f>
        <v/>
      </c>
      <c r="D871" s="350"/>
      <c r="E871" s="350"/>
      <c r="F871" s="350"/>
      <c r="G871" s="347"/>
      <c r="H871" s="123" t="str">
        <f>_xlfn.CONCAT(_xlfn.XLOOKUP("[S05_DefaultValues][669][FuelMaterialType]",Submission!$O:$O,Submission!$H:$N,""))</f>
        <v/>
      </c>
      <c r="I871" s="106" t="str">
        <f>_xlfn.CONCAT(_xlfn.XLOOKUP("[S05_DefaultValues][669][InstallationNumber]",Submission!$O:$O,Submission!$H:$N,""))</f>
        <v/>
      </c>
    </row>
    <row r="872" spans="1:9" ht="15.9" hidden="1" customHeight="1" outlineLevel="1" x14ac:dyDescent="0.3">
      <c r="A872" s="13"/>
      <c r="B872" s="34"/>
      <c r="C872" s="281" t="str">
        <f>_xlfn.CONCAT(_xlfn.XLOOKUP("[S05_DefaultValues][670][InstallationCategory]",Submission!$O:$O,Submission!$H:$N,""))</f>
        <v/>
      </c>
      <c r="D872" s="350"/>
      <c r="E872" s="350"/>
      <c r="F872" s="350"/>
      <c r="G872" s="347"/>
      <c r="H872" s="123" t="str">
        <f>_xlfn.CONCAT(_xlfn.XLOOKUP("[S05_DefaultValues][670][FuelMaterialType]",Submission!$O:$O,Submission!$H:$N,""))</f>
        <v/>
      </c>
      <c r="I872" s="106" t="str">
        <f>_xlfn.CONCAT(_xlfn.XLOOKUP("[S05_DefaultValues][670][InstallationNumber]",Submission!$O:$O,Submission!$H:$N,""))</f>
        <v/>
      </c>
    </row>
    <row r="873" spans="1:9" ht="15.9" hidden="1" customHeight="1" outlineLevel="1" x14ac:dyDescent="0.3">
      <c r="A873" s="13"/>
      <c r="B873" s="34"/>
      <c r="C873" s="281" t="str">
        <f>_xlfn.CONCAT(_xlfn.XLOOKUP("[S05_DefaultValues][671][InstallationCategory]",Submission!$O:$O,Submission!$H:$N,""))</f>
        <v/>
      </c>
      <c r="D873" s="350"/>
      <c r="E873" s="350"/>
      <c r="F873" s="350"/>
      <c r="G873" s="347"/>
      <c r="H873" s="123" t="str">
        <f>_xlfn.CONCAT(_xlfn.XLOOKUP("[S05_DefaultValues][671][FuelMaterialType]",Submission!$O:$O,Submission!$H:$N,""))</f>
        <v/>
      </c>
      <c r="I873" s="106" t="str">
        <f>_xlfn.CONCAT(_xlfn.XLOOKUP("[S05_DefaultValues][671][InstallationNumber]",Submission!$O:$O,Submission!$H:$N,""))</f>
        <v/>
      </c>
    </row>
    <row r="874" spans="1:9" ht="15.9" hidden="1" customHeight="1" outlineLevel="1" x14ac:dyDescent="0.3">
      <c r="A874" s="13"/>
      <c r="B874" s="34"/>
      <c r="C874" s="281" t="str">
        <f>_xlfn.CONCAT(_xlfn.XLOOKUP("[S05_DefaultValues][672][InstallationCategory]",Submission!$O:$O,Submission!$H:$N,""))</f>
        <v/>
      </c>
      <c r="D874" s="350"/>
      <c r="E874" s="350"/>
      <c r="F874" s="350"/>
      <c r="G874" s="347"/>
      <c r="H874" s="123" t="str">
        <f>_xlfn.CONCAT(_xlfn.XLOOKUP("[S05_DefaultValues][672][FuelMaterialType]",Submission!$O:$O,Submission!$H:$N,""))</f>
        <v/>
      </c>
      <c r="I874" s="106" t="str">
        <f>_xlfn.CONCAT(_xlfn.XLOOKUP("[S05_DefaultValues][672][InstallationNumber]",Submission!$O:$O,Submission!$H:$N,""))</f>
        <v/>
      </c>
    </row>
    <row r="875" spans="1:9" ht="15.9" hidden="1" customHeight="1" outlineLevel="1" x14ac:dyDescent="0.3">
      <c r="A875" s="13"/>
      <c r="B875" s="34"/>
      <c r="C875" s="281" t="str">
        <f>_xlfn.CONCAT(_xlfn.XLOOKUP("[S05_DefaultValues][673][InstallationCategory]",Submission!$O:$O,Submission!$H:$N,""))</f>
        <v/>
      </c>
      <c r="D875" s="350"/>
      <c r="E875" s="350"/>
      <c r="F875" s="350"/>
      <c r="G875" s="347"/>
      <c r="H875" s="123" t="str">
        <f>_xlfn.CONCAT(_xlfn.XLOOKUP("[S05_DefaultValues][673][FuelMaterialType]",Submission!$O:$O,Submission!$H:$N,""))</f>
        <v/>
      </c>
      <c r="I875" s="106" t="str">
        <f>_xlfn.CONCAT(_xlfn.XLOOKUP("[S05_DefaultValues][673][InstallationNumber]",Submission!$O:$O,Submission!$H:$N,""))</f>
        <v/>
      </c>
    </row>
    <row r="876" spans="1:9" ht="15.9" hidden="1" customHeight="1" outlineLevel="1" x14ac:dyDescent="0.3">
      <c r="A876" s="13"/>
      <c r="B876" s="34"/>
      <c r="C876" s="281" t="str">
        <f>_xlfn.CONCAT(_xlfn.XLOOKUP("[S05_DefaultValues][674][InstallationCategory]",Submission!$O:$O,Submission!$H:$N,""))</f>
        <v/>
      </c>
      <c r="D876" s="350"/>
      <c r="E876" s="350"/>
      <c r="F876" s="350"/>
      <c r="G876" s="347"/>
      <c r="H876" s="123" t="str">
        <f>_xlfn.CONCAT(_xlfn.XLOOKUP("[S05_DefaultValues][674][FuelMaterialType]",Submission!$O:$O,Submission!$H:$N,""))</f>
        <v/>
      </c>
      <c r="I876" s="106" t="str">
        <f>_xlfn.CONCAT(_xlfn.XLOOKUP("[S05_DefaultValues][674][InstallationNumber]",Submission!$O:$O,Submission!$H:$N,""))</f>
        <v/>
      </c>
    </row>
    <row r="877" spans="1:9" ht="15.9" hidden="1" customHeight="1" outlineLevel="1" x14ac:dyDescent="0.3">
      <c r="A877" s="13"/>
      <c r="B877" s="34"/>
      <c r="C877" s="281" t="str">
        <f>_xlfn.CONCAT(_xlfn.XLOOKUP("[S05_DefaultValues][675][InstallationCategory]",Submission!$O:$O,Submission!$H:$N,""))</f>
        <v/>
      </c>
      <c r="D877" s="350"/>
      <c r="E877" s="350"/>
      <c r="F877" s="350"/>
      <c r="G877" s="347"/>
      <c r="H877" s="123" t="str">
        <f>_xlfn.CONCAT(_xlfn.XLOOKUP("[S05_DefaultValues][675][FuelMaterialType]",Submission!$O:$O,Submission!$H:$N,""))</f>
        <v/>
      </c>
      <c r="I877" s="106" t="str">
        <f>_xlfn.CONCAT(_xlfn.XLOOKUP("[S05_DefaultValues][675][InstallationNumber]",Submission!$O:$O,Submission!$H:$N,""))</f>
        <v/>
      </c>
    </row>
    <row r="878" spans="1:9" ht="15.9" hidden="1" customHeight="1" outlineLevel="1" x14ac:dyDescent="0.3">
      <c r="A878" s="13"/>
      <c r="B878" s="34"/>
      <c r="C878" s="281" t="str">
        <f>_xlfn.CONCAT(_xlfn.XLOOKUP("[S05_DefaultValues][676][InstallationCategory]",Submission!$O:$O,Submission!$H:$N,""))</f>
        <v/>
      </c>
      <c r="D878" s="350"/>
      <c r="E878" s="350"/>
      <c r="F878" s="350"/>
      <c r="G878" s="347"/>
      <c r="H878" s="123" t="str">
        <f>_xlfn.CONCAT(_xlfn.XLOOKUP("[S05_DefaultValues][676][FuelMaterialType]",Submission!$O:$O,Submission!$H:$N,""))</f>
        <v/>
      </c>
      <c r="I878" s="106" t="str">
        <f>_xlfn.CONCAT(_xlfn.XLOOKUP("[S05_DefaultValues][676][InstallationNumber]",Submission!$O:$O,Submission!$H:$N,""))</f>
        <v/>
      </c>
    </row>
    <row r="879" spans="1:9" ht="15.9" hidden="1" customHeight="1" outlineLevel="1" x14ac:dyDescent="0.3">
      <c r="A879" s="13"/>
      <c r="B879" s="34"/>
      <c r="C879" s="281" t="str">
        <f>_xlfn.CONCAT(_xlfn.XLOOKUP("[S05_DefaultValues][677][InstallationCategory]",Submission!$O:$O,Submission!$H:$N,""))</f>
        <v/>
      </c>
      <c r="D879" s="350"/>
      <c r="E879" s="350"/>
      <c r="F879" s="350"/>
      <c r="G879" s="347"/>
      <c r="H879" s="123" t="str">
        <f>_xlfn.CONCAT(_xlfn.XLOOKUP("[S05_DefaultValues][677][FuelMaterialType]",Submission!$O:$O,Submission!$H:$N,""))</f>
        <v/>
      </c>
      <c r="I879" s="106" t="str">
        <f>_xlfn.CONCAT(_xlfn.XLOOKUP("[S05_DefaultValues][677][InstallationNumber]",Submission!$O:$O,Submission!$H:$N,""))</f>
        <v/>
      </c>
    </row>
    <row r="880" spans="1:9" ht="15.9" hidden="1" customHeight="1" outlineLevel="1" x14ac:dyDescent="0.3">
      <c r="A880" s="13"/>
      <c r="B880" s="34"/>
      <c r="C880" s="281" t="str">
        <f>_xlfn.CONCAT(_xlfn.XLOOKUP("[S05_DefaultValues][678][InstallationCategory]",Submission!$O:$O,Submission!$H:$N,""))</f>
        <v/>
      </c>
      <c r="D880" s="350"/>
      <c r="E880" s="350"/>
      <c r="F880" s="350"/>
      <c r="G880" s="347"/>
      <c r="H880" s="123" t="str">
        <f>_xlfn.CONCAT(_xlfn.XLOOKUP("[S05_DefaultValues][678][FuelMaterialType]",Submission!$O:$O,Submission!$H:$N,""))</f>
        <v/>
      </c>
      <c r="I880" s="106" t="str">
        <f>_xlfn.CONCAT(_xlfn.XLOOKUP("[S05_DefaultValues][678][InstallationNumber]",Submission!$O:$O,Submission!$H:$N,""))</f>
        <v/>
      </c>
    </row>
    <row r="881" spans="1:9" ht="15.9" hidden="1" customHeight="1" outlineLevel="1" x14ac:dyDescent="0.3">
      <c r="A881" s="13"/>
      <c r="B881" s="34"/>
      <c r="C881" s="281" t="str">
        <f>_xlfn.CONCAT(_xlfn.XLOOKUP("[S05_DefaultValues][679][InstallationCategory]",Submission!$O:$O,Submission!$H:$N,""))</f>
        <v/>
      </c>
      <c r="D881" s="350"/>
      <c r="E881" s="350"/>
      <c r="F881" s="350"/>
      <c r="G881" s="347"/>
      <c r="H881" s="123" t="str">
        <f>_xlfn.CONCAT(_xlfn.XLOOKUP("[S05_DefaultValues][679][FuelMaterialType]",Submission!$O:$O,Submission!$H:$N,""))</f>
        <v/>
      </c>
      <c r="I881" s="106" t="str">
        <f>_xlfn.CONCAT(_xlfn.XLOOKUP("[S05_DefaultValues][679][InstallationNumber]",Submission!$O:$O,Submission!$H:$N,""))</f>
        <v/>
      </c>
    </row>
    <row r="882" spans="1:9" ht="15.9" hidden="1" customHeight="1" outlineLevel="1" x14ac:dyDescent="0.3">
      <c r="A882" s="13"/>
      <c r="B882" s="34"/>
      <c r="C882" s="281" t="str">
        <f>_xlfn.CONCAT(_xlfn.XLOOKUP("[S05_DefaultValues][680][InstallationCategory]",Submission!$O:$O,Submission!$H:$N,""))</f>
        <v/>
      </c>
      <c r="D882" s="350"/>
      <c r="E882" s="350"/>
      <c r="F882" s="350"/>
      <c r="G882" s="347"/>
      <c r="H882" s="123" t="str">
        <f>_xlfn.CONCAT(_xlfn.XLOOKUP("[S05_DefaultValues][680][FuelMaterialType]",Submission!$O:$O,Submission!$H:$N,""))</f>
        <v/>
      </c>
      <c r="I882" s="106" t="str">
        <f>_xlfn.CONCAT(_xlfn.XLOOKUP("[S05_DefaultValues][680][InstallationNumber]",Submission!$O:$O,Submission!$H:$N,""))</f>
        <v/>
      </c>
    </row>
    <row r="883" spans="1:9" ht="15.9" hidden="1" customHeight="1" outlineLevel="1" x14ac:dyDescent="0.3">
      <c r="A883" s="13"/>
      <c r="B883" s="34"/>
      <c r="C883" s="281" t="str">
        <f>_xlfn.CONCAT(_xlfn.XLOOKUP("[S05_DefaultValues][681][InstallationCategory]",Submission!$O:$O,Submission!$H:$N,""))</f>
        <v/>
      </c>
      <c r="D883" s="350"/>
      <c r="E883" s="350"/>
      <c r="F883" s="350"/>
      <c r="G883" s="347"/>
      <c r="H883" s="123" t="str">
        <f>_xlfn.CONCAT(_xlfn.XLOOKUP("[S05_DefaultValues][681][FuelMaterialType]",Submission!$O:$O,Submission!$H:$N,""))</f>
        <v/>
      </c>
      <c r="I883" s="106" t="str">
        <f>_xlfn.CONCAT(_xlfn.XLOOKUP("[S05_DefaultValues][681][InstallationNumber]",Submission!$O:$O,Submission!$H:$N,""))</f>
        <v/>
      </c>
    </row>
    <row r="884" spans="1:9" ht="15.9" hidden="1" customHeight="1" outlineLevel="1" x14ac:dyDescent="0.3">
      <c r="A884" s="13"/>
      <c r="B884" s="34"/>
      <c r="C884" s="281" t="str">
        <f>_xlfn.CONCAT(_xlfn.XLOOKUP("[S05_DefaultValues][682][InstallationCategory]",Submission!$O:$O,Submission!$H:$N,""))</f>
        <v/>
      </c>
      <c r="D884" s="350"/>
      <c r="E884" s="350"/>
      <c r="F884" s="350"/>
      <c r="G884" s="347"/>
      <c r="H884" s="123" t="str">
        <f>_xlfn.CONCAT(_xlfn.XLOOKUP("[S05_DefaultValues][682][FuelMaterialType]",Submission!$O:$O,Submission!$H:$N,""))</f>
        <v/>
      </c>
      <c r="I884" s="106" t="str">
        <f>_xlfn.CONCAT(_xlfn.XLOOKUP("[S05_DefaultValues][682][InstallationNumber]",Submission!$O:$O,Submission!$H:$N,""))</f>
        <v/>
      </c>
    </row>
    <row r="885" spans="1:9" ht="15.9" hidden="1" customHeight="1" outlineLevel="1" x14ac:dyDescent="0.3">
      <c r="A885" s="13"/>
      <c r="B885" s="34"/>
      <c r="C885" s="281" t="str">
        <f>_xlfn.CONCAT(_xlfn.XLOOKUP("[S05_DefaultValues][683][InstallationCategory]",Submission!$O:$O,Submission!$H:$N,""))</f>
        <v/>
      </c>
      <c r="D885" s="350"/>
      <c r="E885" s="350"/>
      <c r="F885" s="350"/>
      <c r="G885" s="347"/>
      <c r="H885" s="123" t="str">
        <f>_xlfn.CONCAT(_xlfn.XLOOKUP("[S05_DefaultValues][683][FuelMaterialType]",Submission!$O:$O,Submission!$H:$N,""))</f>
        <v/>
      </c>
      <c r="I885" s="106" t="str">
        <f>_xlfn.CONCAT(_xlfn.XLOOKUP("[S05_DefaultValues][683][InstallationNumber]",Submission!$O:$O,Submission!$H:$N,""))</f>
        <v/>
      </c>
    </row>
    <row r="886" spans="1:9" ht="15.9" hidden="1" customHeight="1" outlineLevel="1" x14ac:dyDescent="0.3">
      <c r="A886" s="13"/>
      <c r="B886" s="34"/>
      <c r="C886" s="281" t="str">
        <f>_xlfn.CONCAT(_xlfn.XLOOKUP("[S05_DefaultValues][684][InstallationCategory]",Submission!$O:$O,Submission!$H:$N,""))</f>
        <v/>
      </c>
      <c r="D886" s="350"/>
      <c r="E886" s="350"/>
      <c r="F886" s="350"/>
      <c r="G886" s="347"/>
      <c r="H886" s="123" t="str">
        <f>_xlfn.CONCAT(_xlfn.XLOOKUP("[S05_DefaultValues][684][FuelMaterialType]",Submission!$O:$O,Submission!$H:$N,""))</f>
        <v/>
      </c>
      <c r="I886" s="106" t="str">
        <f>_xlfn.CONCAT(_xlfn.XLOOKUP("[S05_DefaultValues][684][InstallationNumber]",Submission!$O:$O,Submission!$H:$N,""))</f>
        <v/>
      </c>
    </row>
    <row r="887" spans="1:9" ht="15.9" hidden="1" customHeight="1" outlineLevel="1" x14ac:dyDescent="0.3">
      <c r="A887" s="13"/>
      <c r="B887" s="34"/>
      <c r="C887" s="281" t="str">
        <f>_xlfn.CONCAT(_xlfn.XLOOKUP("[S05_DefaultValues][685][InstallationCategory]",Submission!$O:$O,Submission!$H:$N,""))</f>
        <v/>
      </c>
      <c r="D887" s="350"/>
      <c r="E887" s="350"/>
      <c r="F887" s="350"/>
      <c r="G887" s="347"/>
      <c r="H887" s="123" t="str">
        <f>_xlfn.CONCAT(_xlfn.XLOOKUP("[S05_DefaultValues][685][FuelMaterialType]",Submission!$O:$O,Submission!$H:$N,""))</f>
        <v/>
      </c>
      <c r="I887" s="106" t="str">
        <f>_xlfn.CONCAT(_xlfn.XLOOKUP("[S05_DefaultValues][685][InstallationNumber]",Submission!$O:$O,Submission!$H:$N,""))</f>
        <v/>
      </c>
    </row>
    <row r="888" spans="1:9" ht="15.9" hidden="1" customHeight="1" outlineLevel="1" x14ac:dyDescent="0.3">
      <c r="A888" s="13"/>
      <c r="B888" s="34"/>
      <c r="C888" s="281" t="str">
        <f>_xlfn.CONCAT(_xlfn.XLOOKUP("[S05_DefaultValues][686][InstallationCategory]",Submission!$O:$O,Submission!$H:$N,""))</f>
        <v/>
      </c>
      <c r="D888" s="350"/>
      <c r="E888" s="350"/>
      <c r="F888" s="350"/>
      <c r="G888" s="347"/>
      <c r="H888" s="123" t="str">
        <f>_xlfn.CONCAT(_xlfn.XLOOKUP("[S05_DefaultValues][686][FuelMaterialType]",Submission!$O:$O,Submission!$H:$N,""))</f>
        <v/>
      </c>
      <c r="I888" s="106" t="str">
        <f>_xlfn.CONCAT(_xlfn.XLOOKUP("[S05_DefaultValues][686][InstallationNumber]",Submission!$O:$O,Submission!$H:$N,""))</f>
        <v/>
      </c>
    </row>
    <row r="889" spans="1:9" ht="15.9" hidden="1" customHeight="1" outlineLevel="1" x14ac:dyDescent="0.3">
      <c r="A889" s="13"/>
      <c r="B889" s="34"/>
      <c r="C889" s="281" t="str">
        <f>_xlfn.CONCAT(_xlfn.XLOOKUP("[S05_DefaultValues][687][InstallationCategory]",Submission!$O:$O,Submission!$H:$N,""))</f>
        <v/>
      </c>
      <c r="D889" s="350"/>
      <c r="E889" s="350"/>
      <c r="F889" s="350"/>
      <c r="G889" s="347"/>
      <c r="H889" s="123" t="str">
        <f>_xlfn.CONCAT(_xlfn.XLOOKUP("[S05_DefaultValues][687][FuelMaterialType]",Submission!$O:$O,Submission!$H:$N,""))</f>
        <v/>
      </c>
      <c r="I889" s="106" t="str">
        <f>_xlfn.CONCAT(_xlfn.XLOOKUP("[S05_DefaultValues][687][InstallationNumber]",Submission!$O:$O,Submission!$H:$N,""))</f>
        <v/>
      </c>
    </row>
    <row r="890" spans="1:9" ht="15.9" hidden="1" customHeight="1" outlineLevel="1" x14ac:dyDescent="0.3">
      <c r="A890" s="13"/>
      <c r="B890" s="34"/>
      <c r="C890" s="281" t="str">
        <f>_xlfn.CONCAT(_xlfn.XLOOKUP("[S05_DefaultValues][688][InstallationCategory]",Submission!$O:$O,Submission!$H:$N,""))</f>
        <v/>
      </c>
      <c r="D890" s="350"/>
      <c r="E890" s="350"/>
      <c r="F890" s="350"/>
      <c r="G890" s="347"/>
      <c r="H890" s="123" t="str">
        <f>_xlfn.CONCAT(_xlfn.XLOOKUP("[S05_DefaultValues][688][FuelMaterialType]",Submission!$O:$O,Submission!$H:$N,""))</f>
        <v/>
      </c>
      <c r="I890" s="106" t="str">
        <f>_xlfn.CONCAT(_xlfn.XLOOKUP("[S05_DefaultValues][688][InstallationNumber]",Submission!$O:$O,Submission!$H:$N,""))</f>
        <v/>
      </c>
    </row>
    <row r="891" spans="1:9" ht="15.9" hidden="1" customHeight="1" outlineLevel="1" x14ac:dyDescent="0.3">
      <c r="A891" s="13"/>
      <c r="B891" s="34"/>
      <c r="C891" s="281" t="str">
        <f>_xlfn.CONCAT(_xlfn.XLOOKUP("[S05_DefaultValues][689][InstallationCategory]",Submission!$O:$O,Submission!$H:$N,""))</f>
        <v/>
      </c>
      <c r="D891" s="350"/>
      <c r="E891" s="350"/>
      <c r="F891" s="350"/>
      <c r="G891" s="347"/>
      <c r="H891" s="123" t="str">
        <f>_xlfn.CONCAT(_xlfn.XLOOKUP("[S05_DefaultValues][689][FuelMaterialType]",Submission!$O:$O,Submission!$H:$N,""))</f>
        <v/>
      </c>
      <c r="I891" s="106" t="str">
        <f>_xlfn.CONCAT(_xlfn.XLOOKUP("[S05_DefaultValues][689][InstallationNumber]",Submission!$O:$O,Submission!$H:$N,""))</f>
        <v/>
      </c>
    </row>
    <row r="892" spans="1:9" ht="15.9" hidden="1" customHeight="1" outlineLevel="1" x14ac:dyDescent="0.3">
      <c r="A892" s="13"/>
      <c r="B892" s="34"/>
      <c r="C892" s="281" t="str">
        <f>_xlfn.CONCAT(_xlfn.XLOOKUP("[S05_DefaultValues][690][InstallationCategory]",Submission!$O:$O,Submission!$H:$N,""))</f>
        <v/>
      </c>
      <c r="D892" s="350"/>
      <c r="E892" s="350"/>
      <c r="F892" s="350"/>
      <c r="G892" s="347"/>
      <c r="H892" s="123" t="str">
        <f>_xlfn.CONCAT(_xlfn.XLOOKUP("[S05_DefaultValues][690][FuelMaterialType]",Submission!$O:$O,Submission!$H:$N,""))</f>
        <v/>
      </c>
      <c r="I892" s="106" t="str">
        <f>_xlfn.CONCAT(_xlfn.XLOOKUP("[S05_DefaultValues][690][InstallationNumber]",Submission!$O:$O,Submission!$H:$N,""))</f>
        <v/>
      </c>
    </row>
    <row r="893" spans="1:9" ht="15.9" hidden="1" customHeight="1" outlineLevel="1" x14ac:dyDescent="0.3">
      <c r="A893" s="13"/>
      <c r="B893" s="34"/>
      <c r="C893" s="281" t="str">
        <f>_xlfn.CONCAT(_xlfn.XLOOKUP("[S05_DefaultValues][691][InstallationCategory]",Submission!$O:$O,Submission!$H:$N,""))</f>
        <v/>
      </c>
      <c r="D893" s="350"/>
      <c r="E893" s="350"/>
      <c r="F893" s="350"/>
      <c r="G893" s="347"/>
      <c r="H893" s="123" t="str">
        <f>_xlfn.CONCAT(_xlfn.XLOOKUP("[S05_DefaultValues][691][FuelMaterialType]",Submission!$O:$O,Submission!$H:$N,""))</f>
        <v/>
      </c>
      <c r="I893" s="106" t="str">
        <f>_xlfn.CONCAT(_xlfn.XLOOKUP("[S05_DefaultValues][691][InstallationNumber]",Submission!$O:$O,Submission!$H:$N,""))</f>
        <v/>
      </c>
    </row>
    <row r="894" spans="1:9" ht="15.9" hidden="1" customHeight="1" outlineLevel="1" x14ac:dyDescent="0.3">
      <c r="A894" s="13"/>
      <c r="B894" s="34"/>
      <c r="C894" s="281" t="str">
        <f>_xlfn.CONCAT(_xlfn.XLOOKUP("[S05_DefaultValues][692][InstallationCategory]",Submission!$O:$O,Submission!$H:$N,""))</f>
        <v/>
      </c>
      <c r="D894" s="350"/>
      <c r="E894" s="350"/>
      <c r="F894" s="350"/>
      <c r="G894" s="347"/>
      <c r="H894" s="123" t="str">
        <f>_xlfn.CONCAT(_xlfn.XLOOKUP("[S05_DefaultValues][692][FuelMaterialType]",Submission!$O:$O,Submission!$H:$N,""))</f>
        <v/>
      </c>
      <c r="I894" s="106" t="str">
        <f>_xlfn.CONCAT(_xlfn.XLOOKUP("[S05_DefaultValues][692][InstallationNumber]",Submission!$O:$O,Submission!$H:$N,""))</f>
        <v/>
      </c>
    </row>
    <row r="895" spans="1:9" ht="15.9" hidden="1" customHeight="1" outlineLevel="1" x14ac:dyDescent="0.3">
      <c r="A895" s="13"/>
      <c r="B895" s="34"/>
      <c r="C895" s="281" t="str">
        <f>_xlfn.CONCAT(_xlfn.XLOOKUP("[S05_DefaultValues][693][InstallationCategory]",Submission!$O:$O,Submission!$H:$N,""))</f>
        <v/>
      </c>
      <c r="D895" s="350"/>
      <c r="E895" s="350"/>
      <c r="F895" s="350"/>
      <c r="G895" s="347"/>
      <c r="H895" s="123" t="str">
        <f>_xlfn.CONCAT(_xlfn.XLOOKUP("[S05_DefaultValues][693][FuelMaterialType]",Submission!$O:$O,Submission!$H:$N,""))</f>
        <v/>
      </c>
      <c r="I895" s="106" t="str">
        <f>_xlfn.CONCAT(_xlfn.XLOOKUP("[S05_DefaultValues][693][InstallationNumber]",Submission!$O:$O,Submission!$H:$N,""))</f>
        <v/>
      </c>
    </row>
    <row r="896" spans="1:9" ht="15.9" hidden="1" customHeight="1" outlineLevel="1" x14ac:dyDescent="0.3">
      <c r="A896" s="13"/>
      <c r="B896" s="34"/>
      <c r="C896" s="281" t="str">
        <f>_xlfn.CONCAT(_xlfn.XLOOKUP("[S05_DefaultValues][694][InstallationCategory]",Submission!$O:$O,Submission!$H:$N,""))</f>
        <v/>
      </c>
      <c r="D896" s="350"/>
      <c r="E896" s="350"/>
      <c r="F896" s="350"/>
      <c r="G896" s="347"/>
      <c r="H896" s="123" t="str">
        <f>_xlfn.CONCAT(_xlfn.XLOOKUP("[S05_DefaultValues][694][FuelMaterialType]",Submission!$O:$O,Submission!$H:$N,""))</f>
        <v/>
      </c>
      <c r="I896" s="106" t="str">
        <f>_xlfn.CONCAT(_xlfn.XLOOKUP("[S05_DefaultValues][694][InstallationNumber]",Submission!$O:$O,Submission!$H:$N,""))</f>
        <v/>
      </c>
    </row>
    <row r="897" spans="1:9" ht="15.9" hidden="1" customHeight="1" outlineLevel="1" x14ac:dyDescent="0.3">
      <c r="A897" s="13"/>
      <c r="B897" s="34"/>
      <c r="C897" s="281" t="str">
        <f>_xlfn.CONCAT(_xlfn.XLOOKUP("[S05_DefaultValues][695][InstallationCategory]",Submission!$O:$O,Submission!$H:$N,""))</f>
        <v/>
      </c>
      <c r="D897" s="350"/>
      <c r="E897" s="350"/>
      <c r="F897" s="350"/>
      <c r="G897" s="347"/>
      <c r="H897" s="123" t="str">
        <f>_xlfn.CONCAT(_xlfn.XLOOKUP("[S05_DefaultValues][695][FuelMaterialType]",Submission!$O:$O,Submission!$H:$N,""))</f>
        <v/>
      </c>
      <c r="I897" s="106" t="str">
        <f>_xlfn.CONCAT(_xlfn.XLOOKUP("[S05_DefaultValues][695][InstallationNumber]",Submission!$O:$O,Submission!$H:$N,""))</f>
        <v/>
      </c>
    </row>
    <row r="898" spans="1:9" ht="15.9" hidden="1" customHeight="1" outlineLevel="1" x14ac:dyDescent="0.3">
      <c r="A898" s="13"/>
      <c r="B898" s="34"/>
      <c r="C898" s="281" t="str">
        <f>_xlfn.CONCAT(_xlfn.XLOOKUP("[S05_DefaultValues][696][InstallationCategory]",Submission!$O:$O,Submission!$H:$N,""))</f>
        <v/>
      </c>
      <c r="D898" s="350"/>
      <c r="E898" s="350"/>
      <c r="F898" s="350"/>
      <c r="G898" s="347"/>
      <c r="H898" s="123" t="str">
        <f>_xlfn.CONCAT(_xlfn.XLOOKUP("[S05_DefaultValues][696][FuelMaterialType]",Submission!$O:$O,Submission!$H:$N,""))</f>
        <v/>
      </c>
      <c r="I898" s="106" t="str">
        <f>_xlfn.CONCAT(_xlfn.XLOOKUP("[S05_DefaultValues][696][InstallationNumber]",Submission!$O:$O,Submission!$H:$N,""))</f>
        <v/>
      </c>
    </row>
    <row r="899" spans="1:9" ht="15.9" hidden="1" customHeight="1" outlineLevel="1" x14ac:dyDescent="0.3">
      <c r="A899" s="13"/>
      <c r="B899" s="34"/>
      <c r="C899" s="281" t="str">
        <f>_xlfn.CONCAT(_xlfn.XLOOKUP("[S05_DefaultValues][697][InstallationCategory]",Submission!$O:$O,Submission!$H:$N,""))</f>
        <v/>
      </c>
      <c r="D899" s="350"/>
      <c r="E899" s="350"/>
      <c r="F899" s="350"/>
      <c r="G899" s="347"/>
      <c r="H899" s="123" t="str">
        <f>_xlfn.CONCAT(_xlfn.XLOOKUP("[S05_DefaultValues][697][FuelMaterialType]",Submission!$O:$O,Submission!$H:$N,""))</f>
        <v/>
      </c>
      <c r="I899" s="106" t="str">
        <f>_xlfn.CONCAT(_xlfn.XLOOKUP("[S05_DefaultValues][697][InstallationNumber]",Submission!$O:$O,Submission!$H:$N,""))</f>
        <v/>
      </c>
    </row>
    <row r="900" spans="1:9" ht="15.9" hidden="1" customHeight="1" outlineLevel="1" x14ac:dyDescent="0.3">
      <c r="A900" s="13"/>
      <c r="B900" s="34"/>
      <c r="C900" s="281" t="str">
        <f>_xlfn.CONCAT(_xlfn.XLOOKUP("[S05_DefaultValues][698][InstallationCategory]",Submission!$O:$O,Submission!$H:$N,""))</f>
        <v/>
      </c>
      <c r="D900" s="350"/>
      <c r="E900" s="350"/>
      <c r="F900" s="350"/>
      <c r="G900" s="347"/>
      <c r="H900" s="123" t="str">
        <f>_xlfn.CONCAT(_xlfn.XLOOKUP("[S05_DefaultValues][698][FuelMaterialType]",Submission!$O:$O,Submission!$H:$N,""))</f>
        <v/>
      </c>
      <c r="I900" s="106" t="str">
        <f>_xlfn.CONCAT(_xlfn.XLOOKUP("[S05_DefaultValues][698][InstallationNumber]",Submission!$O:$O,Submission!$H:$N,""))</f>
        <v/>
      </c>
    </row>
    <row r="901" spans="1:9" ht="15.9" hidden="1" customHeight="1" outlineLevel="1" x14ac:dyDescent="0.3">
      <c r="A901" s="13"/>
      <c r="B901" s="34"/>
      <c r="C901" s="281" t="str">
        <f>_xlfn.CONCAT(_xlfn.XLOOKUP("[S05_DefaultValues][699][InstallationCategory]",Submission!$O:$O,Submission!$H:$N,""))</f>
        <v/>
      </c>
      <c r="D901" s="350"/>
      <c r="E901" s="350"/>
      <c r="F901" s="350"/>
      <c r="G901" s="347"/>
      <c r="H901" s="123" t="str">
        <f>_xlfn.CONCAT(_xlfn.XLOOKUP("[S05_DefaultValues][699][FuelMaterialType]",Submission!$O:$O,Submission!$H:$N,""))</f>
        <v/>
      </c>
      <c r="I901" s="106" t="str">
        <f>_xlfn.CONCAT(_xlfn.XLOOKUP("[S05_DefaultValues][699][InstallationNumber]",Submission!$O:$O,Submission!$H:$N,""))</f>
        <v/>
      </c>
    </row>
    <row r="902" spans="1:9" ht="15.9" hidden="1" customHeight="1" outlineLevel="1" x14ac:dyDescent="0.3">
      <c r="A902" s="13"/>
      <c r="B902" s="34"/>
      <c r="C902" s="281" t="str">
        <f>_xlfn.CONCAT(_xlfn.XLOOKUP("[S05_DefaultValues][700][InstallationCategory]",Submission!$O:$O,Submission!$H:$N,""))</f>
        <v/>
      </c>
      <c r="D902" s="350"/>
      <c r="E902" s="350"/>
      <c r="F902" s="350"/>
      <c r="G902" s="347"/>
      <c r="H902" s="123" t="str">
        <f>_xlfn.CONCAT(_xlfn.XLOOKUP("[S05_DefaultValues][700][FuelMaterialType]",Submission!$O:$O,Submission!$H:$N,""))</f>
        <v/>
      </c>
      <c r="I902" s="106" t="str">
        <f>_xlfn.CONCAT(_xlfn.XLOOKUP("[S05_DefaultValues][700][InstallationNumber]",Submission!$O:$O,Submission!$H:$N,""))</f>
        <v/>
      </c>
    </row>
    <row r="903" spans="1:9" ht="15.9" hidden="1" customHeight="1" outlineLevel="1" x14ac:dyDescent="0.3">
      <c r="A903" s="13"/>
      <c r="B903" s="34"/>
      <c r="C903" s="281" t="str">
        <f>_xlfn.CONCAT(_xlfn.XLOOKUP("[S05_DefaultValues][701][InstallationCategory]",Submission!$O:$O,Submission!$H:$N,""))</f>
        <v/>
      </c>
      <c r="D903" s="350"/>
      <c r="E903" s="350"/>
      <c r="F903" s="350"/>
      <c r="G903" s="347"/>
      <c r="H903" s="123" t="str">
        <f>_xlfn.CONCAT(_xlfn.XLOOKUP("[S05_DefaultValues][701][FuelMaterialType]",Submission!$O:$O,Submission!$H:$N,""))</f>
        <v/>
      </c>
      <c r="I903" s="106" t="str">
        <f>_xlfn.CONCAT(_xlfn.XLOOKUP("[S05_DefaultValues][701][InstallationNumber]",Submission!$O:$O,Submission!$H:$N,""))</f>
        <v/>
      </c>
    </row>
    <row r="904" spans="1:9" ht="15.9" hidden="1" customHeight="1" outlineLevel="1" x14ac:dyDescent="0.3">
      <c r="A904" s="13"/>
      <c r="B904" s="34"/>
      <c r="C904" s="281" t="str">
        <f>_xlfn.CONCAT(_xlfn.XLOOKUP("[S05_DefaultValues][702][InstallationCategory]",Submission!$O:$O,Submission!$H:$N,""))</f>
        <v/>
      </c>
      <c r="D904" s="350"/>
      <c r="E904" s="350"/>
      <c r="F904" s="350"/>
      <c r="G904" s="347"/>
      <c r="H904" s="123" t="str">
        <f>_xlfn.CONCAT(_xlfn.XLOOKUP("[S05_DefaultValues][702][FuelMaterialType]",Submission!$O:$O,Submission!$H:$N,""))</f>
        <v/>
      </c>
      <c r="I904" s="106" t="str">
        <f>_xlfn.CONCAT(_xlfn.XLOOKUP("[S05_DefaultValues][702][InstallationNumber]",Submission!$O:$O,Submission!$H:$N,""))</f>
        <v/>
      </c>
    </row>
    <row r="905" spans="1:9" ht="15.9" hidden="1" customHeight="1" outlineLevel="1" x14ac:dyDescent="0.3">
      <c r="A905" s="13"/>
      <c r="B905" s="34"/>
      <c r="C905" s="281" t="str">
        <f>_xlfn.CONCAT(_xlfn.XLOOKUP("[S05_DefaultValues][703][InstallationCategory]",Submission!$O:$O,Submission!$H:$N,""))</f>
        <v/>
      </c>
      <c r="D905" s="350"/>
      <c r="E905" s="350"/>
      <c r="F905" s="350"/>
      <c r="G905" s="347"/>
      <c r="H905" s="123" t="str">
        <f>_xlfn.CONCAT(_xlfn.XLOOKUP("[S05_DefaultValues][703][FuelMaterialType]",Submission!$O:$O,Submission!$H:$N,""))</f>
        <v/>
      </c>
      <c r="I905" s="106" t="str">
        <f>_xlfn.CONCAT(_xlfn.XLOOKUP("[S05_DefaultValues][703][InstallationNumber]",Submission!$O:$O,Submission!$H:$N,""))</f>
        <v/>
      </c>
    </row>
    <row r="906" spans="1:9" ht="15.9" hidden="1" customHeight="1" outlineLevel="1" x14ac:dyDescent="0.3">
      <c r="A906" s="13"/>
      <c r="B906" s="34"/>
      <c r="C906" s="281" t="str">
        <f>_xlfn.CONCAT(_xlfn.XLOOKUP("[S05_DefaultValues][704][InstallationCategory]",Submission!$O:$O,Submission!$H:$N,""))</f>
        <v/>
      </c>
      <c r="D906" s="350"/>
      <c r="E906" s="350"/>
      <c r="F906" s="350"/>
      <c r="G906" s="347"/>
      <c r="H906" s="123" t="str">
        <f>_xlfn.CONCAT(_xlfn.XLOOKUP("[S05_DefaultValues][704][FuelMaterialType]",Submission!$O:$O,Submission!$H:$N,""))</f>
        <v/>
      </c>
      <c r="I906" s="106" t="str">
        <f>_xlfn.CONCAT(_xlfn.XLOOKUP("[S05_DefaultValues][704][InstallationNumber]",Submission!$O:$O,Submission!$H:$N,""))</f>
        <v/>
      </c>
    </row>
    <row r="907" spans="1:9" ht="15.9" hidden="1" customHeight="1" outlineLevel="1" x14ac:dyDescent="0.3">
      <c r="A907" s="13"/>
      <c r="B907" s="34"/>
      <c r="C907" s="281" t="str">
        <f>_xlfn.CONCAT(_xlfn.XLOOKUP("[S05_DefaultValues][705][InstallationCategory]",Submission!$O:$O,Submission!$H:$N,""))</f>
        <v/>
      </c>
      <c r="D907" s="350"/>
      <c r="E907" s="350"/>
      <c r="F907" s="350"/>
      <c r="G907" s="347"/>
      <c r="H907" s="123" t="str">
        <f>_xlfn.CONCAT(_xlfn.XLOOKUP("[S05_DefaultValues][705][FuelMaterialType]",Submission!$O:$O,Submission!$H:$N,""))</f>
        <v/>
      </c>
      <c r="I907" s="106" t="str">
        <f>_xlfn.CONCAT(_xlfn.XLOOKUP("[S05_DefaultValues][705][InstallationNumber]",Submission!$O:$O,Submission!$H:$N,""))</f>
        <v/>
      </c>
    </row>
    <row r="908" spans="1:9" ht="15.9" hidden="1" customHeight="1" outlineLevel="1" x14ac:dyDescent="0.3">
      <c r="A908" s="13"/>
      <c r="B908" s="34"/>
      <c r="C908" s="281" t="str">
        <f>_xlfn.CONCAT(_xlfn.XLOOKUP("[S05_DefaultValues][706][InstallationCategory]",Submission!$O:$O,Submission!$H:$N,""))</f>
        <v/>
      </c>
      <c r="D908" s="350"/>
      <c r="E908" s="350"/>
      <c r="F908" s="350"/>
      <c r="G908" s="347"/>
      <c r="H908" s="123" t="str">
        <f>_xlfn.CONCAT(_xlfn.XLOOKUP("[S05_DefaultValues][706][FuelMaterialType]",Submission!$O:$O,Submission!$H:$N,""))</f>
        <v/>
      </c>
      <c r="I908" s="106" t="str">
        <f>_xlfn.CONCAT(_xlfn.XLOOKUP("[S05_DefaultValues][706][InstallationNumber]",Submission!$O:$O,Submission!$H:$N,""))</f>
        <v/>
      </c>
    </row>
    <row r="909" spans="1:9" ht="15.9" hidden="1" customHeight="1" outlineLevel="1" x14ac:dyDescent="0.3">
      <c r="A909" s="13"/>
      <c r="B909" s="34"/>
      <c r="C909" s="281" t="str">
        <f>_xlfn.CONCAT(_xlfn.XLOOKUP("[S05_DefaultValues][707][InstallationCategory]",Submission!$O:$O,Submission!$H:$N,""))</f>
        <v/>
      </c>
      <c r="D909" s="350"/>
      <c r="E909" s="350"/>
      <c r="F909" s="350"/>
      <c r="G909" s="347"/>
      <c r="H909" s="123" t="str">
        <f>_xlfn.CONCAT(_xlfn.XLOOKUP("[S05_DefaultValues][707][FuelMaterialType]",Submission!$O:$O,Submission!$H:$N,""))</f>
        <v/>
      </c>
      <c r="I909" s="106" t="str">
        <f>_xlfn.CONCAT(_xlfn.XLOOKUP("[S05_DefaultValues][707][InstallationNumber]",Submission!$O:$O,Submission!$H:$N,""))</f>
        <v/>
      </c>
    </row>
    <row r="910" spans="1:9" ht="15.9" hidden="1" customHeight="1" outlineLevel="1" x14ac:dyDescent="0.3">
      <c r="A910" s="13"/>
      <c r="B910" s="34"/>
      <c r="C910" s="281" t="str">
        <f>_xlfn.CONCAT(_xlfn.XLOOKUP("[S05_DefaultValues][708][InstallationCategory]",Submission!$O:$O,Submission!$H:$N,""))</f>
        <v/>
      </c>
      <c r="D910" s="350"/>
      <c r="E910" s="350"/>
      <c r="F910" s="350"/>
      <c r="G910" s="347"/>
      <c r="H910" s="123" t="str">
        <f>_xlfn.CONCAT(_xlfn.XLOOKUP("[S05_DefaultValues][708][FuelMaterialType]",Submission!$O:$O,Submission!$H:$N,""))</f>
        <v/>
      </c>
      <c r="I910" s="106" t="str">
        <f>_xlfn.CONCAT(_xlfn.XLOOKUP("[S05_DefaultValues][708][InstallationNumber]",Submission!$O:$O,Submission!$H:$N,""))</f>
        <v/>
      </c>
    </row>
    <row r="911" spans="1:9" ht="15.9" hidden="1" customHeight="1" outlineLevel="1" x14ac:dyDescent="0.3">
      <c r="A911" s="13"/>
      <c r="B911" s="34"/>
      <c r="C911" s="281" t="str">
        <f>_xlfn.CONCAT(_xlfn.XLOOKUP("[S05_DefaultValues][709][InstallationCategory]",Submission!$O:$O,Submission!$H:$N,""))</f>
        <v/>
      </c>
      <c r="D911" s="350"/>
      <c r="E911" s="350"/>
      <c r="F911" s="350"/>
      <c r="G911" s="347"/>
      <c r="H911" s="123" t="str">
        <f>_xlfn.CONCAT(_xlfn.XLOOKUP("[S05_DefaultValues][709][FuelMaterialType]",Submission!$O:$O,Submission!$H:$N,""))</f>
        <v/>
      </c>
      <c r="I911" s="106" t="str">
        <f>_xlfn.CONCAT(_xlfn.XLOOKUP("[S05_DefaultValues][709][InstallationNumber]",Submission!$O:$O,Submission!$H:$N,""))</f>
        <v/>
      </c>
    </row>
    <row r="912" spans="1:9" ht="15.9" hidden="1" customHeight="1" outlineLevel="1" x14ac:dyDescent="0.3">
      <c r="A912" s="13"/>
      <c r="B912" s="34"/>
      <c r="C912" s="281" t="str">
        <f>_xlfn.CONCAT(_xlfn.XLOOKUP("[S05_DefaultValues][710][InstallationCategory]",Submission!$O:$O,Submission!$H:$N,""))</f>
        <v/>
      </c>
      <c r="D912" s="350"/>
      <c r="E912" s="350"/>
      <c r="F912" s="350"/>
      <c r="G912" s="347"/>
      <c r="H912" s="123" t="str">
        <f>_xlfn.CONCAT(_xlfn.XLOOKUP("[S05_DefaultValues][710][FuelMaterialType]",Submission!$O:$O,Submission!$H:$N,""))</f>
        <v/>
      </c>
      <c r="I912" s="106" t="str">
        <f>_xlfn.CONCAT(_xlfn.XLOOKUP("[S05_DefaultValues][710][InstallationNumber]",Submission!$O:$O,Submission!$H:$N,""))</f>
        <v/>
      </c>
    </row>
    <row r="913" spans="1:9" ht="15.9" hidden="1" customHeight="1" outlineLevel="1" x14ac:dyDescent="0.3">
      <c r="A913" s="13"/>
      <c r="B913" s="34"/>
      <c r="C913" s="281" t="str">
        <f>_xlfn.CONCAT(_xlfn.XLOOKUP("[S05_DefaultValues][711][InstallationCategory]",Submission!$O:$O,Submission!$H:$N,""))</f>
        <v/>
      </c>
      <c r="D913" s="350"/>
      <c r="E913" s="350"/>
      <c r="F913" s="350"/>
      <c r="G913" s="347"/>
      <c r="H913" s="123" t="str">
        <f>_xlfn.CONCAT(_xlfn.XLOOKUP("[S05_DefaultValues][711][FuelMaterialType]",Submission!$O:$O,Submission!$H:$N,""))</f>
        <v/>
      </c>
      <c r="I913" s="106" t="str">
        <f>_xlfn.CONCAT(_xlfn.XLOOKUP("[S05_DefaultValues][711][InstallationNumber]",Submission!$O:$O,Submission!$H:$N,""))</f>
        <v/>
      </c>
    </row>
    <row r="914" spans="1:9" ht="15.9" hidden="1" customHeight="1" outlineLevel="1" x14ac:dyDescent="0.3">
      <c r="A914" s="13"/>
      <c r="B914" s="34"/>
      <c r="C914" s="281" t="str">
        <f>_xlfn.CONCAT(_xlfn.XLOOKUP("[S05_DefaultValues][712][InstallationCategory]",Submission!$O:$O,Submission!$H:$N,""))</f>
        <v/>
      </c>
      <c r="D914" s="350"/>
      <c r="E914" s="350"/>
      <c r="F914" s="350"/>
      <c r="G914" s="347"/>
      <c r="H914" s="123" t="str">
        <f>_xlfn.CONCAT(_xlfn.XLOOKUP("[S05_DefaultValues][712][FuelMaterialType]",Submission!$O:$O,Submission!$H:$N,""))</f>
        <v/>
      </c>
      <c r="I914" s="106" t="str">
        <f>_xlfn.CONCAT(_xlfn.XLOOKUP("[S05_DefaultValues][712][InstallationNumber]",Submission!$O:$O,Submission!$H:$N,""))</f>
        <v/>
      </c>
    </row>
    <row r="915" spans="1:9" ht="15.9" hidden="1" customHeight="1" outlineLevel="1" x14ac:dyDescent="0.3">
      <c r="A915" s="13"/>
      <c r="B915" s="34"/>
      <c r="C915" s="281" t="str">
        <f>_xlfn.CONCAT(_xlfn.XLOOKUP("[S05_DefaultValues][713][InstallationCategory]",Submission!$O:$O,Submission!$H:$N,""))</f>
        <v/>
      </c>
      <c r="D915" s="350"/>
      <c r="E915" s="350"/>
      <c r="F915" s="350"/>
      <c r="G915" s="347"/>
      <c r="H915" s="123" t="str">
        <f>_xlfn.CONCAT(_xlfn.XLOOKUP("[S05_DefaultValues][713][FuelMaterialType]",Submission!$O:$O,Submission!$H:$N,""))</f>
        <v/>
      </c>
      <c r="I915" s="106" t="str">
        <f>_xlfn.CONCAT(_xlfn.XLOOKUP("[S05_DefaultValues][713][InstallationNumber]",Submission!$O:$O,Submission!$H:$N,""))</f>
        <v/>
      </c>
    </row>
    <row r="916" spans="1:9" ht="15.9" hidden="1" customHeight="1" outlineLevel="1" x14ac:dyDescent="0.3">
      <c r="A916" s="13"/>
      <c r="B916" s="34"/>
      <c r="C916" s="281" t="str">
        <f>_xlfn.CONCAT(_xlfn.XLOOKUP("[S05_DefaultValues][714][InstallationCategory]",Submission!$O:$O,Submission!$H:$N,""))</f>
        <v/>
      </c>
      <c r="D916" s="350"/>
      <c r="E916" s="350"/>
      <c r="F916" s="350"/>
      <c r="G916" s="347"/>
      <c r="H916" s="123" t="str">
        <f>_xlfn.CONCAT(_xlfn.XLOOKUP("[S05_DefaultValues][714][FuelMaterialType]",Submission!$O:$O,Submission!$H:$N,""))</f>
        <v/>
      </c>
      <c r="I916" s="106" t="str">
        <f>_xlfn.CONCAT(_xlfn.XLOOKUP("[S05_DefaultValues][714][InstallationNumber]",Submission!$O:$O,Submission!$H:$N,""))</f>
        <v/>
      </c>
    </row>
    <row r="917" spans="1:9" ht="15.9" hidden="1" customHeight="1" outlineLevel="1" x14ac:dyDescent="0.3">
      <c r="A917" s="13"/>
      <c r="B917" s="34"/>
      <c r="C917" s="281" t="str">
        <f>_xlfn.CONCAT(_xlfn.XLOOKUP("[S05_DefaultValues][715][InstallationCategory]",Submission!$O:$O,Submission!$H:$N,""))</f>
        <v/>
      </c>
      <c r="D917" s="350"/>
      <c r="E917" s="350"/>
      <c r="F917" s="350"/>
      <c r="G917" s="347"/>
      <c r="H917" s="123" t="str">
        <f>_xlfn.CONCAT(_xlfn.XLOOKUP("[S05_DefaultValues][715][FuelMaterialType]",Submission!$O:$O,Submission!$H:$N,""))</f>
        <v/>
      </c>
      <c r="I917" s="106" t="str">
        <f>_xlfn.CONCAT(_xlfn.XLOOKUP("[S05_DefaultValues][715][InstallationNumber]",Submission!$O:$O,Submission!$H:$N,""))</f>
        <v/>
      </c>
    </row>
    <row r="918" spans="1:9" ht="15.9" hidden="1" customHeight="1" outlineLevel="1" x14ac:dyDescent="0.3">
      <c r="A918" s="13"/>
      <c r="B918" s="34"/>
      <c r="C918" s="281" t="str">
        <f>_xlfn.CONCAT(_xlfn.XLOOKUP("[S05_DefaultValues][716][InstallationCategory]",Submission!$O:$O,Submission!$H:$N,""))</f>
        <v/>
      </c>
      <c r="D918" s="350"/>
      <c r="E918" s="350"/>
      <c r="F918" s="350"/>
      <c r="G918" s="347"/>
      <c r="H918" s="123" t="str">
        <f>_xlfn.CONCAT(_xlfn.XLOOKUP("[S05_DefaultValues][716][FuelMaterialType]",Submission!$O:$O,Submission!$H:$N,""))</f>
        <v/>
      </c>
      <c r="I918" s="106" t="str">
        <f>_xlfn.CONCAT(_xlfn.XLOOKUP("[S05_DefaultValues][716][InstallationNumber]",Submission!$O:$O,Submission!$H:$N,""))</f>
        <v/>
      </c>
    </row>
    <row r="919" spans="1:9" ht="15.9" hidden="1" customHeight="1" outlineLevel="1" x14ac:dyDescent="0.3">
      <c r="A919" s="13"/>
      <c r="B919" s="34"/>
      <c r="C919" s="281" t="str">
        <f>_xlfn.CONCAT(_xlfn.XLOOKUP("[S05_DefaultValues][717][InstallationCategory]",Submission!$O:$O,Submission!$H:$N,""))</f>
        <v/>
      </c>
      <c r="D919" s="350"/>
      <c r="E919" s="350"/>
      <c r="F919" s="350"/>
      <c r="G919" s="347"/>
      <c r="H919" s="123" t="str">
        <f>_xlfn.CONCAT(_xlfn.XLOOKUP("[S05_DefaultValues][717][FuelMaterialType]",Submission!$O:$O,Submission!$H:$N,""))</f>
        <v/>
      </c>
      <c r="I919" s="106" t="str">
        <f>_xlfn.CONCAT(_xlfn.XLOOKUP("[S05_DefaultValues][717][InstallationNumber]",Submission!$O:$O,Submission!$H:$N,""))</f>
        <v/>
      </c>
    </row>
    <row r="920" spans="1:9" ht="15.9" hidden="1" customHeight="1" outlineLevel="1" x14ac:dyDescent="0.3">
      <c r="A920" s="13"/>
      <c r="B920" s="34"/>
      <c r="C920" s="281" t="str">
        <f>_xlfn.CONCAT(_xlfn.XLOOKUP("[S05_DefaultValues][718][InstallationCategory]",Submission!$O:$O,Submission!$H:$N,""))</f>
        <v/>
      </c>
      <c r="D920" s="350"/>
      <c r="E920" s="350"/>
      <c r="F920" s="350"/>
      <c r="G920" s="347"/>
      <c r="H920" s="123" t="str">
        <f>_xlfn.CONCAT(_xlfn.XLOOKUP("[S05_DefaultValues][718][FuelMaterialType]",Submission!$O:$O,Submission!$H:$N,""))</f>
        <v/>
      </c>
      <c r="I920" s="106" t="str">
        <f>_xlfn.CONCAT(_xlfn.XLOOKUP("[S05_DefaultValues][718][InstallationNumber]",Submission!$O:$O,Submission!$H:$N,""))</f>
        <v/>
      </c>
    </row>
    <row r="921" spans="1:9" ht="15.9" hidden="1" customHeight="1" outlineLevel="1" x14ac:dyDescent="0.3">
      <c r="A921" s="13"/>
      <c r="B921" s="34"/>
      <c r="C921" s="281" t="str">
        <f>_xlfn.CONCAT(_xlfn.XLOOKUP("[S05_DefaultValues][719][InstallationCategory]",Submission!$O:$O,Submission!$H:$N,""))</f>
        <v/>
      </c>
      <c r="D921" s="350"/>
      <c r="E921" s="350"/>
      <c r="F921" s="350"/>
      <c r="G921" s="347"/>
      <c r="H921" s="123" t="str">
        <f>_xlfn.CONCAT(_xlfn.XLOOKUP("[S05_DefaultValues][719][FuelMaterialType]",Submission!$O:$O,Submission!$H:$N,""))</f>
        <v/>
      </c>
      <c r="I921" s="106" t="str">
        <f>_xlfn.CONCAT(_xlfn.XLOOKUP("[S05_DefaultValues][719][InstallationNumber]",Submission!$O:$O,Submission!$H:$N,""))</f>
        <v/>
      </c>
    </row>
    <row r="922" spans="1:9" ht="15.9" hidden="1" customHeight="1" outlineLevel="1" x14ac:dyDescent="0.3">
      <c r="A922" s="13"/>
      <c r="B922" s="34"/>
      <c r="C922" s="281" t="str">
        <f>_xlfn.CONCAT(_xlfn.XLOOKUP("[S05_DefaultValues][720][InstallationCategory]",Submission!$O:$O,Submission!$H:$N,""))</f>
        <v/>
      </c>
      <c r="D922" s="350"/>
      <c r="E922" s="350"/>
      <c r="F922" s="350"/>
      <c r="G922" s="347"/>
      <c r="H922" s="123" t="str">
        <f>_xlfn.CONCAT(_xlfn.XLOOKUP("[S05_DefaultValues][720][FuelMaterialType]",Submission!$O:$O,Submission!$H:$N,""))</f>
        <v/>
      </c>
      <c r="I922" s="106" t="str">
        <f>_xlfn.CONCAT(_xlfn.XLOOKUP("[S05_DefaultValues][720][InstallationNumber]",Submission!$O:$O,Submission!$H:$N,""))</f>
        <v/>
      </c>
    </row>
    <row r="923" spans="1:9" ht="15.9" hidden="1" customHeight="1" outlineLevel="1" x14ac:dyDescent="0.3">
      <c r="A923" s="13"/>
      <c r="B923" s="34"/>
      <c r="C923" s="281" t="str">
        <f>_xlfn.CONCAT(_xlfn.XLOOKUP("[S05_DefaultValues][721][InstallationCategory]",Submission!$O:$O,Submission!$H:$N,""))</f>
        <v/>
      </c>
      <c r="D923" s="350"/>
      <c r="E923" s="350"/>
      <c r="F923" s="350"/>
      <c r="G923" s="347"/>
      <c r="H923" s="123" t="str">
        <f>_xlfn.CONCAT(_xlfn.XLOOKUP("[S05_DefaultValues][721][FuelMaterialType]",Submission!$O:$O,Submission!$H:$N,""))</f>
        <v/>
      </c>
      <c r="I923" s="106" t="str">
        <f>_xlfn.CONCAT(_xlfn.XLOOKUP("[S05_DefaultValues][721][InstallationNumber]",Submission!$O:$O,Submission!$H:$N,""))</f>
        <v/>
      </c>
    </row>
    <row r="924" spans="1:9" ht="15.9" hidden="1" customHeight="1" outlineLevel="1" x14ac:dyDescent="0.3">
      <c r="A924" s="13"/>
      <c r="B924" s="34"/>
      <c r="C924" s="281" t="str">
        <f>_xlfn.CONCAT(_xlfn.XLOOKUP("[S05_DefaultValues][722][InstallationCategory]",Submission!$O:$O,Submission!$H:$N,""))</f>
        <v/>
      </c>
      <c r="D924" s="350"/>
      <c r="E924" s="350"/>
      <c r="F924" s="350"/>
      <c r="G924" s="347"/>
      <c r="H924" s="123" t="str">
        <f>_xlfn.CONCAT(_xlfn.XLOOKUP("[S05_DefaultValues][722][FuelMaterialType]",Submission!$O:$O,Submission!$H:$N,""))</f>
        <v/>
      </c>
      <c r="I924" s="106" t="str">
        <f>_xlfn.CONCAT(_xlfn.XLOOKUP("[S05_DefaultValues][722][InstallationNumber]",Submission!$O:$O,Submission!$H:$N,""))</f>
        <v/>
      </c>
    </row>
    <row r="925" spans="1:9" ht="15.9" hidden="1" customHeight="1" outlineLevel="1" x14ac:dyDescent="0.3">
      <c r="A925" s="13"/>
      <c r="B925" s="34"/>
      <c r="C925" s="281" t="str">
        <f>_xlfn.CONCAT(_xlfn.XLOOKUP("[S05_DefaultValues][723][InstallationCategory]",Submission!$O:$O,Submission!$H:$N,""))</f>
        <v/>
      </c>
      <c r="D925" s="350"/>
      <c r="E925" s="350"/>
      <c r="F925" s="350"/>
      <c r="G925" s="347"/>
      <c r="H925" s="123" t="str">
        <f>_xlfn.CONCAT(_xlfn.XLOOKUP("[S05_DefaultValues][723][FuelMaterialType]",Submission!$O:$O,Submission!$H:$N,""))</f>
        <v/>
      </c>
      <c r="I925" s="106" t="str">
        <f>_xlfn.CONCAT(_xlfn.XLOOKUP("[S05_DefaultValues][723][InstallationNumber]",Submission!$O:$O,Submission!$H:$N,""))</f>
        <v/>
      </c>
    </row>
    <row r="926" spans="1:9" ht="15.9" hidden="1" customHeight="1" outlineLevel="1" x14ac:dyDescent="0.3">
      <c r="A926" s="13"/>
      <c r="B926" s="34"/>
      <c r="C926" s="281" t="str">
        <f>_xlfn.CONCAT(_xlfn.XLOOKUP("[S05_DefaultValues][724][InstallationCategory]",Submission!$O:$O,Submission!$H:$N,""))</f>
        <v/>
      </c>
      <c r="D926" s="350"/>
      <c r="E926" s="350"/>
      <c r="F926" s="350"/>
      <c r="G926" s="347"/>
      <c r="H926" s="123" t="str">
        <f>_xlfn.CONCAT(_xlfn.XLOOKUP("[S05_DefaultValues][724][FuelMaterialType]",Submission!$O:$O,Submission!$H:$N,""))</f>
        <v/>
      </c>
      <c r="I926" s="106" t="str">
        <f>_xlfn.CONCAT(_xlfn.XLOOKUP("[S05_DefaultValues][724][InstallationNumber]",Submission!$O:$O,Submission!$H:$N,""))</f>
        <v/>
      </c>
    </row>
    <row r="927" spans="1:9" ht="15.9" hidden="1" customHeight="1" outlineLevel="1" x14ac:dyDescent="0.3">
      <c r="A927" s="13"/>
      <c r="B927" s="34"/>
      <c r="C927" s="281" t="str">
        <f>_xlfn.CONCAT(_xlfn.XLOOKUP("[S05_DefaultValues][725][InstallationCategory]",Submission!$O:$O,Submission!$H:$N,""))</f>
        <v/>
      </c>
      <c r="D927" s="350"/>
      <c r="E927" s="350"/>
      <c r="F927" s="350"/>
      <c r="G927" s="347"/>
      <c r="H927" s="123" t="str">
        <f>_xlfn.CONCAT(_xlfn.XLOOKUP("[S05_DefaultValues][725][FuelMaterialType]",Submission!$O:$O,Submission!$H:$N,""))</f>
        <v/>
      </c>
      <c r="I927" s="106" t="str">
        <f>_xlfn.CONCAT(_xlfn.XLOOKUP("[S05_DefaultValues][725][InstallationNumber]",Submission!$O:$O,Submission!$H:$N,""))</f>
        <v/>
      </c>
    </row>
    <row r="928" spans="1:9" ht="15.9" hidden="1" customHeight="1" outlineLevel="1" x14ac:dyDescent="0.3">
      <c r="A928" s="13"/>
      <c r="B928" s="34"/>
      <c r="C928" s="281" t="str">
        <f>_xlfn.CONCAT(_xlfn.XLOOKUP("[S05_DefaultValues][726][InstallationCategory]",Submission!$O:$O,Submission!$H:$N,""))</f>
        <v/>
      </c>
      <c r="D928" s="350"/>
      <c r="E928" s="350"/>
      <c r="F928" s="350"/>
      <c r="G928" s="347"/>
      <c r="H928" s="123" t="str">
        <f>_xlfn.CONCAT(_xlfn.XLOOKUP("[S05_DefaultValues][726][FuelMaterialType]",Submission!$O:$O,Submission!$H:$N,""))</f>
        <v/>
      </c>
      <c r="I928" s="106" t="str">
        <f>_xlfn.CONCAT(_xlfn.XLOOKUP("[S05_DefaultValues][726][InstallationNumber]",Submission!$O:$O,Submission!$H:$N,""))</f>
        <v/>
      </c>
    </row>
    <row r="929" spans="1:9" ht="15.9" hidden="1" customHeight="1" outlineLevel="1" x14ac:dyDescent="0.3">
      <c r="A929" s="13"/>
      <c r="B929" s="34"/>
      <c r="C929" s="281" t="str">
        <f>_xlfn.CONCAT(_xlfn.XLOOKUP("[S05_DefaultValues][727][InstallationCategory]",Submission!$O:$O,Submission!$H:$N,""))</f>
        <v/>
      </c>
      <c r="D929" s="350"/>
      <c r="E929" s="350"/>
      <c r="F929" s="350"/>
      <c r="G929" s="347"/>
      <c r="H929" s="123" t="str">
        <f>_xlfn.CONCAT(_xlfn.XLOOKUP("[S05_DefaultValues][727][FuelMaterialType]",Submission!$O:$O,Submission!$H:$N,""))</f>
        <v/>
      </c>
      <c r="I929" s="106" t="str">
        <f>_xlfn.CONCAT(_xlfn.XLOOKUP("[S05_DefaultValues][727][InstallationNumber]",Submission!$O:$O,Submission!$H:$N,""))</f>
        <v/>
      </c>
    </row>
    <row r="930" spans="1:9" ht="15.9" hidden="1" customHeight="1" outlineLevel="1" x14ac:dyDescent="0.3">
      <c r="A930" s="13"/>
      <c r="B930" s="34"/>
      <c r="C930" s="281" t="str">
        <f>_xlfn.CONCAT(_xlfn.XLOOKUP("[S05_DefaultValues][728][InstallationCategory]",Submission!$O:$O,Submission!$H:$N,""))</f>
        <v/>
      </c>
      <c r="D930" s="350"/>
      <c r="E930" s="350"/>
      <c r="F930" s="350"/>
      <c r="G930" s="347"/>
      <c r="H930" s="123" t="str">
        <f>_xlfn.CONCAT(_xlfn.XLOOKUP("[S05_DefaultValues][728][FuelMaterialType]",Submission!$O:$O,Submission!$H:$N,""))</f>
        <v/>
      </c>
      <c r="I930" s="106" t="str">
        <f>_xlfn.CONCAT(_xlfn.XLOOKUP("[S05_DefaultValues][728][InstallationNumber]",Submission!$O:$O,Submission!$H:$N,""))</f>
        <v/>
      </c>
    </row>
    <row r="931" spans="1:9" ht="15.9" hidden="1" customHeight="1" outlineLevel="1" x14ac:dyDescent="0.3">
      <c r="A931" s="13"/>
      <c r="B931" s="34"/>
      <c r="C931" s="281" t="str">
        <f>_xlfn.CONCAT(_xlfn.XLOOKUP("[S05_DefaultValues][729][InstallationCategory]",Submission!$O:$O,Submission!$H:$N,""))</f>
        <v/>
      </c>
      <c r="D931" s="350"/>
      <c r="E931" s="350"/>
      <c r="F931" s="350"/>
      <c r="G931" s="347"/>
      <c r="H931" s="123" t="str">
        <f>_xlfn.CONCAT(_xlfn.XLOOKUP("[S05_DefaultValues][729][FuelMaterialType]",Submission!$O:$O,Submission!$H:$N,""))</f>
        <v/>
      </c>
      <c r="I931" s="106" t="str">
        <f>_xlfn.CONCAT(_xlfn.XLOOKUP("[S05_DefaultValues][729][InstallationNumber]",Submission!$O:$O,Submission!$H:$N,""))</f>
        <v/>
      </c>
    </row>
    <row r="932" spans="1:9" ht="15.9" hidden="1" customHeight="1" outlineLevel="1" x14ac:dyDescent="0.3">
      <c r="A932" s="13"/>
      <c r="B932" s="34"/>
      <c r="C932" s="281" t="str">
        <f>_xlfn.CONCAT(_xlfn.XLOOKUP("[S05_DefaultValues][730][InstallationCategory]",Submission!$O:$O,Submission!$H:$N,""))</f>
        <v/>
      </c>
      <c r="D932" s="350"/>
      <c r="E932" s="350"/>
      <c r="F932" s="350"/>
      <c r="G932" s="347"/>
      <c r="H932" s="123" t="str">
        <f>_xlfn.CONCAT(_xlfn.XLOOKUP("[S05_DefaultValues][730][FuelMaterialType]",Submission!$O:$O,Submission!$H:$N,""))</f>
        <v/>
      </c>
      <c r="I932" s="106" t="str">
        <f>_xlfn.CONCAT(_xlfn.XLOOKUP("[S05_DefaultValues][730][InstallationNumber]",Submission!$O:$O,Submission!$H:$N,""))</f>
        <v/>
      </c>
    </row>
    <row r="933" spans="1:9" ht="15.9" hidden="1" customHeight="1" outlineLevel="1" x14ac:dyDescent="0.3">
      <c r="A933" s="13"/>
      <c r="B933" s="34"/>
      <c r="C933" s="281" t="str">
        <f>_xlfn.CONCAT(_xlfn.XLOOKUP("[S05_DefaultValues][731][InstallationCategory]",Submission!$O:$O,Submission!$H:$N,""))</f>
        <v/>
      </c>
      <c r="D933" s="350"/>
      <c r="E933" s="350"/>
      <c r="F933" s="350"/>
      <c r="G933" s="347"/>
      <c r="H933" s="123" t="str">
        <f>_xlfn.CONCAT(_xlfn.XLOOKUP("[S05_DefaultValues][731][FuelMaterialType]",Submission!$O:$O,Submission!$H:$N,""))</f>
        <v/>
      </c>
      <c r="I933" s="106" t="str">
        <f>_xlfn.CONCAT(_xlfn.XLOOKUP("[S05_DefaultValues][731][InstallationNumber]",Submission!$O:$O,Submission!$H:$N,""))</f>
        <v/>
      </c>
    </row>
    <row r="934" spans="1:9" ht="15.9" hidden="1" customHeight="1" outlineLevel="1" x14ac:dyDescent="0.3">
      <c r="A934" s="13"/>
      <c r="B934" s="34"/>
      <c r="C934" s="281" t="str">
        <f>_xlfn.CONCAT(_xlfn.XLOOKUP("[S05_DefaultValues][732][InstallationCategory]",Submission!$O:$O,Submission!$H:$N,""))</f>
        <v/>
      </c>
      <c r="D934" s="350"/>
      <c r="E934" s="350"/>
      <c r="F934" s="350"/>
      <c r="G934" s="347"/>
      <c r="H934" s="123" t="str">
        <f>_xlfn.CONCAT(_xlfn.XLOOKUP("[S05_DefaultValues][732][FuelMaterialType]",Submission!$O:$O,Submission!$H:$N,""))</f>
        <v/>
      </c>
      <c r="I934" s="106" t="str">
        <f>_xlfn.CONCAT(_xlfn.XLOOKUP("[S05_DefaultValues][732][InstallationNumber]",Submission!$O:$O,Submission!$H:$N,""))</f>
        <v/>
      </c>
    </row>
    <row r="935" spans="1:9" ht="15.9" hidden="1" customHeight="1" outlineLevel="1" x14ac:dyDescent="0.3">
      <c r="A935" s="13"/>
      <c r="B935" s="34"/>
      <c r="C935" s="281" t="str">
        <f>_xlfn.CONCAT(_xlfn.XLOOKUP("[S05_DefaultValues][733][InstallationCategory]",Submission!$O:$O,Submission!$H:$N,""))</f>
        <v/>
      </c>
      <c r="D935" s="350"/>
      <c r="E935" s="350"/>
      <c r="F935" s="350"/>
      <c r="G935" s="347"/>
      <c r="H935" s="123" t="str">
        <f>_xlfn.CONCAT(_xlfn.XLOOKUP("[S05_DefaultValues][733][FuelMaterialType]",Submission!$O:$O,Submission!$H:$N,""))</f>
        <v/>
      </c>
      <c r="I935" s="106" t="str">
        <f>_xlfn.CONCAT(_xlfn.XLOOKUP("[S05_DefaultValues][733][InstallationNumber]",Submission!$O:$O,Submission!$H:$N,""))</f>
        <v/>
      </c>
    </row>
    <row r="936" spans="1:9" ht="15.9" hidden="1" customHeight="1" outlineLevel="1" x14ac:dyDescent="0.3">
      <c r="A936" s="13"/>
      <c r="B936" s="34"/>
      <c r="C936" s="281" t="str">
        <f>_xlfn.CONCAT(_xlfn.XLOOKUP("[S05_DefaultValues][734][InstallationCategory]",Submission!$O:$O,Submission!$H:$N,""))</f>
        <v/>
      </c>
      <c r="D936" s="350"/>
      <c r="E936" s="350"/>
      <c r="F936" s="350"/>
      <c r="G936" s="347"/>
      <c r="H936" s="123" t="str">
        <f>_xlfn.CONCAT(_xlfn.XLOOKUP("[S05_DefaultValues][734][FuelMaterialType]",Submission!$O:$O,Submission!$H:$N,""))</f>
        <v/>
      </c>
      <c r="I936" s="106" t="str">
        <f>_xlfn.CONCAT(_xlfn.XLOOKUP("[S05_DefaultValues][734][InstallationNumber]",Submission!$O:$O,Submission!$H:$N,""))</f>
        <v/>
      </c>
    </row>
    <row r="937" spans="1:9" ht="15.9" hidden="1" customHeight="1" outlineLevel="1" x14ac:dyDescent="0.3">
      <c r="A937" s="13"/>
      <c r="B937" s="34"/>
      <c r="C937" s="281" t="str">
        <f>_xlfn.CONCAT(_xlfn.XLOOKUP("[S05_DefaultValues][735][InstallationCategory]",Submission!$O:$O,Submission!$H:$N,""))</f>
        <v/>
      </c>
      <c r="D937" s="350"/>
      <c r="E937" s="350"/>
      <c r="F937" s="350"/>
      <c r="G937" s="347"/>
      <c r="H937" s="123" t="str">
        <f>_xlfn.CONCAT(_xlfn.XLOOKUP("[S05_DefaultValues][735][FuelMaterialType]",Submission!$O:$O,Submission!$H:$N,""))</f>
        <v/>
      </c>
      <c r="I937" s="106" t="str">
        <f>_xlfn.CONCAT(_xlfn.XLOOKUP("[S05_DefaultValues][735][InstallationNumber]",Submission!$O:$O,Submission!$H:$N,""))</f>
        <v/>
      </c>
    </row>
    <row r="938" spans="1:9" ht="15.9" hidden="1" customHeight="1" outlineLevel="1" x14ac:dyDescent="0.3">
      <c r="A938" s="13"/>
      <c r="B938" s="34"/>
      <c r="C938" s="281" t="str">
        <f>_xlfn.CONCAT(_xlfn.XLOOKUP("[S05_DefaultValues][736][InstallationCategory]",Submission!$O:$O,Submission!$H:$N,""))</f>
        <v/>
      </c>
      <c r="D938" s="350"/>
      <c r="E938" s="350"/>
      <c r="F938" s="350"/>
      <c r="G938" s="347"/>
      <c r="H938" s="123" t="str">
        <f>_xlfn.CONCAT(_xlfn.XLOOKUP("[S05_DefaultValues][736][FuelMaterialType]",Submission!$O:$O,Submission!$H:$N,""))</f>
        <v/>
      </c>
      <c r="I938" s="106" t="str">
        <f>_xlfn.CONCAT(_xlfn.XLOOKUP("[S05_DefaultValues][736][InstallationNumber]",Submission!$O:$O,Submission!$H:$N,""))</f>
        <v/>
      </c>
    </row>
    <row r="939" spans="1:9" ht="15.9" hidden="1" customHeight="1" outlineLevel="1" x14ac:dyDescent="0.3">
      <c r="A939" s="13"/>
      <c r="B939" s="34"/>
      <c r="C939" s="281" t="str">
        <f>_xlfn.CONCAT(_xlfn.XLOOKUP("[S05_DefaultValues][737][InstallationCategory]",Submission!$O:$O,Submission!$H:$N,""))</f>
        <v/>
      </c>
      <c r="D939" s="350"/>
      <c r="E939" s="350"/>
      <c r="F939" s="350"/>
      <c r="G939" s="347"/>
      <c r="H939" s="123" t="str">
        <f>_xlfn.CONCAT(_xlfn.XLOOKUP("[S05_DefaultValues][737][FuelMaterialType]",Submission!$O:$O,Submission!$H:$N,""))</f>
        <v/>
      </c>
      <c r="I939" s="106" t="str">
        <f>_xlfn.CONCAT(_xlfn.XLOOKUP("[S05_DefaultValues][737][InstallationNumber]",Submission!$O:$O,Submission!$H:$N,""))</f>
        <v/>
      </c>
    </row>
    <row r="940" spans="1:9" ht="15.9" hidden="1" customHeight="1" outlineLevel="1" x14ac:dyDescent="0.3">
      <c r="A940" s="13"/>
      <c r="B940" s="34"/>
      <c r="C940" s="281" t="str">
        <f>_xlfn.CONCAT(_xlfn.XLOOKUP("[S05_DefaultValues][738][InstallationCategory]",Submission!$O:$O,Submission!$H:$N,""))</f>
        <v/>
      </c>
      <c r="D940" s="350"/>
      <c r="E940" s="350"/>
      <c r="F940" s="350"/>
      <c r="G940" s="347"/>
      <c r="H940" s="123" t="str">
        <f>_xlfn.CONCAT(_xlfn.XLOOKUP("[S05_DefaultValues][738][FuelMaterialType]",Submission!$O:$O,Submission!$H:$N,""))</f>
        <v/>
      </c>
      <c r="I940" s="106" t="str">
        <f>_xlfn.CONCAT(_xlfn.XLOOKUP("[S05_DefaultValues][738][InstallationNumber]",Submission!$O:$O,Submission!$H:$N,""))</f>
        <v/>
      </c>
    </row>
    <row r="941" spans="1:9" ht="15.9" hidden="1" customHeight="1" outlineLevel="1" x14ac:dyDescent="0.3">
      <c r="A941" s="13"/>
      <c r="B941" s="34"/>
      <c r="C941" s="281" t="str">
        <f>_xlfn.CONCAT(_xlfn.XLOOKUP("[S05_DefaultValues][739][InstallationCategory]",Submission!$O:$O,Submission!$H:$N,""))</f>
        <v/>
      </c>
      <c r="D941" s="350"/>
      <c r="E941" s="350"/>
      <c r="F941" s="350"/>
      <c r="G941" s="347"/>
      <c r="H941" s="123" t="str">
        <f>_xlfn.CONCAT(_xlfn.XLOOKUP("[S05_DefaultValues][739][FuelMaterialType]",Submission!$O:$O,Submission!$H:$N,""))</f>
        <v/>
      </c>
      <c r="I941" s="106" t="str">
        <f>_xlfn.CONCAT(_xlfn.XLOOKUP("[S05_DefaultValues][739][InstallationNumber]",Submission!$O:$O,Submission!$H:$N,""))</f>
        <v/>
      </c>
    </row>
    <row r="942" spans="1:9" ht="15.9" hidden="1" customHeight="1" outlineLevel="1" x14ac:dyDescent="0.3">
      <c r="A942" s="13"/>
      <c r="B942" s="34"/>
      <c r="C942" s="281" t="str">
        <f>_xlfn.CONCAT(_xlfn.XLOOKUP("[S05_DefaultValues][740][InstallationCategory]",Submission!$O:$O,Submission!$H:$N,""))</f>
        <v/>
      </c>
      <c r="D942" s="350"/>
      <c r="E942" s="350"/>
      <c r="F942" s="350"/>
      <c r="G942" s="347"/>
      <c r="H942" s="123" t="str">
        <f>_xlfn.CONCAT(_xlfn.XLOOKUP("[S05_DefaultValues][740][FuelMaterialType]",Submission!$O:$O,Submission!$H:$N,""))</f>
        <v/>
      </c>
      <c r="I942" s="106" t="str">
        <f>_xlfn.CONCAT(_xlfn.XLOOKUP("[S05_DefaultValues][740][InstallationNumber]",Submission!$O:$O,Submission!$H:$N,""))</f>
        <v/>
      </c>
    </row>
    <row r="943" spans="1:9" ht="15.9" hidden="1" customHeight="1" outlineLevel="1" x14ac:dyDescent="0.3">
      <c r="A943" s="13"/>
      <c r="B943" s="34"/>
      <c r="C943" s="281" t="str">
        <f>_xlfn.CONCAT(_xlfn.XLOOKUP("[S05_DefaultValues][741][InstallationCategory]",Submission!$O:$O,Submission!$H:$N,""))</f>
        <v/>
      </c>
      <c r="D943" s="350"/>
      <c r="E943" s="350"/>
      <c r="F943" s="350"/>
      <c r="G943" s="347"/>
      <c r="H943" s="123" t="str">
        <f>_xlfn.CONCAT(_xlfn.XLOOKUP("[S05_DefaultValues][741][FuelMaterialType]",Submission!$O:$O,Submission!$H:$N,""))</f>
        <v/>
      </c>
      <c r="I943" s="106" t="str">
        <f>_xlfn.CONCAT(_xlfn.XLOOKUP("[S05_DefaultValues][741][InstallationNumber]",Submission!$O:$O,Submission!$H:$N,""))</f>
        <v/>
      </c>
    </row>
    <row r="944" spans="1:9" ht="15.9" hidden="1" customHeight="1" outlineLevel="1" x14ac:dyDescent="0.3">
      <c r="A944" s="13"/>
      <c r="B944" s="34"/>
      <c r="C944" s="281" t="str">
        <f>_xlfn.CONCAT(_xlfn.XLOOKUP("[S05_DefaultValues][742][InstallationCategory]",Submission!$O:$O,Submission!$H:$N,""))</f>
        <v/>
      </c>
      <c r="D944" s="350"/>
      <c r="E944" s="350"/>
      <c r="F944" s="350"/>
      <c r="G944" s="347"/>
      <c r="H944" s="123" t="str">
        <f>_xlfn.CONCAT(_xlfn.XLOOKUP("[S05_DefaultValues][742][FuelMaterialType]",Submission!$O:$O,Submission!$H:$N,""))</f>
        <v/>
      </c>
      <c r="I944" s="106" t="str">
        <f>_xlfn.CONCAT(_xlfn.XLOOKUP("[S05_DefaultValues][742][InstallationNumber]",Submission!$O:$O,Submission!$H:$N,""))</f>
        <v/>
      </c>
    </row>
    <row r="945" spans="1:9" ht="15.9" hidden="1" customHeight="1" outlineLevel="1" x14ac:dyDescent="0.3">
      <c r="A945" s="13"/>
      <c r="B945" s="34"/>
      <c r="C945" s="281" t="str">
        <f>_xlfn.CONCAT(_xlfn.XLOOKUP("[S05_DefaultValues][743][InstallationCategory]",Submission!$O:$O,Submission!$H:$N,""))</f>
        <v/>
      </c>
      <c r="D945" s="350"/>
      <c r="E945" s="350"/>
      <c r="F945" s="350"/>
      <c r="G945" s="347"/>
      <c r="H945" s="123" t="str">
        <f>_xlfn.CONCAT(_xlfn.XLOOKUP("[S05_DefaultValues][743][FuelMaterialType]",Submission!$O:$O,Submission!$H:$N,""))</f>
        <v/>
      </c>
      <c r="I945" s="106" t="str">
        <f>_xlfn.CONCAT(_xlfn.XLOOKUP("[S05_DefaultValues][743][InstallationNumber]",Submission!$O:$O,Submission!$H:$N,""))</f>
        <v/>
      </c>
    </row>
    <row r="946" spans="1:9" ht="15.9" hidden="1" customHeight="1" outlineLevel="1" x14ac:dyDescent="0.3">
      <c r="A946" s="13"/>
      <c r="B946" s="34"/>
      <c r="C946" s="281" t="str">
        <f>_xlfn.CONCAT(_xlfn.XLOOKUP("[S05_DefaultValues][744][InstallationCategory]",Submission!$O:$O,Submission!$H:$N,""))</f>
        <v/>
      </c>
      <c r="D946" s="350"/>
      <c r="E946" s="350"/>
      <c r="F946" s="350"/>
      <c r="G946" s="347"/>
      <c r="H946" s="123" t="str">
        <f>_xlfn.CONCAT(_xlfn.XLOOKUP("[S05_DefaultValues][744][FuelMaterialType]",Submission!$O:$O,Submission!$H:$N,""))</f>
        <v/>
      </c>
      <c r="I946" s="106" t="str">
        <f>_xlfn.CONCAT(_xlfn.XLOOKUP("[S05_DefaultValues][744][InstallationNumber]",Submission!$O:$O,Submission!$H:$N,""))</f>
        <v/>
      </c>
    </row>
    <row r="947" spans="1:9" ht="15.9" hidden="1" customHeight="1" outlineLevel="1" x14ac:dyDescent="0.3">
      <c r="A947" s="13"/>
      <c r="B947" s="34"/>
      <c r="C947" s="281" t="str">
        <f>_xlfn.CONCAT(_xlfn.XLOOKUP("[S05_DefaultValues][745][InstallationCategory]",Submission!$O:$O,Submission!$H:$N,""))</f>
        <v/>
      </c>
      <c r="D947" s="350"/>
      <c r="E947" s="350"/>
      <c r="F947" s="350"/>
      <c r="G947" s="347"/>
      <c r="H947" s="123" t="str">
        <f>_xlfn.CONCAT(_xlfn.XLOOKUP("[S05_DefaultValues][745][FuelMaterialType]",Submission!$O:$O,Submission!$H:$N,""))</f>
        <v/>
      </c>
      <c r="I947" s="106" t="str">
        <f>_xlfn.CONCAT(_xlfn.XLOOKUP("[S05_DefaultValues][745][InstallationNumber]",Submission!$O:$O,Submission!$H:$N,""))</f>
        <v/>
      </c>
    </row>
    <row r="948" spans="1:9" ht="15.9" hidden="1" customHeight="1" outlineLevel="1" x14ac:dyDescent="0.3">
      <c r="A948" s="13"/>
      <c r="B948" s="34"/>
      <c r="C948" s="281" t="str">
        <f>_xlfn.CONCAT(_xlfn.XLOOKUP("[S05_DefaultValues][746][InstallationCategory]",Submission!$O:$O,Submission!$H:$N,""))</f>
        <v/>
      </c>
      <c r="D948" s="350"/>
      <c r="E948" s="350"/>
      <c r="F948" s="350"/>
      <c r="G948" s="347"/>
      <c r="H948" s="123" t="str">
        <f>_xlfn.CONCAT(_xlfn.XLOOKUP("[S05_DefaultValues][746][FuelMaterialType]",Submission!$O:$O,Submission!$H:$N,""))</f>
        <v/>
      </c>
      <c r="I948" s="106" t="str">
        <f>_xlfn.CONCAT(_xlfn.XLOOKUP("[S05_DefaultValues][746][InstallationNumber]",Submission!$O:$O,Submission!$H:$N,""))</f>
        <v/>
      </c>
    </row>
    <row r="949" spans="1:9" ht="15.9" hidden="1" customHeight="1" outlineLevel="1" x14ac:dyDescent="0.3">
      <c r="A949" s="13"/>
      <c r="B949" s="34"/>
      <c r="C949" s="281" t="str">
        <f>_xlfn.CONCAT(_xlfn.XLOOKUP("[S05_DefaultValues][747][InstallationCategory]",Submission!$O:$O,Submission!$H:$N,""))</f>
        <v/>
      </c>
      <c r="D949" s="350"/>
      <c r="E949" s="350"/>
      <c r="F949" s="350"/>
      <c r="G949" s="347"/>
      <c r="H949" s="123" t="str">
        <f>_xlfn.CONCAT(_xlfn.XLOOKUP("[S05_DefaultValues][747][FuelMaterialType]",Submission!$O:$O,Submission!$H:$N,""))</f>
        <v/>
      </c>
      <c r="I949" s="106" t="str">
        <f>_xlfn.CONCAT(_xlfn.XLOOKUP("[S05_DefaultValues][747][InstallationNumber]",Submission!$O:$O,Submission!$H:$N,""))</f>
        <v/>
      </c>
    </row>
    <row r="950" spans="1:9" ht="15.9" hidden="1" customHeight="1" outlineLevel="1" x14ac:dyDescent="0.3">
      <c r="A950" s="13"/>
      <c r="B950" s="34"/>
      <c r="C950" s="281" t="str">
        <f>_xlfn.CONCAT(_xlfn.XLOOKUP("[S05_DefaultValues][748][InstallationCategory]",Submission!$O:$O,Submission!$H:$N,""))</f>
        <v/>
      </c>
      <c r="D950" s="350"/>
      <c r="E950" s="350"/>
      <c r="F950" s="350"/>
      <c r="G950" s="347"/>
      <c r="H950" s="123" t="str">
        <f>_xlfn.CONCAT(_xlfn.XLOOKUP("[S05_DefaultValues][748][FuelMaterialType]",Submission!$O:$O,Submission!$H:$N,""))</f>
        <v/>
      </c>
      <c r="I950" s="106" t="str">
        <f>_xlfn.CONCAT(_xlfn.XLOOKUP("[S05_DefaultValues][748][InstallationNumber]",Submission!$O:$O,Submission!$H:$N,""))</f>
        <v/>
      </c>
    </row>
    <row r="951" spans="1:9" ht="15.9" hidden="1" customHeight="1" outlineLevel="1" x14ac:dyDescent="0.3">
      <c r="A951" s="13"/>
      <c r="B951" s="34"/>
      <c r="C951" s="281" t="str">
        <f>_xlfn.CONCAT(_xlfn.XLOOKUP("[S05_DefaultValues][749][InstallationCategory]",Submission!$O:$O,Submission!$H:$N,""))</f>
        <v/>
      </c>
      <c r="D951" s="350"/>
      <c r="E951" s="350"/>
      <c r="F951" s="350"/>
      <c r="G951" s="347"/>
      <c r="H951" s="123" t="str">
        <f>_xlfn.CONCAT(_xlfn.XLOOKUP("[S05_DefaultValues][749][FuelMaterialType]",Submission!$O:$O,Submission!$H:$N,""))</f>
        <v/>
      </c>
      <c r="I951" s="106" t="str">
        <f>_xlfn.CONCAT(_xlfn.XLOOKUP("[S05_DefaultValues][749][InstallationNumber]",Submission!$O:$O,Submission!$H:$N,""))</f>
        <v/>
      </c>
    </row>
    <row r="952" spans="1:9" ht="15.9" hidden="1" customHeight="1" outlineLevel="1" x14ac:dyDescent="0.3">
      <c r="A952" s="13"/>
      <c r="B952" s="34"/>
      <c r="C952" s="281" t="str">
        <f>_xlfn.CONCAT(_xlfn.XLOOKUP("[S05_DefaultValues][750][InstallationCategory]",Submission!$O:$O,Submission!$H:$N,""))</f>
        <v/>
      </c>
      <c r="D952" s="350"/>
      <c r="E952" s="350"/>
      <c r="F952" s="350"/>
      <c r="G952" s="347"/>
      <c r="H952" s="123" t="str">
        <f>_xlfn.CONCAT(_xlfn.XLOOKUP("[S05_DefaultValues][750][FuelMaterialType]",Submission!$O:$O,Submission!$H:$N,""))</f>
        <v/>
      </c>
      <c r="I952" s="106" t="str">
        <f>_xlfn.CONCAT(_xlfn.XLOOKUP("[S05_DefaultValues][750][InstallationNumber]",Submission!$O:$O,Submission!$H:$N,""))</f>
        <v/>
      </c>
    </row>
    <row r="953" spans="1:9" ht="15.9" hidden="1" customHeight="1" outlineLevel="1" x14ac:dyDescent="0.3">
      <c r="A953" s="13"/>
      <c r="B953" s="34"/>
      <c r="C953" s="281" t="str">
        <f>_xlfn.CONCAT(_xlfn.XLOOKUP("[S05_DefaultValues][751][InstallationCategory]",Submission!$O:$O,Submission!$H:$N,""))</f>
        <v/>
      </c>
      <c r="D953" s="350"/>
      <c r="E953" s="350"/>
      <c r="F953" s="350"/>
      <c r="G953" s="347"/>
      <c r="H953" s="123" t="str">
        <f>_xlfn.CONCAT(_xlfn.XLOOKUP("[S05_DefaultValues][751][FuelMaterialType]",Submission!$O:$O,Submission!$H:$N,""))</f>
        <v/>
      </c>
      <c r="I953" s="106" t="str">
        <f>_xlfn.CONCAT(_xlfn.XLOOKUP("[S05_DefaultValues][751][InstallationNumber]",Submission!$O:$O,Submission!$H:$N,""))</f>
        <v/>
      </c>
    </row>
    <row r="954" spans="1:9" ht="15.9" hidden="1" customHeight="1" outlineLevel="1" x14ac:dyDescent="0.3">
      <c r="A954" s="13"/>
      <c r="B954" s="34"/>
      <c r="C954" s="281" t="str">
        <f>_xlfn.CONCAT(_xlfn.XLOOKUP("[S05_DefaultValues][752][InstallationCategory]",Submission!$O:$O,Submission!$H:$N,""))</f>
        <v/>
      </c>
      <c r="D954" s="350"/>
      <c r="E954" s="350"/>
      <c r="F954" s="350"/>
      <c r="G954" s="347"/>
      <c r="H954" s="123" t="str">
        <f>_xlfn.CONCAT(_xlfn.XLOOKUP("[S05_DefaultValues][752][FuelMaterialType]",Submission!$O:$O,Submission!$H:$N,""))</f>
        <v/>
      </c>
      <c r="I954" s="106" t="str">
        <f>_xlfn.CONCAT(_xlfn.XLOOKUP("[S05_DefaultValues][752][InstallationNumber]",Submission!$O:$O,Submission!$H:$N,""))</f>
        <v/>
      </c>
    </row>
    <row r="955" spans="1:9" ht="15.9" hidden="1" customHeight="1" outlineLevel="1" x14ac:dyDescent="0.3">
      <c r="A955" s="13"/>
      <c r="B955" s="34"/>
      <c r="C955" s="281" t="str">
        <f>_xlfn.CONCAT(_xlfn.XLOOKUP("[S05_DefaultValues][753][InstallationCategory]",Submission!$O:$O,Submission!$H:$N,""))</f>
        <v/>
      </c>
      <c r="D955" s="350"/>
      <c r="E955" s="350"/>
      <c r="F955" s="350"/>
      <c r="G955" s="347"/>
      <c r="H955" s="123" t="str">
        <f>_xlfn.CONCAT(_xlfn.XLOOKUP("[S05_DefaultValues][753][FuelMaterialType]",Submission!$O:$O,Submission!$H:$N,""))</f>
        <v/>
      </c>
      <c r="I955" s="106" t="str">
        <f>_xlfn.CONCAT(_xlfn.XLOOKUP("[S05_DefaultValues][753][InstallationNumber]",Submission!$O:$O,Submission!$H:$N,""))</f>
        <v/>
      </c>
    </row>
    <row r="956" spans="1:9" ht="15.9" hidden="1" customHeight="1" outlineLevel="1" x14ac:dyDescent="0.3">
      <c r="A956" s="13"/>
      <c r="B956" s="34"/>
      <c r="C956" s="281" t="str">
        <f>_xlfn.CONCAT(_xlfn.XLOOKUP("[S05_DefaultValues][754][InstallationCategory]",Submission!$O:$O,Submission!$H:$N,""))</f>
        <v/>
      </c>
      <c r="D956" s="350"/>
      <c r="E956" s="350"/>
      <c r="F956" s="350"/>
      <c r="G956" s="347"/>
      <c r="H956" s="123" t="str">
        <f>_xlfn.CONCAT(_xlfn.XLOOKUP("[S05_DefaultValues][754][FuelMaterialType]",Submission!$O:$O,Submission!$H:$N,""))</f>
        <v/>
      </c>
      <c r="I956" s="106" t="str">
        <f>_xlfn.CONCAT(_xlfn.XLOOKUP("[S05_DefaultValues][754][InstallationNumber]",Submission!$O:$O,Submission!$H:$N,""))</f>
        <v/>
      </c>
    </row>
    <row r="957" spans="1:9" ht="15.9" hidden="1" customHeight="1" outlineLevel="1" x14ac:dyDescent="0.3">
      <c r="A957" s="13"/>
      <c r="B957" s="34"/>
      <c r="C957" s="281" t="str">
        <f>_xlfn.CONCAT(_xlfn.XLOOKUP("[S05_DefaultValues][755][InstallationCategory]",Submission!$O:$O,Submission!$H:$N,""))</f>
        <v/>
      </c>
      <c r="D957" s="350"/>
      <c r="E957" s="350"/>
      <c r="F957" s="350"/>
      <c r="G957" s="347"/>
      <c r="H957" s="123" t="str">
        <f>_xlfn.CONCAT(_xlfn.XLOOKUP("[S05_DefaultValues][755][FuelMaterialType]",Submission!$O:$O,Submission!$H:$N,""))</f>
        <v/>
      </c>
      <c r="I957" s="106" t="str">
        <f>_xlfn.CONCAT(_xlfn.XLOOKUP("[S05_DefaultValues][755][InstallationNumber]",Submission!$O:$O,Submission!$H:$N,""))</f>
        <v/>
      </c>
    </row>
    <row r="958" spans="1:9" ht="15.9" hidden="1" customHeight="1" outlineLevel="1" x14ac:dyDescent="0.3">
      <c r="A958" s="13"/>
      <c r="B958" s="34"/>
      <c r="C958" s="281" t="str">
        <f>_xlfn.CONCAT(_xlfn.XLOOKUP("[S05_DefaultValues][756][InstallationCategory]",Submission!$O:$O,Submission!$H:$N,""))</f>
        <v/>
      </c>
      <c r="D958" s="350"/>
      <c r="E958" s="350"/>
      <c r="F958" s="350"/>
      <c r="G958" s="347"/>
      <c r="H958" s="123" t="str">
        <f>_xlfn.CONCAT(_xlfn.XLOOKUP("[S05_DefaultValues][756][FuelMaterialType]",Submission!$O:$O,Submission!$H:$N,""))</f>
        <v/>
      </c>
      <c r="I958" s="106" t="str">
        <f>_xlfn.CONCAT(_xlfn.XLOOKUP("[S05_DefaultValues][756][InstallationNumber]",Submission!$O:$O,Submission!$H:$N,""))</f>
        <v/>
      </c>
    </row>
    <row r="959" spans="1:9" ht="15.9" hidden="1" customHeight="1" outlineLevel="1" x14ac:dyDescent="0.3">
      <c r="A959" s="13"/>
      <c r="B959" s="34"/>
      <c r="C959" s="281" t="str">
        <f>_xlfn.CONCAT(_xlfn.XLOOKUP("[S05_DefaultValues][757][InstallationCategory]",Submission!$O:$O,Submission!$H:$N,""))</f>
        <v/>
      </c>
      <c r="D959" s="350"/>
      <c r="E959" s="350"/>
      <c r="F959" s="350"/>
      <c r="G959" s="347"/>
      <c r="H959" s="123" t="str">
        <f>_xlfn.CONCAT(_xlfn.XLOOKUP("[S05_DefaultValues][757][FuelMaterialType]",Submission!$O:$O,Submission!$H:$N,""))</f>
        <v/>
      </c>
      <c r="I959" s="106" t="str">
        <f>_xlfn.CONCAT(_xlfn.XLOOKUP("[S05_DefaultValues][757][InstallationNumber]",Submission!$O:$O,Submission!$H:$N,""))</f>
        <v/>
      </c>
    </row>
    <row r="960" spans="1:9" ht="15.9" hidden="1" customHeight="1" outlineLevel="1" x14ac:dyDescent="0.3">
      <c r="A960" s="13"/>
      <c r="B960" s="34"/>
      <c r="C960" s="281" t="str">
        <f>_xlfn.CONCAT(_xlfn.XLOOKUP("[S05_DefaultValues][758][InstallationCategory]",Submission!$O:$O,Submission!$H:$N,""))</f>
        <v/>
      </c>
      <c r="D960" s="350"/>
      <c r="E960" s="350"/>
      <c r="F960" s="350"/>
      <c r="G960" s="347"/>
      <c r="H960" s="123" t="str">
        <f>_xlfn.CONCAT(_xlfn.XLOOKUP("[S05_DefaultValues][758][FuelMaterialType]",Submission!$O:$O,Submission!$H:$N,""))</f>
        <v/>
      </c>
      <c r="I960" s="106" t="str">
        <f>_xlfn.CONCAT(_xlfn.XLOOKUP("[S05_DefaultValues][758][InstallationNumber]",Submission!$O:$O,Submission!$H:$N,""))</f>
        <v/>
      </c>
    </row>
    <row r="961" spans="1:9" ht="15.9" hidden="1" customHeight="1" outlineLevel="1" x14ac:dyDescent="0.3">
      <c r="A961" s="13"/>
      <c r="B961" s="34"/>
      <c r="C961" s="281" t="str">
        <f>_xlfn.CONCAT(_xlfn.XLOOKUP("[S05_DefaultValues][759][InstallationCategory]",Submission!$O:$O,Submission!$H:$N,""))</f>
        <v/>
      </c>
      <c r="D961" s="350"/>
      <c r="E961" s="350"/>
      <c r="F961" s="350"/>
      <c r="G961" s="347"/>
      <c r="H961" s="123" t="str">
        <f>_xlfn.CONCAT(_xlfn.XLOOKUP("[S05_DefaultValues][759][FuelMaterialType]",Submission!$O:$O,Submission!$H:$N,""))</f>
        <v/>
      </c>
      <c r="I961" s="106" t="str">
        <f>_xlfn.CONCAT(_xlfn.XLOOKUP("[S05_DefaultValues][759][InstallationNumber]",Submission!$O:$O,Submission!$H:$N,""))</f>
        <v/>
      </c>
    </row>
    <row r="962" spans="1:9" ht="15.9" hidden="1" customHeight="1" outlineLevel="1" x14ac:dyDescent="0.3">
      <c r="A962" s="13"/>
      <c r="B962" s="34"/>
      <c r="C962" s="281" t="str">
        <f>_xlfn.CONCAT(_xlfn.XLOOKUP("[S05_DefaultValues][760][InstallationCategory]",Submission!$O:$O,Submission!$H:$N,""))</f>
        <v/>
      </c>
      <c r="D962" s="350"/>
      <c r="E962" s="350"/>
      <c r="F962" s="350"/>
      <c r="G962" s="347"/>
      <c r="H962" s="123" t="str">
        <f>_xlfn.CONCAT(_xlfn.XLOOKUP("[S05_DefaultValues][760][FuelMaterialType]",Submission!$O:$O,Submission!$H:$N,""))</f>
        <v/>
      </c>
      <c r="I962" s="106" t="str">
        <f>_xlfn.CONCAT(_xlfn.XLOOKUP("[S05_DefaultValues][760][InstallationNumber]",Submission!$O:$O,Submission!$H:$N,""))</f>
        <v/>
      </c>
    </row>
    <row r="963" spans="1:9" ht="15.9" hidden="1" customHeight="1" outlineLevel="1" x14ac:dyDescent="0.3">
      <c r="A963" s="13"/>
      <c r="B963" s="34"/>
      <c r="C963" s="281" t="str">
        <f>_xlfn.CONCAT(_xlfn.XLOOKUP("[S05_DefaultValues][761][InstallationCategory]",Submission!$O:$O,Submission!$H:$N,""))</f>
        <v/>
      </c>
      <c r="D963" s="350"/>
      <c r="E963" s="350"/>
      <c r="F963" s="350"/>
      <c r="G963" s="347"/>
      <c r="H963" s="123" t="str">
        <f>_xlfn.CONCAT(_xlfn.XLOOKUP("[S05_DefaultValues][761][FuelMaterialType]",Submission!$O:$O,Submission!$H:$N,""))</f>
        <v/>
      </c>
      <c r="I963" s="106" t="str">
        <f>_xlfn.CONCAT(_xlfn.XLOOKUP("[S05_DefaultValues][761][InstallationNumber]",Submission!$O:$O,Submission!$H:$N,""))</f>
        <v/>
      </c>
    </row>
    <row r="964" spans="1:9" ht="15.9" hidden="1" customHeight="1" outlineLevel="1" x14ac:dyDescent="0.3">
      <c r="A964" s="13"/>
      <c r="B964" s="34"/>
      <c r="C964" s="281" t="str">
        <f>_xlfn.CONCAT(_xlfn.XLOOKUP("[S05_DefaultValues][762][InstallationCategory]",Submission!$O:$O,Submission!$H:$N,""))</f>
        <v/>
      </c>
      <c r="D964" s="350"/>
      <c r="E964" s="350"/>
      <c r="F964" s="350"/>
      <c r="G964" s="347"/>
      <c r="H964" s="123" t="str">
        <f>_xlfn.CONCAT(_xlfn.XLOOKUP("[S05_DefaultValues][762][FuelMaterialType]",Submission!$O:$O,Submission!$H:$N,""))</f>
        <v/>
      </c>
      <c r="I964" s="106" t="str">
        <f>_xlfn.CONCAT(_xlfn.XLOOKUP("[S05_DefaultValues][762][InstallationNumber]",Submission!$O:$O,Submission!$H:$N,""))</f>
        <v/>
      </c>
    </row>
    <row r="965" spans="1:9" ht="15.9" hidden="1" customHeight="1" outlineLevel="1" x14ac:dyDescent="0.3">
      <c r="A965" s="13"/>
      <c r="B965" s="34"/>
      <c r="C965" s="281" t="str">
        <f>_xlfn.CONCAT(_xlfn.XLOOKUP("[S05_DefaultValues][763][InstallationCategory]",Submission!$O:$O,Submission!$H:$N,""))</f>
        <v/>
      </c>
      <c r="D965" s="350"/>
      <c r="E965" s="350"/>
      <c r="F965" s="350"/>
      <c r="G965" s="347"/>
      <c r="H965" s="123" t="str">
        <f>_xlfn.CONCAT(_xlfn.XLOOKUP("[S05_DefaultValues][763][FuelMaterialType]",Submission!$O:$O,Submission!$H:$N,""))</f>
        <v/>
      </c>
      <c r="I965" s="106" t="str">
        <f>_xlfn.CONCAT(_xlfn.XLOOKUP("[S05_DefaultValues][763][InstallationNumber]",Submission!$O:$O,Submission!$H:$N,""))</f>
        <v/>
      </c>
    </row>
    <row r="966" spans="1:9" ht="15.9" hidden="1" customHeight="1" outlineLevel="1" x14ac:dyDescent="0.3">
      <c r="A966" s="13"/>
      <c r="B966" s="34"/>
      <c r="C966" s="281" t="str">
        <f>_xlfn.CONCAT(_xlfn.XLOOKUP("[S05_DefaultValues][764][InstallationCategory]",Submission!$O:$O,Submission!$H:$N,""))</f>
        <v/>
      </c>
      <c r="D966" s="350"/>
      <c r="E966" s="350"/>
      <c r="F966" s="350"/>
      <c r="G966" s="347"/>
      <c r="H966" s="123" t="str">
        <f>_xlfn.CONCAT(_xlfn.XLOOKUP("[S05_DefaultValues][764][FuelMaterialType]",Submission!$O:$O,Submission!$H:$N,""))</f>
        <v/>
      </c>
      <c r="I966" s="106" t="str">
        <f>_xlfn.CONCAT(_xlfn.XLOOKUP("[S05_DefaultValues][764][InstallationNumber]",Submission!$O:$O,Submission!$H:$N,""))</f>
        <v/>
      </c>
    </row>
    <row r="967" spans="1:9" ht="15.9" hidden="1" customHeight="1" outlineLevel="1" x14ac:dyDescent="0.3">
      <c r="A967" s="13"/>
      <c r="B967" s="34"/>
      <c r="C967" s="281" t="str">
        <f>_xlfn.CONCAT(_xlfn.XLOOKUP("[S05_DefaultValues][765][InstallationCategory]",Submission!$O:$O,Submission!$H:$N,""))</f>
        <v/>
      </c>
      <c r="D967" s="350"/>
      <c r="E967" s="350"/>
      <c r="F967" s="350"/>
      <c r="G967" s="347"/>
      <c r="H967" s="123" t="str">
        <f>_xlfn.CONCAT(_xlfn.XLOOKUP("[S05_DefaultValues][765][FuelMaterialType]",Submission!$O:$O,Submission!$H:$N,""))</f>
        <v/>
      </c>
      <c r="I967" s="106" t="str">
        <f>_xlfn.CONCAT(_xlfn.XLOOKUP("[S05_DefaultValues][765][InstallationNumber]",Submission!$O:$O,Submission!$H:$N,""))</f>
        <v/>
      </c>
    </row>
    <row r="968" spans="1:9" ht="15.9" hidden="1" customHeight="1" outlineLevel="1" x14ac:dyDescent="0.3">
      <c r="A968" s="13"/>
      <c r="B968" s="34"/>
      <c r="C968" s="281" t="str">
        <f>_xlfn.CONCAT(_xlfn.XLOOKUP("[S05_DefaultValues][766][InstallationCategory]",Submission!$O:$O,Submission!$H:$N,""))</f>
        <v/>
      </c>
      <c r="D968" s="350"/>
      <c r="E968" s="350"/>
      <c r="F968" s="350"/>
      <c r="G968" s="347"/>
      <c r="H968" s="123" t="str">
        <f>_xlfn.CONCAT(_xlfn.XLOOKUP("[S05_DefaultValues][766][FuelMaterialType]",Submission!$O:$O,Submission!$H:$N,""))</f>
        <v/>
      </c>
      <c r="I968" s="106" t="str">
        <f>_xlfn.CONCAT(_xlfn.XLOOKUP("[S05_DefaultValues][766][InstallationNumber]",Submission!$O:$O,Submission!$H:$N,""))</f>
        <v/>
      </c>
    </row>
    <row r="969" spans="1:9" ht="15.9" hidden="1" customHeight="1" outlineLevel="1" x14ac:dyDescent="0.3">
      <c r="A969" s="13"/>
      <c r="B969" s="34"/>
      <c r="C969" s="281" t="str">
        <f>_xlfn.CONCAT(_xlfn.XLOOKUP("[S05_DefaultValues][767][InstallationCategory]",Submission!$O:$O,Submission!$H:$N,""))</f>
        <v/>
      </c>
      <c r="D969" s="350"/>
      <c r="E969" s="350"/>
      <c r="F969" s="350"/>
      <c r="G969" s="347"/>
      <c r="H969" s="123" t="str">
        <f>_xlfn.CONCAT(_xlfn.XLOOKUP("[S05_DefaultValues][767][FuelMaterialType]",Submission!$O:$O,Submission!$H:$N,""))</f>
        <v/>
      </c>
      <c r="I969" s="106" t="str">
        <f>_xlfn.CONCAT(_xlfn.XLOOKUP("[S05_DefaultValues][767][InstallationNumber]",Submission!$O:$O,Submission!$H:$N,""))</f>
        <v/>
      </c>
    </row>
    <row r="970" spans="1:9" ht="15.9" hidden="1" customHeight="1" outlineLevel="1" x14ac:dyDescent="0.3">
      <c r="A970" s="13"/>
      <c r="B970" s="34"/>
      <c r="C970" s="281" t="str">
        <f>_xlfn.CONCAT(_xlfn.XLOOKUP("[S05_DefaultValues][768][InstallationCategory]",Submission!$O:$O,Submission!$H:$N,""))</f>
        <v/>
      </c>
      <c r="D970" s="350"/>
      <c r="E970" s="350"/>
      <c r="F970" s="350"/>
      <c r="G970" s="347"/>
      <c r="H970" s="123" t="str">
        <f>_xlfn.CONCAT(_xlfn.XLOOKUP("[S05_DefaultValues][768][FuelMaterialType]",Submission!$O:$O,Submission!$H:$N,""))</f>
        <v/>
      </c>
      <c r="I970" s="106" t="str">
        <f>_xlfn.CONCAT(_xlfn.XLOOKUP("[S05_DefaultValues][768][InstallationNumber]",Submission!$O:$O,Submission!$H:$N,""))</f>
        <v/>
      </c>
    </row>
    <row r="971" spans="1:9" ht="15.9" hidden="1" customHeight="1" outlineLevel="1" x14ac:dyDescent="0.3">
      <c r="A971" s="13"/>
      <c r="B971" s="34"/>
      <c r="C971" s="281" t="str">
        <f>_xlfn.CONCAT(_xlfn.XLOOKUP("[S05_DefaultValues][769][InstallationCategory]",Submission!$O:$O,Submission!$H:$N,""))</f>
        <v/>
      </c>
      <c r="D971" s="350"/>
      <c r="E971" s="350"/>
      <c r="F971" s="350"/>
      <c r="G971" s="347"/>
      <c r="H971" s="123" t="str">
        <f>_xlfn.CONCAT(_xlfn.XLOOKUP("[S05_DefaultValues][769][FuelMaterialType]",Submission!$O:$O,Submission!$H:$N,""))</f>
        <v/>
      </c>
      <c r="I971" s="106" t="str">
        <f>_xlfn.CONCAT(_xlfn.XLOOKUP("[S05_DefaultValues][769][InstallationNumber]",Submission!$O:$O,Submission!$H:$N,""))</f>
        <v/>
      </c>
    </row>
    <row r="972" spans="1:9" ht="15.9" hidden="1" customHeight="1" outlineLevel="1" x14ac:dyDescent="0.3">
      <c r="A972" s="13"/>
      <c r="B972" s="34"/>
      <c r="C972" s="281" t="str">
        <f>_xlfn.CONCAT(_xlfn.XLOOKUP("[S05_DefaultValues][770][InstallationCategory]",Submission!$O:$O,Submission!$H:$N,""))</f>
        <v/>
      </c>
      <c r="D972" s="350"/>
      <c r="E972" s="350"/>
      <c r="F972" s="350"/>
      <c r="G972" s="347"/>
      <c r="H972" s="123" t="str">
        <f>_xlfn.CONCAT(_xlfn.XLOOKUP("[S05_DefaultValues][770][FuelMaterialType]",Submission!$O:$O,Submission!$H:$N,""))</f>
        <v/>
      </c>
      <c r="I972" s="106" t="str">
        <f>_xlfn.CONCAT(_xlfn.XLOOKUP("[S05_DefaultValues][770][InstallationNumber]",Submission!$O:$O,Submission!$H:$N,""))</f>
        <v/>
      </c>
    </row>
    <row r="973" spans="1:9" ht="15.9" hidden="1" customHeight="1" outlineLevel="1" x14ac:dyDescent="0.3">
      <c r="A973" s="13"/>
      <c r="B973" s="34"/>
      <c r="C973" s="281" t="str">
        <f>_xlfn.CONCAT(_xlfn.XLOOKUP("[S05_DefaultValues][771][InstallationCategory]",Submission!$O:$O,Submission!$H:$N,""))</f>
        <v/>
      </c>
      <c r="D973" s="350"/>
      <c r="E973" s="350"/>
      <c r="F973" s="350"/>
      <c r="G973" s="347"/>
      <c r="H973" s="123" t="str">
        <f>_xlfn.CONCAT(_xlfn.XLOOKUP("[S05_DefaultValues][771][FuelMaterialType]",Submission!$O:$O,Submission!$H:$N,""))</f>
        <v/>
      </c>
      <c r="I973" s="106" t="str">
        <f>_xlfn.CONCAT(_xlfn.XLOOKUP("[S05_DefaultValues][771][InstallationNumber]",Submission!$O:$O,Submission!$H:$N,""))</f>
        <v/>
      </c>
    </row>
    <row r="974" spans="1:9" ht="15.9" hidden="1" customHeight="1" outlineLevel="1" x14ac:dyDescent="0.3">
      <c r="A974" s="13"/>
      <c r="B974" s="34"/>
      <c r="C974" s="281" t="str">
        <f>_xlfn.CONCAT(_xlfn.XLOOKUP("[S05_DefaultValues][772][InstallationCategory]",Submission!$O:$O,Submission!$H:$N,""))</f>
        <v/>
      </c>
      <c r="D974" s="350"/>
      <c r="E974" s="350"/>
      <c r="F974" s="350"/>
      <c r="G974" s="347"/>
      <c r="H974" s="123" t="str">
        <f>_xlfn.CONCAT(_xlfn.XLOOKUP("[S05_DefaultValues][772][FuelMaterialType]",Submission!$O:$O,Submission!$H:$N,""))</f>
        <v/>
      </c>
      <c r="I974" s="106" t="str">
        <f>_xlfn.CONCAT(_xlfn.XLOOKUP("[S05_DefaultValues][772][InstallationNumber]",Submission!$O:$O,Submission!$H:$N,""))</f>
        <v/>
      </c>
    </row>
    <row r="975" spans="1:9" ht="15.9" hidden="1" customHeight="1" outlineLevel="1" x14ac:dyDescent="0.3">
      <c r="A975" s="13"/>
      <c r="B975" s="34"/>
      <c r="C975" s="281" t="str">
        <f>_xlfn.CONCAT(_xlfn.XLOOKUP("[S05_DefaultValues][773][InstallationCategory]",Submission!$O:$O,Submission!$H:$N,""))</f>
        <v/>
      </c>
      <c r="D975" s="350"/>
      <c r="E975" s="350"/>
      <c r="F975" s="350"/>
      <c r="G975" s="347"/>
      <c r="H975" s="123" t="str">
        <f>_xlfn.CONCAT(_xlfn.XLOOKUP("[S05_DefaultValues][773][FuelMaterialType]",Submission!$O:$O,Submission!$H:$N,""))</f>
        <v/>
      </c>
      <c r="I975" s="106" t="str">
        <f>_xlfn.CONCAT(_xlfn.XLOOKUP("[S05_DefaultValues][773][InstallationNumber]",Submission!$O:$O,Submission!$H:$N,""))</f>
        <v/>
      </c>
    </row>
    <row r="976" spans="1:9" ht="15.9" hidden="1" customHeight="1" outlineLevel="1" x14ac:dyDescent="0.3">
      <c r="A976" s="13"/>
      <c r="B976" s="34"/>
      <c r="C976" s="281" t="str">
        <f>_xlfn.CONCAT(_xlfn.XLOOKUP("[S05_DefaultValues][774][InstallationCategory]",Submission!$O:$O,Submission!$H:$N,""))</f>
        <v/>
      </c>
      <c r="D976" s="350"/>
      <c r="E976" s="350"/>
      <c r="F976" s="350"/>
      <c r="G976" s="347"/>
      <c r="H976" s="123" t="str">
        <f>_xlfn.CONCAT(_xlfn.XLOOKUP("[S05_DefaultValues][774][FuelMaterialType]",Submission!$O:$O,Submission!$H:$N,""))</f>
        <v/>
      </c>
      <c r="I976" s="106" t="str">
        <f>_xlfn.CONCAT(_xlfn.XLOOKUP("[S05_DefaultValues][774][InstallationNumber]",Submission!$O:$O,Submission!$H:$N,""))</f>
        <v/>
      </c>
    </row>
    <row r="977" spans="1:9" ht="15.9" hidden="1" customHeight="1" outlineLevel="1" x14ac:dyDescent="0.3">
      <c r="A977" s="13"/>
      <c r="B977" s="34"/>
      <c r="C977" s="281" t="str">
        <f>_xlfn.CONCAT(_xlfn.XLOOKUP("[S05_DefaultValues][775][InstallationCategory]",Submission!$O:$O,Submission!$H:$N,""))</f>
        <v/>
      </c>
      <c r="D977" s="350"/>
      <c r="E977" s="350"/>
      <c r="F977" s="350"/>
      <c r="G977" s="347"/>
      <c r="H977" s="123" t="str">
        <f>_xlfn.CONCAT(_xlfn.XLOOKUP("[S05_DefaultValues][775][FuelMaterialType]",Submission!$O:$O,Submission!$H:$N,""))</f>
        <v/>
      </c>
      <c r="I977" s="106" t="str">
        <f>_xlfn.CONCAT(_xlfn.XLOOKUP("[S05_DefaultValues][775][InstallationNumber]",Submission!$O:$O,Submission!$H:$N,""))</f>
        <v/>
      </c>
    </row>
    <row r="978" spans="1:9" ht="15.9" hidden="1" customHeight="1" outlineLevel="1" x14ac:dyDescent="0.3">
      <c r="A978" s="13"/>
      <c r="B978" s="34"/>
      <c r="C978" s="281" t="str">
        <f>_xlfn.CONCAT(_xlfn.XLOOKUP("[S05_DefaultValues][776][InstallationCategory]",Submission!$O:$O,Submission!$H:$N,""))</f>
        <v/>
      </c>
      <c r="D978" s="350"/>
      <c r="E978" s="350"/>
      <c r="F978" s="350"/>
      <c r="G978" s="347"/>
      <c r="H978" s="123" t="str">
        <f>_xlfn.CONCAT(_xlfn.XLOOKUP("[S05_DefaultValues][776][FuelMaterialType]",Submission!$O:$O,Submission!$H:$N,""))</f>
        <v/>
      </c>
      <c r="I978" s="106" t="str">
        <f>_xlfn.CONCAT(_xlfn.XLOOKUP("[S05_DefaultValues][776][InstallationNumber]",Submission!$O:$O,Submission!$H:$N,""))</f>
        <v/>
      </c>
    </row>
    <row r="979" spans="1:9" ht="15.9" hidden="1" customHeight="1" outlineLevel="1" x14ac:dyDescent="0.3">
      <c r="A979" s="13"/>
      <c r="B979" s="34"/>
      <c r="C979" s="281" t="str">
        <f>_xlfn.CONCAT(_xlfn.XLOOKUP("[S05_DefaultValues][777][InstallationCategory]",Submission!$O:$O,Submission!$H:$N,""))</f>
        <v/>
      </c>
      <c r="D979" s="350"/>
      <c r="E979" s="350"/>
      <c r="F979" s="350"/>
      <c r="G979" s="347"/>
      <c r="H979" s="123" t="str">
        <f>_xlfn.CONCAT(_xlfn.XLOOKUP("[S05_DefaultValues][777][FuelMaterialType]",Submission!$O:$O,Submission!$H:$N,""))</f>
        <v/>
      </c>
      <c r="I979" s="106" t="str">
        <f>_xlfn.CONCAT(_xlfn.XLOOKUP("[S05_DefaultValues][777][InstallationNumber]",Submission!$O:$O,Submission!$H:$N,""))</f>
        <v/>
      </c>
    </row>
    <row r="980" spans="1:9" ht="15.9" hidden="1" customHeight="1" outlineLevel="1" x14ac:dyDescent="0.3">
      <c r="A980" s="13"/>
      <c r="B980" s="34"/>
      <c r="C980" s="281" t="str">
        <f>_xlfn.CONCAT(_xlfn.XLOOKUP("[S05_DefaultValues][778][InstallationCategory]",Submission!$O:$O,Submission!$H:$N,""))</f>
        <v/>
      </c>
      <c r="D980" s="350"/>
      <c r="E980" s="350"/>
      <c r="F980" s="350"/>
      <c r="G980" s="347"/>
      <c r="H980" s="123" t="str">
        <f>_xlfn.CONCAT(_xlfn.XLOOKUP("[S05_DefaultValues][778][FuelMaterialType]",Submission!$O:$O,Submission!$H:$N,""))</f>
        <v/>
      </c>
      <c r="I980" s="106" t="str">
        <f>_xlfn.CONCAT(_xlfn.XLOOKUP("[S05_DefaultValues][778][InstallationNumber]",Submission!$O:$O,Submission!$H:$N,""))</f>
        <v/>
      </c>
    </row>
    <row r="981" spans="1:9" ht="15.9" hidden="1" customHeight="1" outlineLevel="1" x14ac:dyDescent="0.3">
      <c r="A981" s="13"/>
      <c r="B981" s="34"/>
      <c r="C981" s="281" t="str">
        <f>_xlfn.CONCAT(_xlfn.XLOOKUP("[S05_DefaultValues][779][InstallationCategory]",Submission!$O:$O,Submission!$H:$N,""))</f>
        <v/>
      </c>
      <c r="D981" s="350"/>
      <c r="E981" s="350"/>
      <c r="F981" s="350"/>
      <c r="G981" s="347"/>
      <c r="H981" s="123" t="str">
        <f>_xlfn.CONCAT(_xlfn.XLOOKUP("[S05_DefaultValues][779][FuelMaterialType]",Submission!$O:$O,Submission!$H:$N,""))</f>
        <v/>
      </c>
      <c r="I981" s="106" t="str">
        <f>_xlfn.CONCAT(_xlfn.XLOOKUP("[S05_DefaultValues][779][InstallationNumber]",Submission!$O:$O,Submission!$H:$N,""))</f>
        <v/>
      </c>
    </row>
    <row r="982" spans="1:9" ht="15.9" hidden="1" customHeight="1" outlineLevel="1" x14ac:dyDescent="0.3">
      <c r="A982" s="13"/>
      <c r="B982" s="34"/>
      <c r="C982" s="281" t="str">
        <f>_xlfn.CONCAT(_xlfn.XLOOKUP("[S05_DefaultValues][780][InstallationCategory]",Submission!$O:$O,Submission!$H:$N,""))</f>
        <v/>
      </c>
      <c r="D982" s="350"/>
      <c r="E982" s="350"/>
      <c r="F982" s="350"/>
      <c r="G982" s="347"/>
      <c r="H982" s="123" t="str">
        <f>_xlfn.CONCAT(_xlfn.XLOOKUP("[S05_DefaultValues][780][FuelMaterialType]",Submission!$O:$O,Submission!$H:$N,""))</f>
        <v/>
      </c>
      <c r="I982" s="106" t="str">
        <f>_xlfn.CONCAT(_xlfn.XLOOKUP("[S05_DefaultValues][780][InstallationNumber]",Submission!$O:$O,Submission!$H:$N,""))</f>
        <v/>
      </c>
    </row>
    <row r="983" spans="1:9" ht="15.9" hidden="1" customHeight="1" outlineLevel="1" x14ac:dyDescent="0.3">
      <c r="A983" s="13"/>
      <c r="B983" s="34"/>
      <c r="C983" s="281" t="str">
        <f>_xlfn.CONCAT(_xlfn.XLOOKUP("[S05_DefaultValues][781][InstallationCategory]",Submission!$O:$O,Submission!$H:$N,""))</f>
        <v/>
      </c>
      <c r="D983" s="350"/>
      <c r="E983" s="350"/>
      <c r="F983" s="350"/>
      <c r="G983" s="347"/>
      <c r="H983" s="123" t="str">
        <f>_xlfn.CONCAT(_xlfn.XLOOKUP("[S05_DefaultValues][781][FuelMaterialType]",Submission!$O:$O,Submission!$H:$N,""))</f>
        <v/>
      </c>
      <c r="I983" s="106" t="str">
        <f>_xlfn.CONCAT(_xlfn.XLOOKUP("[S05_DefaultValues][781][InstallationNumber]",Submission!$O:$O,Submission!$H:$N,""))</f>
        <v/>
      </c>
    </row>
    <row r="984" spans="1:9" ht="15.9" hidden="1" customHeight="1" outlineLevel="1" x14ac:dyDescent="0.3">
      <c r="A984" s="13"/>
      <c r="B984" s="34"/>
      <c r="C984" s="281" t="str">
        <f>_xlfn.CONCAT(_xlfn.XLOOKUP("[S05_DefaultValues][782][InstallationCategory]",Submission!$O:$O,Submission!$H:$N,""))</f>
        <v/>
      </c>
      <c r="D984" s="350"/>
      <c r="E984" s="350"/>
      <c r="F984" s="350"/>
      <c r="G984" s="347"/>
      <c r="H984" s="123" t="str">
        <f>_xlfn.CONCAT(_xlfn.XLOOKUP("[S05_DefaultValues][782][FuelMaterialType]",Submission!$O:$O,Submission!$H:$N,""))</f>
        <v/>
      </c>
      <c r="I984" s="106" t="str">
        <f>_xlfn.CONCAT(_xlfn.XLOOKUP("[S05_DefaultValues][782][InstallationNumber]",Submission!$O:$O,Submission!$H:$N,""))</f>
        <v/>
      </c>
    </row>
    <row r="985" spans="1:9" ht="15.9" hidden="1" customHeight="1" outlineLevel="1" x14ac:dyDescent="0.3">
      <c r="A985" s="13"/>
      <c r="B985" s="34"/>
      <c r="C985" s="281" t="str">
        <f>_xlfn.CONCAT(_xlfn.XLOOKUP("[S05_DefaultValues][783][InstallationCategory]",Submission!$O:$O,Submission!$H:$N,""))</f>
        <v/>
      </c>
      <c r="D985" s="350"/>
      <c r="E985" s="350"/>
      <c r="F985" s="350"/>
      <c r="G985" s="347"/>
      <c r="H985" s="123" t="str">
        <f>_xlfn.CONCAT(_xlfn.XLOOKUP("[S05_DefaultValues][783][FuelMaterialType]",Submission!$O:$O,Submission!$H:$N,""))</f>
        <v/>
      </c>
      <c r="I985" s="106" t="str">
        <f>_xlfn.CONCAT(_xlfn.XLOOKUP("[S05_DefaultValues][783][InstallationNumber]",Submission!$O:$O,Submission!$H:$N,""))</f>
        <v/>
      </c>
    </row>
    <row r="986" spans="1:9" ht="15.9" hidden="1" customHeight="1" outlineLevel="1" x14ac:dyDescent="0.3">
      <c r="A986" s="13"/>
      <c r="B986" s="34"/>
      <c r="C986" s="281" t="str">
        <f>_xlfn.CONCAT(_xlfn.XLOOKUP("[S05_DefaultValues][784][InstallationCategory]",Submission!$O:$O,Submission!$H:$N,""))</f>
        <v/>
      </c>
      <c r="D986" s="350"/>
      <c r="E986" s="350"/>
      <c r="F986" s="350"/>
      <c r="G986" s="347"/>
      <c r="H986" s="123" t="str">
        <f>_xlfn.CONCAT(_xlfn.XLOOKUP("[S05_DefaultValues][784][FuelMaterialType]",Submission!$O:$O,Submission!$H:$N,""))</f>
        <v/>
      </c>
      <c r="I986" s="106" t="str">
        <f>_xlfn.CONCAT(_xlfn.XLOOKUP("[S05_DefaultValues][784][InstallationNumber]",Submission!$O:$O,Submission!$H:$N,""))</f>
        <v/>
      </c>
    </row>
    <row r="987" spans="1:9" ht="15.9" hidden="1" customHeight="1" outlineLevel="1" x14ac:dyDescent="0.3">
      <c r="A987" s="13"/>
      <c r="B987" s="34"/>
      <c r="C987" s="281" t="str">
        <f>_xlfn.CONCAT(_xlfn.XLOOKUP("[S05_DefaultValues][785][InstallationCategory]",Submission!$O:$O,Submission!$H:$N,""))</f>
        <v/>
      </c>
      <c r="D987" s="350"/>
      <c r="E987" s="350"/>
      <c r="F987" s="350"/>
      <c r="G987" s="347"/>
      <c r="H987" s="123" t="str">
        <f>_xlfn.CONCAT(_xlfn.XLOOKUP("[S05_DefaultValues][785][FuelMaterialType]",Submission!$O:$O,Submission!$H:$N,""))</f>
        <v/>
      </c>
      <c r="I987" s="106" t="str">
        <f>_xlfn.CONCAT(_xlfn.XLOOKUP("[S05_DefaultValues][785][InstallationNumber]",Submission!$O:$O,Submission!$H:$N,""))</f>
        <v/>
      </c>
    </row>
    <row r="988" spans="1:9" ht="15.9" hidden="1" customHeight="1" outlineLevel="1" x14ac:dyDescent="0.3">
      <c r="A988" s="13"/>
      <c r="B988" s="34"/>
      <c r="C988" s="281" t="str">
        <f>_xlfn.CONCAT(_xlfn.XLOOKUP("[S05_DefaultValues][786][InstallationCategory]",Submission!$O:$O,Submission!$H:$N,""))</f>
        <v/>
      </c>
      <c r="D988" s="350"/>
      <c r="E988" s="350"/>
      <c r="F988" s="350"/>
      <c r="G988" s="347"/>
      <c r="H988" s="123" t="str">
        <f>_xlfn.CONCAT(_xlfn.XLOOKUP("[S05_DefaultValues][786][FuelMaterialType]",Submission!$O:$O,Submission!$H:$N,""))</f>
        <v/>
      </c>
      <c r="I988" s="106" t="str">
        <f>_xlfn.CONCAT(_xlfn.XLOOKUP("[S05_DefaultValues][786][InstallationNumber]",Submission!$O:$O,Submission!$H:$N,""))</f>
        <v/>
      </c>
    </row>
    <row r="989" spans="1:9" ht="15.9" hidden="1" customHeight="1" outlineLevel="1" x14ac:dyDescent="0.3">
      <c r="A989" s="13"/>
      <c r="B989" s="34"/>
      <c r="C989" s="281" t="str">
        <f>_xlfn.CONCAT(_xlfn.XLOOKUP("[S05_DefaultValues][787][InstallationCategory]",Submission!$O:$O,Submission!$H:$N,""))</f>
        <v/>
      </c>
      <c r="D989" s="350"/>
      <c r="E989" s="350"/>
      <c r="F989" s="350"/>
      <c r="G989" s="347"/>
      <c r="H989" s="123" t="str">
        <f>_xlfn.CONCAT(_xlfn.XLOOKUP("[S05_DefaultValues][787][FuelMaterialType]",Submission!$O:$O,Submission!$H:$N,""))</f>
        <v/>
      </c>
      <c r="I989" s="106" t="str">
        <f>_xlfn.CONCAT(_xlfn.XLOOKUP("[S05_DefaultValues][787][InstallationNumber]",Submission!$O:$O,Submission!$H:$N,""))</f>
        <v/>
      </c>
    </row>
    <row r="990" spans="1:9" ht="15.9" hidden="1" customHeight="1" outlineLevel="1" x14ac:dyDescent="0.3">
      <c r="A990" s="13"/>
      <c r="B990" s="34"/>
      <c r="C990" s="281" t="str">
        <f>_xlfn.CONCAT(_xlfn.XLOOKUP("[S05_DefaultValues][788][InstallationCategory]",Submission!$O:$O,Submission!$H:$N,""))</f>
        <v/>
      </c>
      <c r="D990" s="350"/>
      <c r="E990" s="350"/>
      <c r="F990" s="350"/>
      <c r="G990" s="347"/>
      <c r="H990" s="123" t="str">
        <f>_xlfn.CONCAT(_xlfn.XLOOKUP("[S05_DefaultValues][788][FuelMaterialType]",Submission!$O:$O,Submission!$H:$N,""))</f>
        <v/>
      </c>
      <c r="I990" s="106" t="str">
        <f>_xlfn.CONCAT(_xlfn.XLOOKUP("[S05_DefaultValues][788][InstallationNumber]",Submission!$O:$O,Submission!$H:$N,""))</f>
        <v/>
      </c>
    </row>
    <row r="991" spans="1:9" ht="15.9" hidden="1" customHeight="1" outlineLevel="1" x14ac:dyDescent="0.3">
      <c r="A991" s="13"/>
      <c r="B991" s="34"/>
      <c r="C991" s="281" t="str">
        <f>_xlfn.CONCAT(_xlfn.XLOOKUP("[S05_DefaultValues][789][InstallationCategory]",Submission!$O:$O,Submission!$H:$N,""))</f>
        <v/>
      </c>
      <c r="D991" s="350"/>
      <c r="E991" s="350"/>
      <c r="F991" s="350"/>
      <c r="G991" s="347"/>
      <c r="H991" s="123" t="str">
        <f>_xlfn.CONCAT(_xlfn.XLOOKUP("[S05_DefaultValues][789][FuelMaterialType]",Submission!$O:$O,Submission!$H:$N,""))</f>
        <v/>
      </c>
      <c r="I991" s="106" t="str">
        <f>_xlfn.CONCAT(_xlfn.XLOOKUP("[S05_DefaultValues][789][InstallationNumber]",Submission!$O:$O,Submission!$H:$N,""))</f>
        <v/>
      </c>
    </row>
    <row r="992" spans="1:9" ht="15.9" hidden="1" customHeight="1" outlineLevel="1" x14ac:dyDescent="0.3">
      <c r="A992" s="13"/>
      <c r="B992" s="34"/>
      <c r="C992" s="281" t="str">
        <f>_xlfn.CONCAT(_xlfn.XLOOKUP("[S05_DefaultValues][790][InstallationCategory]",Submission!$O:$O,Submission!$H:$N,""))</f>
        <v/>
      </c>
      <c r="D992" s="350"/>
      <c r="E992" s="350"/>
      <c r="F992" s="350"/>
      <c r="G992" s="347"/>
      <c r="H992" s="123" t="str">
        <f>_xlfn.CONCAT(_xlfn.XLOOKUP("[S05_DefaultValues][790][FuelMaterialType]",Submission!$O:$O,Submission!$H:$N,""))</f>
        <v/>
      </c>
      <c r="I992" s="106" t="str">
        <f>_xlfn.CONCAT(_xlfn.XLOOKUP("[S05_DefaultValues][790][InstallationNumber]",Submission!$O:$O,Submission!$H:$N,""))</f>
        <v/>
      </c>
    </row>
    <row r="993" spans="1:9" ht="15.9" hidden="1" customHeight="1" outlineLevel="1" x14ac:dyDescent="0.3">
      <c r="A993" s="13"/>
      <c r="B993" s="34"/>
      <c r="C993" s="281" t="str">
        <f>_xlfn.CONCAT(_xlfn.XLOOKUP("[S05_DefaultValues][791][InstallationCategory]",Submission!$O:$O,Submission!$H:$N,""))</f>
        <v/>
      </c>
      <c r="D993" s="350"/>
      <c r="E993" s="350"/>
      <c r="F993" s="350"/>
      <c r="G993" s="347"/>
      <c r="H993" s="123" t="str">
        <f>_xlfn.CONCAT(_xlfn.XLOOKUP("[S05_DefaultValues][791][FuelMaterialType]",Submission!$O:$O,Submission!$H:$N,""))</f>
        <v/>
      </c>
      <c r="I993" s="106" t="str">
        <f>_xlfn.CONCAT(_xlfn.XLOOKUP("[S05_DefaultValues][791][InstallationNumber]",Submission!$O:$O,Submission!$H:$N,""))</f>
        <v/>
      </c>
    </row>
    <row r="994" spans="1:9" ht="15.9" hidden="1" customHeight="1" outlineLevel="1" x14ac:dyDescent="0.3">
      <c r="A994" s="13"/>
      <c r="B994" s="34"/>
      <c r="C994" s="281" t="str">
        <f>_xlfn.CONCAT(_xlfn.XLOOKUP("[S05_DefaultValues][792][InstallationCategory]",Submission!$O:$O,Submission!$H:$N,""))</f>
        <v/>
      </c>
      <c r="D994" s="350"/>
      <c r="E994" s="350"/>
      <c r="F994" s="350"/>
      <c r="G994" s="347"/>
      <c r="H994" s="123" t="str">
        <f>_xlfn.CONCAT(_xlfn.XLOOKUP("[S05_DefaultValues][792][FuelMaterialType]",Submission!$O:$O,Submission!$H:$N,""))</f>
        <v/>
      </c>
      <c r="I994" s="106" t="str">
        <f>_xlfn.CONCAT(_xlfn.XLOOKUP("[S05_DefaultValues][792][InstallationNumber]",Submission!$O:$O,Submission!$H:$N,""))</f>
        <v/>
      </c>
    </row>
    <row r="995" spans="1:9" ht="15.9" hidden="1" customHeight="1" outlineLevel="1" x14ac:dyDescent="0.3">
      <c r="A995" s="13"/>
      <c r="B995" s="34"/>
      <c r="C995" s="281" t="str">
        <f>_xlfn.CONCAT(_xlfn.XLOOKUP("[S05_DefaultValues][793][InstallationCategory]",Submission!$O:$O,Submission!$H:$N,""))</f>
        <v/>
      </c>
      <c r="D995" s="350"/>
      <c r="E995" s="350"/>
      <c r="F995" s="350"/>
      <c r="G995" s="347"/>
      <c r="H995" s="123" t="str">
        <f>_xlfn.CONCAT(_xlfn.XLOOKUP("[S05_DefaultValues][793][FuelMaterialType]",Submission!$O:$O,Submission!$H:$N,""))</f>
        <v/>
      </c>
      <c r="I995" s="106" t="str">
        <f>_xlfn.CONCAT(_xlfn.XLOOKUP("[S05_DefaultValues][793][InstallationNumber]",Submission!$O:$O,Submission!$H:$N,""))</f>
        <v/>
      </c>
    </row>
    <row r="996" spans="1:9" ht="15.9" hidden="1" customHeight="1" outlineLevel="1" x14ac:dyDescent="0.3">
      <c r="A996" s="13"/>
      <c r="B996" s="34"/>
      <c r="C996" s="281" t="str">
        <f>_xlfn.CONCAT(_xlfn.XLOOKUP("[S05_DefaultValues][794][InstallationCategory]",Submission!$O:$O,Submission!$H:$N,""))</f>
        <v/>
      </c>
      <c r="D996" s="350"/>
      <c r="E996" s="350"/>
      <c r="F996" s="350"/>
      <c r="G996" s="347"/>
      <c r="H996" s="123" t="str">
        <f>_xlfn.CONCAT(_xlfn.XLOOKUP("[S05_DefaultValues][794][FuelMaterialType]",Submission!$O:$O,Submission!$H:$N,""))</f>
        <v/>
      </c>
      <c r="I996" s="106" t="str">
        <f>_xlfn.CONCAT(_xlfn.XLOOKUP("[S05_DefaultValues][794][InstallationNumber]",Submission!$O:$O,Submission!$H:$N,""))</f>
        <v/>
      </c>
    </row>
    <row r="997" spans="1:9" ht="15.9" hidden="1" customHeight="1" outlineLevel="1" x14ac:dyDescent="0.3">
      <c r="A997" s="13"/>
      <c r="B997" s="34"/>
      <c r="C997" s="281" t="str">
        <f>_xlfn.CONCAT(_xlfn.XLOOKUP("[S05_DefaultValues][795][InstallationCategory]",Submission!$O:$O,Submission!$H:$N,""))</f>
        <v/>
      </c>
      <c r="D997" s="350"/>
      <c r="E997" s="350"/>
      <c r="F997" s="350"/>
      <c r="G997" s="347"/>
      <c r="H997" s="123" t="str">
        <f>_xlfn.CONCAT(_xlfn.XLOOKUP("[S05_DefaultValues][795][FuelMaterialType]",Submission!$O:$O,Submission!$H:$N,""))</f>
        <v/>
      </c>
      <c r="I997" s="106" t="str">
        <f>_xlfn.CONCAT(_xlfn.XLOOKUP("[S05_DefaultValues][795][InstallationNumber]",Submission!$O:$O,Submission!$H:$N,""))</f>
        <v/>
      </c>
    </row>
    <row r="998" spans="1:9" ht="15.9" hidden="1" customHeight="1" outlineLevel="1" x14ac:dyDescent="0.3">
      <c r="A998" s="13"/>
      <c r="B998" s="34"/>
      <c r="C998" s="281" t="str">
        <f>_xlfn.CONCAT(_xlfn.XLOOKUP("[S05_DefaultValues][796][InstallationCategory]",Submission!$O:$O,Submission!$H:$N,""))</f>
        <v/>
      </c>
      <c r="D998" s="350"/>
      <c r="E998" s="350"/>
      <c r="F998" s="350"/>
      <c r="G998" s="347"/>
      <c r="H998" s="123" t="str">
        <f>_xlfn.CONCAT(_xlfn.XLOOKUP("[S05_DefaultValues][796][FuelMaterialType]",Submission!$O:$O,Submission!$H:$N,""))</f>
        <v/>
      </c>
      <c r="I998" s="106" t="str">
        <f>_xlfn.CONCAT(_xlfn.XLOOKUP("[S05_DefaultValues][796][InstallationNumber]",Submission!$O:$O,Submission!$H:$N,""))</f>
        <v/>
      </c>
    </row>
    <row r="999" spans="1:9" ht="15.9" hidden="1" customHeight="1" outlineLevel="1" x14ac:dyDescent="0.3">
      <c r="A999" s="13"/>
      <c r="B999" s="34"/>
      <c r="C999" s="281" t="str">
        <f>_xlfn.CONCAT(_xlfn.XLOOKUP("[S05_DefaultValues][797][InstallationCategory]",Submission!$O:$O,Submission!$H:$N,""))</f>
        <v/>
      </c>
      <c r="D999" s="350"/>
      <c r="E999" s="350"/>
      <c r="F999" s="350"/>
      <c r="G999" s="347"/>
      <c r="H999" s="123" t="str">
        <f>_xlfn.CONCAT(_xlfn.XLOOKUP("[S05_DefaultValues][797][FuelMaterialType]",Submission!$O:$O,Submission!$H:$N,""))</f>
        <v/>
      </c>
      <c r="I999" s="106" t="str">
        <f>_xlfn.CONCAT(_xlfn.XLOOKUP("[S05_DefaultValues][797][InstallationNumber]",Submission!$O:$O,Submission!$H:$N,""))</f>
        <v/>
      </c>
    </row>
    <row r="1000" spans="1:9" ht="15.9" hidden="1" customHeight="1" outlineLevel="1" x14ac:dyDescent="0.3">
      <c r="A1000" s="13"/>
      <c r="B1000" s="34"/>
      <c r="C1000" s="281" t="str">
        <f>_xlfn.CONCAT(_xlfn.XLOOKUP("[S05_DefaultValues][798][InstallationCategory]",Submission!$O:$O,Submission!$H:$N,""))</f>
        <v/>
      </c>
      <c r="D1000" s="350"/>
      <c r="E1000" s="350"/>
      <c r="F1000" s="350"/>
      <c r="G1000" s="347"/>
      <c r="H1000" s="123" t="str">
        <f>_xlfn.CONCAT(_xlfn.XLOOKUP("[S05_DefaultValues][798][FuelMaterialType]",Submission!$O:$O,Submission!$H:$N,""))</f>
        <v/>
      </c>
      <c r="I1000" s="106" t="str">
        <f>_xlfn.CONCAT(_xlfn.XLOOKUP("[S05_DefaultValues][798][InstallationNumber]",Submission!$O:$O,Submission!$H:$N,""))</f>
        <v/>
      </c>
    </row>
    <row r="1001" spans="1:9" ht="15.9" hidden="1" customHeight="1" outlineLevel="1" x14ac:dyDescent="0.3">
      <c r="A1001" s="13"/>
      <c r="B1001" s="34"/>
      <c r="C1001" s="281" t="str">
        <f>_xlfn.CONCAT(_xlfn.XLOOKUP("[S05_DefaultValues][799][InstallationCategory]",Submission!$O:$O,Submission!$H:$N,""))</f>
        <v/>
      </c>
      <c r="D1001" s="350"/>
      <c r="E1001" s="350"/>
      <c r="F1001" s="350"/>
      <c r="G1001" s="347"/>
      <c r="H1001" s="123" t="str">
        <f>_xlfn.CONCAT(_xlfn.XLOOKUP("[S05_DefaultValues][799][FuelMaterialType]",Submission!$O:$O,Submission!$H:$N,""))</f>
        <v/>
      </c>
      <c r="I1001" s="106" t="str">
        <f>_xlfn.CONCAT(_xlfn.XLOOKUP("[S05_DefaultValues][799][InstallationNumber]",Submission!$O:$O,Submission!$H:$N,""))</f>
        <v/>
      </c>
    </row>
    <row r="1002" spans="1:9" ht="15.9" hidden="1" customHeight="1" outlineLevel="1" x14ac:dyDescent="0.3">
      <c r="A1002" s="13"/>
      <c r="B1002" s="34"/>
      <c r="C1002" s="281" t="str">
        <f>_xlfn.CONCAT(_xlfn.XLOOKUP("[S05_DefaultValues][800][InstallationCategory]",Submission!$O:$O,Submission!$H:$N,""))</f>
        <v/>
      </c>
      <c r="D1002" s="350"/>
      <c r="E1002" s="350"/>
      <c r="F1002" s="350"/>
      <c r="G1002" s="347"/>
      <c r="H1002" s="123" t="str">
        <f>_xlfn.CONCAT(_xlfn.XLOOKUP("[S05_DefaultValues][800][FuelMaterialType]",Submission!$O:$O,Submission!$H:$N,""))</f>
        <v/>
      </c>
      <c r="I1002" s="106" t="str">
        <f>_xlfn.CONCAT(_xlfn.XLOOKUP("[S05_DefaultValues][800][InstallationNumber]",Submission!$O:$O,Submission!$H:$N,""))</f>
        <v/>
      </c>
    </row>
    <row r="1003" spans="1:9" ht="15.9" customHeight="1" collapsed="1" x14ac:dyDescent="0.3">
      <c r="B1003" s="26" t="s">
        <v>2</v>
      </c>
      <c r="C1003" s="19"/>
      <c r="D1003" s="31"/>
      <c r="E1003" s="33"/>
      <c r="F1003" s="33"/>
      <c r="G1003" s="35"/>
      <c r="H1003" s="35"/>
      <c r="I1003" s="35"/>
    </row>
    <row r="1004" spans="1:9" ht="15.75" customHeight="1" x14ac:dyDescent="0.3">
      <c r="B1004" s="34"/>
      <c r="C1004" s="367" t="s">
        <v>862</v>
      </c>
      <c r="D1004" s="367"/>
      <c r="E1004" s="367"/>
      <c r="F1004" s="367"/>
      <c r="G1004" s="367"/>
      <c r="H1004" s="367"/>
      <c r="I1004" s="367"/>
    </row>
    <row r="1005" spans="1:9" ht="15.9" customHeight="1" x14ac:dyDescent="0.3">
      <c r="B1005" s="34"/>
      <c r="C1005" s="33"/>
      <c r="D1005" s="31"/>
      <c r="E1005" s="33"/>
      <c r="F1005" s="33"/>
      <c r="G1005" s="35"/>
      <c r="H1005" s="35"/>
      <c r="I1005" s="35"/>
    </row>
    <row r="1006" spans="1:9" ht="34.950000000000003" customHeight="1" x14ac:dyDescent="0.3">
      <c r="A1006" s="12" t="s">
        <v>241</v>
      </c>
      <c r="B1006" s="293" t="s">
        <v>863</v>
      </c>
      <c r="C1006" s="294"/>
      <c r="D1006" s="294"/>
      <c r="E1006" s="294"/>
      <c r="F1006" s="294"/>
      <c r="G1006" s="294"/>
      <c r="H1006" s="294"/>
      <c r="I1006" s="294"/>
    </row>
    <row r="1007" spans="1:9" ht="69" customHeight="1" x14ac:dyDescent="0.3">
      <c r="B1007" s="34"/>
      <c r="C1007" s="303" t="s">
        <v>864</v>
      </c>
      <c r="D1007" s="309"/>
      <c r="E1007" s="42" t="s">
        <v>865</v>
      </c>
      <c r="F1007" s="42" t="s">
        <v>866</v>
      </c>
      <c r="G1007" s="303" t="s">
        <v>867</v>
      </c>
      <c r="H1007" s="330"/>
      <c r="I1007" s="309"/>
    </row>
    <row r="1008" spans="1:9" ht="15.9" customHeight="1" x14ac:dyDescent="0.3">
      <c r="A1008" s="13"/>
      <c r="B1008" s="34"/>
      <c r="C1008" s="284" t="str">
        <f>_xlfn.CONCAT(_xlfn.XLOOKUP("[S05_InstallationDifferentSamplingFrequency][1][SamplingFuelMaterial]",Submission!$O:$O,Submission!$H:$N,""))</f>
        <v>Prirodni plin izvan standardne kvalitete (co-produced natural gas)</v>
      </c>
      <c r="D1008" s="285"/>
      <c r="E1008" s="105" t="str">
        <f>_xlfn.CONCAT(_xlfn.XLOOKUP("[S05_InstallationDifferentSamplingFrequency][1][CountInstallationsDiffFrequency]",Submission!$O:$O,Submission!$H:$N,""))</f>
        <v>2</v>
      </c>
      <c r="F1008" s="105" t="str">
        <f>_xlfn.CONCAT(_xlfn.XLOOKUP("[S05_InstallationDifferentSamplingFrequency][1][MajorSourceStreams]",Submission!$O:$O,Submission!$H:$N,""))</f>
        <v>1</v>
      </c>
      <c r="G1008" s="47" t="str">
        <f>_xlfn.CONCAT(_xlfn.XLOOKUP("[S05_InstallationDifferentSamplingFrequency][1][SamplingPlanDocumented]",Submission!$O:$O,Submission!$H:$N,""))</f>
        <v>Yes</v>
      </c>
      <c r="H1008" s="240" t="str">
        <f>_xlfn.CONCAT(_xlfn.XLOOKUP("[S05_InstallationDifferentSamplingFrequency][1][SamplingPlanNotDocumentedReason]",Submission!$O:$O,Submission!$H:$N,""))</f>
        <v/>
      </c>
      <c r="I1008" s="242"/>
    </row>
    <row r="1009" spans="1:9" ht="15.9" customHeight="1" x14ac:dyDescent="0.3">
      <c r="A1009" s="13"/>
      <c r="B1009" s="34"/>
      <c r="C1009" s="284" t="str">
        <f>_xlfn.CONCAT(_xlfn.XLOOKUP("[S05_InstallationDifferentSamplingFrequency][2][SamplingFuelMaterial]",Submission!$O:$O,Submission!$H:$N,""))</f>
        <v>Kaptažni plin</v>
      </c>
      <c r="D1009" s="285"/>
      <c r="E1009" s="105" t="str">
        <f>_xlfn.CONCAT(_xlfn.XLOOKUP("[S05_InstallationDifferentSamplingFrequency][2][CountInstallationsDiffFrequency]",Submission!$O:$O,Submission!$H:$N,""))</f>
        <v>1</v>
      </c>
      <c r="F1009" s="105" t="str">
        <f>_xlfn.CONCAT(_xlfn.XLOOKUP("[S05_InstallationDifferentSamplingFrequency][2][MajorSourceStreams]",Submission!$O:$O,Submission!$H:$N,""))</f>
        <v>1</v>
      </c>
      <c r="G1009" s="47" t="str">
        <f>_xlfn.CONCAT(_xlfn.XLOOKUP("[S05_InstallationDifferentSamplingFrequency][2][SamplingPlanDocumented]",Submission!$O:$O,Submission!$H:$N,""))</f>
        <v>Yes</v>
      </c>
      <c r="H1009" s="240" t="str">
        <f>_xlfn.CONCAT(_xlfn.XLOOKUP("[S05_InstallationDifferentSamplingFrequency][2][SamplingPlanNotDocumentedReason]",Submission!$O:$O,Submission!$H:$N,""))</f>
        <v/>
      </c>
      <c r="I1009" s="242"/>
    </row>
    <row r="1010" spans="1:9" ht="15.9" customHeight="1" x14ac:dyDescent="0.3">
      <c r="A1010" s="13"/>
      <c r="B1010" s="34"/>
      <c r="C1010" s="284" t="str">
        <f>_xlfn.CONCAT(_xlfn.XLOOKUP("[S05_InstallationDifferentSamplingFrequency][3][SamplingFuelMaterial]",Submission!$O:$O,Submission!$H:$N,""))</f>
        <v/>
      </c>
      <c r="D1010" s="285"/>
      <c r="E1010" s="105" t="str">
        <f>_xlfn.CONCAT(_xlfn.XLOOKUP("[S05_InstallationDifferentSamplingFrequency][3][CountInstallationsDiffFrequency]",Submission!$O:$O,Submission!$H:$N,""))</f>
        <v/>
      </c>
      <c r="F1010" s="105" t="str">
        <f>_xlfn.CONCAT(_xlfn.XLOOKUP("[S05_InstallationDifferentSamplingFrequency][3][MajorSourceStreams]",Submission!$O:$O,Submission!$H:$N,""))</f>
        <v/>
      </c>
      <c r="G1010" s="47" t="str">
        <f>_xlfn.CONCAT(_xlfn.XLOOKUP("[S05_InstallationDifferentSamplingFrequency][3][SamplingPlanDocumented]",Submission!$O:$O,Submission!$H:$N,""))</f>
        <v/>
      </c>
      <c r="H1010" s="240" t="str">
        <f>_xlfn.CONCAT(_xlfn.XLOOKUP("[S05_InstallationDifferentSamplingFrequency][3][SamplingPlanNotDocumentedReason]",Submission!$O:$O,Submission!$H:$N,""))</f>
        <v/>
      </c>
      <c r="I1010" s="242"/>
    </row>
    <row r="1011" spans="1:9" ht="15.9" customHeight="1" x14ac:dyDescent="0.3">
      <c r="A1011" s="13"/>
      <c r="B1011" s="34"/>
      <c r="C1011" s="284" t="str">
        <f>_xlfn.CONCAT(_xlfn.XLOOKUP("[S05_InstallationDifferentSamplingFrequency][4][SamplingFuelMaterial]",Submission!$O:$O,Submission!$H:$N,""))</f>
        <v/>
      </c>
      <c r="D1011" s="285"/>
      <c r="E1011" s="105" t="str">
        <f>_xlfn.CONCAT(_xlfn.XLOOKUP("[S05_InstallationDifferentSamplingFrequency][4][CountInstallationsDiffFrequency]",Submission!$O:$O,Submission!$H:$N,""))</f>
        <v/>
      </c>
      <c r="F1011" s="105" t="str">
        <f>_xlfn.CONCAT(_xlfn.XLOOKUP("[S05_InstallationDifferentSamplingFrequency][4][MajorSourceStreams]",Submission!$O:$O,Submission!$H:$N,""))</f>
        <v/>
      </c>
      <c r="G1011" s="47" t="str">
        <f>_xlfn.CONCAT(_xlfn.XLOOKUP("[S05_InstallationDifferentSamplingFrequency][4][SamplingPlanDocumented]",Submission!$O:$O,Submission!$H:$N,""))</f>
        <v/>
      </c>
      <c r="H1011" s="240" t="str">
        <f>_xlfn.CONCAT(_xlfn.XLOOKUP("[S05_InstallationDifferentSamplingFrequency][4][SamplingPlanNotDocumentedReason]",Submission!$O:$O,Submission!$H:$N,""))</f>
        <v/>
      </c>
      <c r="I1011" s="242"/>
    </row>
    <row r="1012" spans="1:9" ht="15.9" customHeight="1" x14ac:dyDescent="0.3">
      <c r="A1012" s="13"/>
      <c r="B1012" s="34"/>
      <c r="C1012" s="284" t="str">
        <f>_xlfn.CONCAT(_xlfn.XLOOKUP("[S05_InstallationDifferentSamplingFrequency][5][SamplingFuelMaterial]",Submission!$O:$O,Submission!$H:$N,""))</f>
        <v/>
      </c>
      <c r="D1012" s="285"/>
      <c r="E1012" s="105" t="str">
        <f>_xlfn.CONCAT(_xlfn.XLOOKUP("[S05_InstallationDifferentSamplingFrequency][5][CountInstallationsDiffFrequency]",Submission!$O:$O,Submission!$H:$N,""))</f>
        <v/>
      </c>
      <c r="F1012" s="105" t="str">
        <f>_xlfn.CONCAT(_xlfn.XLOOKUP("[S05_InstallationDifferentSamplingFrequency][5][MajorSourceStreams]",Submission!$O:$O,Submission!$H:$N,""))</f>
        <v/>
      </c>
      <c r="G1012" s="47" t="str">
        <f>_xlfn.CONCAT(_xlfn.XLOOKUP("[S05_InstallationDifferentSamplingFrequency][5][SamplingPlanDocumented]",Submission!$O:$O,Submission!$H:$N,""))</f>
        <v/>
      </c>
      <c r="H1012" s="240" t="str">
        <f>_xlfn.CONCAT(_xlfn.XLOOKUP("[S05_InstallationDifferentSamplingFrequency][5][SamplingPlanNotDocumentedReason]",Submission!$O:$O,Submission!$H:$N,""))</f>
        <v/>
      </c>
      <c r="I1012" s="242"/>
    </row>
    <row r="1013" spans="1:9" ht="15.9" hidden="1" customHeight="1" outlineLevel="1" x14ac:dyDescent="0.3">
      <c r="A1013" s="13"/>
      <c r="B1013" s="34"/>
      <c r="C1013" s="284" t="str">
        <f>_xlfn.CONCAT(_xlfn.XLOOKUP("[S05_InstallationDifferentSamplingFrequency][6][SamplingFuelMaterial]",Submission!$O:$O,Submission!$H:$N,""))</f>
        <v/>
      </c>
      <c r="D1013" s="285"/>
      <c r="E1013" s="105" t="str">
        <f>_xlfn.CONCAT(_xlfn.XLOOKUP("[S05_InstallationDifferentSamplingFrequency][6][CountInstallationsDiffFrequency]",Submission!$O:$O,Submission!$H:$N,""))</f>
        <v/>
      </c>
      <c r="F1013" s="105" t="str">
        <f>_xlfn.CONCAT(_xlfn.XLOOKUP("[S05_InstallationDifferentSamplingFrequency][6][MajorSourceStreams]",Submission!$O:$O,Submission!$H:$N,""))</f>
        <v/>
      </c>
      <c r="G1013" s="47" t="str">
        <f>_xlfn.CONCAT(_xlfn.XLOOKUP("[S05_InstallationDifferentSamplingFrequency][6][SamplingPlanDocumented]",Submission!$O:$O,Submission!$H:$N,""))</f>
        <v/>
      </c>
      <c r="H1013" s="240" t="str">
        <f>_xlfn.CONCAT(_xlfn.XLOOKUP("[S05_InstallationDifferentSamplingFrequency][6][SamplingPlanNotDocumentedReason]",Submission!$O:$O,Submission!$H:$N,""))</f>
        <v/>
      </c>
      <c r="I1013" s="242"/>
    </row>
    <row r="1014" spans="1:9" ht="15.9" hidden="1" customHeight="1" outlineLevel="1" x14ac:dyDescent="0.3">
      <c r="A1014" s="13"/>
      <c r="B1014" s="34"/>
      <c r="C1014" s="284" t="str">
        <f>_xlfn.CONCAT(_xlfn.XLOOKUP("[S05_InstallationDifferentSamplingFrequency][7][SamplingFuelMaterial]",Submission!$O:$O,Submission!$H:$N,""))</f>
        <v/>
      </c>
      <c r="D1014" s="285"/>
      <c r="E1014" s="105" t="str">
        <f>_xlfn.CONCAT(_xlfn.XLOOKUP("[S05_InstallationDifferentSamplingFrequency][7][CountInstallationsDiffFrequency]",Submission!$O:$O,Submission!$H:$N,""))</f>
        <v/>
      </c>
      <c r="F1014" s="105" t="str">
        <f>_xlfn.CONCAT(_xlfn.XLOOKUP("[S05_InstallationDifferentSamplingFrequency][7][MajorSourceStreams]",Submission!$O:$O,Submission!$H:$N,""))</f>
        <v/>
      </c>
      <c r="G1014" s="47" t="str">
        <f>_xlfn.CONCAT(_xlfn.XLOOKUP("[S05_InstallationDifferentSamplingFrequency][7][SamplingPlanDocumented]",Submission!$O:$O,Submission!$H:$N,""))</f>
        <v/>
      </c>
      <c r="H1014" s="240" t="str">
        <f>_xlfn.CONCAT(_xlfn.XLOOKUP("[S05_InstallationDifferentSamplingFrequency][7][SamplingPlanNotDocumentedReason]",Submission!$O:$O,Submission!$H:$N,""))</f>
        <v/>
      </c>
      <c r="I1014" s="242"/>
    </row>
    <row r="1015" spans="1:9" ht="15.9" hidden="1" customHeight="1" outlineLevel="1" x14ac:dyDescent="0.3">
      <c r="A1015" s="13"/>
      <c r="B1015" s="34"/>
      <c r="C1015" s="284" t="str">
        <f>_xlfn.CONCAT(_xlfn.XLOOKUP("[S05_InstallationDifferentSamplingFrequency][8][SamplingFuelMaterial]",Submission!$O:$O,Submission!$H:$N,""))</f>
        <v/>
      </c>
      <c r="D1015" s="285"/>
      <c r="E1015" s="105" t="str">
        <f>_xlfn.CONCAT(_xlfn.XLOOKUP("[S05_InstallationDifferentSamplingFrequency][8][CountInstallationsDiffFrequency]",Submission!$O:$O,Submission!$H:$N,""))</f>
        <v/>
      </c>
      <c r="F1015" s="105" t="str">
        <f>_xlfn.CONCAT(_xlfn.XLOOKUP("[S05_InstallationDifferentSamplingFrequency][8][MajorSourceStreams]",Submission!$O:$O,Submission!$H:$N,""))</f>
        <v/>
      </c>
      <c r="G1015" s="47" t="str">
        <f>_xlfn.CONCAT(_xlfn.XLOOKUP("[S05_InstallationDifferentSamplingFrequency][8][SamplingPlanDocumented]",Submission!$O:$O,Submission!$H:$N,""))</f>
        <v/>
      </c>
      <c r="H1015" s="240" t="str">
        <f>_xlfn.CONCAT(_xlfn.XLOOKUP("[S05_InstallationDifferentSamplingFrequency][8][SamplingPlanNotDocumentedReason]",Submission!$O:$O,Submission!$H:$N,""))</f>
        <v/>
      </c>
      <c r="I1015" s="242"/>
    </row>
    <row r="1016" spans="1:9" ht="15.9" hidden="1" customHeight="1" outlineLevel="1" x14ac:dyDescent="0.3">
      <c r="A1016" s="13"/>
      <c r="B1016" s="34"/>
      <c r="C1016" s="284" t="str">
        <f>_xlfn.CONCAT(_xlfn.XLOOKUP("[S05_InstallationDifferentSamplingFrequency][9][SamplingFuelMaterial]",Submission!$O:$O,Submission!$H:$N,""))</f>
        <v/>
      </c>
      <c r="D1016" s="285"/>
      <c r="E1016" s="105" t="str">
        <f>_xlfn.CONCAT(_xlfn.XLOOKUP("[S05_InstallationDifferentSamplingFrequency][9][CountInstallationsDiffFrequency]",Submission!$O:$O,Submission!$H:$N,""))</f>
        <v/>
      </c>
      <c r="F1016" s="105" t="str">
        <f>_xlfn.CONCAT(_xlfn.XLOOKUP("[S05_InstallationDifferentSamplingFrequency][9][MajorSourceStreams]",Submission!$O:$O,Submission!$H:$N,""))</f>
        <v/>
      </c>
      <c r="G1016" s="47" t="str">
        <f>_xlfn.CONCAT(_xlfn.XLOOKUP("[S05_InstallationDifferentSamplingFrequency][9][SamplingPlanDocumented]",Submission!$O:$O,Submission!$H:$N,""))</f>
        <v/>
      </c>
      <c r="H1016" s="240" t="str">
        <f>_xlfn.CONCAT(_xlfn.XLOOKUP("[S05_InstallationDifferentSamplingFrequency][9][SamplingPlanNotDocumentedReason]",Submission!$O:$O,Submission!$H:$N,""))</f>
        <v/>
      </c>
      <c r="I1016" s="242"/>
    </row>
    <row r="1017" spans="1:9" ht="15.9" hidden="1" customHeight="1" outlineLevel="1" x14ac:dyDescent="0.3">
      <c r="A1017" s="13"/>
      <c r="B1017" s="34"/>
      <c r="C1017" s="284" t="str">
        <f>_xlfn.CONCAT(_xlfn.XLOOKUP("[S05_InstallationDifferentSamplingFrequency][10][SamplingFuelMaterial]",Submission!$O:$O,Submission!$H:$N,""))</f>
        <v/>
      </c>
      <c r="D1017" s="285"/>
      <c r="E1017" s="105" t="str">
        <f>_xlfn.CONCAT(_xlfn.XLOOKUP("[S05_InstallationDifferentSamplingFrequency][10][CountInstallationsDiffFrequency]",Submission!$O:$O,Submission!$H:$N,""))</f>
        <v/>
      </c>
      <c r="F1017" s="105" t="str">
        <f>_xlfn.CONCAT(_xlfn.XLOOKUP("[S05_InstallationDifferentSamplingFrequency][10][MajorSourceStreams]",Submission!$O:$O,Submission!$H:$N,""))</f>
        <v/>
      </c>
      <c r="G1017" s="47" t="str">
        <f>_xlfn.CONCAT(_xlfn.XLOOKUP("[S05_InstallationDifferentSamplingFrequency][10][SamplingPlanDocumented]",Submission!$O:$O,Submission!$H:$N,""))</f>
        <v/>
      </c>
      <c r="H1017" s="240" t="str">
        <f>_xlfn.CONCAT(_xlfn.XLOOKUP("[S05_InstallationDifferentSamplingFrequency][10][SamplingPlanNotDocumentedReason]",Submission!$O:$O,Submission!$H:$N,""))</f>
        <v/>
      </c>
      <c r="I1017" s="242"/>
    </row>
    <row r="1018" spans="1:9" ht="15.9" hidden="1" customHeight="1" outlineLevel="1" x14ac:dyDescent="0.3">
      <c r="A1018" s="13"/>
      <c r="B1018" s="34"/>
      <c r="C1018" s="284" t="str">
        <f>_xlfn.CONCAT(_xlfn.XLOOKUP("[S05_InstallationDifferentSamplingFrequency][11][SamplingFuelMaterial]",Submission!$O:$O,Submission!$H:$N,""))</f>
        <v/>
      </c>
      <c r="D1018" s="285"/>
      <c r="E1018" s="105" t="str">
        <f>_xlfn.CONCAT(_xlfn.XLOOKUP("[S05_InstallationDifferentSamplingFrequency][11][CountInstallationsDiffFrequency]",Submission!$O:$O,Submission!$H:$N,""))</f>
        <v/>
      </c>
      <c r="F1018" s="105" t="str">
        <f>_xlfn.CONCAT(_xlfn.XLOOKUP("[S05_InstallationDifferentSamplingFrequency][11][MajorSourceStreams]",Submission!$O:$O,Submission!$H:$N,""))</f>
        <v/>
      </c>
      <c r="G1018" s="47" t="str">
        <f>_xlfn.CONCAT(_xlfn.XLOOKUP("[S05_InstallationDifferentSamplingFrequency][11][SamplingPlanDocumented]",Submission!$O:$O,Submission!$H:$N,""))</f>
        <v/>
      </c>
      <c r="H1018" s="240" t="str">
        <f>_xlfn.CONCAT(_xlfn.XLOOKUP("[S05_InstallationDifferentSamplingFrequency][11][SamplingPlanNotDocumentedReason]",Submission!$O:$O,Submission!$H:$N,""))</f>
        <v/>
      </c>
      <c r="I1018" s="242"/>
    </row>
    <row r="1019" spans="1:9" ht="15.9" hidden="1" customHeight="1" outlineLevel="1" x14ac:dyDescent="0.3">
      <c r="A1019" s="13"/>
      <c r="B1019" s="34"/>
      <c r="C1019" s="284" t="str">
        <f>_xlfn.CONCAT(_xlfn.XLOOKUP("[S05_InstallationDifferentSamplingFrequency][12][SamplingFuelMaterial]",Submission!$O:$O,Submission!$H:$N,""))</f>
        <v/>
      </c>
      <c r="D1019" s="285"/>
      <c r="E1019" s="105" t="str">
        <f>_xlfn.CONCAT(_xlfn.XLOOKUP("[S05_InstallationDifferentSamplingFrequency][12][CountInstallationsDiffFrequency]",Submission!$O:$O,Submission!$H:$N,""))</f>
        <v/>
      </c>
      <c r="F1019" s="105" t="str">
        <f>_xlfn.CONCAT(_xlfn.XLOOKUP("[S05_InstallationDifferentSamplingFrequency][12][MajorSourceStreams]",Submission!$O:$O,Submission!$H:$N,""))</f>
        <v/>
      </c>
      <c r="G1019" s="47" t="str">
        <f>_xlfn.CONCAT(_xlfn.XLOOKUP("[S05_InstallationDifferentSamplingFrequency][12][SamplingPlanDocumented]",Submission!$O:$O,Submission!$H:$N,""))</f>
        <v/>
      </c>
      <c r="H1019" s="240" t="str">
        <f>_xlfn.CONCAT(_xlfn.XLOOKUP("[S05_InstallationDifferentSamplingFrequency][12][SamplingPlanNotDocumentedReason]",Submission!$O:$O,Submission!$H:$N,""))</f>
        <v/>
      </c>
      <c r="I1019" s="242"/>
    </row>
    <row r="1020" spans="1:9" ht="15.9" hidden="1" customHeight="1" outlineLevel="1" x14ac:dyDescent="0.3">
      <c r="A1020" s="13"/>
      <c r="B1020" s="34"/>
      <c r="C1020" s="284" t="str">
        <f>_xlfn.CONCAT(_xlfn.XLOOKUP("[S05_InstallationDifferentSamplingFrequency][13][SamplingFuelMaterial]",Submission!$O:$O,Submission!$H:$N,""))</f>
        <v/>
      </c>
      <c r="D1020" s="285"/>
      <c r="E1020" s="105" t="str">
        <f>_xlfn.CONCAT(_xlfn.XLOOKUP("[S05_InstallationDifferentSamplingFrequency][13][CountInstallationsDiffFrequency]",Submission!$O:$O,Submission!$H:$N,""))</f>
        <v/>
      </c>
      <c r="F1020" s="105" t="str">
        <f>_xlfn.CONCAT(_xlfn.XLOOKUP("[S05_InstallationDifferentSamplingFrequency][13][MajorSourceStreams]",Submission!$O:$O,Submission!$H:$N,""))</f>
        <v/>
      </c>
      <c r="G1020" s="47" t="str">
        <f>_xlfn.CONCAT(_xlfn.XLOOKUP("[S05_InstallationDifferentSamplingFrequency][13][SamplingPlanDocumented]",Submission!$O:$O,Submission!$H:$N,""))</f>
        <v/>
      </c>
      <c r="H1020" s="240" t="str">
        <f>_xlfn.CONCAT(_xlfn.XLOOKUP("[S05_InstallationDifferentSamplingFrequency][13][SamplingPlanNotDocumentedReason]",Submission!$O:$O,Submission!$H:$N,""))</f>
        <v/>
      </c>
      <c r="I1020" s="242"/>
    </row>
    <row r="1021" spans="1:9" ht="15.9" hidden="1" customHeight="1" outlineLevel="1" x14ac:dyDescent="0.3">
      <c r="A1021" s="13"/>
      <c r="B1021" s="34"/>
      <c r="C1021" s="284" t="str">
        <f>_xlfn.CONCAT(_xlfn.XLOOKUP("[S05_InstallationDifferentSamplingFrequency][14][SamplingFuelMaterial]",Submission!$O:$O,Submission!$H:$N,""))</f>
        <v/>
      </c>
      <c r="D1021" s="285"/>
      <c r="E1021" s="105" t="str">
        <f>_xlfn.CONCAT(_xlfn.XLOOKUP("[S05_InstallationDifferentSamplingFrequency][14][CountInstallationsDiffFrequency]",Submission!$O:$O,Submission!$H:$N,""))</f>
        <v/>
      </c>
      <c r="F1021" s="105" t="str">
        <f>_xlfn.CONCAT(_xlfn.XLOOKUP("[S05_InstallationDifferentSamplingFrequency][14][MajorSourceStreams]",Submission!$O:$O,Submission!$H:$N,""))</f>
        <v/>
      </c>
      <c r="G1021" s="47" t="str">
        <f>_xlfn.CONCAT(_xlfn.XLOOKUP("[S05_InstallationDifferentSamplingFrequency][14][SamplingPlanDocumented]",Submission!$O:$O,Submission!$H:$N,""))</f>
        <v/>
      </c>
      <c r="H1021" s="240" t="str">
        <f>_xlfn.CONCAT(_xlfn.XLOOKUP("[S05_InstallationDifferentSamplingFrequency][14][SamplingPlanNotDocumentedReason]",Submission!$O:$O,Submission!$H:$N,""))</f>
        <v/>
      </c>
      <c r="I1021" s="242"/>
    </row>
    <row r="1022" spans="1:9" ht="15.9" hidden="1" customHeight="1" outlineLevel="1" x14ac:dyDescent="0.3">
      <c r="A1022" s="13"/>
      <c r="B1022" s="34"/>
      <c r="C1022" s="284" t="str">
        <f>_xlfn.CONCAT(_xlfn.XLOOKUP("[S05_InstallationDifferentSamplingFrequency][15][SamplingFuelMaterial]",Submission!$O:$O,Submission!$H:$N,""))</f>
        <v/>
      </c>
      <c r="D1022" s="285"/>
      <c r="E1022" s="105" t="str">
        <f>_xlfn.CONCAT(_xlfn.XLOOKUP("[S05_InstallationDifferentSamplingFrequency][15][CountInstallationsDiffFrequency]",Submission!$O:$O,Submission!$H:$N,""))</f>
        <v/>
      </c>
      <c r="F1022" s="105" t="str">
        <f>_xlfn.CONCAT(_xlfn.XLOOKUP("[S05_InstallationDifferentSamplingFrequency][15][MajorSourceStreams]",Submission!$O:$O,Submission!$H:$N,""))</f>
        <v/>
      </c>
      <c r="G1022" s="47" t="str">
        <f>_xlfn.CONCAT(_xlfn.XLOOKUP("[S05_InstallationDifferentSamplingFrequency][15][SamplingPlanDocumented]",Submission!$O:$O,Submission!$H:$N,""))</f>
        <v/>
      </c>
      <c r="H1022" s="240" t="str">
        <f>_xlfn.CONCAT(_xlfn.XLOOKUP("[S05_InstallationDifferentSamplingFrequency][15][SamplingPlanNotDocumentedReason]",Submission!$O:$O,Submission!$H:$N,""))</f>
        <v/>
      </c>
      <c r="I1022" s="242"/>
    </row>
    <row r="1023" spans="1:9" ht="15.9" hidden="1" customHeight="1" outlineLevel="1" x14ac:dyDescent="0.3">
      <c r="A1023" s="13"/>
      <c r="B1023" s="34"/>
      <c r="C1023" s="284" t="str">
        <f>_xlfn.CONCAT(_xlfn.XLOOKUP("[S05_InstallationDifferentSamplingFrequency][16][SamplingFuelMaterial]",Submission!$O:$O,Submission!$H:$N,""))</f>
        <v/>
      </c>
      <c r="D1023" s="285"/>
      <c r="E1023" s="105" t="str">
        <f>_xlfn.CONCAT(_xlfn.XLOOKUP("[S05_InstallationDifferentSamplingFrequency][16][CountInstallationsDiffFrequency]",Submission!$O:$O,Submission!$H:$N,""))</f>
        <v/>
      </c>
      <c r="F1023" s="105" t="str">
        <f>_xlfn.CONCAT(_xlfn.XLOOKUP("[S05_InstallationDifferentSamplingFrequency][16][MajorSourceStreams]",Submission!$O:$O,Submission!$H:$N,""))</f>
        <v/>
      </c>
      <c r="G1023" s="47" t="str">
        <f>_xlfn.CONCAT(_xlfn.XLOOKUP("[S05_InstallationDifferentSamplingFrequency][16][SamplingPlanDocumented]",Submission!$O:$O,Submission!$H:$N,""))</f>
        <v/>
      </c>
      <c r="H1023" s="240" t="str">
        <f>_xlfn.CONCAT(_xlfn.XLOOKUP("[S05_InstallationDifferentSamplingFrequency][16][SamplingPlanNotDocumentedReason]",Submission!$O:$O,Submission!$H:$N,""))</f>
        <v/>
      </c>
      <c r="I1023" s="242"/>
    </row>
    <row r="1024" spans="1:9" ht="15.9" hidden="1" customHeight="1" outlineLevel="1" x14ac:dyDescent="0.3">
      <c r="A1024" s="13"/>
      <c r="B1024" s="34"/>
      <c r="C1024" s="284" t="str">
        <f>_xlfn.CONCAT(_xlfn.XLOOKUP("[S05_InstallationDifferentSamplingFrequency][17][SamplingFuelMaterial]",Submission!$O:$O,Submission!$H:$N,""))</f>
        <v/>
      </c>
      <c r="D1024" s="285"/>
      <c r="E1024" s="105" t="str">
        <f>_xlfn.CONCAT(_xlfn.XLOOKUP("[S05_InstallationDifferentSamplingFrequency][17][CountInstallationsDiffFrequency]",Submission!$O:$O,Submission!$H:$N,""))</f>
        <v/>
      </c>
      <c r="F1024" s="105" t="str">
        <f>_xlfn.CONCAT(_xlfn.XLOOKUP("[S05_InstallationDifferentSamplingFrequency][17][MajorSourceStreams]",Submission!$O:$O,Submission!$H:$N,""))</f>
        <v/>
      </c>
      <c r="G1024" s="47" t="str">
        <f>_xlfn.CONCAT(_xlfn.XLOOKUP("[S05_InstallationDifferentSamplingFrequency][17][SamplingPlanDocumented]",Submission!$O:$O,Submission!$H:$N,""))</f>
        <v/>
      </c>
      <c r="H1024" s="240" t="str">
        <f>_xlfn.CONCAT(_xlfn.XLOOKUP("[S05_InstallationDifferentSamplingFrequency][17][SamplingPlanNotDocumentedReason]",Submission!$O:$O,Submission!$H:$N,""))</f>
        <v/>
      </c>
      <c r="I1024" s="242"/>
    </row>
    <row r="1025" spans="1:9" ht="15.9" hidden="1" customHeight="1" outlineLevel="1" x14ac:dyDescent="0.3">
      <c r="A1025" s="13"/>
      <c r="B1025" s="34"/>
      <c r="C1025" s="284" t="str">
        <f>_xlfn.CONCAT(_xlfn.XLOOKUP("[S05_InstallationDifferentSamplingFrequency][18][SamplingFuelMaterial]",Submission!$O:$O,Submission!$H:$N,""))</f>
        <v/>
      </c>
      <c r="D1025" s="285"/>
      <c r="E1025" s="105" t="str">
        <f>_xlfn.CONCAT(_xlfn.XLOOKUP("[S05_InstallationDifferentSamplingFrequency][18][CountInstallationsDiffFrequency]",Submission!$O:$O,Submission!$H:$N,""))</f>
        <v/>
      </c>
      <c r="F1025" s="105" t="str">
        <f>_xlfn.CONCAT(_xlfn.XLOOKUP("[S05_InstallationDifferentSamplingFrequency][18][MajorSourceStreams]",Submission!$O:$O,Submission!$H:$N,""))</f>
        <v/>
      </c>
      <c r="G1025" s="47" t="str">
        <f>_xlfn.CONCAT(_xlfn.XLOOKUP("[S05_InstallationDifferentSamplingFrequency][18][SamplingPlanDocumented]",Submission!$O:$O,Submission!$H:$N,""))</f>
        <v/>
      </c>
      <c r="H1025" s="240" t="str">
        <f>_xlfn.CONCAT(_xlfn.XLOOKUP("[S05_InstallationDifferentSamplingFrequency][18][SamplingPlanNotDocumentedReason]",Submission!$O:$O,Submission!$H:$N,""))</f>
        <v/>
      </c>
      <c r="I1025" s="242"/>
    </row>
    <row r="1026" spans="1:9" ht="15.9" hidden="1" customHeight="1" outlineLevel="1" x14ac:dyDescent="0.3">
      <c r="A1026" s="13"/>
      <c r="B1026" s="34"/>
      <c r="C1026" s="284" t="str">
        <f>_xlfn.CONCAT(_xlfn.XLOOKUP("[S05_InstallationDifferentSamplingFrequency][19][SamplingFuelMaterial]",Submission!$O:$O,Submission!$H:$N,""))</f>
        <v/>
      </c>
      <c r="D1026" s="285"/>
      <c r="E1026" s="105" t="str">
        <f>_xlfn.CONCAT(_xlfn.XLOOKUP("[S05_InstallationDifferentSamplingFrequency][19][CountInstallationsDiffFrequency]",Submission!$O:$O,Submission!$H:$N,""))</f>
        <v/>
      </c>
      <c r="F1026" s="105" t="str">
        <f>_xlfn.CONCAT(_xlfn.XLOOKUP("[S05_InstallationDifferentSamplingFrequency][19][MajorSourceStreams]",Submission!$O:$O,Submission!$H:$N,""))</f>
        <v/>
      </c>
      <c r="G1026" s="47" t="str">
        <f>_xlfn.CONCAT(_xlfn.XLOOKUP("[S05_InstallationDifferentSamplingFrequency][19][SamplingPlanDocumented]",Submission!$O:$O,Submission!$H:$N,""))</f>
        <v/>
      </c>
      <c r="H1026" s="240" t="str">
        <f>_xlfn.CONCAT(_xlfn.XLOOKUP("[S05_InstallationDifferentSamplingFrequency][19][SamplingPlanNotDocumentedReason]",Submission!$O:$O,Submission!$H:$N,""))</f>
        <v/>
      </c>
      <c r="I1026" s="242"/>
    </row>
    <row r="1027" spans="1:9" ht="15.9" hidden="1" customHeight="1" outlineLevel="1" x14ac:dyDescent="0.3">
      <c r="A1027" s="13"/>
      <c r="B1027" s="34"/>
      <c r="C1027" s="284" t="str">
        <f>_xlfn.CONCAT(_xlfn.XLOOKUP("[S05_InstallationDifferentSamplingFrequency][20][SamplingFuelMaterial]",Submission!$O:$O,Submission!$H:$N,""))</f>
        <v/>
      </c>
      <c r="D1027" s="285"/>
      <c r="E1027" s="105" t="str">
        <f>_xlfn.CONCAT(_xlfn.XLOOKUP("[S05_InstallationDifferentSamplingFrequency][20][CountInstallationsDiffFrequency]",Submission!$O:$O,Submission!$H:$N,""))</f>
        <v/>
      </c>
      <c r="F1027" s="105" t="str">
        <f>_xlfn.CONCAT(_xlfn.XLOOKUP("[S05_InstallationDifferentSamplingFrequency][20][MajorSourceStreams]",Submission!$O:$O,Submission!$H:$N,""))</f>
        <v/>
      </c>
      <c r="G1027" s="47" t="str">
        <f>_xlfn.CONCAT(_xlfn.XLOOKUP("[S05_InstallationDifferentSamplingFrequency][20][SamplingPlanDocumented]",Submission!$O:$O,Submission!$H:$N,""))</f>
        <v/>
      </c>
      <c r="H1027" s="240" t="str">
        <f>_xlfn.CONCAT(_xlfn.XLOOKUP("[S05_InstallationDifferentSamplingFrequency][20][SamplingPlanNotDocumentedReason]",Submission!$O:$O,Submission!$H:$N,""))</f>
        <v/>
      </c>
      <c r="I1027" s="242"/>
    </row>
    <row r="1028" spans="1:9" ht="15.9" hidden="1" customHeight="1" outlineLevel="1" x14ac:dyDescent="0.3">
      <c r="A1028" s="13"/>
      <c r="B1028" s="34"/>
      <c r="C1028" s="284" t="str">
        <f>_xlfn.CONCAT(_xlfn.XLOOKUP("[S05_InstallationDifferentSamplingFrequency][21][SamplingFuelMaterial]",Submission!$O:$O,Submission!$H:$N,""))</f>
        <v/>
      </c>
      <c r="D1028" s="285"/>
      <c r="E1028" s="105" t="str">
        <f>_xlfn.CONCAT(_xlfn.XLOOKUP("[S05_InstallationDifferentSamplingFrequency][21][CountInstallationsDiffFrequency]",Submission!$O:$O,Submission!$H:$N,""))</f>
        <v/>
      </c>
      <c r="F1028" s="105" t="str">
        <f>_xlfn.CONCAT(_xlfn.XLOOKUP("[S05_InstallationDifferentSamplingFrequency][21][MajorSourceStreams]",Submission!$O:$O,Submission!$H:$N,""))</f>
        <v/>
      </c>
      <c r="G1028" s="47" t="str">
        <f>_xlfn.CONCAT(_xlfn.XLOOKUP("[S05_InstallationDifferentSamplingFrequency][21][SamplingPlanDocumented]",Submission!$O:$O,Submission!$H:$N,""))</f>
        <v/>
      </c>
      <c r="H1028" s="240" t="str">
        <f>_xlfn.CONCAT(_xlfn.XLOOKUP("[S05_InstallationDifferentSamplingFrequency][21][SamplingPlanNotDocumentedReason]",Submission!$O:$O,Submission!$H:$N,""))</f>
        <v/>
      </c>
      <c r="I1028" s="242"/>
    </row>
    <row r="1029" spans="1:9" ht="15.9" hidden="1" customHeight="1" outlineLevel="1" x14ac:dyDescent="0.3">
      <c r="A1029" s="13"/>
      <c r="B1029" s="34"/>
      <c r="C1029" s="284" t="str">
        <f>_xlfn.CONCAT(_xlfn.XLOOKUP("[S05_InstallationDifferentSamplingFrequency][22][SamplingFuelMaterial]",Submission!$O:$O,Submission!$H:$N,""))</f>
        <v/>
      </c>
      <c r="D1029" s="285"/>
      <c r="E1029" s="105" t="str">
        <f>_xlfn.CONCAT(_xlfn.XLOOKUP("[S05_InstallationDifferentSamplingFrequency][22][CountInstallationsDiffFrequency]",Submission!$O:$O,Submission!$H:$N,""))</f>
        <v/>
      </c>
      <c r="F1029" s="105" t="str">
        <f>_xlfn.CONCAT(_xlfn.XLOOKUP("[S05_InstallationDifferentSamplingFrequency][22][MajorSourceStreams]",Submission!$O:$O,Submission!$H:$N,""))</f>
        <v/>
      </c>
      <c r="G1029" s="47" t="str">
        <f>_xlfn.CONCAT(_xlfn.XLOOKUP("[S05_InstallationDifferentSamplingFrequency][22][SamplingPlanDocumented]",Submission!$O:$O,Submission!$H:$N,""))</f>
        <v/>
      </c>
      <c r="H1029" s="240" t="str">
        <f>_xlfn.CONCAT(_xlfn.XLOOKUP("[S05_InstallationDifferentSamplingFrequency][22][SamplingPlanNotDocumentedReason]",Submission!$O:$O,Submission!$H:$N,""))</f>
        <v/>
      </c>
      <c r="I1029" s="242"/>
    </row>
    <row r="1030" spans="1:9" ht="15.9" hidden="1" customHeight="1" outlineLevel="1" x14ac:dyDescent="0.3">
      <c r="A1030" s="13"/>
      <c r="B1030" s="34"/>
      <c r="C1030" s="284" t="str">
        <f>_xlfn.CONCAT(_xlfn.XLOOKUP("[S05_InstallationDifferentSamplingFrequency][23][SamplingFuelMaterial]",Submission!$O:$O,Submission!$H:$N,""))</f>
        <v/>
      </c>
      <c r="D1030" s="285"/>
      <c r="E1030" s="105" t="str">
        <f>_xlfn.CONCAT(_xlfn.XLOOKUP("[S05_InstallationDifferentSamplingFrequency][23][CountInstallationsDiffFrequency]",Submission!$O:$O,Submission!$H:$N,""))</f>
        <v/>
      </c>
      <c r="F1030" s="105" t="str">
        <f>_xlfn.CONCAT(_xlfn.XLOOKUP("[S05_InstallationDifferentSamplingFrequency][23][MajorSourceStreams]",Submission!$O:$O,Submission!$H:$N,""))</f>
        <v/>
      </c>
      <c r="G1030" s="47" t="str">
        <f>_xlfn.CONCAT(_xlfn.XLOOKUP("[S05_InstallationDifferentSamplingFrequency][23][SamplingPlanDocumented]",Submission!$O:$O,Submission!$H:$N,""))</f>
        <v/>
      </c>
      <c r="H1030" s="240" t="str">
        <f>_xlfn.CONCAT(_xlfn.XLOOKUP("[S05_InstallationDifferentSamplingFrequency][23][SamplingPlanNotDocumentedReason]",Submission!$O:$O,Submission!$H:$N,""))</f>
        <v/>
      </c>
      <c r="I1030" s="242"/>
    </row>
    <row r="1031" spans="1:9" ht="15.9" hidden="1" customHeight="1" outlineLevel="1" x14ac:dyDescent="0.3">
      <c r="A1031" s="13"/>
      <c r="B1031" s="34"/>
      <c r="C1031" s="284" t="str">
        <f>_xlfn.CONCAT(_xlfn.XLOOKUP("[S05_InstallationDifferentSamplingFrequency][24][SamplingFuelMaterial]",Submission!$O:$O,Submission!$H:$N,""))</f>
        <v/>
      </c>
      <c r="D1031" s="285"/>
      <c r="E1031" s="105" t="str">
        <f>_xlfn.CONCAT(_xlfn.XLOOKUP("[S05_InstallationDifferentSamplingFrequency][24][CountInstallationsDiffFrequency]",Submission!$O:$O,Submission!$H:$N,""))</f>
        <v/>
      </c>
      <c r="F1031" s="105" t="str">
        <f>_xlfn.CONCAT(_xlfn.XLOOKUP("[S05_InstallationDifferentSamplingFrequency][24][MajorSourceStreams]",Submission!$O:$O,Submission!$H:$N,""))</f>
        <v/>
      </c>
      <c r="G1031" s="47" t="str">
        <f>_xlfn.CONCAT(_xlfn.XLOOKUP("[S05_InstallationDifferentSamplingFrequency][24][SamplingPlanDocumented]",Submission!$O:$O,Submission!$H:$N,""))</f>
        <v/>
      </c>
      <c r="H1031" s="240" t="str">
        <f>_xlfn.CONCAT(_xlfn.XLOOKUP("[S05_InstallationDifferentSamplingFrequency][24][SamplingPlanNotDocumentedReason]",Submission!$O:$O,Submission!$H:$N,""))</f>
        <v/>
      </c>
      <c r="I1031" s="242"/>
    </row>
    <row r="1032" spans="1:9" ht="15.9" hidden="1" customHeight="1" outlineLevel="1" x14ac:dyDescent="0.3">
      <c r="A1032" s="13"/>
      <c r="B1032" s="34"/>
      <c r="C1032" s="284" t="str">
        <f>_xlfn.CONCAT(_xlfn.XLOOKUP("[S05_InstallationDifferentSamplingFrequency][25][SamplingFuelMaterial]",Submission!$O:$O,Submission!$H:$N,""))</f>
        <v/>
      </c>
      <c r="D1032" s="285"/>
      <c r="E1032" s="105" t="str">
        <f>_xlfn.CONCAT(_xlfn.XLOOKUP("[S05_InstallationDifferentSamplingFrequency][25][CountInstallationsDiffFrequency]",Submission!$O:$O,Submission!$H:$N,""))</f>
        <v/>
      </c>
      <c r="F1032" s="105" t="str">
        <f>_xlfn.CONCAT(_xlfn.XLOOKUP("[S05_InstallationDifferentSamplingFrequency][25][MajorSourceStreams]",Submission!$O:$O,Submission!$H:$N,""))</f>
        <v/>
      </c>
      <c r="G1032" s="47" t="str">
        <f>_xlfn.CONCAT(_xlfn.XLOOKUP("[S05_InstallationDifferentSamplingFrequency][25][SamplingPlanDocumented]",Submission!$O:$O,Submission!$H:$N,""))</f>
        <v/>
      </c>
      <c r="H1032" s="240" t="str">
        <f>_xlfn.CONCAT(_xlfn.XLOOKUP("[S05_InstallationDifferentSamplingFrequency][25][SamplingPlanNotDocumentedReason]",Submission!$O:$O,Submission!$H:$N,""))</f>
        <v/>
      </c>
      <c r="I1032" s="242"/>
    </row>
    <row r="1033" spans="1:9" ht="15.9" customHeight="1" collapsed="1" x14ac:dyDescent="0.3">
      <c r="A1033" s="12"/>
      <c r="B1033" s="26" t="s">
        <v>2</v>
      </c>
      <c r="C1033" s="20"/>
      <c r="D1033" s="20"/>
      <c r="E1033" s="20"/>
      <c r="F1033" s="20"/>
      <c r="G1033" s="20"/>
      <c r="H1033" s="20"/>
      <c r="I1033" s="20"/>
    </row>
    <row r="1034" spans="1:9" ht="15.9" customHeight="1" x14ac:dyDescent="0.3">
      <c r="B1034" s="34"/>
      <c r="C1034" s="20"/>
      <c r="D1034" s="20"/>
      <c r="E1034" s="20"/>
      <c r="F1034" s="20"/>
      <c r="G1034" s="20"/>
      <c r="H1034" s="20"/>
      <c r="I1034" s="20"/>
    </row>
    <row r="1035" spans="1:9" ht="50.4" customHeight="1" x14ac:dyDescent="0.3">
      <c r="A1035" s="12" t="s">
        <v>246</v>
      </c>
      <c r="B1035" s="293" t="s">
        <v>868</v>
      </c>
      <c r="C1035" s="294"/>
      <c r="D1035" s="294"/>
      <c r="E1035" s="294"/>
      <c r="F1035" s="294"/>
      <c r="G1035" s="294"/>
      <c r="H1035" s="294"/>
      <c r="I1035" s="294"/>
    </row>
    <row r="1036" spans="1:9" ht="45" customHeight="1" x14ac:dyDescent="0.3">
      <c r="B1036" s="34"/>
      <c r="C1036" s="46" t="s">
        <v>869</v>
      </c>
      <c r="D1036" s="46" t="s">
        <v>870</v>
      </c>
      <c r="E1036" s="46" t="s">
        <v>871</v>
      </c>
      <c r="F1036" s="46" t="s">
        <v>872</v>
      </c>
      <c r="G1036" s="46" t="s">
        <v>873</v>
      </c>
      <c r="H1036" s="315" t="s">
        <v>874</v>
      </c>
      <c r="I1036" s="336"/>
    </row>
    <row r="1037" spans="1:9" ht="24.6" customHeight="1" x14ac:dyDescent="0.3">
      <c r="B1037" s="34"/>
      <c r="C1037" s="72" t="str">
        <f>_xlfn.CONCAT(_xlfn.XLOOKUP("[S05_CategoryCHighestTierNotApplied][1][InstallationID]",Submission!$O:$O,Submission!$H:$N,""))</f>
        <v>205194</v>
      </c>
      <c r="D1037" s="72" t="str">
        <f>_xlfn.CONCAT(_xlfn.XLOOKUP("[S05_CategoryCHighestTierNotApplied][1][SourceStreamAffected]",Submission!$O:$O,Submission!$H:$N,""))</f>
        <v>Flue gas</v>
      </c>
      <c r="E1037" s="72" t="str">
        <f>_xlfn.CONCAT(_xlfn.XLOOKUP("[S05_CategoryCHighestTierNotApplied][1][EmissionSourceAffected]",Submission!$O:$O,Submission!$H:$N,""))</f>
        <v/>
      </c>
      <c r="F1037" s="72" t="str">
        <f>_xlfn.CONCAT(_xlfn.XLOOKUP("[S05_CategoryCHighestTierNotApplied][1][MonitoringParameterAffected]",Submission!$O:$O,Submission!$H:$N,""))</f>
        <v>Quantity of fuel</v>
      </c>
      <c r="G1037" s="89" t="str">
        <f>_xlfn.CONCAT(_xlfn.XLOOKUP("[S05_CategoryCHighestTierNotApplied][1][HighestTierRequired]",Submission!$O:$O,Submission!$H:$N,""))</f>
        <v>Tier 4</v>
      </c>
      <c r="H1037" s="240" t="str">
        <f>_xlfn.CONCAT(_xlfn.XLOOKUP("[S05_CategoryCHighestTierNotApplied][1][TierInPractice]",Submission!$O:$O,Submission!$H:$N,""))</f>
        <v>Tier 3</v>
      </c>
      <c r="I1037" s="242"/>
    </row>
    <row r="1038" spans="1:9" ht="24.6" customHeight="1" x14ac:dyDescent="0.3">
      <c r="B1038" s="34"/>
      <c r="C1038" s="72" t="str">
        <f>_xlfn.CONCAT(_xlfn.XLOOKUP("[S05_CategoryCHighestTierNotApplied][2][InstallationID]",Submission!$O:$O,Submission!$H:$N,""))</f>
        <v>205194</v>
      </c>
      <c r="D1038" s="72" t="str">
        <f>_xlfn.CONCAT(_xlfn.XLOOKUP("[S05_CategoryCHighestTierNotApplied][2][SourceStreamAffected]",Submission!$O:$O,Submission!$H:$N,""))</f>
        <v>Fuel gas 5</v>
      </c>
      <c r="E1038" s="72" t="str">
        <f>_xlfn.CONCAT(_xlfn.XLOOKUP("[S05_CategoryCHighestTierNotApplied][2][EmissionSourceAffected]",Submission!$O:$O,Submission!$H:$N,""))</f>
        <v/>
      </c>
      <c r="F1038" s="72" t="str">
        <f>_xlfn.CONCAT(_xlfn.XLOOKUP("[S05_CategoryCHighestTierNotApplied][2][MonitoringParameterAffected]",Submission!$O:$O,Submission!$H:$N,""))</f>
        <v>Quantity of fuel</v>
      </c>
      <c r="G1038" s="89" t="str">
        <f>_xlfn.CONCAT(_xlfn.XLOOKUP("[S05_CategoryCHighestTierNotApplied][2][HighestTierRequired]",Submission!$O:$O,Submission!$H:$N,""))</f>
        <v>Tier 4</v>
      </c>
      <c r="H1038" s="240" t="str">
        <f>_xlfn.CONCAT(_xlfn.XLOOKUP("[S05_CategoryCHighestTierNotApplied][2][TierInPractice]",Submission!$O:$O,Submission!$H:$N,""))</f>
        <v>Tier 3</v>
      </c>
      <c r="I1038" s="242"/>
    </row>
    <row r="1039" spans="1:9" ht="24.6" customHeight="1" x14ac:dyDescent="0.3">
      <c r="A1039" s="13"/>
      <c r="B1039" s="34"/>
      <c r="C1039" s="72" t="str">
        <f>_xlfn.CONCAT(_xlfn.XLOOKUP("[S05_CategoryCHighestTierNotApplied][3][InstallationID]",Submission!$O:$O,Submission!$H:$N,""))</f>
        <v/>
      </c>
      <c r="D1039" s="72" t="str">
        <f>_xlfn.CONCAT(_xlfn.XLOOKUP("[S05_CategoryCHighestTierNotApplied][3][SourceStreamAffected]",Submission!$O:$O,Submission!$H:$N,""))</f>
        <v/>
      </c>
      <c r="E1039" s="72" t="str">
        <f>_xlfn.CONCAT(_xlfn.XLOOKUP("[S05_CategoryCHighestTierNotApplied][3][EmissionSourceAffected]",Submission!$O:$O,Submission!$H:$N,""))</f>
        <v/>
      </c>
      <c r="F1039" s="72" t="str">
        <f>_xlfn.CONCAT(_xlfn.XLOOKUP("[S05_CategoryCHighestTierNotApplied][3][MonitoringParameterAffected]",Submission!$O:$O,Submission!$H:$N,""))</f>
        <v/>
      </c>
      <c r="G1039" s="89" t="str">
        <f>_xlfn.CONCAT(_xlfn.XLOOKUP("[S05_CategoryCHighestTierNotApplied][3][HighestTierRequired]",Submission!$O:$O,Submission!$H:$N,""))</f>
        <v/>
      </c>
      <c r="H1039" s="240" t="str">
        <f>_xlfn.CONCAT(_xlfn.XLOOKUP("[S05_CategoryCHighestTierNotApplied][3][TierInPractice]",Submission!$O:$O,Submission!$H:$N,""))</f>
        <v/>
      </c>
      <c r="I1039" s="242"/>
    </row>
    <row r="1040" spans="1:9" ht="24.6" customHeight="1" x14ac:dyDescent="0.3">
      <c r="B1040" s="34"/>
      <c r="C1040" s="72" t="str">
        <f>_xlfn.CONCAT(_xlfn.XLOOKUP("[S05_CategoryCHighestTierNotApplied][4][InstallationID]",Submission!$O:$O,Submission!$H:$N,""))</f>
        <v/>
      </c>
      <c r="D1040" s="72" t="str">
        <f>_xlfn.CONCAT(_xlfn.XLOOKUP("[S05_CategoryCHighestTierNotApplied][4][SourceStreamAffected]",Submission!$O:$O,Submission!$H:$N,""))</f>
        <v/>
      </c>
      <c r="E1040" s="72" t="str">
        <f>_xlfn.CONCAT(_xlfn.XLOOKUP("[S05_CategoryCHighestTierNotApplied][4][EmissionSourceAffected]",Submission!$O:$O,Submission!$H:$N,""))</f>
        <v/>
      </c>
      <c r="F1040" s="72" t="str">
        <f>_xlfn.CONCAT(_xlfn.XLOOKUP("[S05_CategoryCHighestTierNotApplied][4][MonitoringParameterAffected]",Submission!$O:$O,Submission!$H:$N,""))</f>
        <v/>
      </c>
      <c r="G1040" s="89" t="str">
        <f>_xlfn.CONCAT(_xlfn.XLOOKUP("[S05_CategoryCHighestTierNotApplied][4][HighestTierRequired]",Submission!$O:$O,Submission!$H:$N,""))</f>
        <v/>
      </c>
      <c r="H1040" s="240" t="str">
        <f>_xlfn.CONCAT(_xlfn.XLOOKUP("[S05_CategoryCHighestTierNotApplied][4][TierInPractice]",Submission!$O:$O,Submission!$H:$N,""))</f>
        <v/>
      </c>
      <c r="I1040" s="242"/>
    </row>
    <row r="1041" spans="1:9" ht="24.6" customHeight="1" x14ac:dyDescent="0.3">
      <c r="B1041" s="34"/>
      <c r="C1041" s="72" t="str">
        <f>_xlfn.CONCAT(_xlfn.XLOOKUP("[S05_CategoryCHighestTierNotApplied][5][InstallationID]",Submission!$O:$O,Submission!$H:$N,""))</f>
        <v/>
      </c>
      <c r="D1041" s="72" t="str">
        <f>_xlfn.CONCAT(_xlfn.XLOOKUP("[S05_CategoryCHighestTierNotApplied][5][SourceStreamAffected]",Submission!$O:$O,Submission!$H:$N,""))</f>
        <v/>
      </c>
      <c r="E1041" s="72" t="str">
        <f>_xlfn.CONCAT(_xlfn.XLOOKUP("[S05_CategoryCHighestTierNotApplied][5][EmissionSourceAffected]",Submission!$O:$O,Submission!$H:$N,""))</f>
        <v/>
      </c>
      <c r="F1041" s="72" t="str">
        <f>_xlfn.CONCAT(_xlfn.XLOOKUP("[S05_CategoryCHighestTierNotApplied][5][MonitoringParameterAffected]",Submission!$O:$O,Submission!$H:$N,""))</f>
        <v/>
      </c>
      <c r="G1041" s="89" t="str">
        <f>_xlfn.CONCAT(_xlfn.XLOOKUP("[S05_CategoryCHighestTierNotApplied][5][HighestTierRequired]",Submission!$O:$O,Submission!$H:$N,""))</f>
        <v/>
      </c>
      <c r="H1041" s="240" t="str">
        <f>_xlfn.CONCAT(_xlfn.XLOOKUP("[S05_CategoryCHighestTierNotApplied][5][TierInPractice]",Submission!$O:$O,Submission!$H:$N,""))</f>
        <v/>
      </c>
      <c r="I1041" s="242"/>
    </row>
    <row r="1042" spans="1:9" ht="24.6" customHeight="1" x14ac:dyDescent="0.3">
      <c r="B1042" s="34"/>
      <c r="C1042" s="72" t="str">
        <f>_xlfn.CONCAT(_xlfn.XLOOKUP("[S05_CategoryCHighestTierNotApplied][6][InstallationID]",Submission!$O:$O,Submission!$H:$N,""))</f>
        <v/>
      </c>
      <c r="D1042" s="72" t="str">
        <f>_xlfn.CONCAT(_xlfn.XLOOKUP("[S05_CategoryCHighestTierNotApplied][6][SourceStreamAffected]",Submission!$O:$O,Submission!$H:$N,""))</f>
        <v/>
      </c>
      <c r="E1042" s="72" t="str">
        <f>_xlfn.CONCAT(_xlfn.XLOOKUP("[S05_CategoryCHighestTierNotApplied][6][EmissionSourceAffected]",Submission!$O:$O,Submission!$H:$N,""))</f>
        <v/>
      </c>
      <c r="F1042" s="72" t="str">
        <f>_xlfn.CONCAT(_xlfn.XLOOKUP("[S05_CategoryCHighestTierNotApplied][6][MonitoringParameterAffected]",Submission!$O:$O,Submission!$H:$N,""))</f>
        <v/>
      </c>
      <c r="G1042" s="89" t="str">
        <f>_xlfn.CONCAT(_xlfn.XLOOKUP("[S05_CategoryCHighestTierNotApplied][6][HighestTierRequired]",Submission!$O:$O,Submission!$H:$N,""))</f>
        <v/>
      </c>
      <c r="H1042" s="240" t="str">
        <f>_xlfn.CONCAT(_xlfn.XLOOKUP("[S05_CategoryCHighestTierNotApplied][6][TierInPractice]",Submission!$O:$O,Submission!$H:$N,""))</f>
        <v/>
      </c>
      <c r="I1042" s="242"/>
    </row>
    <row r="1043" spans="1:9" ht="24.6" customHeight="1" x14ac:dyDescent="0.3">
      <c r="B1043" s="34"/>
      <c r="C1043" s="72" t="str">
        <f>_xlfn.CONCAT(_xlfn.XLOOKUP("[S05_CategoryCHighestTierNotApplied][7][InstallationID]",Submission!$O:$O,Submission!$H:$N,""))</f>
        <v/>
      </c>
      <c r="D1043" s="72" t="str">
        <f>_xlfn.CONCAT(_xlfn.XLOOKUP("[S05_CategoryCHighestTierNotApplied][7][SourceStreamAffected]",Submission!$O:$O,Submission!$H:$N,""))</f>
        <v/>
      </c>
      <c r="E1043" s="72" t="str">
        <f>_xlfn.CONCAT(_xlfn.XLOOKUP("[S05_CategoryCHighestTierNotApplied][7][EmissionSourceAffected]",Submission!$O:$O,Submission!$H:$N,""))</f>
        <v/>
      </c>
      <c r="F1043" s="72" t="str">
        <f>_xlfn.CONCAT(_xlfn.XLOOKUP("[S05_CategoryCHighestTierNotApplied][7][MonitoringParameterAffected]",Submission!$O:$O,Submission!$H:$N,""))</f>
        <v/>
      </c>
      <c r="G1043" s="89" t="str">
        <f>_xlfn.CONCAT(_xlfn.XLOOKUP("[S05_CategoryCHighestTierNotApplied][7][HighestTierRequired]",Submission!$O:$O,Submission!$H:$N,""))</f>
        <v/>
      </c>
      <c r="H1043" s="240" t="str">
        <f>_xlfn.CONCAT(_xlfn.XLOOKUP("[S05_CategoryCHighestTierNotApplied][7][TierInPractice]",Submission!$O:$O,Submission!$H:$N,""))</f>
        <v/>
      </c>
      <c r="I1043" s="242"/>
    </row>
    <row r="1044" spans="1:9" ht="24.6" customHeight="1" x14ac:dyDescent="0.3">
      <c r="B1044" s="34"/>
      <c r="C1044" s="72" t="str">
        <f>_xlfn.CONCAT(_xlfn.XLOOKUP("[S05_CategoryCHighestTierNotApplied][8][InstallationID]",Submission!$O:$O,Submission!$H:$N,""))</f>
        <v/>
      </c>
      <c r="D1044" s="72" t="str">
        <f>_xlfn.CONCAT(_xlfn.XLOOKUP("[S05_CategoryCHighestTierNotApplied][8][SourceStreamAffected]",Submission!$O:$O,Submission!$H:$N,""))</f>
        <v/>
      </c>
      <c r="E1044" s="72" t="str">
        <f>_xlfn.CONCAT(_xlfn.XLOOKUP("[S05_CategoryCHighestTierNotApplied][8][EmissionSourceAffected]",Submission!$O:$O,Submission!$H:$N,""))</f>
        <v/>
      </c>
      <c r="F1044" s="72" t="str">
        <f>_xlfn.CONCAT(_xlfn.XLOOKUP("[S05_CategoryCHighestTierNotApplied][8][MonitoringParameterAffected]",Submission!$O:$O,Submission!$H:$N,""))</f>
        <v/>
      </c>
      <c r="G1044" s="89" t="str">
        <f>_xlfn.CONCAT(_xlfn.XLOOKUP("[S05_CategoryCHighestTierNotApplied][8][HighestTierRequired]",Submission!$O:$O,Submission!$H:$N,""))</f>
        <v/>
      </c>
      <c r="H1044" s="240" t="str">
        <f>_xlfn.CONCAT(_xlfn.XLOOKUP("[S05_CategoryCHighestTierNotApplied][8][TierInPractice]",Submission!$O:$O,Submission!$H:$N,""))</f>
        <v/>
      </c>
      <c r="I1044" s="242"/>
    </row>
    <row r="1045" spans="1:9" ht="24.6" customHeight="1" x14ac:dyDescent="0.3">
      <c r="A1045" s="13"/>
      <c r="B1045" s="34"/>
      <c r="C1045" s="72" t="str">
        <f>_xlfn.CONCAT(_xlfn.XLOOKUP("[S05_CategoryCHighestTierNotApplied][9][InstallationID]",Submission!$O:$O,Submission!$H:$N,""))</f>
        <v/>
      </c>
      <c r="D1045" s="72" t="str">
        <f>_xlfn.CONCAT(_xlfn.XLOOKUP("[S05_CategoryCHighestTierNotApplied][9][SourceStreamAffected]",Submission!$O:$O,Submission!$H:$N,""))</f>
        <v/>
      </c>
      <c r="E1045" s="72" t="str">
        <f>_xlfn.CONCAT(_xlfn.XLOOKUP("[S05_CategoryCHighestTierNotApplied][9][EmissionSourceAffected]",Submission!$O:$O,Submission!$H:$N,""))</f>
        <v/>
      </c>
      <c r="F1045" s="72" t="str">
        <f>_xlfn.CONCAT(_xlfn.XLOOKUP("[S05_CategoryCHighestTierNotApplied][9][MonitoringParameterAffected]",Submission!$O:$O,Submission!$H:$N,""))</f>
        <v/>
      </c>
      <c r="G1045" s="89" t="str">
        <f>_xlfn.CONCAT(_xlfn.XLOOKUP("[S05_CategoryCHighestTierNotApplied][9][HighestTierRequired]",Submission!$O:$O,Submission!$H:$N,""))</f>
        <v/>
      </c>
      <c r="H1045" s="240" t="str">
        <f>_xlfn.CONCAT(_xlfn.XLOOKUP("[S05_CategoryCHighestTierNotApplied][9][TierInPractice]",Submission!$O:$O,Submission!$H:$N,""))</f>
        <v/>
      </c>
      <c r="I1045" s="242"/>
    </row>
    <row r="1046" spans="1:9" ht="24.6" customHeight="1" x14ac:dyDescent="0.3">
      <c r="A1046" s="13"/>
      <c r="B1046" s="34"/>
      <c r="C1046" s="72" t="str">
        <f>_xlfn.CONCAT(_xlfn.XLOOKUP("[S05_CategoryCHighestTierNotApplied][10][InstallationID]",Submission!$O:$O,Submission!$H:$N,""))</f>
        <v/>
      </c>
      <c r="D1046" s="72" t="str">
        <f>_xlfn.CONCAT(_xlfn.XLOOKUP("[S05_CategoryCHighestTierNotApplied][10][SourceStreamAffected]",Submission!$O:$O,Submission!$H:$N,""))</f>
        <v/>
      </c>
      <c r="E1046" s="72" t="str">
        <f>_xlfn.CONCAT(_xlfn.XLOOKUP("[S05_CategoryCHighestTierNotApplied][10][EmissionSourceAffected]",Submission!$O:$O,Submission!$H:$N,""))</f>
        <v/>
      </c>
      <c r="F1046" s="72" t="str">
        <f>_xlfn.CONCAT(_xlfn.XLOOKUP("[S05_CategoryCHighestTierNotApplied][10][MonitoringParameterAffected]",Submission!$O:$O,Submission!$H:$N,""))</f>
        <v/>
      </c>
      <c r="G1046" s="89" t="str">
        <f>_xlfn.CONCAT(_xlfn.XLOOKUP("[S05_CategoryCHighestTierNotApplied][10][HighestTierRequired]",Submission!$O:$O,Submission!$H:$N,""))</f>
        <v/>
      </c>
      <c r="H1046" s="240" t="str">
        <f>_xlfn.CONCAT(_xlfn.XLOOKUP("[S05_CategoryCHighestTierNotApplied][10][TierInPractice]",Submission!$O:$O,Submission!$H:$N,""))</f>
        <v/>
      </c>
      <c r="I1046" s="242"/>
    </row>
    <row r="1047" spans="1:9" ht="24.6" customHeight="1" x14ac:dyDescent="0.3">
      <c r="B1047" s="34"/>
      <c r="C1047" s="72" t="str">
        <f>_xlfn.CONCAT(_xlfn.XLOOKUP("[S05_CategoryCHighestTierNotApplied][11][InstallationID]",Submission!$O:$O,Submission!$H:$N,""))</f>
        <v/>
      </c>
      <c r="D1047" s="72" t="str">
        <f>_xlfn.CONCAT(_xlfn.XLOOKUP("[S05_CategoryCHighestTierNotApplied][11][SourceStreamAffected]",Submission!$O:$O,Submission!$H:$N,""))</f>
        <v/>
      </c>
      <c r="E1047" s="72" t="str">
        <f>_xlfn.CONCAT(_xlfn.XLOOKUP("[S05_CategoryCHighestTierNotApplied][11][EmissionSourceAffected]",Submission!$O:$O,Submission!$H:$N,""))</f>
        <v/>
      </c>
      <c r="F1047" s="72" t="str">
        <f>_xlfn.CONCAT(_xlfn.XLOOKUP("[S05_CategoryCHighestTierNotApplied][11][MonitoringParameterAffected]",Submission!$O:$O,Submission!$H:$N,""))</f>
        <v/>
      </c>
      <c r="G1047" s="89" t="str">
        <f>_xlfn.CONCAT(_xlfn.XLOOKUP("[S05_CategoryCHighestTierNotApplied][11][HighestTierRequired]",Submission!$O:$O,Submission!$H:$N,""))</f>
        <v/>
      </c>
      <c r="H1047" s="240" t="str">
        <f>_xlfn.CONCAT(_xlfn.XLOOKUP("[S05_CategoryCHighestTierNotApplied][11][TierInPractice]",Submission!$O:$O,Submission!$H:$N,""))</f>
        <v/>
      </c>
      <c r="I1047" s="242"/>
    </row>
    <row r="1048" spans="1:9" ht="24.6" customHeight="1" x14ac:dyDescent="0.3">
      <c r="A1048" s="13"/>
      <c r="B1048" s="34"/>
      <c r="C1048" s="72" t="str">
        <f>_xlfn.CONCAT(_xlfn.XLOOKUP("[S05_CategoryCHighestTierNotApplied][12][InstallationID]",Submission!$O:$O,Submission!$H:$N,""))</f>
        <v/>
      </c>
      <c r="D1048" s="72" t="str">
        <f>_xlfn.CONCAT(_xlfn.XLOOKUP("[S05_CategoryCHighestTierNotApplied][12][SourceStreamAffected]",Submission!$O:$O,Submission!$H:$N,""))</f>
        <v/>
      </c>
      <c r="E1048" s="72" t="str">
        <f>_xlfn.CONCAT(_xlfn.XLOOKUP("[S05_CategoryCHighestTierNotApplied][12][EmissionSourceAffected]",Submission!$O:$O,Submission!$H:$N,""))</f>
        <v/>
      </c>
      <c r="F1048" s="72" t="str">
        <f>_xlfn.CONCAT(_xlfn.XLOOKUP("[S05_CategoryCHighestTierNotApplied][12][MonitoringParameterAffected]",Submission!$O:$O,Submission!$H:$N,""))</f>
        <v/>
      </c>
      <c r="G1048" s="89" t="str">
        <f>_xlfn.CONCAT(_xlfn.XLOOKUP("[S05_CategoryCHighestTierNotApplied][12][HighestTierRequired]",Submission!$O:$O,Submission!$H:$N,""))</f>
        <v/>
      </c>
      <c r="H1048" s="240" t="str">
        <f>_xlfn.CONCAT(_xlfn.XLOOKUP("[S05_CategoryCHighestTierNotApplied][12][TierInPractice]",Submission!$O:$O,Submission!$H:$N,""))</f>
        <v/>
      </c>
      <c r="I1048" s="242"/>
    </row>
    <row r="1049" spans="1:9" ht="24.6" customHeight="1" x14ac:dyDescent="0.3">
      <c r="A1049" s="13"/>
      <c r="B1049" s="34"/>
      <c r="C1049" s="72" t="str">
        <f>_xlfn.CONCAT(_xlfn.XLOOKUP("[S05_CategoryCHighestTierNotApplied][13][InstallationID]",Submission!$O:$O,Submission!$H:$N,""))</f>
        <v/>
      </c>
      <c r="D1049" s="72" t="str">
        <f>_xlfn.CONCAT(_xlfn.XLOOKUP("[S05_CategoryCHighestTierNotApplied][13][SourceStreamAffected]",Submission!$O:$O,Submission!$H:$N,""))</f>
        <v/>
      </c>
      <c r="E1049" s="72" t="str">
        <f>_xlfn.CONCAT(_xlfn.XLOOKUP("[S05_CategoryCHighestTierNotApplied][13][EmissionSourceAffected]",Submission!$O:$O,Submission!$H:$N,""))</f>
        <v/>
      </c>
      <c r="F1049" s="72" t="str">
        <f>_xlfn.CONCAT(_xlfn.XLOOKUP("[S05_CategoryCHighestTierNotApplied][13][MonitoringParameterAffected]",Submission!$O:$O,Submission!$H:$N,""))</f>
        <v/>
      </c>
      <c r="G1049" s="89" t="str">
        <f>_xlfn.CONCAT(_xlfn.XLOOKUP("[S05_CategoryCHighestTierNotApplied][13][HighestTierRequired]",Submission!$O:$O,Submission!$H:$N,""))</f>
        <v/>
      </c>
      <c r="H1049" s="240" t="str">
        <f>_xlfn.CONCAT(_xlfn.XLOOKUP("[S05_CategoryCHighestTierNotApplied][13][TierInPractice]",Submission!$O:$O,Submission!$H:$N,""))</f>
        <v/>
      </c>
      <c r="I1049" s="242"/>
    </row>
    <row r="1050" spans="1:9" ht="24.6" customHeight="1" x14ac:dyDescent="0.3">
      <c r="A1050" s="13"/>
      <c r="B1050" s="34"/>
      <c r="C1050" s="72" t="str">
        <f>_xlfn.CONCAT(_xlfn.XLOOKUP("[S05_CategoryCHighestTierNotApplied][14][InstallationID]",Submission!$O:$O,Submission!$H:$N,""))</f>
        <v/>
      </c>
      <c r="D1050" s="72" t="str">
        <f>_xlfn.CONCAT(_xlfn.XLOOKUP("[S05_CategoryCHighestTierNotApplied][14][SourceStreamAffected]",Submission!$O:$O,Submission!$H:$N,""))</f>
        <v/>
      </c>
      <c r="E1050" s="72" t="str">
        <f>_xlfn.CONCAT(_xlfn.XLOOKUP("[S05_CategoryCHighestTierNotApplied][14][EmissionSourceAffected]",Submission!$O:$O,Submission!$H:$N,""))</f>
        <v/>
      </c>
      <c r="F1050" s="72" t="str">
        <f>_xlfn.CONCAT(_xlfn.XLOOKUP("[S05_CategoryCHighestTierNotApplied][14][MonitoringParameterAffected]",Submission!$O:$O,Submission!$H:$N,""))</f>
        <v/>
      </c>
      <c r="G1050" s="89" t="str">
        <f>_xlfn.CONCAT(_xlfn.XLOOKUP("[S05_CategoryCHighestTierNotApplied][14][HighestTierRequired]",Submission!$O:$O,Submission!$H:$N,""))</f>
        <v/>
      </c>
      <c r="H1050" s="240" t="str">
        <f>_xlfn.CONCAT(_xlfn.XLOOKUP("[S05_CategoryCHighestTierNotApplied][14][TierInPractice]",Submission!$O:$O,Submission!$H:$N,""))</f>
        <v/>
      </c>
      <c r="I1050" s="242"/>
    </row>
    <row r="1051" spans="1:9" ht="24.6" hidden="1" customHeight="1" outlineLevel="1" x14ac:dyDescent="0.3">
      <c r="A1051" s="13"/>
      <c r="B1051" s="34"/>
      <c r="C1051" s="72" t="str">
        <f>_xlfn.CONCAT(_xlfn.XLOOKUP("[S05_CategoryCHighestTierNotApplied][15][InstallationID]",Submission!$O:$O,Submission!$H:$N,""))</f>
        <v/>
      </c>
      <c r="D1051" s="72" t="str">
        <f>_xlfn.CONCAT(_xlfn.XLOOKUP("[S05_CategoryCHighestTierNotApplied][15][SourceStreamAffected]",Submission!$O:$O,Submission!$H:$N,""))</f>
        <v/>
      </c>
      <c r="E1051" s="72" t="str">
        <f>_xlfn.CONCAT(_xlfn.XLOOKUP("[S05_CategoryCHighestTierNotApplied][15][EmissionSourceAffected]",Submission!$O:$O,Submission!$H:$N,""))</f>
        <v/>
      </c>
      <c r="F1051" s="72" t="str">
        <f>_xlfn.CONCAT(_xlfn.XLOOKUP("[S05_CategoryCHighestTierNotApplied][15][MonitoringParameterAffected]",Submission!$O:$O,Submission!$H:$N,""))</f>
        <v/>
      </c>
      <c r="G1051" s="89" t="str">
        <f>_xlfn.CONCAT(_xlfn.XLOOKUP("[S05_CategoryCHighestTierNotApplied][15][HighestTierRequired]",Submission!$O:$O,Submission!$H:$N,""))</f>
        <v/>
      </c>
      <c r="H1051" s="240" t="str">
        <f>_xlfn.CONCAT(_xlfn.XLOOKUP("[S05_CategoryCHighestTierNotApplied][15][TierInPractice]",Submission!$O:$O,Submission!$H:$N,""))</f>
        <v/>
      </c>
      <c r="I1051" s="242"/>
    </row>
    <row r="1052" spans="1:9" ht="24.6" hidden="1" customHeight="1" outlineLevel="1" x14ac:dyDescent="0.3">
      <c r="B1052" s="34"/>
      <c r="C1052" s="72" t="str">
        <f>_xlfn.CONCAT(_xlfn.XLOOKUP("[S05_CategoryCHighestTierNotApplied][16][InstallationID]",Submission!$O:$O,Submission!$H:$N,""))</f>
        <v/>
      </c>
      <c r="D1052" s="72" t="str">
        <f>_xlfn.CONCAT(_xlfn.XLOOKUP("[S05_CategoryCHighestTierNotApplied][16][SourceStreamAffected]",Submission!$O:$O,Submission!$H:$N,""))</f>
        <v/>
      </c>
      <c r="E1052" s="72" t="str">
        <f>_xlfn.CONCAT(_xlfn.XLOOKUP("[S05_CategoryCHighestTierNotApplied][16][EmissionSourceAffected]",Submission!$O:$O,Submission!$H:$N,""))</f>
        <v/>
      </c>
      <c r="F1052" s="72" t="str">
        <f>_xlfn.CONCAT(_xlfn.XLOOKUP("[S05_CategoryCHighestTierNotApplied][16][MonitoringParameterAffected]",Submission!$O:$O,Submission!$H:$N,""))</f>
        <v/>
      </c>
      <c r="G1052" s="89" t="str">
        <f>_xlfn.CONCAT(_xlfn.XLOOKUP("[S05_CategoryCHighestTierNotApplied][16][HighestTierRequired]",Submission!$O:$O,Submission!$H:$N,""))</f>
        <v/>
      </c>
      <c r="H1052" s="240" t="str">
        <f>_xlfn.CONCAT(_xlfn.XLOOKUP("[S05_CategoryCHighestTierNotApplied][16][TierInPractice]",Submission!$O:$O,Submission!$H:$N,""))</f>
        <v/>
      </c>
      <c r="I1052" s="242"/>
    </row>
    <row r="1053" spans="1:9" ht="24.6" hidden="1" customHeight="1" outlineLevel="1" x14ac:dyDescent="0.3">
      <c r="B1053" s="34"/>
      <c r="C1053" s="72" t="str">
        <f>_xlfn.CONCAT(_xlfn.XLOOKUP("[S05_CategoryCHighestTierNotApplied][17][InstallationID]",Submission!$O:$O,Submission!$H:$N,""))</f>
        <v/>
      </c>
      <c r="D1053" s="72" t="str">
        <f>_xlfn.CONCAT(_xlfn.XLOOKUP("[S05_CategoryCHighestTierNotApplied][17][SourceStreamAffected]",Submission!$O:$O,Submission!$H:$N,""))</f>
        <v/>
      </c>
      <c r="E1053" s="72" t="str">
        <f>_xlfn.CONCAT(_xlfn.XLOOKUP("[S05_CategoryCHighestTierNotApplied][17][EmissionSourceAffected]",Submission!$O:$O,Submission!$H:$N,""))</f>
        <v/>
      </c>
      <c r="F1053" s="72" t="str">
        <f>_xlfn.CONCAT(_xlfn.XLOOKUP("[S05_CategoryCHighestTierNotApplied][17][MonitoringParameterAffected]",Submission!$O:$O,Submission!$H:$N,""))</f>
        <v/>
      </c>
      <c r="G1053" s="89" t="str">
        <f>_xlfn.CONCAT(_xlfn.XLOOKUP("[S05_CategoryCHighestTierNotApplied][17][HighestTierRequired]",Submission!$O:$O,Submission!$H:$N,""))</f>
        <v/>
      </c>
      <c r="H1053" s="240" t="str">
        <f>_xlfn.CONCAT(_xlfn.XLOOKUP("[S05_CategoryCHighestTierNotApplied][17][TierInPractice]",Submission!$O:$O,Submission!$H:$N,""))</f>
        <v/>
      </c>
      <c r="I1053" s="242"/>
    </row>
    <row r="1054" spans="1:9" ht="24.6" hidden="1" customHeight="1" outlineLevel="1" x14ac:dyDescent="0.3">
      <c r="A1054" s="13"/>
      <c r="B1054" s="34"/>
      <c r="C1054" s="72" t="str">
        <f>_xlfn.CONCAT(_xlfn.XLOOKUP("[S05_CategoryCHighestTierNotApplied][18][InstallationID]",Submission!$O:$O,Submission!$H:$N,""))</f>
        <v/>
      </c>
      <c r="D1054" s="72" t="str">
        <f>_xlfn.CONCAT(_xlfn.XLOOKUP("[S05_CategoryCHighestTierNotApplied][18][SourceStreamAffected]",Submission!$O:$O,Submission!$H:$N,""))</f>
        <v/>
      </c>
      <c r="E1054" s="72" t="str">
        <f>_xlfn.CONCAT(_xlfn.XLOOKUP("[S05_CategoryCHighestTierNotApplied][18][EmissionSourceAffected]",Submission!$O:$O,Submission!$H:$N,""))</f>
        <v/>
      </c>
      <c r="F1054" s="72" t="str">
        <f>_xlfn.CONCAT(_xlfn.XLOOKUP("[S05_CategoryCHighestTierNotApplied][18][MonitoringParameterAffected]",Submission!$O:$O,Submission!$H:$N,""))</f>
        <v/>
      </c>
      <c r="G1054" s="89" t="str">
        <f>_xlfn.CONCAT(_xlfn.XLOOKUP("[S05_CategoryCHighestTierNotApplied][18][HighestTierRequired]",Submission!$O:$O,Submission!$H:$N,""))</f>
        <v/>
      </c>
      <c r="H1054" s="240" t="str">
        <f>_xlfn.CONCAT(_xlfn.XLOOKUP("[S05_CategoryCHighestTierNotApplied][18][TierInPractice]",Submission!$O:$O,Submission!$H:$N,""))</f>
        <v/>
      </c>
      <c r="I1054" s="242"/>
    </row>
    <row r="1055" spans="1:9" ht="24.6" hidden="1" customHeight="1" outlineLevel="1" x14ac:dyDescent="0.3">
      <c r="B1055" s="34"/>
      <c r="C1055" s="72" t="str">
        <f>_xlfn.CONCAT(_xlfn.XLOOKUP("[S05_CategoryCHighestTierNotApplied][19][InstallationID]",Submission!$O:$O,Submission!$H:$N,""))</f>
        <v/>
      </c>
      <c r="D1055" s="72" t="str">
        <f>_xlfn.CONCAT(_xlfn.XLOOKUP("[S05_CategoryCHighestTierNotApplied][19][SourceStreamAffected]",Submission!$O:$O,Submission!$H:$N,""))</f>
        <v/>
      </c>
      <c r="E1055" s="72" t="str">
        <f>_xlfn.CONCAT(_xlfn.XLOOKUP("[S05_CategoryCHighestTierNotApplied][19][EmissionSourceAffected]",Submission!$O:$O,Submission!$H:$N,""))</f>
        <v/>
      </c>
      <c r="F1055" s="72" t="str">
        <f>_xlfn.CONCAT(_xlfn.XLOOKUP("[S05_CategoryCHighestTierNotApplied][19][MonitoringParameterAffected]",Submission!$O:$O,Submission!$H:$N,""))</f>
        <v/>
      </c>
      <c r="G1055" s="89" t="str">
        <f>_xlfn.CONCAT(_xlfn.XLOOKUP("[S05_CategoryCHighestTierNotApplied][19][HighestTierRequired]",Submission!$O:$O,Submission!$H:$N,""))</f>
        <v/>
      </c>
      <c r="H1055" s="240" t="str">
        <f>_xlfn.CONCAT(_xlfn.XLOOKUP("[S05_CategoryCHighestTierNotApplied][19][TierInPractice]",Submission!$O:$O,Submission!$H:$N,""))</f>
        <v/>
      </c>
      <c r="I1055" s="242"/>
    </row>
    <row r="1056" spans="1:9" ht="24.6" hidden="1" customHeight="1" outlineLevel="1" x14ac:dyDescent="0.3">
      <c r="B1056" s="34"/>
      <c r="C1056" s="72" t="str">
        <f>_xlfn.CONCAT(_xlfn.XLOOKUP("[S05_CategoryCHighestTierNotApplied][20][InstallationID]",Submission!$O:$O,Submission!$H:$N,""))</f>
        <v/>
      </c>
      <c r="D1056" s="72" t="str">
        <f>_xlfn.CONCAT(_xlfn.XLOOKUP("[S05_CategoryCHighestTierNotApplied][20][SourceStreamAffected]",Submission!$O:$O,Submission!$H:$N,""))</f>
        <v/>
      </c>
      <c r="E1056" s="72" t="str">
        <f>_xlfn.CONCAT(_xlfn.XLOOKUP("[S05_CategoryCHighestTierNotApplied][20][EmissionSourceAffected]",Submission!$O:$O,Submission!$H:$N,""))</f>
        <v/>
      </c>
      <c r="F1056" s="72" t="str">
        <f>_xlfn.CONCAT(_xlfn.XLOOKUP("[S05_CategoryCHighestTierNotApplied][20][MonitoringParameterAffected]",Submission!$O:$O,Submission!$H:$N,""))</f>
        <v/>
      </c>
      <c r="G1056" s="89" t="str">
        <f>_xlfn.CONCAT(_xlfn.XLOOKUP("[S05_CategoryCHighestTierNotApplied][20][HighestTierRequired]",Submission!$O:$O,Submission!$H:$N,""))</f>
        <v/>
      </c>
      <c r="H1056" s="240" t="str">
        <f>_xlfn.CONCAT(_xlfn.XLOOKUP("[S05_CategoryCHighestTierNotApplied][20][TierInPractice]",Submission!$O:$O,Submission!$H:$N,""))</f>
        <v/>
      </c>
      <c r="I1056" s="242"/>
    </row>
    <row r="1057" spans="1:9" ht="24.6" hidden="1" customHeight="1" outlineLevel="1" x14ac:dyDescent="0.3">
      <c r="B1057" s="34"/>
      <c r="C1057" s="72" t="str">
        <f>_xlfn.CONCAT(_xlfn.XLOOKUP("[S05_CategoryCHighestTierNotApplied][21][InstallationID]",Submission!$O:$O,Submission!$H:$N,""))</f>
        <v/>
      </c>
      <c r="D1057" s="72" t="str">
        <f>_xlfn.CONCAT(_xlfn.XLOOKUP("[S05_CategoryCHighestTierNotApplied][21][SourceStreamAffected]",Submission!$O:$O,Submission!$H:$N,""))</f>
        <v/>
      </c>
      <c r="E1057" s="72" t="str">
        <f>_xlfn.CONCAT(_xlfn.XLOOKUP("[S05_CategoryCHighestTierNotApplied][21][EmissionSourceAffected]",Submission!$O:$O,Submission!$H:$N,""))</f>
        <v/>
      </c>
      <c r="F1057" s="72" t="str">
        <f>_xlfn.CONCAT(_xlfn.XLOOKUP("[S05_CategoryCHighestTierNotApplied][21][MonitoringParameterAffected]",Submission!$O:$O,Submission!$H:$N,""))</f>
        <v/>
      </c>
      <c r="G1057" s="89" t="str">
        <f>_xlfn.CONCAT(_xlfn.XLOOKUP("[S05_CategoryCHighestTierNotApplied][21][HighestTierRequired]",Submission!$O:$O,Submission!$H:$N,""))</f>
        <v/>
      </c>
      <c r="H1057" s="240" t="str">
        <f>_xlfn.CONCAT(_xlfn.XLOOKUP("[S05_CategoryCHighestTierNotApplied][21][TierInPractice]",Submission!$O:$O,Submission!$H:$N,""))</f>
        <v/>
      </c>
      <c r="I1057" s="242"/>
    </row>
    <row r="1058" spans="1:9" ht="24.6" hidden="1" customHeight="1" outlineLevel="1" x14ac:dyDescent="0.3">
      <c r="B1058" s="34"/>
      <c r="C1058" s="72" t="str">
        <f>_xlfn.CONCAT(_xlfn.XLOOKUP("[S05_CategoryCHighestTierNotApplied][22][InstallationID]",Submission!$O:$O,Submission!$H:$N,""))</f>
        <v/>
      </c>
      <c r="D1058" s="72" t="str">
        <f>_xlfn.CONCAT(_xlfn.XLOOKUP("[S05_CategoryCHighestTierNotApplied][22][SourceStreamAffected]",Submission!$O:$O,Submission!$H:$N,""))</f>
        <v/>
      </c>
      <c r="E1058" s="72" t="str">
        <f>_xlfn.CONCAT(_xlfn.XLOOKUP("[S05_CategoryCHighestTierNotApplied][22][EmissionSourceAffected]",Submission!$O:$O,Submission!$H:$N,""))</f>
        <v/>
      </c>
      <c r="F1058" s="72" t="str">
        <f>_xlfn.CONCAT(_xlfn.XLOOKUP("[S05_CategoryCHighestTierNotApplied][22][MonitoringParameterAffected]",Submission!$O:$O,Submission!$H:$N,""))</f>
        <v/>
      </c>
      <c r="G1058" s="89" t="str">
        <f>_xlfn.CONCAT(_xlfn.XLOOKUP("[S05_CategoryCHighestTierNotApplied][22][HighestTierRequired]",Submission!$O:$O,Submission!$H:$N,""))</f>
        <v/>
      </c>
      <c r="H1058" s="240" t="str">
        <f>_xlfn.CONCAT(_xlfn.XLOOKUP("[S05_CategoryCHighestTierNotApplied][22][TierInPractice]",Submission!$O:$O,Submission!$H:$N,""))</f>
        <v/>
      </c>
      <c r="I1058" s="242"/>
    </row>
    <row r="1059" spans="1:9" ht="24.6" hidden="1" customHeight="1" outlineLevel="1" x14ac:dyDescent="0.3">
      <c r="B1059" s="34"/>
      <c r="C1059" s="72" t="str">
        <f>_xlfn.CONCAT(_xlfn.XLOOKUP("[S05_CategoryCHighestTierNotApplied][23][InstallationID]",Submission!$O:$O,Submission!$H:$N,""))</f>
        <v/>
      </c>
      <c r="D1059" s="72" t="str">
        <f>_xlfn.CONCAT(_xlfn.XLOOKUP("[S05_CategoryCHighestTierNotApplied][23][SourceStreamAffected]",Submission!$O:$O,Submission!$H:$N,""))</f>
        <v/>
      </c>
      <c r="E1059" s="72" t="str">
        <f>_xlfn.CONCAT(_xlfn.XLOOKUP("[S05_CategoryCHighestTierNotApplied][23][EmissionSourceAffected]",Submission!$O:$O,Submission!$H:$N,""))</f>
        <v/>
      </c>
      <c r="F1059" s="72" t="str">
        <f>_xlfn.CONCAT(_xlfn.XLOOKUP("[S05_CategoryCHighestTierNotApplied][23][MonitoringParameterAffected]",Submission!$O:$O,Submission!$H:$N,""))</f>
        <v/>
      </c>
      <c r="G1059" s="89" t="str">
        <f>_xlfn.CONCAT(_xlfn.XLOOKUP("[S05_CategoryCHighestTierNotApplied][23][HighestTierRequired]",Submission!$O:$O,Submission!$H:$N,""))</f>
        <v/>
      </c>
      <c r="H1059" s="240" t="str">
        <f>_xlfn.CONCAT(_xlfn.XLOOKUP("[S05_CategoryCHighestTierNotApplied][23][TierInPractice]",Submission!$O:$O,Submission!$H:$N,""))</f>
        <v/>
      </c>
      <c r="I1059" s="242"/>
    </row>
    <row r="1060" spans="1:9" ht="24.6" hidden="1" customHeight="1" outlineLevel="1" x14ac:dyDescent="0.3">
      <c r="A1060" s="13"/>
      <c r="B1060" s="34"/>
      <c r="C1060" s="72" t="str">
        <f>_xlfn.CONCAT(_xlfn.XLOOKUP("[S05_CategoryCHighestTierNotApplied][24][InstallationID]",Submission!$O:$O,Submission!$H:$N,""))</f>
        <v/>
      </c>
      <c r="D1060" s="72" t="str">
        <f>_xlfn.CONCAT(_xlfn.XLOOKUP("[S05_CategoryCHighestTierNotApplied][24][SourceStreamAffected]",Submission!$O:$O,Submission!$H:$N,""))</f>
        <v/>
      </c>
      <c r="E1060" s="72" t="str">
        <f>_xlfn.CONCAT(_xlfn.XLOOKUP("[S05_CategoryCHighestTierNotApplied][24][EmissionSourceAffected]",Submission!$O:$O,Submission!$H:$N,""))</f>
        <v/>
      </c>
      <c r="F1060" s="72" t="str">
        <f>_xlfn.CONCAT(_xlfn.XLOOKUP("[S05_CategoryCHighestTierNotApplied][24][MonitoringParameterAffected]",Submission!$O:$O,Submission!$H:$N,""))</f>
        <v/>
      </c>
      <c r="G1060" s="89" t="str">
        <f>_xlfn.CONCAT(_xlfn.XLOOKUP("[S05_CategoryCHighestTierNotApplied][24][HighestTierRequired]",Submission!$O:$O,Submission!$H:$N,""))</f>
        <v/>
      </c>
      <c r="H1060" s="240" t="str">
        <f>_xlfn.CONCAT(_xlfn.XLOOKUP("[S05_CategoryCHighestTierNotApplied][24][TierInPractice]",Submission!$O:$O,Submission!$H:$N,""))</f>
        <v/>
      </c>
      <c r="I1060" s="242"/>
    </row>
    <row r="1061" spans="1:9" ht="24.6" hidden="1" customHeight="1" outlineLevel="1" x14ac:dyDescent="0.3">
      <c r="A1061" s="13"/>
      <c r="B1061" s="34"/>
      <c r="C1061" s="72" t="str">
        <f>_xlfn.CONCAT(_xlfn.XLOOKUP("[S05_CategoryCHighestTierNotApplied][25][InstallationID]",Submission!$O:$O,Submission!$H:$N,""))</f>
        <v/>
      </c>
      <c r="D1061" s="72" t="str">
        <f>_xlfn.CONCAT(_xlfn.XLOOKUP("[S05_CategoryCHighestTierNotApplied][25][SourceStreamAffected]",Submission!$O:$O,Submission!$H:$N,""))</f>
        <v/>
      </c>
      <c r="E1061" s="72" t="str">
        <f>_xlfn.CONCAT(_xlfn.XLOOKUP("[S05_CategoryCHighestTierNotApplied][25][EmissionSourceAffected]",Submission!$O:$O,Submission!$H:$N,""))</f>
        <v/>
      </c>
      <c r="F1061" s="72" t="str">
        <f>_xlfn.CONCAT(_xlfn.XLOOKUP("[S05_CategoryCHighestTierNotApplied][25][MonitoringParameterAffected]",Submission!$O:$O,Submission!$H:$N,""))</f>
        <v/>
      </c>
      <c r="G1061" s="89" t="str">
        <f>_xlfn.CONCAT(_xlfn.XLOOKUP("[S05_CategoryCHighestTierNotApplied][25][HighestTierRequired]",Submission!$O:$O,Submission!$H:$N,""))</f>
        <v/>
      </c>
      <c r="H1061" s="240" t="str">
        <f>_xlfn.CONCAT(_xlfn.XLOOKUP("[S05_CategoryCHighestTierNotApplied][25][TierInPractice]",Submission!$O:$O,Submission!$H:$N,""))</f>
        <v/>
      </c>
      <c r="I1061" s="242"/>
    </row>
    <row r="1062" spans="1:9" ht="24.6" hidden="1" customHeight="1" outlineLevel="1" x14ac:dyDescent="0.3">
      <c r="B1062" s="34"/>
      <c r="C1062" s="72" t="str">
        <f>_xlfn.CONCAT(_xlfn.XLOOKUP("[S05_CategoryCHighestTierNotApplied][26][InstallationID]",Submission!$O:$O,Submission!$H:$N,""))</f>
        <v/>
      </c>
      <c r="D1062" s="72" t="str">
        <f>_xlfn.CONCAT(_xlfn.XLOOKUP("[S05_CategoryCHighestTierNotApplied][26][SourceStreamAffected]",Submission!$O:$O,Submission!$H:$N,""))</f>
        <v/>
      </c>
      <c r="E1062" s="72" t="str">
        <f>_xlfn.CONCAT(_xlfn.XLOOKUP("[S05_CategoryCHighestTierNotApplied][26][EmissionSourceAffected]",Submission!$O:$O,Submission!$H:$N,""))</f>
        <v/>
      </c>
      <c r="F1062" s="72" t="str">
        <f>_xlfn.CONCAT(_xlfn.XLOOKUP("[S05_CategoryCHighestTierNotApplied][26][MonitoringParameterAffected]",Submission!$O:$O,Submission!$H:$N,""))</f>
        <v/>
      </c>
      <c r="G1062" s="89" t="str">
        <f>_xlfn.CONCAT(_xlfn.XLOOKUP("[S05_CategoryCHighestTierNotApplied][26][HighestTierRequired]",Submission!$O:$O,Submission!$H:$N,""))</f>
        <v/>
      </c>
      <c r="H1062" s="240" t="str">
        <f>_xlfn.CONCAT(_xlfn.XLOOKUP("[S05_CategoryCHighestTierNotApplied][26][TierInPractice]",Submission!$O:$O,Submission!$H:$N,""))</f>
        <v/>
      </c>
      <c r="I1062" s="242"/>
    </row>
    <row r="1063" spans="1:9" ht="24.6" hidden="1" customHeight="1" outlineLevel="1" x14ac:dyDescent="0.3">
      <c r="A1063" s="13"/>
      <c r="B1063" s="34"/>
      <c r="C1063" s="72" t="str">
        <f>_xlfn.CONCAT(_xlfn.XLOOKUP("[S05_CategoryCHighestTierNotApplied][27][InstallationID]",Submission!$O:$O,Submission!$H:$N,""))</f>
        <v/>
      </c>
      <c r="D1063" s="72" t="str">
        <f>_xlfn.CONCAT(_xlfn.XLOOKUP("[S05_CategoryCHighestTierNotApplied][27][SourceStreamAffected]",Submission!$O:$O,Submission!$H:$N,""))</f>
        <v/>
      </c>
      <c r="E1063" s="72" t="str">
        <f>_xlfn.CONCAT(_xlfn.XLOOKUP("[S05_CategoryCHighestTierNotApplied][27][EmissionSourceAffected]",Submission!$O:$O,Submission!$H:$N,""))</f>
        <v/>
      </c>
      <c r="F1063" s="72" t="str">
        <f>_xlfn.CONCAT(_xlfn.XLOOKUP("[S05_CategoryCHighestTierNotApplied][27][MonitoringParameterAffected]",Submission!$O:$O,Submission!$H:$N,""))</f>
        <v/>
      </c>
      <c r="G1063" s="89" t="str">
        <f>_xlfn.CONCAT(_xlfn.XLOOKUP("[S05_CategoryCHighestTierNotApplied][27][HighestTierRequired]",Submission!$O:$O,Submission!$H:$N,""))</f>
        <v/>
      </c>
      <c r="H1063" s="240" t="str">
        <f>_xlfn.CONCAT(_xlfn.XLOOKUP("[S05_CategoryCHighestTierNotApplied][27][TierInPractice]",Submission!$O:$O,Submission!$H:$N,""))</f>
        <v/>
      </c>
      <c r="I1063" s="242"/>
    </row>
    <row r="1064" spans="1:9" ht="24.6" hidden="1" customHeight="1" outlineLevel="1" x14ac:dyDescent="0.3">
      <c r="A1064" s="13"/>
      <c r="B1064" s="34"/>
      <c r="C1064" s="72" t="str">
        <f>_xlfn.CONCAT(_xlfn.XLOOKUP("[S05_CategoryCHighestTierNotApplied][28][InstallationID]",Submission!$O:$O,Submission!$H:$N,""))</f>
        <v/>
      </c>
      <c r="D1064" s="72" t="str">
        <f>_xlfn.CONCAT(_xlfn.XLOOKUP("[S05_CategoryCHighestTierNotApplied][28][SourceStreamAffected]",Submission!$O:$O,Submission!$H:$N,""))</f>
        <v/>
      </c>
      <c r="E1064" s="72" t="str">
        <f>_xlfn.CONCAT(_xlfn.XLOOKUP("[S05_CategoryCHighestTierNotApplied][28][EmissionSourceAffected]",Submission!$O:$O,Submission!$H:$N,""))</f>
        <v/>
      </c>
      <c r="F1064" s="72" t="str">
        <f>_xlfn.CONCAT(_xlfn.XLOOKUP("[S05_CategoryCHighestTierNotApplied][28][MonitoringParameterAffected]",Submission!$O:$O,Submission!$H:$N,""))</f>
        <v/>
      </c>
      <c r="G1064" s="89" t="str">
        <f>_xlfn.CONCAT(_xlfn.XLOOKUP("[S05_CategoryCHighestTierNotApplied][28][HighestTierRequired]",Submission!$O:$O,Submission!$H:$N,""))</f>
        <v/>
      </c>
      <c r="H1064" s="240" t="str">
        <f>_xlfn.CONCAT(_xlfn.XLOOKUP("[S05_CategoryCHighestTierNotApplied][28][TierInPractice]",Submission!$O:$O,Submission!$H:$N,""))</f>
        <v/>
      </c>
      <c r="I1064" s="242"/>
    </row>
    <row r="1065" spans="1:9" ht="24.6" hidden="1" customHeight="1" outlineLevel="1" x14ac:dyDescent="0.3">
      <c r="A1065" s="13"/>
      <c r="B1065" s="34"/>
      <c r="C1065" s="72" t="str">
        <f>_xlfn.CONCAT(_xlfn.XLOOKUP("[S05_CategoryCHighestTierNotApplied][29][InstallationID]",Submission!$O:$O,Submission!$H:$N,""))</f>
        <v/>
      </c>
      <c r="D1065" s="72" t="str">
        <f>_xlfn.CONCAT(_xlfn.XLOOKUP("[S05_CategoryCHighestTierNotApplied][29][SourceStreamAffected]",Submission!$O:$O,Submission!$H:$N,""))</f>
        <v/>
      </c>
      <c r="E1065" s="72" t="str">
        <f>_xlfn.CONCAT(_xlfn.XLOOKUP("[S05_CategoryCHighestTierNotApplied][29][EmissionSourceAffected]",Submission!$O:$O,Submission!$H:$N,""))</f>
        <v/>
      </c>
      <c r="F1065" s="72" t="str">
        <f>_xlfn.CONCAT(_xlfn.XLOOKUP("[S05_CategoryCHighestTierNotApplied][29][MonitoringParameterAffected]",Submission!$O:$O,Submission!$H:$N,""))</f>
        <v/>
      </c>
      <c r="G1065" s="89" t="str">
        <f>_xlfn.CONCAT(_xlfn.XLOOKUP("[S05_CategoryCHighestTierNotApplied][29][HighestTierRequired]",Submission!$O:$O,Submission!$H:$N,""))</f>
        <v/>
      </c>
      <c r="H1065" s="240" t="str">
        <f>_xlfn.CONCAT(_xlfn.XLOOKUP("[S05_CategoryCHighestTierNotApplied][29][TierInPractice]",Submission!$O:$O,Submission!$H:$N,""))</f>
        <v/>
      </c>
      <c r="I1065" s="242"/>
    </row>
    <row r="1066" spans="1:9" ht="24.6" hidden="1" customHeight="1" outlineLevel="1" x14ac:dyDescent="0.3">
      <c r="A1066" s="13"/>
      <c r="B1066" s="34"/>
      <c r="C1066" s="72" t="str">
        <f>_xlfn.CONCAT(_xlfn.XLOOKUP("[S05_CategoryCHighestTierNotApplied][30][InstallationID]",Submission!$O:$O,Submission!$H:$N,""))</f>
        <v/>
      </c>
      <c r="D1066" s="72" t="str">
        <f>_xlfn.CONCAT(_xlfn.XLOOKUP("[S05_CategoryCHighestTierNotApplied][30][SourceStreamAffected]",Submission!$O:$O,Submission!$H:$N,""))</f>
        <v/>
      </c>
      <c r="E1066" s="72" t="str">
        <f>_xlfn.CONCAT(_xlfn.XLOOKUP("[S05_CategoryCHighestTierNotApplied][30][EmissionSourceAffected]",Submission!$O:$O,Submission!$H:$N,""))</f>
        <v/>
      </c>
      <c r="F1066" s="72" t="str">
        <f>_xlfn.CONCAT(_xlfn.XLOOKUP("[S05_CategoryCHighestTierNotApplied][30][MonitoringParameterAffected]",Submission!$O:$O,Submission!$H:$N,""))</f>
        <v/>
      </c>
      <c r="G1066" s="89" t="str">
        <f>_xlfn.CONCAT(_xlfn.XLOOKUP("[S05_CategoryCHighestTierNotApplied][30][HighestTierRequired]",Submission!$O:$O,Submission!$H:$N,""))</f>
        <v/>
      </c>
      <c r="H1066" s="240" t="str">
        <f>_xlfn.CONCAT(_xlfn.XLOOKUP("[S05_CategoryCHighestTierNotApplied][30][TierInPractice]",Submission!$O:$O,Submission!$H:$N,""))</f>
        <v/>
      </c>
      <c r="I1066" s="242"/>
    </row>
    <row r="1067" spans="1:9" ht="24.6" hidden="1" customHeight="1" outlineLevel="1" x14ac:dyDescent="0.3">
      <c r="A1067" s="13"/>
      <c r="B1067" s="34"/>
      <c r="C1067" s="72" t="str">
        <f>_xlfn.CONCAT(_xlfn.XLOOKUP("[S05_CategoryCHighestTierNotApplied][31][InstallationID]",Submission!$O:$O,Submission!$H:$N,""))</f>
        <v/>
      </c>
      <c r="D1067" s="72" t="str">
        <f>_xlfn.CONCAT(_xlfn.XLOOKUP("[S05_CategoryCHighestTierNotApplied][31][SourceStreamAffected]",Submission!$O:$O,Submission!$H:$N,""))</f>
        <v/>
      </c>
      <c r="E1067" s="72" t="str">
        <f>_xlfn.CONCAT(_xlfn.XLOOKUP("[S05_CategoryCHighestTierNotApplied][31][EmissionSourceAffected]",Submission!$O:$O,Submission!$H:$N,""))</f>
        <v/>
      </c>
      <c r="F1067" s="72" t="str">
        <f>_xlfn.CONCAT(_xlfn.XLOOKUP("[S05_CategoryCHighestTierNotApplied][31][MonitoringParameterAffected]",Submission!$O:$O,Submission!$H:$N,""))</f>
        <v/>
      </c>
      <c r="G1067" s="89" t="str">
        <f>_xlfn.CONCAT(_xlfn.XLOOKUP("[S05_CategoryCHighestTierNotApplied][31][HighestTierRequired]",Submission!$O:$O,Submission!$H:$N,""))</f>
        <v/>
      </c>
      <c r="H1067" s="240" t="str">
        <f>_xlfn.CONCAT(_xlfn.XLOOKUP("[S05_CategoryCHighestTierNotApplied][31][TierInPractice]",Submission!$O:$O,Submission!$H:$N,""))</f>
        <v/>
      </c>
      <c r="I1067" s="242"/>
    </row>
    <row r="1068" spans="1:9" ht="24.6" hidden="1" customHeight="1" outlineLevel="1" x14ac:dyDescent="0.3">
      <c r="B1068" s="34"/>
      <c r="C1068" s="72" t="str">
        <f>_xlfn.CONCAT(_xlfn.XLOOKUP("[S05_CategoryCHighestTierNotApplied][32][InstallationID]",Submission!$O:$O,Submission!$H:$N,""))</f>
        <v/>
      </c>
      <c r="D1068" s="72" t="str">
        <f>_xlfn.CONCAT(_xlfn.XLOOKUP("[S05_CategoryCHighestTierNotApplied][32][SourceStreamAffected]",Submission!$O:$O,Submission!$H:$N,""))</f>
        <v/>
      </c>
      <c r="E1068" s="72" t="str">
        <f>_xlfn.CONCAT(_xlfn.XLOOKUP("[S05_CategoryCHighestTierNotApplied][32][EmissionSourceAffected]",Submission!$O:$O,Submission!$H:$N,""))</f>
        <v/>
      </c>
      <c r="F1068" s="72" t="str">
        <f>_xlfn.CONCAT(_xlfn.XLOOKUP("[S05_CategoryCHighestTierNotApplied][32][MonitoringParameterAffected]",Submission!$O:$O,Submission!$H:$N,""))</f>
        <v/>
      </c>
      <c r="G1068" s="89" t="str">
        <f>_xlfn.CONCAT(_xlfn.XLOOKUP("[S05_CategoryCHighestTierNotApplied][32][HighestTierRequired]",Submission!$O:$O,Submission!$H:$N,""))</f>
        <v/>
      </c>
      <c r="H1068" s="240" t="str">
        <f>_xlfn.CONCAT(_xlfn.XLOOKUP("[S05_CategoryCHighestTierNotApplied][32][TierInPractice]",Submission!$O:$O,Submission!$H:$N,""))</f>
        <v/>
      </c>
      <c r="I1068" s="242"/>
    </row>
    <row r="1069" spans="1:9" ht="24.6" hidden="1" customHeight="1" outlineLevel="1" x14ac:dyDescent="0.3">
      <c r="A1069" s="13"/>
      <c r="B1069" s="34"/>
      <c r="C1069" s="72" t="str">
        <f>_xlfn.CONCAT(_xlfn.XLOOKUP("[S05_CategoryCHighestTierNotApplied][33][InstallationID]",Submission!$O:$O,Submission!$H:$N,""))</f>
        <v/>
      </c>
      <c r="D1069" s="72" t="str">
        <f>_xlfn.CONCAT(_xlfn.XLOOKUP("[S05_CategoryCHighestTierNotApplied][33][SourceStreamAffected]",Submission!$O:$O,Submission!$H:$N,""))</f>
        <v/>
      </c>
      <c r="E1069" s="72" t="str">
        <f>_xlfn.CONCAT(_xlfn.XLOOKUP("[S05_CategoryCHighestTierNotApplied][33][EmissionSourceAffected]",Submission!$O:$O,Submission!$H:$N,""))</f>
        <v/>
      </c>
      <c r="F1069" s="72" t="str">
        <f>_xlfn.CONCAT(_xlfn.XLOOKUP("[S05_CategoryCHighestTierNotApplied][33][MonitoringParameterAffected]",Submission!$O:$O,Submission!$H:$N,""))</f>
        <v/>
      </c>
      <c r="G1069" s="89" t="str">
        <f>_xlfn.CONCAT(_xlfn.XLOOKUP("[S05_CategoryCHighestTierNotApplied][33][HighestTierRequired]",Submission!$O:$O,Submission!$H:$N,""))</f>
        <v/>
      </c>
      <c r="H1069" s="240" t="str">
        <f>_xlfn.CONCAT(_xlfn.XLOOKUP("[S05_CategoryCHighestTierNotApplied][33][TierInPractice]",Submission!$O:$O,Submission!$H:$N,""))</f>
        <v/>
      </c>
      <c r="I1069" s="242"/>
    </row>
    <row r="1070" spans="1:9" ht="24.6" hidden="1" customHeight="1" outlineLevel="1" x14ac:dyDescent="0.3">
      <c r="A1070" s="13"/>
      <c r="B1070" s="34"/>
      <c r="C1070" s="72" t="str">
        <f>_xlfn.CONCAT(_xlfn.XLOOKUP("[S05_CategoryCHighestTierNotApplied][34][InstallationID]",Submission!$O:$O,Submission!$H:$N,""))</f>
        <v/>
      </c>
      <c r="D1070" s="72" t="str">
        <f>_xlfn.CONCAT(_xlfn.XLOOKUP("[S05_CategoryCHighestTierNotApplied][34][SourceStreamAffected]",Submission!$O:$O,Submission!$H:$N,""))</f>
        <v/>
      </c>
      <c r="E1070" s="72" t="str">
        <f>_xlfn.CONCAT(_xlfn.XLOOKUP("[S05_CategoryCHighestTierNotApplied][34][EmissionSourceAffected]",Submission!$O:$O,Submission!$H:$N,""))</f>
        <v/>
      </c>
      <c r="F1070" s="72" t="str">
        <f>_xlfn.CONCAT(_xlfn.XLOOKUP("[S05_CategoryCHighestTierNotApplied][34][MonitoringParameterAffected]",Submission!$O:$O,Submission!$H:$N,""))</f>
        <v/>
      </c>
      <c r="G1070" s="89" t="str">
        <f>_xlfn.CONCAT(_xlfn.XLOOKUP("[S05_CategoryCHighestTierNotApplied][34][HighestTierRequired]",Submission!$O:$O,Submission!$H:$N,""))</f>
        <v/>
      </c>
      <c r="H1070" s="240" t="str">
        <f>_xlfn.CONCAT(_xlfn.XLOOKUP("[S05_CategoryCHighestTierNotApplied][34][TierInPractice]",Submission!$O:$O,Submission!$H:$N,""))</f>
        <v/>
      </c>
      <c r="I1070" s="242"/>
    </row>
    <row r="1071" spans="1:9" ht="24.6" hidden="1" customHeight="1" outlineLevel="1" x14ac:dyDescent="0.3">
      <c r="A1071" s="13"/>
      <c r="B1071" s="34"/>
      <c r="C1071" s="72" t="str">
        <f>_xlfn.CONCAT(_xlfn.XLOOKUP("[S05_CategoryCHighestTierNotApplied][35][InstallationID]",Submission!$O:$O,Submission!$H:$N,""))</f>
        <v/>
      </c>
      <c r="D1071" s="72" t="str">
        <f>_xlfn.CONCAT(_xlfn.XLOOKUP("[S05_CategoryCHighestTierNotApplied][35][SourceStreamAffected]",Submission!$O:$O,Submission!$H:$N,""))</f>
        <v/>
      </c>
      <c r="E1071" s="72" t="str">
        <f>_xlfn.CONCAT(_xlfn.XLOOKUP("[S05_CategoryCHighestTierNotApplied][35][EmissionSourceAffected]",Submission!$O:$O,Submission!$H:$N,""))</f>
        <v/>
      </c>
      <c r="F1071" s="72" t="str">
        <f>_xlfn.CONCAT(_xlfn.XLOOKUP("[S05_CategoryCHighestTierNotApplied][35][MonitoringParameterAffected]",Submission!$O:$O,Submission!$H:$N,""))</f>
        <v/>
      </c>
      <c r="G1071" s="89" t="str">
        <f>_xlfn.CONCAT(_xlfn.XLOOKUP("[S05_CategoryCHighestTierNotApplied][35][HighestTierRequired]",Submission!$O:$O,Submission!$H:$N,""))</f>
        <v/>
      </c>
      <c r="H1071" s="240" t="str">
        <f>_xlfn.CONCAT(_xlfn.XLOOKUP("[S05_CategoryCHighestTierNotApplied][35][TierInPractice]",Submission!$O:$O,Submission!$H:$N,""))</f>
        <v/>
      </c>
      <c r="I1071" s="242"/>
    </row>
    <row r="1072" spans="1:9" ht="24.6" hidden="1" customHeight="1" outlineLevel="1" x14ac:dyDescent="0.3">
      <c r="B1072" s="34"/>
      <c r="C1072" s="72" t="str">
        <f>_xlfn.CONCAT(_xlfn.XLOOKUP("[S05_CategoryCHighestTierNotApplied][36][InstallationID]",Submission!$O:$O,Submission!$H:$N,""))</f>
        <v/>
      </c>
      <c r="D1072" s="72" t="str">
        <f>_xlfn.CONCAT(_xlfn.XLOOKUP("[S05_CategoryCHighestTierNotApplied][36][SourceStreamAffected]",Submission!$O:$O,Submission!$H:$N,""))</f>
        <v/>
      </c>
      <c r="E1072" s="72" t="str">
        <f>_xlfn.CONCAT(_xlfn.XLOOKUP("[S05_CategoryCHighestTierNotApplied][36][EmissionSourceAffected]",Submission!$O:$O,Submission!$H:$N,""))</f>
        <v/>
      </c>
      <c r="F1072" s="72" t="str">
        <f>_xlfn.CONCAT(_xlfn.XLOOKUP("[S05_CategoryCHighestTierNotApplied][36][MonitoringParameterAffected]",Submission!$O:$O,Submission!$H:$N,""))</f>
        <v/>
      </c>
      <c r="G1072" s="89" t="str">
        <f>_xlfn.CONCAT(_xlfn.XLOOKUP("[S05_CategoryCHighestTierNotApplied][36][HighestTierRequired]",Submission!$O:$O,Submission!$H:$N,""))</f>
        <v/>
      </c>
      <c r="H1072" s="240" t="str">
        <f>_xlfn.CONCAT(_xlfn.XLOOKUP("[S05_CategoryCHighestTierNotApplied][36][TierInPractice]",Submission!$O:$O,Submission!$H:$N,""))</f>
        <v/>
      </c>
      <c r="I1072" s="242"/>
    </row>
    <row r="1073" spans="1:9" ht="24.6" hidden="1" customHeight="1" outlineLevel="1" x14ac:dyDescent="0.3">
      <c r="B1073" s="34"/>
      <c r="C1073" s="72" t="str">
        <f>_xlfn.CONCAT(_xlfn.XLOOKUP("[S05_CategoryCHighestTierNotApplied][37][InstallationID]",Submission!$O:$O,Submission!$H:$N,""))</f>
        <v/>
      </c>
      <c r="D1073" s="72" t="str">
        <f>_xlfn.CONCAT(_xlfn.XLOOKUP("[S05_CategoryCHighestTierNotApplied][37][SourceStreamAffected]",Submission!$O:$O,Submission!$H:$N,""))</f>
        <v/>
      </c>
      <c r="E1073" s="72" t="str">
        <f>_xlfn.CONCAT(_xlfn.XLOOKUP("[S05_CategoryCHighestTierNotApplied][37][EmissionSourceAffected]",Submission!$O:$O,Submission!$H:$N,""))</f>
        <v/>
      </c>
      <c r="F1073" s="72" t="str">
        <f>_xlfn.CONCAT(_xlfn.XLOOKUP("[S05_CategoryCHighestTierNotApplied][37][MonitoringParameterAffected]",Submission!$O:$O,Submission!$H:$N,""))</f>
        <v/>
      </c>
      <c r="G1073" s="89" t="str">
        <f>_xlfn.CONCAT(_xlfn.XLOOKUP("[S05_CategoryCHighestTierNotApplied][37][HighestTierRequired]",Submission!$O:$O,Submission!$H:$N,""))</f>
        <v/>
      </c>
      <c r="H1073" s="240" t="str">
        <f>_xlfn.CONCAT(_xlfn.XLOOKUP("[S05_CategoryCHighestTierNotApplied][37][TierInPractice]",Submission!$O:$O,Submission!$H:$N,""))</f>
        <v/>
      </c>
      <c r="I1073" s="242"/>
    </row>
    <row r="1074" spans="1:9" ht="24.6" hidden="1" customHeight="1" outlineLevel="1" x14ac:dyDescent="0.3">
      <c r="A1074" s="13"/>
      <c r="B1074" s="34"/>
      <c r="C1074" s="72" t="str">
        <f>_xlfn.CONCAT(_xlfn.XLOOKUP("[S05_CategoryCHighestTierNotApplied][38][InstallationID]",Submission!$O:$O,Submission!$H:$N,""))</f>
        <v/>
      </c>
      <c r="D1074" s="72" t="str">
        <f>_xlfn.CONCAT(_xlfn.XLOOKUP("[S05_CategoryCHighestTierNotApplied][38][SourceStreamAffected]",Submission!$O:$O,Submission!$H:$N,""))</f>
        <v/>
      </c>
      <c r="E1074" s="72" t="str">
        <f>_xlfn.CONCAT(_xlfn.XLOOKUP("[S05_CategoryCHighestTierNotApplied][38][EmissionSourceAffected]",Submission!$O:$O,Submission!$H:$N,""))</f>
        <v/>
      </c>
      <c r="F1074" s="72" t="str">
        <f>_xlfn.CONCAT(_xlfn.XLOOKUP("[S05_CategoryCHighestTierNotApplied][38][MonitoringParameterAffected]",Submission!$O:$O,Submission!$H:$N,""))</f>
        <v/>
      </c>
      <c r="G1074" s="89" t="str">
        <f>_xlfn.CONCAT(_xlfn.XLOOKUP("[S05_CategoryCHighestTierNotApplied][38][HighestTierRequired]",Submission!$O:$O,Submission!$H:$N,""))</f>
        <v/>
      </c>
      <c r="H1074" s="240" t="str">
        <f>_xlfn.CONCAT(_xlfn.XLOOKUP("[S05_CategoryCHighestTierNotApplied][38][TierInPractice]",Submission!$O:$O,Submission!$H:$N,""))</f>
        <v/>
      </c>
      <c r="I1074" s="242"/>
    </row>
    <row r="1075" spans="1:9" ht="24.6" hidden="1" customHeight="1" outlineLevel="1" x14ac:dyDescent="0.3">
      <c r="B1075" s="34"/>
      <c r="C1075" s="72" t="str">
        <f>_xlfn.CONCAT(_xlfn.XLOOKUP("[S05_CategoryCHighestTierNotApplied][39][InstallationID]",Submission!$O:$O,Submission!$H:$N,""))</f>
        <v/>
      </c>
      <c r="D1075" s="72" t="str">
        <f>_xlfn.CONCAT(_xlfn.XLOOKUP("[S05_CategoryCHighestTierNotApplied][39][SourceStreamAffected]",Submission!$O:$O,Submission!$H:$N,""))</f>
        <v/>
      </c>
      <c r="E1075" s="72" t="str">
        <f>_xlfn.CONCAT(_xlfn.XLOOKUP("[S05_CategoryCHighestTierNotApplied][39][EmissionSourceAffected]",Submission!$O:$O,Submission!$H:$N,""))</f>
        <v/>
      </c>
      <c r="F1075" s="72" t="str">
        <f>_xlfn.CONCAT(_xlfn.XLOOKUP("[S05_CategoryCHighestTierNotApplied][39][MonitoringParameterAffected]",Submission!$O:$O,Submission!$H:$N,""))</f>
        <v/>
      </c>
      <c r="G1075" s="89" t="str">
        <f>_xlfn.CONCAT(_xlfn.XLOOKUP("[S05_CategoryCHighestTierNotApplied][39][HighestTierRequired]",Submission!$O:$O,Submission!$H:$N,""))</f>
        <v/>
      </c>
      <c r="H1075" s="240" t="str">
        <f>_xlfn.CONCAT(_xlfn.XLOOKUP("[S05_CategoryCHighestTierNotApplied][39][TierInPractice]",Submission!$O:$O,Submission!$H:$N,""))</f>
        <v/>
      </c>
      <c r="I1075" s="242"/>
    </row>
    <row r="1076" spans="1:9" ht="24.6" hidden="1" customHeight="1" outlineLevel="1" x14ac:dyDescent="0.3">
      <c r="B1076" s="34"/>
      <c r="C1076" s="72" t="str">
        <f>_xlfn.CONCAT(_xlfn.XLOOKUP("[S05_CategoryCHighestTierNotApplied][40][InstallationID]",Submission!$O:$O,Submission!$H:$N,""))</f>
        <v/>
      </c>
      <c r="D1076" s="72" t="str">
        <f>_xlfn.CONCAT(_xlfn.XLOOKUP("[S05_CategoryCHighestTierNotApplied][40][SourceStreamAffected]",Submission!$O:$O,Submission!$H:$N,""))</f>
        <v/>
      </c>
      <c r="E1076" s="72" t="str">
        <f>_xlfn.CONCAT(_xlfn.XLOOKUP("[S05_CategoryCHighestTierNotApplied][40][EmissionSourceAffected]",Submission!$O:$O,Submission!$H:$N,""))</f>
        <v/>
      </c>
      <c r="F1076" s="72" t="str">
        <f>_xlfn.CONCAT(_xlfn.XLOOKUP("[S05_CategoryCHighestTierNotApplied][40][MonitoringParameterAffected]",Submission!$O:$O,Submission!$H:$N,""))</f>
        <v/>
      </c>
      <c r="G1076" s="89" t="str">
        <f>_xlfn.CONCAT(_xlfn.XLOOKUP("[S05_CategoryCHighestTierNotApplied][40][HighestTierRequired]",Submission!$O:$O,Submission!$H:$N,""))</f>
        <v/>
      </c>
      <c r="H1076" s="240" t="str">
        <f>_xlfn.CONCAT(_xlfn.XLOOKUP("[S05_CategoryCHighestTierNotApplied][40][TierInPractice]",Submission!$O:$O,Submission!$H:$N,""))</f>
        <v/>
      </c>
      <c r="I1076" s="242"/>
    </row>
    <row r="1077" spans="1:9" ht="24.6" hidden="1" customHeight="1" outlineLevel="1" x14ac:dyDescent="0.3">
      <c r="B1077" s="34"/>
      <c r="C1077" s="72" t="str">
        <f>_xlfn.CONCAT(_xlfn.XLOOKUP("[S05_CategoryCHighestTierNotApplied][41][InstallationID]",Submission!$O:$O,Submission!$H:$N,""))</f>
        <v/>
      </c>
      <c r="D1077" s="72" t="str">
        <f>_xlfn.CONCAT(_xlfn.XLOOKUP("[S05_CategoryCHighestTierNotApplied][41][SourceStreamAffected]",Submission!$O:$O,Submission!$H:$N,""))</f>
        <v/>
      </c>
      <c r="E1077" s="72" t="str">
        <f>_xlfn.CONCAT(_xlfn.XLOOKUP("[S05_CategoryCHighestTierNotApplied][41][EmissionSourceAffected]",Submission!$O:$O,Submission!$H:$N,""))</f>
        <v/>
      </c>
      <c r="F1077" s="72" t="str">
        <f>_xlfn.CONCAT(_xlfn.XLOOKUP("[S05_CategoryCHighestTierNotApplied][41][MonitoringParameterAffected]",Submission!$O:$O,Submission!$H:$N,""))</f>
        <v/>
      </c>
      <c r="G1077" s="89" t="str">
        <f>_xlfn.CONCAT(_xlfn.XLOOKUP("[S05_CategoryCHighestTierNotApplied][41][HighestTierRequired]",Submission!$O:$O,Submission!$H:$N,""))</f>
        <v/>
      </c>
      <c r="H1077" s="240" t="str">
        <f>_xlfn.CONCAT(_xlfn.XLOOKUP("[S05_CategoryCHighestTierNotApplied][41][TierInPractice]",Submission!$O:$O,Submission!$H:$N,""))</f>
        <v/>
      </c>
      <c r="I1077" s="242"/>
    </row>
    <row r="1078" spans="1:9" ht="24.6" hidden="1" customHeight="1" outlineLevel="1" x14ac:dyDescent="0.3">
      <c r="B1078" s="34"/>
      <c r="C1078" s="72" t="str">
        <f>_xlfn.CONCAT(_xlfn.XLOOKUP("[S05_CategoryCHighestTierNotApplied][42][InstallationID]",Submission!$O:$O,Submission!$H:$N,""))</f>
        <v/>
      </c>
      <c r="D1078" s="72" t="str">
        <f>_xlfn.CONCAT(_xlfn.XLOOKUP("[S05_CategoryCHighestTierNotApplied][42][SourceStreamAffected]",Submission!$O:$O,Submission!$H:$N,""))</f>
        <v/>
      </c>
      <c r="E1078" s="72" t="str">
        <f>_xlfn.CONCAT(_xlfn.XLOOKUP("[S05_CategoryCHighestTierNotApplied][42][EmissionSourceAffected]",Submission!$O:$O,Submission!$H:$N,""))</f>
        <v/>
      </c>
      <c r="F1078" s="72" t="str">
        <f>_xlfn.CONCAT(_xlfn.XLOOKUP("[S05_CategoryCHighestTierNotApplied][42][MonitoringParameterAffected]",Submission!$O:$O,Submission!$H:$N,""))</f>
        <v/>
      </c>
      <c r="G1078" s="89" t="str">
        <f>_xlfn.CONCAT(_xlfn.XLOOKUP("[S05_CategoryCHighestTierNotApplied][42][HighestTierRequired]",Submission!$O:$O,Submission!$H:$N,""))</f>
        <v/>
      </c>
      <c r="H1078" s="240" t="str">
        <f>_xlfn.CONCAT(_xlfn.XLOOKUP("[S05_CategoryCHighestTierNotApplied][42][TierInPractice]",Submission!$O:$O,Submission!$H:$N,""))</f>
        <v/>
      </c>
      <c r="I1078" s="242"/>
    </row>
    <row r="1079" spans="1:9" ht="24.6" hidden="1" customHeight="1" outlineLevel="1" x14ac:dyDescent="0.3">
      <c r="B1079" s="34"/>
      <c r="C1079" s="72" t="str">
        <f>_xlfn.CONCAT(_xlfn.XLOOKUP("[S05_CategoryCHighestTierNotApplied][43][InstallationID]",Submission!$O:$O,Submission!$H:$N,""))</f>
        <v/>
      </c>
      <c r="D1079" s="72" t="str">
        <f>_xlfn.CONCAT(_xlfn.XLOOKUP("[S05_CategoryCHighestTierNotApplied][43][SourceStreamAffected]",Submission!$O:$O,Submission!$H:$N,""))</f>
        <v/>
      </c>
      <c r="E1079" s="72" t="str">
        <f>_xlfn.CONCAT(_xlfn.XLOOKUP("[S05_CategoryCHighestTierNotApplied][43][EmissionSourceAffected]",Submission!$O:$O,Submission!$H:$N,""))</f>
        <v/>
      </c>
      <c r="F1079" s="72" t="str">
        <f>_xlfn.CONCAT(_xlfn.XLOOKUP("[S05_CategoryCHighestTierNotApplied][43][MonitoringParameterAffected]",Submission!$O:$O,Submission!$H:$N,""))</f>
        <v/>
      </c>
      <c r="G1079" s="89" t="str">
        <f>_xlfn.CONCAT(_xlfn.XLOOKUP("[S05_CategoryCHighestTierNotApplied][43][HighestTierRequired]",Submission!$O:$O,Submission!$H:$N,""))</f>
        <v/>
      </c>
      <c r="H1079" s="240" t="str">
        <f>_xlfn.CONCAT(_xlfn.XLOOKUP("[S05_CategoryCHighestTierNotApplied][43][TierInPractice]",Submission!$O:$O,Submission!$H:$N,""))</f>
        <v/>
      </c>
      <c r="I1079" s="242"/>
    </row>
    <row r="1080" spans="1:9" ht="24.6" hidden="1" customHeight="1" outlineLevel="1" x14ac:dyDescent="0.3">
      <c r="A1080" s="13"/>
      <c r="B1080" s="34"/>
      <c r="C1080" s="72" t="str">
        <f>_xlfn.CONCAT(_xlfn.XLOOKUP("[S05_CategoryCHighestTierNotApplied][44][InstallationID]",Submission!$O:$O,Submission!$H:$N,""))</f>
        <v/>
      </c>
      <c r="D1080" s="72" t="str">
        <f>_xlfn.CONCAT(_xlfn.XLOOKUP("[S05_CategoryCHighestTierNotApplied][44][SourceStreamAffected]",Submission!$O:$O,Submission!$H:$N,""))</f>
        <v/>
      </c>
      <c r="E1080" s="72" t="str">
        <f>_xlfn.CONCAT(_xlfn.XLOOKUP("[S05_CategoryCHighestTierNotApplied][44][EmissionSourceAffected]",Submission!$O:$O,Submission!$H:$N,""))</f>
        <v/>
      </c>
      <c r="F1080" s="72" t="str">
        <f>_xlfn.CONCAT(_xlfn.XLOOKUP("[S05_CategoryCHighestTierNotApplied][44][MonitoringParameterAffected]",Submission!$O:$O,Submission!$H:$N,""))</f>
        <v/>
      </c>
      <c r="G1080" s="89" t="str">
        <f>_xlfn.CONCAT(_xlfn.XLOOKUP("[S05_CategoryCHighestTierNotApplied][44][HighestTierRequired]",Submission!$O:$O,Submission!$H:$N,""))</f>
        <v/>
      </c>
      <c r="H1080" s="240" t="str">
        <f>_xlfn.CONCAT(_xlfn.XLOOKUP("[S05_CategoryCHighestTierNotApplied][44][TierInPractice]",Submission!$O:$O,Submission!$H:$N,""))</f>
        <v/>
      </c>
      <c r="I1080" s="242"/>
    </row>
    <row r="1081" spans="1:9" ht="24.6" hidden="1" customHeight="1" outlineLevel="1" x14ac:dyDescent="0.3">
      <c r="A1081" s="13"/>
      <c r="B1081" s="34"/>
      <c r="C1081" s="72" t="str">
        <f>_xlfn.CONCAT(_xlfn.XLOOKUP("[S05_CategoryCHighestTierNotApplied][45][InstallationID]",Submission!$O:$O,Submission!$H:$N,""))</f>
        <v/>
      </c>
      <c r="D1081" s="72" t="str">
        <f>_xlfn.CONCAT(_xlfn.XLOOKUP("[S05_CategoryCHighestTierNotApplied][45][SourceStreamAffected]",Submission!$O:$O,Submission!$H:$N,""))</f>
        <v/>
      </c>
      <c r="E1081" s="72" t="str">
        <f>_xlfn.CONCAT(_xlfn.XLOOKUP("[S05_CategoryCHighestTierNotApplied][45][EmissionSourceAffected]",Submission!$O:$O,Submission!$H:$N,""))</f>
        <v/>
      </c>
      <c r="F1081" s="72" t="str">
        <f>_xlfn.CONCAT(_xlfn.XLOOKUP("[S05_CategoryCHighestTierNotApplied][45][MonitoringParameterAffected]",Submission!$O:$O,Submission!$H:$N,""))</f>
        <v/>
      </c>
      <c r="G1081" s="89" t="str">
        <f>_xlfn.CONCAT(_xlfn.XLOOKUP("[S05_CategoryCHighestTierNotApplied][45][HighestTierRequired]",Submission!$O:$O,Submission!$H:$N,""))</f>
        <v/>
      </c>
      <c r="H1081" s="240" t="str">
        <f>_xlfn.CONCAT(_xlfn.XLOOKUP("[S05_CategoryCHighestTierNotApplied][45][TierInPractice]",Submission!$O:$O,Submission!$H:$N,""))</f>
        <v/>
      </c>
      <c r="I1081" s="242"/>
    </row>
    <row r="1082" spans="1:9" ht="24.6" hidden="1" customHeight="1" outlineLevel="1" x14ac:dyDescent="0.3">
      <c r="B1082" s="34"/>
      <c r="C1082" s="72" t="str">
        <f>_xlfn.CONCAT(_xlfn.XLOOKUP("[S05_CategoryCHighestTierNotApplied][46][InstallationID]",Submission!$O:$O,Submission!$H:$N,""))</f>
        <v/>
      </c>
      <c r="D1082" s="72" t="str">
        <f>_xlfn.CONCAT(_xlfn.XLOOKUP("[S05_CategoryCHighestTierNotApplied][46][SourceStreamAffected]",Submission!$O:$O,Submission!$H:$N,""))</f>
        <v/>
      </c>
      <c r="E1082" s="72" t="str">
        <f>_xlfn.CONCAT(_xlfn.XLOOKUP("[S05_CategoryCHighestTierNotApplied][46][EmissionSourceAffected]",Submission!$O:$O,Submission!$H:$N,""))</f>
        <v/>
      </c>
      <c r="F1082" s="72" t="str">
        <f>_xlfn.CONCAT(_xlfn.XLOOKUP("[S05_CategoryCHighestTierNotApplied][46][MonitoringParameterAffected]",Submission!$O:$O,Submission!$H:$N,""))</f>
        <v/>
      </c>
      <c r="G1082" s="89" t="str">
        <f>_xlfn.CONCAT(_xlfn.XLOOKUP("[S05_CategoryCHighestTierNotApplied][46][HighestTierRequired]",Submission!$O:$O,Submission!$H:$N,""))</f>
        <v/>
      </c>
      <c r="H1082" s="240" t="str">
        <f>_xlfn.CONCAT(_xlfn.XLOOKUP("[S05_CategoryCHighestTierNotApplied][46][TierInPractice]",Submission!$O:$O,Submission!$H:$N,""))</f>
        <v/>
      </c>
      <c r="I1082" s="242"/>
    </row>
    <row r="1083" spans="1:9" ht="24.6" hidden="1" customHeight="1" outlineLevel="1" x14ac:dyDescent="0.3">
      <c r="A1083" s="13"/>
      <c r="B1083" s="34"/>
      <c r="C1083" s="72" t="str">
        <f>_xlfn.CONCAT(_xlfn.XLOOKUP("[S05_CategoryCHighestTierNotApplied][47][InstallationID]",Submission!$O:$O,Submission!$H:$N,""))</f>
        <v/>
      </c>
      <c r="D1083" s="72" t="str">
        <f>_xlfn.CONCAT(_xlfn.XLOOKUP("[S05_CategoryCHighestTierNotApplied][47][SourceStreamAffected]",Submission!$O:$O,Submission!$H:$N,""))</f>
        <v/>
      </c>
      <c r="E1083" s="72" t="str">
        <f>_xlfn.CONCAT(_xlfn.XLOOKUP("[S05_CategoryCHighestTierNotApplied][47][EmissionSourceAffected]",Submission!$O:$O,Submission!$H:$N,""))</f>
        <v/>
      </c>
      <c r="F1083" s="72" t="str">
        <f>_xlfn.CONCAT(_xlfn.XLOOKUP("[S05_CategoryCHighestTierNotApplied][47][MonitoringParameterAffected]",Submission!$O:$O,Submission!$H:$N,""))</f>
        <v/>
      </c>
      <c r="G1083" s="89" t="str">
        <f>_xlfn.CONCAT(_xlfn.XLOOKUP("[S05_CategoryCHighestTierNotApplied][47][HighestTierRequired]",Submission!$O:$O,Submission!$H:$N,""))</f>
        <v/>
      </c>
      <c r="H1083" s="240" t="str">
        <f>_xlfn.CONCAT(_xlfn.XLOOKUP("[S05_CategoryCHighestTierNotApplied][47][TierInPractice]",Submission!$O:$O,Submission!$H:$N,""))</f>
        <v/>
      </c>
      <c r="I1083" s="242"/>
    </row>
    <row r="1084" spans="1:9" ht="24.6" hidden="1" customHeight="1" outlineLevel="1" x14ac:dyDescent="0.3">
      <c r="A1084" s="13"/>
      <c r="B1084" s="34"/>
      <c r="C1084" s="72" t="str">
        <f>_xlfn.CONCAT(_xlfn.XLOOKUP("[S05_CategoryCHighestTierNotApplied][48][InstallationID]",Submission!$O:$O,Submission!$H:$N,""))</f>
        <v/>
      </c>
      <c r="D1084" s="72" t="str">
        <f>_xlfn.CONCAT(_xlfn.XLOOKUP("[S05_CategoryCHighestTierNotApplied][48][SourceStreamAffected]",Submission!$O:$O,Submission!$H:$N,""))</f>
        <v/>
      </c>
      <c r="E1084" s="72" t="str">
        <f>_xlfn.CONCAT(_xlfn.XLOOKUP("[S05_CategoryCHighestTierNotApplied][48][EmissionSourceAffected]",Submission!$O:$O,Submission!$H:$N,""))</f>
        <v/>
      </c>
      <c r="F1084" s="72" t="str">
        <f>_xlfn.CONCAT(_xlfn.XLOOKUP("[S05_CategoryCHighestTierNotApplied][48][MonitoringParameterAffected]",Submission!$O:$O,Submission!$H:$N,""))</f>
        <v/>
      </c>
      <c r="G1084" s="89" t="str">
        <f>_xlfn.CONCAT(_xlfn.XLOOKUP("[S05_CategoryCHighestTierNotApplied][48][HighestTierRequired]",Submission!$O:$O,Submission!$H:$N,""))</f>
        <v/>
      </c>
      <c r="H1084" s="240" t="str">
        <f>_xlfn.CONCAT(_xlfn.XLOOKUP("[S05_CategoryCHighestTierNotApplied][48][TierInPractice]",Submission!$O:$O,Submission!$H:$N,""))</f>
        <v/>
      </c>
      <c r="I1084" s="242"/>
    </row>
    <row r="1085" spans="1:9" ht="24.6" hidden="1" customHeight="1" outlineLevel="1" x14ac:dyDescent="0.3">
      <c r="A1085" s="13"/>
      <c r="B1085" s="34"/>
      <c r="C1085" s="72" t="str">
        <f>_xlfn.CONCAT(_xlfn.XLOOKUP("[S05_CategoryCHighestTierNotApplied][49][InstallationID]",Submission!$O:$O,Submission!$H:$N,""))</f>
        <v/>
      </c>
      <c r="D1085" s="72" t="str">
        <f>_xlfn.CONCAT(_xlfn.XLOOKUP("[S05_CategoryCHighestTierNotApplied][49][SourceStreamAffected]",Submission!$O:$O,Submission!$H:$N,""))</f>
        <v/>
      </c>
      <c r="E1085" s="72" t="str">
        <f>_xlfn.CONCAT(_xlfn.XLOOKUP("[S05_CategoryCHighestTierNotApplied][49][EmissionSourceAffected]",Submission!$O:$O,Submission!$H:$N,""))</f>
        <v/>
      </c>
      <c r="F1085" s="72" t="str">
        <f>_xlfn.CONCAT(_xlfn.XLOOKUP("[S05_CategoryCHighestTierNotApplied][49][MonitoringParameterAffected]",Submission!$O:$O,Submission!$H:$N,""))</f>
        <v/>
      </c>
      <c r="G1085" s="89" t="str">
        <f>_xlfn.CONCAT(_xlfn.XLOOKUP("[S05_CategoryCHighestTierNotApplied][49][HighestTierRequired]",Submission!$O:$O,Submission!$H:$N,""))</f>
        <v/>
      </c>
      <c r="H1085" s="240" t="str">
        <f>_xlfn.CONCAT(_xlfn.XLOOKUP("[S05_CategoryCHighestTierNotApplied][49][TierInPractice]",Submission!$O:$O,Submission!$H:$N,""))</f>
        <v/>
      </c>
      <c r="I1085" s="242"/>
    </row>
    <row r="1086" spans="1:9" ht="24.6" hidden="1" customHeight="1" outlineLevel="1" x14ac:dyDescent="0.3">
      <c r="A1086" s="13"/>
      <c r="B1086" s="34"/>
      <c r="C1086" s="72" t="str">
        <f>_xlfn.CONCAT(_xlfn.XLOOKUP("[S05_CategoryCHighestTierNotApplied][50][InstallationID]",Submission!$O:$O,Submission!$H:$N,""))</f>
        <v/>
      </c>
      <c r="D1086" s="72" t="str">
        <f>_xlfn.CONCAT(_xlfn.XLOOKUP("[S05_CategoryCHighestTierNotApplied][50][SourceStreamAffected]",Submission!$O:$O,Submission!$H:$N,""))</f>
        <v/>
      </c>
      <c r="E1086" s="72" t="str">
        <f>_xlfn.CONCAT(_xlfn.XLOOKUP("[S05_CategoryCHighestTierNotApplied][50][EmissionSourceAffected]",Submission!$O:$O,Submission!$H:$N,""))</f>
        <v/>
      </c>
      <c r="F1086" s="72" t="str">
        <f>_xlfn.CONCAT(_xlfn.XLOOKUP("[S05_CategoryCHighestTierNotApplied][50][MonitoringParameterAffected]",Submission!$O:$O,Submission!$H:$N,""))</f>
        <v/>
      </c>
      <c r="G1086" s="89" t="str">
        <f>_xlfn.CONCAT(_xlfn.XLOOKUP("[S05_CategoryCHighestTierNotApplied][50][HighestTierRequired]",Submission!$O:$O,Submission!$H:$N,""))</f>
        <v/>
      </c>
      <c r="H1086" s="240" t="str">
        <f>_xlfn.CONCAT(_xlfn.XLOOKUP("[S05_CategoryCHighestTierNotApplied][50][TierInPractice]",Submission!$O:$O,Submission!$H:$N,""))</f>
        <v/>
      </c>
      <c r="I1086" s="242"/>
    </row>
    <row r="1087" spans="1:9" ht="24.6" hidden="1" customHeight="1" outlineLevel="1" x14ac:dyDescent="0.3">
      <c r="A1087" s="13"/>
      <c r="B1087" s="34"/>
      <c r="C1087" s="72" t="str">
        <f>_xlfn.CONCAT(_xlfn.XLOOKUP("[S05_CategoryCHighestTierNotApplied][51][InstallationID]",Submission!$O:$O,Submission!$H:$N,""))</f>
        <v/>
      </c>
      <c r="D1087" s="72" t="str">
        <f>_xlfn.CONCAT(_xlfn.XLOOKUP("[S05_CategoryCHighestTierNotApplied][51][SourceStreamAffected]",Submission!$O:$O,Submission!$H:$N,""))</f>
        <v/>
      </c>
      <c r="E1087" s="72" t="str">
        <f>_xlfn.CONCAT(_xlfn.XLOOKUP("[S05_CategoryCHighestTierNotApplied][51][EmissionSourceAffected]",Submission!$O:$O,Submission!$H:$N,""))</f>
        <v/>
      </c>
      <c r="F1087" s="72" t="str">
        <f>_xlfn.CONCAT(_xlfn.XLOOKUP("[S05_CategoryCHighestTierNotApplied][51][MonitoringParameterAffected]",Submission!$O:$O,Submission!$H:$N,""))</f>
        <v/>
      </c>
      <c r="G1087" s="89" t="str">
        <f>_xlfn.CONCAT(_xlfn.XLOOKUP("[S05_CategoryCHighestTierNotApplied][51][HighestTierRequired]",Submission!$O:$O,Submission!$H:$N,""))</f>
        <v/>
      </c>
      <c r="H1087" s="240" t="str">
        <f>_xlfn.CONCAT(_xlfn.XLOOKUP("[S05_CategoryCHighestTierNotApplied][51][TierInPractice]",Submission!$O:$O,Submission!$H:$N,""))</f>
        <v/>
      </c>
      <c r="I1087" s="242"/>
    </row>
    <row r="1088" spans="1:9" ht="24.6" hidden="1" customHeight="1" outlineLevel="1" x14ac:dyDescent="0.3">
      <c r="B1088" s="34"/>
      <c r="C1088" s="72" t="str">
        <f>_xlfn.CONCAT(_xlfn.XLOOKUP("[S05_CategoryCHighestTierNotApplied][52][InstallationID]",Submission!$O:$O,Submission!$H:$N,""))</f>
        <v/>
      </c>
      <c r="D1088" s="72" t="str">
        <f>_xlfn.CONCAT(_xlfn.XLOOKUP("[S05_CategoryCHighestTierNotApplied][52][SourceStreamAffected]",Submission!$O:$O,Submission!$H:$N,""))</f>
        <v/>
      </c>
      <c r="E1088" s="72" t="str">
        <f>_xlfn.CONCAT(_xlfn.XLOOKUP("[S05_CategoryCHighestTierNotApplied][52][EmissionSourceAffected]",Submission!$O:$O,Submission!$H:$N,""))</f>
        <v/>
      </c>
      <c r="F1088" s="72" t="str">
        <f>_xlfn.CONCAT(_xlfn.XLOOKUP("[S05_CategoryCHighestTierNotApplied][52][MonitoringParameterAffected]",Submission!$O:$O,Submission!$H:$N,""))</f>
        <v/>
      </c>
      <c r="G1088" s="89" t="str">
        <f>_xlfn.CONCAT(_xlfn.XLOOKUP("[S05_CategoryCHighestTierNotApplied][52][HighestTierRequired]",Submission!$O:$O,Submission!$H:$N,""))</f>
        <v/>
      </c>
      <c r="H1088" s="240" t="str">
        <f>_xlfn.CONCAT(_xlfn.XLOOKUP("[S05_CategoryCHighestTierNotApplied][52][TierInPractice]",Submission!$O:$O,Submission!$H:$N,""))</f>
        <v/>
      </c>
      <c r="I1088" s="242"/>
    </row>
    <row r="1089" spans="1:9" ht="24.6" hidden="1" customHeight="1" outlineLevel="1" x14ac:dyDescent="0.3">
      <c r="A1089" s="13"/>
      <c r="B1089" s="34"/>
      <c r="C1089" s="72" t="str">
        <f>_xlfn.CONCAT(_xlfn.XLOOKUP("[S05_CategoryCHighestTierNotApplied][53][InstallationID]",Submission!$O:$O,Submission!$H:$N,""))</f>
        <v/>
      </c>
      <c r="D1089" s="72" t="str">
        <f>_xlfn.CONCAT(_xlfn.XLOOKUP("[S05_CategoryCHighestTierNotApplied][53][SourceStreamAffected]",Submission!$O:$O,Submission!$H:$N,""))</f>
        <v/>
      </c>
      <c r="E1089" s="72" t="str">
        <f>_xlfn.CONCAT(_xlfn.XLOOKUP("[S05_CategoryCHighestTierNotApplied][53][EmissionSourceAffected]",Submission!$O:$O,Submission!$H:$N,""))</f>
        <v/>
      </c>
      <c r="F1089" s="72" t="str">
        <f>_xlfn.CONCAT(_xlfn.XLOOKUP("[S05_CategoryCHighestTierNotApplied][53][MonitoringParameterAffected]",Submission!$O:$O,Submission!$H:$N,""))</f>
        <v/>
      </c>
      <c r="G1089" s="89" t="str">
        <f>_xlfn.CONCAT(_xlfn.XLOOKUP("[S05_CategoryCHighestTierNotApplied][53][HighestTierRequired]",Submission!$O:$O,Submission!$H:$N,""))</f>
        <v/>
      </c>
      <c r="H1089" s="240" t="str">
        <f>_xlfn.CONCAT(_xlfn.XLOOKUP("[S05_CategoryCHighestTierNotApplied][53][TierInPractice]",Submission!$O:$O,Submission!$H:$N,""))</f>
        <v/>
      </c>
      <c r="I1089" s="242"/>
    </row>
    <row r="1090" spans="1:9" ht="24.6" hidden="1" customHeight="1" outlineLevel="1" x14ac:dyDescent="0.3">
      <c r="A1090" s="13"/>
      <c r="B1090" s="34"/>
      <c r="C1090" s="72" t="str">
        <f>_xlfn.CONCAT(_xlfn.XLOOKUP("[S05_CategoryCHighestTierNotApplied][54][InstallationID]",Submission!$O:$O,Submission!$H:$N,""))</f>
        <v/>
      </c>
      <c r="D1090" s="72" t="str">
        <f>_xlfn.CONCAT(_xlfn.XLOOKUP("[S05_CategoryCHighestTierNotApplied][54][SourceStreamAffected]",Submission!$O:$O,Submission!$H:$N,""))</f>
        <v/>
      </c>
      <c r="E1090" s="72" t="str">
        <f>_xlfn.CONCAT(_xlfn.XLOOKUP("[S05_CategoryCHighestTierNotApplied][54][EmissionSourceAffected]",Submission!$O:$O,Submission!$H:$N,""))</f>
        <v/>
      </c>
      <c r="F1090" s="72" t="str">
        <f>_xlfn.CONCAT(_xlfn.XLOOKUP("[S05_CategoryCHighestTierNotApplied][54][MonitoringParameterAffected]",Submission!$O:$O,Submission!$H:$N,""))</f>
        <v/>
      </c>
      <c r="G1090" s="89" t="str">
        <f>_xlfn.CONCAT(_xlfn.XLOOKUP("[S05_CategoryCHighestTierNotApplied][54][HighestTierRequired]",Submission!$O:$O,Submission!$H:$N,""))</f>
        <v/>
      </c>
      <c r="H1090" s="240" t="str">
        <f>_xlfn.CONCAT(_xlfn.XLOOKUP("[S05_CategoryCHighestTierNotApplied][54][TierInPractice]",Submission!$O:$O,Submission!$H:$N,""))</f>
        <v/>
      </c>
      <c r="I1090" s="242"/>
    </row>
    <row r="1091" spans="1:9" hidden="1" outlineLevel="1" x14ac:dyDescent="0.3">
      <c r="A1091" s="13"/>
      <c r="B1091" s="34"/>
      <c r="C1091" s="72" t="str">
        <f>_xlfn.CONCAT(_xlfn.XLOOKUP("[S05_CategoryCHighestTierNotApplied][55][InstallationID]",Submission!$O:$O,Submission!$H:$N,""))</f>
        <v/>
      </c>
      <c r="D1091" s="72" t="str">
        <f>_xlfn.CONCAT(_xlfn.XLOOKUP("[S05_CategoryCHighestTierNotApplied][55][SourceStreamAffected]",Submission!$O:$O,Submission!$H:$N,""))</f>
        <v/>
      </c>
      <c r="E1091" s="72" t="str">
        <f>_xlfn.CONCAT(_xlfn.XLOOKUP("[S05_CategoryCHighestTierNotApplied][55][EmissionSourceAffected]",Submission!$O:$O,Submission!$H:$N,""))</f>
        <v/>
      </c>
      <c r="F1091" s="72" t="str">
        <f>_xlfn.CONCAT(_xlfn.XLOOKUP("[S05_CategoryCHighestTierNotApplied][55][MonitoringParameterAffected]",Submission!$O:$O,Submission!$H:$N,""))</f>
        <v/>
      </c>
      <c r="G1091" s="89" t="str">
        <f>_xlfn.CONCAT(_xlfn.XLOOKUP("[S05_CategoryCHighestTierNotApplied][55][HighestTierRequired]",Submission!$O:$O,Submission!$H:$N,""))</f>
        <v/>
      </c>
      <c r="H1091" s="240" t="str">
        <f>_xlfn.CONCAT(_xlfn.XLOOKUP("[S05_CategoryCHighestTierNotApplied][55][TierInPractice]",Submission!$O:$O,Submission!$H:$N,""))</f>
        <v/>
      </c>
      <c r="I1091" s="242"/>
    </row>
    <row r="1092" spans="1:9" ht="15.9" customHeight="1" collapsed="1" x14ac:dyDescent="0.3">
      <c r="A1092" s="13"/>
      <c r="B1092" s="26" t="s">
        <v>2</v>
      </c>
      <c r="C1092" s="19"/>
      <c r="D1092" s="20"/>
      <c r="E1092" s="20"/>
      <c r="F1092" s="20"/>
      <c r="G1092" s="20"/>
      <c r="H1092" s="20"/>
      <c r="I1092" s="20"/>
    </row>
    <row r="1093" spans="1:9" ht="26.1" customHeight="1" x14ac:dyDescent="0.3">
      <c r="C1093" s="367" t="s">
        <v>875</v>
      </c>
      <c r="D1093" s="380"/>
      <c r="E1093" s="380"/>
      <c r="F1093" s="380"/>
      <c r="G1093" s="380"/>
      <c r="H1093" s="380"/>
      <c r="I1093" s="380"/>
    </row>
    <row r="1094" spans="1:9" ht="26.1" customHeight="1" x14ac:dyDescent="0.3">
      <c r="C1094" s="367" t="s">
        <v>876</v>
      </c>
      <c r="D1094" s="367"/>
      <c r="E1094" s="367"/>
      <c r="F1094" s="367"/>
      <c r="G1094" s="367"/>
      <c r="H1094" s="367"/>
      <c r="I1094" s="367"/>
    </row>
    <row r="1095" spans="1:9" ht="15.9" customHeight="1" x14ac:dyDescent="0.3">
      <c r="B1095" s="34"/>
      <c r="C1095" s="20"/>
      <c r="D1095" s="20"/>
      <c r="E1095" s="20"/>
      <c r="F1095" s="20"/>
      <c r="G1095" s="20"/>
      <c r="H1095" s="20"/>
      <c r="I1095" s="20"/>
    </row>
    <row r="1096" spans="1:9" ht="34.200000000000003" customHeight="1" x14ac:dyDescent="0.3">
      <c r="A1096" s="12" t="s">
        <v>254</v>
      </c>
      <c r="B1096" s="293" t="s">
        <v>877</v>
      </c>
      <c r="C1096" s="294"/>
      <c r="D1096" s="294"/>
      <c r="E1096" s="294"/>
      <c r="F1096" s="294"/>
      <c r="G1096" s="294"/>
      <c r="H1096" s="294"/>
      <c r="I1096" s="294"/>
    </row>
    <row r="1097" spans="1:9" ht="15.9" customHeight="1" x14ac:dyDescent="0.3">
      <c r="B1097" s="34"/>
      <c r="C1097" s="315" t="s">
        <v>878</v>
      </c>
      <c r="D1097" s="336"/>
      <c r="E1097" s="315" t="s">
        <v>879</v>
      </c>
      <c r="F1097" s="379"/>
      <c r="G1097" s="336"/>
      <c r="H1097" s="315" t="s">
        <v>880</v>
      </c>
      <c r="I1097" s="336"/>
    </row>
    <row r="1098" spans="1:9" ht="25.95" customHeight="1" x14ac:dyDescent="0.3">
      <c r="B1098" s="34"/>
      <c r="C1098" s="284" t="str">
        <f>_xlfn.CONCAT(_xlfn.XLOOKUP("[S05_CategoryBHighestTierNotApplied][1][MonitoringMethodology]",Submission!$O:$O,Submission!$H:$N,""))</f>
        <v>Calculation based methodology</v>
      </c>
      <c r="D1098" s="285"/>
      <c r="E1098" s="281" t="str">
        <f>_xlfn.CONCAT(_xlfn.XLOOKUP("[S05_CategoryBHighestTierNotApplied][1][CategoryBMainActivity]",Submission!$O:$O,Submission!$H:$N,""))</f>
        <v>29 - Production of cement clinker in rotary kilns as specified in Annex I of Directive 2003/87/ EC</v>
      </c>
      <c r="F1098" s="349"/>
      <c r="G1098" s="282"/>
      <c r="H1098" s="341" t="str">
        <f>_xlfn.CONCAT(_xlfn.XLOOKUP("[S05_CategoryBHighestTierNotApplied][1][CategoryBInstallationsAffected]",Submission!$O:$O,Submission!$H:$N,""))</f>
        <v>1</v>
      </c>
      <c r="I1098" s="342"/>
    </row>
    <row r="1099" spans="1:9" ht="25.95" customHeight="1" x14ac:dyDescent="0.3">
      <c r="B1099" s="34"/>
      <c r="C1099" s="284" t="str">
        <f>_xlfn.CONCAT(_xlfn.XLOOKUP("[S05_CategoryBHighestTierNotApplied][2][MonitoringMethodology]",Submission!$O:$O,Submission!$H:$N,""))</f>
        <v>Calculation based methodology</v>
      </c>
      <c r="D1099" s="285"/>
      <c r="E1099" s="281" t="str">
        <f>_xlfn.CONCAT(_xlfn.XLOOKUP("[S05_CategoryBHighestTierNotApplied][2][CategoryBMainActivity]",Submission!$O:$O,Submission!$H:$N,""))</f>
        <v>21 - Refining of mineral oil</v>
      </c>
      <c r="F1099" s="349"/>
      <c r="G1099" s="282"/>
      <c r="H1099" s="341" t="str">
        <f>_xlfn.CONCAT(_xlfn.XLOOKUP("[S05_CategoryBHighestTierNotApplied][2][CategoryBInstallationsAffected]",Submission!$O:$O,Submission!$H:$N,""))</f>
        <v>1</v>
      </c>
      <c r="I1099" s="342"/>
    </row>
    <row r="1100" spans="1:9" ht="25.95" customHeight="1" x14ac:dyDescent="0.3">
      <c r="B1100" s="34"/>
      <c r="C1100" s="284" t="str">
        <f>_xlfn.CONCAT(_xlfn.XLOOKUP("[S05_CategoryBHighestTierNotApplied][3][MonitoringMethodology]",Submission!$O:$O,Submission!$H:$N,""))</f>
        <v>Calculation based methodology</v>
      </c>
      <c r="D1100" s="285"/>
      <c r="E1100" s="281" t="str">
        <f>_xlfn.CONCAT(_xlfn.XLOOKUP("[S05_CategoryBHighestTierNotApplied][3][CategoryBMainActivity]",Submission!$O:$O,Submission!$H:$N,""))</f>
        <v>20 - Combustion of fuels as specified in Annex I of Directive 2003/87/EC</v>
      </c>
      <c r="F1100" s="349"/>
      <c r="G1100" s="282"/>
      <c r="H1100" s="341" t="str">
        <f>_xlfn.CONCAT(_xlfn.XLOOKUP("[S05_CategoryBHighestTierNotApplied][3][CategoryBInstallationsAffected]",Submission!$O:$O,Submission!$H:$N,""))</f>
        <v>1</v>
      </c>
      <c r="I1100" s="342"/>
    </row>
    <row r="1101" spans="1:9" ht="25.95" customHeight="1" x14ac:dyDescent="0.3">
      <c r="B1101" s="34"/>
      <c r="C1101" s="284" t="str">
        <f>_xlfn.CONCAT(_xlfn.XLOOKUP("[S05_CategoryBHighestTierNotApplied][4][MonitoringMethodology]",Submission!$O:$O,Submission!$H:$N,""))</f>
        <v/>
      </c>
      <c r="D1101" s="285"/>
      <c r="E1101" s="281" t="str">
        <f>_xlfn.CONCAT(_xlfn.XLOOKUP("[S05_CategoryBHighestTierNotApplied][4][CategoryBMainActivity]",Submission!$O:$O,Submission!$H:$N,""))</f>
        <v/>
      </c>
      <c r="F1101" s="349"/>
      <c r="G1101" s="282"/>
      <c r="H1101" s="341" t="str">
        <f>_xlfn.CONCAT(_xlfn.XLOOKUP("[S05_CategoryBHighestTierNotApplied][4][CategoryBInstallationsAffected]",Submission!$O:$O,Submission!$H:$N,""))</f>
        <v/>
      </c>
      <c r="I1101" s="342"/>
    </row>
    <row r="1102" spans="1:9" ht="25.95" customHeight="1" x14ac:dyDescent="0.3">
      <c r="B1102" s="34"/>
      <c r="C1102" s="284" t="str">
        <f>_xlfn.CONCAT(_xlfn.XLOOKUP("[S05_CategoryBHighestTierNotApplied][5][MonitoringMethodology]",Submission!$O:$O,Submission!$H:$N,""))</f>
        <v/>
      </c>
      <c r="D1102" s="285"/>
      <c r="E1102" s="281" t="str">
        <f>_xlfn.CONCAT(_xlfn.XLOOKUP("[S05_CategoryBHighestTierNotApplied][5][CategoryBMainActivity]",Submission!$O:$O,Submission!$H:$N,""))</f>
        <v/>
      </c>
      <c r="F1102" s="349"/>
      <c r="G1102" s="282"/>
      <c r="H1102" s="341" t="str">
        <f>_xlfn.CONCAT(_xlfn.XLOOKUP("[S05_CategoryBHighestTierNotApplied][5][CategoryBInstallationsAffected]",Submission!$O:$O,Submission!$H:$N,""))</f>
        <v/>
      </c>
      <c r="I1102" s="342"/>
    </row>
    <row r="1103" spans="1:9" ht="25.95" customHeight="1" x14ac:dyDescent="0.3">
      <c r="B1103" s="34"/>
      <c r="C1103" s="284" t="str">
        <f>_xlfn.CONCAT(_xlfn.XLOOKUP("[S05_CategoryBHighestTierNotApplied][6][MonitoringMethodology]",Submission!$O:$O,Submission!$H:$N,""))</f>
        <v/>
      </c>
      <c r="D1103" s="285"/>
      <c r="E1103" s="281" t="str">
        <f>_xlfn.CONCAT(_xlfn.XLOOKUP("[S05_CategoryBHighestTierNotApplied][6][CategoryBMainActivity]",Submission!$O:$O,Submission!$H:$N,""))</f>
        <v/>
      </c>
      <c r="F1103" s="349"/>
      <c r="G1103" s="282"/>
      <c r="H1103" s="341" t="str">
        <f>_xlfn.CONCAT(_xlfn.XLOOKUP("[S05_CategoryBHighestTierNotApplied][6][CategoryBInstallationsAffected]",Submission!$O:$O,Submission!$H:$N,""))</f>
        <v/>
      </c>
      <c r="I1103" s="342"/>
    </row>
    <row r="1104" spans="1:9" ht="25.95" customHeight="1" x14ac:dyDescent="0.3">
      <c r="B1104" s="34"/>
      <c r="C1104" s="284" t="str">
        <f>_xlfn.CONCAT(_xlfn.XLOOKUP("[S05_CategoryBHighestTierNotApplied][7][MonitoringMethodology]",Submission!$O:$O,Submission!$H:$N,""))</f>
        <v/>
      </c>
      <c r="D1104" s="285"/>
      <c r="E1104" s="281" t="str">
        <f>_xlfn.CONCAT(_xlfn.XLOOKUP("[S05_CategoryBHighestTierNotApplied][7][CategoryBMainActivity]",Submission!$O:$O,Submission!$H:$N,""))</f>
        <v/>
      </c>
      <c r="F1104" s="349"/>
      <c r="G1104" s="282"/>
      <c r="H1104" s="341" t="str">
        <f>_xlfn.CONCAT(_xlfn.XLOOKUP("[S05_CategoryBHighestTierNotApplied][7][CategoryBInstallationsAffected]",Submission!$O:$O,Submission!$H:$N,""))</f>
        <v/>
      </c>
      <c r="I1104" s="342"/>
    </row>
    <row r="1105" spans="1:9" ht="25.95" hidden="1" customHeight="1" outlineLevel="1" x14ac:dyDescent="0.3">
      <c r="B1105" s="34"/>
      <c r="C1105" s="284" t="str">
        <f>_xlfn.CONCAT(_xlfn.XLOOKUP("[S05_CategoryBHighestTierNotApplied][8][MonitoringMethodology]",Submission!$O:$O,Submission!$H:$N,""))</f>
        <v/>
      </c>
      <c r="D1105" s="285"/>
      <c r="E1105" s="281" t="str">
        <f>_xlfn.CONCAT(_xlfn.XLOOKUP("[S05_CategoryBHighestTierNotApplied][8][CategoryBMainActivity]",Submission!$O:$O,Submission!$H:$N,""))</f>
        <v/>
      </c>
      <c r="F1105" s="349"/>
      <c r="G1105" s="282"/>
      <c r="H1105" s="341" t="str">
        <f>_xlfn.CONCAT(_xlfn.XLOOKUP("[S05_CategoryBHighestTierNotApplied][8][CategoryBInstallationsAffected]",Submission!$O:$O,Submission!$H:$N,""))</f>
        <v/>
      </c>
      <c r="I1105" s="342"/>
    </row>
    <row r="1106" spans="1:9" ht="25.95" hidden="1" customHeight="1" outlineLevel="1" x14ac:dyDescent="0.3">
      <c r="B1106" s="34"/>
      <c r="C1106" s="284" t="str">
        <f>_xlfn.CONCAT(_xlfn.XLOOKUP("[S05_CategoryBHighestTierNotApplied][9][MonitoringMethodology]",Submission!$O:$O,Submission!$H:$N,""))</f>
        <v/>
      </c>
      <c r="D1106" s="285"/>
      <c r="E1106" s="281" t="str">
        <f>_xlfn.CONCAT(_xlfn.XLOOKUP("[S05_CategoryBHighestTierNotApplied][9][CategoryBMainActivity]",Submission!$O:$O,Submission!$H:$N,""))</f>
        <v/>
      </c>
      <c r="F1106" s="349"/>
      <c r="G1106" s="282"/>
      <c r="H1106" s="341" t="str">
        <f>_xlfn.CONCAT(_xlfn.XLOOKUP("[S05_CategoryBHighestTierNotApplied][9][CategoryBInstallationsAffected]",Submission!$O:$O,Submission!$H:$N,""))</f>
        <v/>
      </c>
      <c r="I1106" s="342"/>
    </row>
    <row r="1107" spans="1:9" ht="25.95" hidden="1" customHeight="1" outlineLevel="1" x14ac:dyDescent="0.3">
      <c r="B1107" s="34"/>
      <c r="C1107" s="284" t="str">
        <f>_xlfn.CONCAT(_xlfn.XLOOKUP("[S05_CategoryBHighestTierNotApplied][10][MonitoringMethodology]",Submission!$O:$O,Submission!$H:$N,""))</f>
        <v/>
      </c>
      <c r="D1107" s="285"/>
      <c r="E1107" s="281" t="str">
        <f>_xlfn.CONCAT(_xlfn.XLOOKUP("[S05_CategoryBHighestTierNotApplied][10][CategoryBMainActivity]",Submission!$O:$O,Submission!$H:$N,""))</f>
        <v/>
      </c>
      <c r="F1107" s="349"/>
      <c r="G1107" s="282"/>
      <c r="H1107" s="341" t="str">
        <f>_xlfn.CONCAT(_xlfn.XLOOKUP("[S05_CategoryBHighestTierNotApplied][10][CategoryBInstallationsAffected]",Submission!$O:$O,Submission!$H:$N,""))</f>
        <v/>
      </c>
      <c r="I1107" s="342"/>
    </row>
    <row r="1108" spans="1:9" ht="25.95" hidden="1" customHeight="1" outlineLevel="1" x14ac:dyDescent="0.3">
      <c r="B1108" s="34"/>
      <c r="C1108" s="284" t="str">
        <f>_xlfn.CONCAT(_xlfn.XLOOKUP("[S05_CategoryBHighestTierNotApplied][11][MonitoringMethodology]",Submission!$O:$O,Submission!$H:$N,""))</f>
        <v/>
      </c>
      <c r="D1108" s="285"/>
      <c r="E1108" s="281" t="str">
        <f>_xlfn.CONCAT(_xlfn.XLOOKUP("[S05_CategoryBHighestTierNotApplied][11][CategoryBMainActivity]",Submission!$O:$O,Submission!$H:$N,""))</f>
        <v/>
      </c>
      <c r="F1108" s="349"/>
      <c r="G1108" s="282"/>
      <c r="H1108" s="341" t="str">
        <f>_xlfn.CONCAT(_xlfn.XLOOKUP("[S05_CategoryBHighestTierNotApplied][11][CategoryBInstallationsAffected]",Submission!$O:$O,Submission!$H:$N,""))</f>
        <v/>
      </c>
      <c r="I1108" s="342"/>
    </row>
    <row r="1109" spans="1:9" ht="25.95" hidden="1" customHeight="1" outlineLevel="1" x14ac:dyDescent="0.3">
      <c r="B1109" s="34"/>
      <c r="C1109" s="284" t="str">
        <f>_xlfn.CONCAT(_xlfn.XLOOKUP("[S05_CategoryBHighestTierNotApplied][12][MonitoringMethodology]",Submission!$O:$O,Submission!$H:$N,""))</f>
        <v/>
      </c>
      <c r="D1109" s="285"/>
      <c r="E1109" s="281" t="str">
        <f>_xlfn.CONCAT(_xlfn.XLOOKUP("[S05_CategoryBHighestTierNotApplied][12][CategoryBMainActivity]",Submission!$O:$O,Submission!$H:$N,""))</f>
        <v/>
      </c>
      <c r="F1109" s="349"/>
      <c r="G1109" s="282"/>
      <c r="H1109" s="341" t="str">
        <f>_xlfn.CONCAT(_xlfn.XLOOKUP("[S05_CategoryBHighestTierNotApplied][12][CategoryBInstallationsAffected]",Submission!$O:$O,Submission!$H:$N,""))</f>
        <v/>
      </c>
      <c r="I1109" s="342"/>
    </row>
    <row r="1110" spans="1:9" ht="25.95" hidden="1" customHeight="1" outlineLevel="1" x14ac:dyDescent="0.3">
      <c r="B1110" s="34"/>
      <c r="C1110" s="284" t="str">
        <f>_xlfn.CONCAT(_xlfn.XLOOKUP("[S05_CategoryBHighestTierNotApplied][13][MonitoringMethodology]",Submission!$O:$O,Submission!$H:$N,""))</f>
        <v/>
      </c>
      <c r="D1110" s="285"/>
      <c r="E1110" s="281" t="str">
        <f>_xlfn.CONCAT(_xlfn.XLOOKUP("[S05_CategoryBHighestTierNotApplied][13][CategoryBMainActivity]",Submission!$O:$O,Submission!$H:$N,""))</f>
        <v/>
      </c>
      <c r="F1110" s="349"/>
      <c r="G1110" s="282"/>
      <c r="H1110" s="341" t="str">
        <f>_xlfn.CONCAT(_xlfn.XLOOKUP("[S05_CategoryBHighestTierNotApplied][13][CategoryBInstallationsAffected]",Submission!$O:$O,Submission!$H:$N,""))</f>
        <v/>
      </c>
      <c r="I1110" s="342"/>
    </row>
    <row r="1111" spans="1:9" ht="25.95" hidden="1" customHeight="1" outlineLevel="1" x14ac:dyDescent="0.3">
      <c r="B1111" s="34"/>
      <c r="C1111" s="284" t="str">
        <f>_xlfn.CONCAT(_xlfn.XLOOKUP("[S05_CategoryBHighestTierNotApplied][14][MonitoringMethodology]",Submission!$O:$O,Submission!$H:$N,""))</f>
        <v/>
      </c>
      <c r="D1111" s="285"/>
      <c r="E1111" s="281" t="str">
        <f>_xlfn.CONCAT(_xlfn.XLOOKUP("[S05_CategoryBHighestTierNotApplied][14][CategoryBMainActivity]",Submission!$O:$O,Submission!$H:$N,""))</f>
        <v/>
      </c>
      <c r="F1111" s="349"/>
      <c r="G1111" s="282"/>
      <c r="H1111" s="341" t="str">
        <f>_xlfn.CONCAT(_xlfn.XLOOKUP("[S05_CategoryBHighestTierNotApplied][14][CategoryBInstallationsAffected]",Submission!$O:$O,Submission!$H:$N,""))</f>
        <v/>
      </c>
      <c r="I1111" s="342"/>
    </row>
    <row r="1112" spans="1:9" ht="25.95" hidden="1" customHeight="1" outlineLevel="1" x14ac:dyDescent="0.3">
      <c r="B1112" s="34"/>
      <c r="C1112" s="284" t="str">
        <f>_xlfn.CONCAT(_xlfn.XLOOKUP("[S05_CategoryBHighestTierNotApplied][15][MonitoringMethodology]",Submission!$O:$O,Submission!$H:$N,""))</f>
        <v/>
      </c>
      <c r="D1112" s="285"/>
      <c r="E1112" s="281" t="str">
        <f>_xlfn.CONCAT(_xlfn.XLOOKUP("[S05_CategoryBHighestTierNotApplied][15][CategoryBMainActivity]",Submission!$O:$O,Submission!$H:$N,""))</f>
        <v/>
      </c>
      <c r="F1112" s="349"/>
      <c r="G1112" s="282"/>
      <c r="H1112" s="341" t="str">
        <f>_xlfn.CONCAT(_xlfn.XLOOKUP("[S05_CategoryBHighestTierNotApplied][15][CategoryBInstallationsAffected]",Submission!$O:$O,Submission!$H:$N,""))</f>
        <v/>
      </c>
      <c r="I1112" s="342"/>
    </row>
    <row r="1113" spans="1:9" ht="25.95" hidden="1" customHeight="1" outlineLevel="1" x14ac:dyDescent="0.3">
      <c r="B1113" s="34"/>
      <c r="C1113" s="284" t="str">
        <f>_xlfn.CONCAT(_xlfn.XLOOKUP("[S05_CategoryBHighestTierNotApplied][16][MonitoringMethodology]",Submission!$O:$O,Submission!$H:$N,""))</f>
        <v/>
      </c>
      <c r="D1113" s="285"/>
      <c r="E1113" s="281" t="str">
        <f>_xlfn.CONCAT(_xlfn.XLOOKUP("[S05_CategoryBHighestTierNotApplied][16][CategoryBMainActivity]",Submission!$O:$O,Submission!$H:$N,""))</f>
        <v/>
      </c>
      <c r="F1113" s="349"/>
      <c r="G1113" s="282"/>
      <c r="H1113" s="341" t="str">
        <f>_xlfn.CONCAT(_xlfn.XLOOKUP("[S05_CategoryBHighestTierNotApplied][16][CategoryBInstallationsAffected]",Submission!$O:$O,Submission!$H:$N,""))</f>
        <v/>
      </c>
      <c r="I1113" s="342"/>
    </row>
    <row r="1114" spans="1:9" ht="25.95" hidden="1" customHeight="1" outlineLevel="1" x14ac:dyDescent="0.3">
      <c r="B1114" s="34"/>
      <c r="C1114" s="284" t="str">
        <f>_xlfn.CONCAT(_xlfn.XLOOKUP("[S05_CategoryBHighestTierNotApplied][17][MonitoringMethodology]",Submission!$O:$O,Submission!$H:$N,""))</f>
        <v/>
      </c>
      <c r="D1114" s="285"/>
      <c r="E1114" s="281" t="str">
        <f>_xlfn.CONCAT(_xlfn.XLOOKUP("[S05_CategoryBHighestTierNotApplied][17][CategoryBMainActivity]",Submission!$O:$O,Submission!$H:$N,""))</f>
        <v/>
      </c>
      <c r="F1114" s="349"/>
      <c r="G1114" s="282"/>
      <c r="H1114" s="341" t="str">
        <f>_xlfn.CONCAT(_xlfn.XLOOKUP("[S05_CategoryBHighestTierNotApplied][17][CategoryBInstallationsAffected]",Submission!$O:$O,Submission!$H:$N,""))</f>
        <v/>
      </c>
      <c r="I1114" s="342"/>
    </row>
    <row r="1115" spans="1:9" ht="25.95" hidden="1" customHeight="1" outlineLevel="1" x14ac:dyDescent="0.3">
      <c r="B1115" s="34"/>
      <c r="C1115" s="284" t="str">
        <f>_xlfn.CONCAT(_xlfn.XLOOKUP("[S05_CategoryBHighestTierNotApplied][18][MonitoringMethodology]",Submission!$O:$O,Submission!$H:$N,""))</f>
        <v/>
      </c>
      <c r="D1115" s="285"/>
      <c r="E1115" s="281" t="str">
        <f>_xlfn.CONCAT(_xlfn.XLOOKUP("[S05_CategoryBHighestTierNotApplied][18][CategoryBMainActivity]",Submission!$O:$O,Submission!$H:$N,""))</f>
        <v/>
      </c>
      <c r="F1115" s="349"/>
      <c r="G1115" s="282"/>
      <c r="H1115" s="341" t="str">
        <f>_xlfn.CONCAT(_xlfn.XLOOKUP("[S05_CategoryBHighestTierNotApplied][18][CategoryBInstallationsAffected]",Submission!$O:$O,Submission!$H:$N,""))</f>
        <v/>
      </c>
      <c r="I1115" s="342"/>
    </row>
    <row r="1116" spans="1:9" ht="25.95" hidden="1" customHeight="1" outlineLevel="1" x14ac:dyDescent="0.3">
      <c r="B1116" s="34"/>
      <c r="C1116" s="284" t="str">
        <f>_xlfn.CONCAT(_xlfn.XLOOKUP("[S05_CategoryBHighestTierNotApplied][19][MonitoringMethodology]",Submission!$O:$O,Submission!$H:$N,""))</f>
        <v/>
      </c>
      <c r="D1116" s="285"/>
      <c r="E1116" s="281" t="str">
        <f>_xlfn.CONCAT(_xlfn.XLOOKUP("[S05_CategoryBHighestTierNotApplied][19][CategoryBMainActivity]",Submission!$O:$O,Submission!$H:$N,""))</f>
        <v/>
      </c>
      <c r="F1116" s="349"/>
      <c r="G1116" s="282"/>
      <c r="H1116" s="341" t="str">
        <f>_xlfn.CONCAT(_xlfn.XLOOKUP("[S05_CategoryBHighestTierNotApplied][19][CategoryBInstallationsAffected]",Submission!$O:$O,Submission!$H:$N,""))</f>
        <v/>
      </c>
      <c r="I1116" s="342"/>
    </row>
    <row r="1117" spans="1:9" ht="25.95" hidden="1" customHeight="1" outlineLevel="1" x14ac:dyDescent="0.3">
      <c r="B1117" s="34"/>
      <c r="C1117" s="284" t="str">
        <f>_xlfn.CONCAT(_xlfn.XLOOKUP("[S05_CategoryBHighestTierNotApplied][20][MonitoringMethodology]",Submission!$O:$O,Submission!$H:$N,""))</f>
        <v/>
      </c>
      <c r="D1117" s="285"/>
      <c r="E1117" s="281" t="str">
        <f>_xlfn.CONCAT(_xlfn.XLOOKUP("[S05_CategoryBHighestTierNotApplied][20][CategoryBMainActivity]",Submission!$O:$O,Submission!$H:$N,""))</f>
        <v/>
      </c>
      <c r="F1117" s="349"/>
      <c r="G1117" s="282"/>
      <c r="H1117" s="341" t="str">
        <f>_xlfn.CONCAT(_xlfn.XLOOKUP("[S05_CategoryBHighestTierNotApplied][20][CategoryBInstallationsAffected]",Submission!$O:$O,Submission!$H:$N,""))</f>
        <v/>
      </c>
      <c r="I1117" s="342"/>
    </row>
    <row r="1118" spans="1:9" ht="25.95" hidden="1" customHeight="1" outlineLevel="1" x14ac:dyDescent="0.3">
      <c r="B1118" s="34"/>
      <c r="C1118" s="284" t="str">
        <f>_xlfn.CONCAT(_xlfn.XLOOKUP("[S05_CategoryBHighestTierNotApplied][21][MonitoringMethodology]",Submission!$O:$O,Submission!$H:$N,""))</f>
        <v/>
      </c>
      <c r="D1118" s="285"/>
      <c r="E1118" s="281" t="str">
        <f>_xlfn.CONCAT(_xlfn.XLOOKUP("[S05_CategoryBHighestTierNotApplied][21][CategoryBMainActivity]",Submission!$O:$O,Submission!$H:$N,""))</f>
        <v/>
      </c>
      <c r="F1118" s="349"/>
      <c r="G1118" s="282"/>
      <c r="H1118" s="341" t="str">
        <f>_xlfn.CONCAT(_xlfn.XLOOKUP("[S05_CategoryBHighestTierNotApplied][21][CategoryBInstallationsAffected]",Submission!$O:$O,Submission!$H:$N,""))</f>
        <v/>
      </c>
      <c r="I1118" s="342"/>
    </row>
    <row r="1119" spans="1:9" ht="25.95" hidden="1" customHeight="1" outlineLevel="1" x14ac:dyDescent="0.3">
      <c r="B1119" s="34"/>
      <c r="C1119" s="284" t="str">
        <f>_xlfn.CONCAT(_xlfn.XLOOKUP("[S05_CategoryBHighestTierNotApplied][22][MonitoringMethodology]",Submission!$O:$O,Submission!$H:$N,""))</f>
        <v/>
      </c>
      <c r="D1119" s="285"/>
      <c r="E1119" s="281" t="str">
        <f>_xlfn.CONCAT(_xlfn.XLOOKUP("[S05_CategoryBHighestTierNotApplied][22][CategoryBMainActivity]",Submission!$O:$O,Submission!$H:$N,""))</f>
        <v/>
      </c>
      <c r="F1119" s="349"/>
      <c r="G1119" s="282"/>
      <c r="H1119" s="341" t="str">
        <f>_xlfn.CONCAT(_xlfn.XLOOKUP("[S05_CategoryBHighestTierNotApplied][22][CategoryBInstallationsAffected]",Submission!$O:$O,Submission!$H:$N,""))</f>
        <v/>
      </c>
      <c r="I1119" s="342"/>
    </row>
    <row r="1120" spans="1:9" ht="15.9" customHeight="1" collapsed="1" x14ac:dyDescent="0.3">
      <c r="A1120" s="13"/>
      <c r="B1120" s="26" t="s">
        <v>2</v>
      </c>
      <c r="C1120" s="19"/>
      <c r="D1120" s="20"/>
      <c r="E1120" s="20"/>
      <c r="F1120" s="20"/>
      <c r="G1120" s="20"/>
      <c r="H1120" s="20"/>
      <c r="I1120" s="20"/>
    </row>
    <row r="1121" spans="1:9" ht="17.25" customHeight="1" x14ac:dyDescent="0.3">
      <c r="A1121" s="13"/>
      <c r="B1121" s="16"/>
      <c r="C1121" s="248" t="s">
        <v>881</v>
      </c>
      <c r="D1121" s="248"/>
      <c r="E1121" s="248"/>
      <c r="F1121" s="248"/>
      <c r="G1121" s="248"/>
      <c r="H1121" s="248"/>
      <c r="I1121" s="248"/>
    </row>
    <row r="1122" spans="1:9" ht="16.95" customHeight="1" x14ac:dyDescent="0.3">
      <c r="A1122" s="13"/>
      <c r="C1122" s="248" t="s">
        <v>882</v>
      </c>
      <c r="D1122" s="248"/>
      <c r="E1122" s="248"/>
      <c r="F1122" s="248"/>
      <c r="G1122" s="248"/>
      <c r="H1122" s="248"/>
      <c r="I1122" s="248"/>
    </row>
    <row r="1123" spans="1:9" ht="16.95" customHeight="1" x14ac:dyDescent="0.3">
      <c r="A1123" s="13"/>
      <c r="C1123" s="99"/>
      <c r="D1123" s="99"/>
      <c r="E1123" s="99"/>
      <c r="F1123" s="99"/>
      <c r="G1123" s="99"/>
      <c r="H1123" s="99"/>
      <c r="I1123" s="99"/>
    </row>
    <row r="1124" spans="1:9" ht="35.25" customHeight="1" x14ac:dyDescent="0.3">
      <c r="A1124" s="12" t="s">
        <v>259</v>
      </c>
      <c r="B1124" s="293" t="s">
        <v>883</v>
      </c>
      <c r="C1124" s="294"/>
      <c r="D1124" s="294"/>
      <c r="E1124" s="294"/>
      <c r="F1124" s="294"/>
      <c r="G1124" s="294"/>
      <c r="H1124" s="295"/>
      <c r="I1124" s="41" t="str">
        <f>_xlfn.CONCAT(_xlfn.XLOOKUP("[FallBackApproachApplied][0][FallBackApproachApplied]",Submission!$O:$O,Submission!$H:$N,""))</f>
        <v>No</v>
      </c>
    </row>
    <row r="1125" spans="1:9" ht="20.399999999999999" customHeight="1" x14ac:dyDescent="0.3">
      <c r="A1125" s="12"/>
      <c r="B1125" s="271" t="s">
        <v>884</v>
      </c>
      <c r="C1125" s="272"/>
      <c r="D1125" s="272"/>
      <c r="E1125" s="272"/>
      <c r="F1125" s="272"/>
      <c r="G1125" s="272"/>
      <c r="H1125" s="272"/>
      <c r="I1125" s="272"/>
    </row>
    <row r="1126" spans="1:9" ht="32.4" customHeight="1" x14ac:dyDescent="0.3">
      <c r="A1126" s="12"/>
      <c r="B1126" s="34"/>
      <c r="C1126" s="46" t="s">
        <v>869</v>
      </c>
      <c r="D1126" s="315" t="s">
        <v>885</v>
      </c>
      <c r="E1126" s="379"/>
      <c r="F1126" s="379"/>
      <c r="G1126" s="336"/>
      <c r="H1126" s="46" t="s">
        <v>886</v>
      </c>
      <c r="I1126" s="46" t="s">
        <v>887</v>
      </c>
    </row>
    <row r="1127" spans="1:9" s="58" customFormat="1" ht="27.75" customHeight="1" x14ac:dyDescent="0.3">
      <c r="A1127" s="57"/>
      <c r="B1127" s="74"/>
      <c r="C1127" s="72" t="str">
        <f>_xlfn.CONCAT(_xlfn.XLOOKUP("[S05_FallBackApproachAppliedDetail][1][FallbackInstallationID]",Submission!$O:$O,Submission!$H:$N,""))</f>
        <v/>
      </c>
      <c r="D1127" s="284" t="str">
        <f>_xlfn.CONCAT(_xlfn.XLOOKUP("[S05_FallBackApproachAppliedDetail][1][FallBackReason]",Submission!$O:$O,Submission!$H:$N,""))</f>
        <v/>
      </c>
      <c r="E1127" s="348"/>
      <c r="F1127" s="348"/>
      <c r="G1127" s="285"/>
      <c r="H1127" s="72" t="str">
        <f>_xlfn.CONCAT(_xlfn.XLOOKUP("[S05_FallBackApproachAppliedDetail][1][ParameterNotTier1]",Submission!$O:$O,Submission!$H:$N,""))</f>
        <v/>
      </c>
      <c r="I1127" s="124" t="str">
        <f>_xlfn.CONCAT(_xlfn.XLOOKUP("[S05_FallBackApproachAppliedDetail][1][ParameterEmissions]",Submission!$O:$O,Submission!$H:$N,""))</f>
        <v/>
      </c>
    </row>
    <row r="1128" spans="1:9" s="58" customFormat="1" ht="27.75" customHeight="1" x14ac:dyDescent="0.3">
      <c r="A1128" s="57"/>
      <c r="B1128" s="74"/>
      <c r="C1128" s="72" t="str">
        <f>_xlfn.CONCAT(_xlfn.XLOOKUP("[S05_FallBackApproachAppliedDetail][2][FallbackInstallationID]",Submission!$O:$O,Submission!$H:$N,""))</f>
        <v/>
      </c>
      <c r="D1128" s="284" t="str">
        <f>_xlfn.CONCAT(_xlfn.XLOOKUP("[S05_FallBackApproachAppliedDetail][2][FallBackReason]",Submission!$O:$O,Submission!$H:$N,""))</f>
        <v/>
      </c>
      <c r="E1128" s="348"/>
      <c r="F1128" s="348"/>
      <c r="G1128" s="285"/>
      <c r="H1128" s="72" t="str">
        <f>_xlfn.CONCAT(_xlfn.XLOOKUP("[S05_FallBackApproachAppliedDetail][2][ParameterNotTier1]",Submission!$O:$O,Submission!$H:$N,""))</f>
        <v/>
      </c>
      <c r="I1128" s="124" t="str">
        <f>_xlfn.CONCAT(_xlfn.XLOOKUP("[S05_FallBackApproachAppliedDetail][2][ParameterEmissions]",Submission!$O:$O,Submission!$H:$N,""))</f>
        <v/>
      </c>
    </row>
    <row r="1129" spans="1:9" s="58" customFormat="1" ht="27.75" customHeight="1" x14ac:dyDescent="0.3">
      <c r="A1129" s="57"/>
      <c r="B1129" s="74"/>
      <c r="C1129" s="72" t="str">
        <f>_xlfn.CONCAT(_xlfn.XLOOKUP("[S05_FallBackApproachAppliedDetail][3][FallbackInstallationID]",Submission!$O:$O,Submission!$H:$N,""))</f>
        <v/>
      </c>
      <c r="D1129" s="284" t="str">
        <f>_xlfn.CONCAT(_xlfn.XLOOKUP("[S05_FallBackApproachAppliedDetail][3][FallBackReason]",Submission!$O:$O,Submission!$H:$N,""))</f>
        <v/>
      </c>
      <c r="E1129" s="348"/>
      <c r="F1129" s="348"/>
      <c r="G1129" s="285"/>
      <c r="H1129" s="72" t="str">
        <f>_xlfn.CONCAT(_xlfn.XLOOKUP("[S05_FallBackApproachAppliedDetail][3][ParameterNotTier1]",Submission!$O:$O,Submission!$H:$N,""))</f>
        <v/>
      </c>
      <c r="I1129" s="124" t="str">
        <f>_xlfn.CONCAT(_xlfn.XLOOKUP("[S05_FallBackApproachAppliedDetail][3][ParameterEmissions]",Submission!$O:$O,Submission!$H:$N,""))</f>
        <v/>
      </c>
    </row>
    <row r="1130" spans="1:9" s="58" customFormat="1" ht="27.75" customHeight="1" x14ac:dyDescent="0.3">
      <c r="A1130" s="57"/>
      <c r="B1130" s="74"/>
      <c r="C1130" s="72" t="str">
        <f>_xlfn.CONCAT(_xlfn.XLOOKUP("[S05_FallBackApproachAppliedDetail][4][FallbackInstallationID]",Submission!$O:$O,Submission!$H:$N,""))</f>
        <v/>
      </c>
      <c r="D1130" s="284" t="str">
        <f>_xlfn.CONCAT(_xlfn.XLOOKUP("[S05_FallBackApproachAppliedDetail][4][FallBackReason]",Submission!$O:$O,Submission!$H:$N,""))</f>
        <v/>
      </c>
      <c r="E1130" s="348"/>
      <c r="F1130" s="348"/>
      <c r="G1130" s="285"/>
      <c r="H1130" s="72" t="str">
        <f>_xlfn.CONCAT(_xlfn.XLOOKUP("[S05_FallBackApproachAppliedDetail][4][ParameterNotTier1]",Submission!$O:$O,Submission!$H:$N,""))</f>
        <v/>
      </c>
      <c r="I1130" s="124" t="str">
        <f>_xlfn.CONCAT(_xlfn.XLOOKUP("[S05_FallBackApproachAppliedDetail][4][ParameterEmissions]",Submission!$O:$O,Submission!$H:$N,""))</f>
        <v/>
      </c>
    </row>
    <row r="1131" spans="1:9" s="58" customFormat="1" ht="27.75" hidden="1" customHeight="1" outlineLevel="1" x14ac:dyDescent="0.3">
      <c r="A1131" s="57"/>
      <c r="B1131" s="74"/>
      <c r="C1131" s="72" t="str">
        <f>_xlfn.CONCAT(_xlfn.XLOOKUP("[S05_FallBackApproachAppliedDetail][5][FallbackInstallationID]",Submission!$O:$O,Submission!$H:$N,""))</f>
        <v/>
      </c>
      <c r="D1131" s="284" t="str">
        <f>_xlfn.CONCAT(_xlfn.XLOOKUP("[S05_FallBackApproachAppliedDetail][5][FallBackReason]",Submission!$O:$O,Submission!$H:$N,""))</f>
        <v/>
      </c>
      <c r="E1131" s="348"/>
      <c r="F1131" s="348"/>
      <c r="G1131" s="285"/>
      <c r="H1131" s="72" t="str">
        <f>_xlfn.CONCAT(_xlfn.XLOOKUP("[S05_FallBackApproachAppliedDetail][5][ParameterNotTier1]",Submission!$O:$O,Submission!$H:$N,""))</f>
        <v/>
      </c>
      <c r="I1131" s="124" t="str">
        <f>_xlfn.CONCAT(_xlfn.XLOOKUP("[S05_FallBackApproachAppliedDetail][5][ParameterEmissions]",Submission!$O:$O,Submission!$H:$N,""))</f>
        <v/>
      </c>
    </row>
    <row r="1132" spans="1:9" s="58" customFormat="1" ht="27.75" hidden="1" customHeight="1" outlineLevel="1" x14ac:dyDescent="0.3">
      <c r="A1132" s="57"/>
      <c r="B1132" s="74"/>
      <c r="C1132" s="72" t="str">
        <f>_xlfn.CONCAT(_xlfn.XLOOKUP("[S05_FallBackApproachAppliedDetail][6][FallbackInstallationID]",Submission!$O:$O,Submission!$H:$N,""))</f>
        <v/>
      </c>
      <c r="D1132" s="284" t="str">
        <f>_xlfn.CONCAT(_xlfn.XLOOKUP("[S05_FallBackApproachAppliedDetail][6][FallBackReason]",Submission!$O:$O,Submission!$H:$N,""))</f>
        <v/>
      </c>
      <c r="E1132" s="348"/>
      <c r="F1132" s="348"/>
      <c r="G1132" s="285"/>
      <c r="H1132" s="72" t="str">
        <f>_xlfn.CONCAT(_xlfn.XLOOKUP("[S05_FallBackApproachAppliedDetail][6][ParameterNotTier1]",Submission!$O:$O,Submission!$H:$N,""))</f>
        <v/>
      </c>
      <c r="I1132" s="124" t="str">
        <f>_xlfn.CONCAT(_xlfn.XLOOKUP("[S05_FallBackApproachAppliedDetail][6][ParameterEmissions]",Submission!$O:$O,Submission!$H:$N,""))</f>
        <v/>
      </c>
    </row>
    <row r="1133" spans="1:9" s="58" customFormat="1" ht="27.75" hidden="1" customHeight="1" outlineLevel="1" x14ac:dyDescent="0.3">
      <c r="A1133" s="57"/>
      <c r="B1133" s="74"/>
      <c r="C1133" s="72" t="str">
        <f>_xlfn.CONCAT(_xlfn.XLOOKUP("[S05_FallBackApproachAppliedDetail][7][FallbackInstallationID]",Submission!$O:$O,Submission!$H:$N,""))</f>
        <v/>
      </c>
      <c r="D1133" s="284" t="str">
        <f>_xlfn.CONCAT(_xlfn.XLOOKUP("[S05_FallBackApproachAppliedDetail][7][FallBackReason]",Submission!$O:$O,Submission!$H:$N,""))</f>
        <v/>
      </c>
      <c r="E1133" s="348"/>
      <c r="F1133" s="348"/>
      <c r="G1133" s="285"/>
      <c r="H1133" s="72" t="str">
        <f>_xlfn.CONCAT(_xlfn.XLOOKUP("[S05_FallBackApproachAppliedDetail][7][ParameterNotTier1]",Submission!$O:$O,Submission!$H:$N,""))</f>
        <v/>
      </c>
      <c r="I1133" s="124" t="str">
        <f>_xlfn.CONCAT(_xlfn.XLOOKUP("[S05_FallBackApproachAppliedDetail][7][ParameterEmissions]",Submission!$O:$O,Submission!$H:$N,""))</f>
        <v/>
      </c>
    </row>
    <row r="1134" spans="1:9" s="58" customFormat="1" ht="27.6" hidden="1" customHeight="1" outlineLevel="1" x14ac:dyDescent="0.3">
      <c r="A1134" s="57"/>
      <c r="B1134" s="74"/>
      <c r="C1134" s="72" t="str">
        <f>_xlfn.CONCAT(_xlfn.XLOOKUP("[S05_FallBackApproachAppliedDetail][8][FallbackInstallationID]",Submission!$O:$O,Submission!$H:$N,""))</f>
        <v/>
      </c>
      <c r="D1134" s="284" t="str">
        <f>_xlfn.CONCAT(_xlfn.XLOOKUP("[S05_FallBackApproachAppliedDetail][8][FallBackReason]",Submission!$O:$O,Submission!$H:$N,""))</f>
        <v/>
      </c>
      <c r="E1134" s="348"/>
      <c r="F1134" s="348"/>
      <c r="G1134" s="285"/>
      <c r="H1134" s="72" t="str">
        <f>_xlfn.CONCAT(_xlfn.XLOOKUP("[S05_FallBackApproachAppliedDetail][8][ParameterNotTier1]",Submission!$O:$O,Submission!$H:$N,""))</f>
        <v/>
      </c>
      <c r="I1134" s="124" t="str">
        <f>_xlfn.CONCAT(_xlfn.XLOOKUP("[S05_FallBackApproachAppliedDetail][8][ParameterEmissions]",Submission!$O:$O,Submission!$H:$N,""))</f>
        <v/>
      </c>
    </row>
    <row r="1135" spans="1:9" s="58" customFormat="1" ht="27.6" hidden="1" customHeight="1" outlineLevel="1" x14ac:dyDescent="0.3">
      <c r="A1135" s="57"/>
      <c r="B1135" s="74"/>
      <c r="C1135" s="72" t="str">
        <f>_xlfn.CONCAT(_xlfn.XLOOKUP("[S05_FallBackApproachAppliedDetail][9][FallbackInstallationID]",Submission!$O:$O,Submission!$H:$N,""))</f>
        <v/>
      </c>
      <c r="D1135" s="284" t="str">
        <f>_xlfn.CONCAT(_xlfn.XLOOKUP("[S05_FallBackApproachAppliedDetail][9][FallBackReason]",Submission!$O:$O,Submission!$H:$N,""))</f>
        <v/>
      </c>
      <c r="E1135" s="348"/>
      <c r="F1135" s="348"/>
      <c r="G1135" s="285"/>
      <c r="H1135" s="72" t="str">
        <f>_xlfn.CONCAT(_xlfn.XLOOKUP("[S05_FallBackApproachAppliedDetail][9][ParameterNotTier1]",Submission!$O:$O,Submission!$H:$N,""))</f>
        <v/>
      </c>
      <c r="I1135" s="124" t="str">
        <f>_xlfn.CONCAT(_xlfn.XLOOKUP("[S05_FallBackApproachAppliedDetail][9][ParameterEmissions]",Submission!$O:$O,Submission!$H:$N,""))</f>
        <v/>
      </c>
    </row>
    <row r="1136" spans="1:9" s="58" customFormat="1" ht="27.75" hidden="1" customHeight="1" outlineLevel="1" x14ac:dyDescent="0.3">
      <c r="A1136" s="57"/>
      <c r="B1136" s="74"/>
      <c r="C1136" s="72" t="str">
        <f>_xlfn.CONCAT(_xlfn.XLOOKUP("[S05_FallBackApproachAppliedDetail][10][FallbackInstallationID]",Submission!$O:$O,Submission!$H:$N,""))</f>
        <v/>
      </c>
      <c r="D1136" s="284" t="str">
        <f>_xlfn.CONCAT(_xlfn.XLOOKUP("[S05_FallBackApproachAppliedDetail][10][FallBackReason]",Submission!$O:$O,Submission!$H:$N,""))</f>
        <v/>
      </c>
      <c r="E1136" s="348"/>
      <c r="F1136" s="348"/>
      <c r="G1136" s="285"/>
      <c r="H1136" s="72" t="str">
        <f>_xlfn.CONCAT(_xlfn.XLOOKUP("[S05_FallBackApproachAppliedDetail][10][ParameterNotTier1]",Submission!$O:$O,Submission!$H:$N,""))</f>
        <v/>
      </c>
      <c r="I1136" s="124" t="str">
        <f>_xlfn.CONCAT(_xlfn.XLOOKUP("[S05_FallBackApproachAppliedDetail][10][ParameterEmissions]",Submission!$O:$O,Submission!$H:$N,""))</f>
        <v/>
      </c>
    </row>
    <row r="1137" spans="1:9" ht="15.9" customHeight="1" collapsed="1" x14ac:dyDescent="0.3">
      <c r="A1137" s="12"/>
      <c r="B1137" s="26" t="s">
        <v>2</v>
      </c>
      <c r="C1137" s="19"/>
      <c r="D1137" s="20"/>
      <c r="E1137" s="20"/>
      <c r="F1137" s="20"/>
      <c r="G1137" s="20"/>
      <c r="H1137" s="20"/>
      <c r="I1137" s="20"/>
    </row>
    <row r="1138" spans="1:9" ht="17.399999999999999" customHeight="1" x14ac:dyDescent="0.3">
      <c r="A1138" s="12"/>
      <c r="B1138" s="16"/>
      <c r="C1138" s="367" t="s">
        <v>888</v>
      </c>
      <c r="D1138" s="380"/>
      <c r="E1138" s="380"/>
      <c r="F1138" s="380"/>
      <c r="G1138" s="380"/>
      <c r="H1138" s="380"/>
      <c r="I1138" s="380"/>
    </row>
    <row r="1139" spans="1:9" ht="73.2" customHeight="1" x14ac:dyDescent="0.3">
      <c r="A1139" s="12"/>
      <c r="B1139" s="16"/>
      <c r="C1139" s="367" t="s">
        <v>889</v>
      </c>
      <c r="D1139" s="367"/>
      <c r="E1139" s="367"/>
      <c r="F1139" s="367"/>
      <c r="G1139" s="367"/>
      <c r="H1139" s="367"/>
      <c r="I1139" s="367"/>
    </row>
    <row r="1140" spans="1:9" ht="28.95" customHeight="1" x14ac:dyDescent="0.3">
      <c r="A1140" s="12"/>
      <c r="B1140" s="16"/>
      <c r="C1140" s="367" t="s">
        <v>1762</v>
      </c>
      <c r="D1140" s="367"/>
      <c r="E1140" s="367"/>
      <c r="F1140" s="367"/>
      <c r="G1140" s="367"/>
      <c r="H1140" s="367"/>
      <c r="I1140" s="367"/>
    </row>
    <row r="1141" spans="1:9" ht="15.9" customHeight="1" x14ac:dyDescent="0.3">
      <c r="A1141" s="12"/>
    </row>
    <row r="1142" spans="1:9" ht="35.4" customHeight="1" x14ac:dyDescent="0.3">
      <c r="A1142" s="12" t="s">
        <v>266</v>
      </c>
      <c r="B1142" s="293" t="s">
        <v>890</v>
      </c>
      <c r="C1142" s="294"/>
      <c r="D1142" s="294"/>
      <c r="E1142" s="294"/>
      <c r="F1142" s="294"/>
      <c r="G1142" s="294"/>
      <c r="H1142" s="294"/>
      <c r="I1142" s="294"/>
    </row>
    <row r="1143" spans="1:9" ht="44.4" customHeight="1" x14ac:dyDescent="0.3">
      <c r="A1143" s="12"/>
      <c r="C1143" s="42" t="s">
        <v>891</v>
      </c>
      <c r="D1143" s="303" t="s">
        <v>879</v>
      </c>
      <c r="E1143" s="309"/>
      <c r="F1143" s="303" t="s">
        <v>892</v>
      </c>
      <c r="G1143" s="309"/>
      <c r="H1143" s="42" t="s">
        <v>893</v>
      </c>
      <c r="I1143" s="42" t="s">
        <v>894</v>
      </c>
    </row>
    <row r="1144" spans="1:9" ht="27" customHeight="1" x14ac:dyDescent="0.3">
      <c r="A1144" s="12"/>
      <c r="C1144" s="47" t="str">
        <f>_xlfn.CONCAT(_xlfn.XLOOKUP("[S05_ImprovementReportArt69]["&amp;ROW(B1144)-ROW($B$1143)&amp;"][InstallationCategory]",Submission!$O:$O,Submission!$H:$N,""))</f>
        <v>Category A</v>
      </c>
      <c r="D1144" s="281" t="str">
        <f>_xlfn.CONCAT(_xlfn.XLOOKUP("[S05_ImprovementReportArt69]["&amp;ROW(B1144)-ROW($B$1143)&amp;"][Annex1Activity]",Submission!$O:$O,Submission!$H:$N,""))</f>
        <v>20 - Combustion of fuels as specified in Annex I of Directive 2003/87/EC</v>
      </c>
      <c r="E1144" s="347"/>
      <c r="F1144" s="284" t="str">
        <f>_xlfn.CONCAT(_xlfn.XLOOKUP("[S05_ImprovementReportArt69]["&amp;ROW(B1144)-ROW($B$1143)&amp;"][ImprovementReportType]",Submission!$O:$O,Submission!$H:$N,""))</f>
        <v>Improvement report according to Article 69(4)</v>
      </c>
      <c r="G1144" s="282"/>
      <c r="H1144" s="124" t="str">
        <f>_xlfn.CONCAT(_xlfn.XLOOKUP("[S05_ImprovementReportArt69]["&amp;ROW(B1144)-ROW($B$1143)&amp;"][ImprovementReportRequired]",Submission!$O:$O,Submission!$H:$N,""))</f>
        <v>2</v>
      </c>
      <c r="I1144" s="124" t="str">
        <f>_xlfn.CONCAT(_xlfn.XLOOKUP("[S05_ImprovementReportArt69]["&amp;ROW(B1144)-ROW($B$1143)&amp;"][ImprovementReportSubmitted]",Submission!$O:$O,Submission!$H:$N,""))</f>
        <v>4</v>
      </c>
    </row>
    <row r="1145" spans="1:9" ht="27" customHeight="1" x14ac:dyDescent="0.3">
      <c r="A1145" s="12"/>
      <c r="C1145" s="47" t="str">
        <f>_xlfn.CONCAT(_xlfn.XLOOKUP("[S05_ImprovementReportArt69]["&amp;ROW(B1145)-ROW($B$1143)&amp;"][InstallationCategory]",Submission!$O:$O,Submission!$H:$N,""))</f>
        <v>Category A</v>
      </c>
      <c r="D1145" s="281" t="str">
        <f>_xlfn.CONCAT(_xlfn.XLOOKUP("[S05_ImprovementReportArt69]["&amp;ROW(B1145)-ROW($B$1143)&amp;"][Annex1Activity]",Submission!$O:$O,Submission!$H:$N,""))</f>
        <v>32 - Manufacture of ceramic products as specified in Annex I of Directive 2003/87/EC</v>
      </c>
      <c r="E1145" s="347"/>
      <c r="F1145" s="284" t="str">
        <f>_xlfn.CONCAT(_xlfn.XLOOKUP("[S05_ImprovementReportArt69]["&amp;ROW(B1145)-ROW($B$1143)&amp;"][ImprovementReportType]",Submission!$O:$O,Submission!$H:$N,""))</f>
        <v>Improvement report according to Article 69(4)</v>
      </c>
      <c r="G1145" s="282"/>
      <c r="H1145" s="124" t="str">
        <f>_xlfn.CONCAT(_xlfn.XLOOKUP("[S05_ImprovementReportArt69]["&amp;ROW(B1145)-ROW($B$1143)&amp;"][ImprovementReportRequired]",Submission!$O:$O,Submission!$H:$N,""))</f>
        <v>2</v>
      </c>
      <c r="I1145" s="124" t="str">
        <f>_xlfn.CONCAT(_xlfn.XLOOKUP("[S05_ImprovementReportArt69]["&amp;ROW(B1145)-ROW($B$1143)&amp;"][ImprovementReportSubmitted]",Submission!$O:$O,Submission!$H:$N,""))</f>
        <v>2</v>
      </c>
    </row>
    <row r="1146" spans="1:9" ht="27" customHeight="1" x14ac:dyDescent="0.3">
      <c r="A1146" s="12"/>
      <c r="C1146" s="47" t="str">
        <f>_xlfn.CONCAT(_xlfn.XLOOKUP("[S05_ImprovementReportArt69]["&amp;ROW(B1146)-ROW($B$1143)&amp;"][InstallationCategory]",Submission!$O:$O,Submission!$H:$N,""))</f>
        <v>Category A</v>
      </c>
      <c r="D1146" s="281" t="str">
        <f>_xlfn.CONCAT(_xlfn.XLOOKUP("[S05_ImprovementReportArt69]["&amp;ROW(B1146)-ROW($B$1143)&amp;"][Annex1Activity]",Submission!$O:$O,Submission!$H:$N,""))</f>
        <v>33 - Manufacture of mineral wool insulation material using glass, rock or slag as specified in Annex I of Directive 2003/87/EC</v>
      </c>
      <c r="E1146" s="347"/>
      <c r="F1146" s="284" t="str">
        <f>_xlfn.CONCAT(_xlfn.XLOOKUP("[S05_ImprovementReportArt69]["&amp;ROW(B1146)-ROW($B$1143)&amp;"][ImprovementReportType]",Submission!$O:$O,Submission!$H:$N,""))</f>
        <v>Improvement report according to Article 69(4)</v>
      </c>
      <c r="G1146" s="282"/>
      <c r="H1146" s="124" t="str">
        <f>_xlfn.CONCAT(_xlfn.XLOOKUP("[S05_ImprovementReportArt69]["&amp;ROW(B1146)-ROW($B$1143)&amp;"][ImprovementReportRequired]",Submission!$O:$O,Submission!$H:$N,""))</f>
        <v>1</v>
      </c>
      <c r="I1146" s="124" t="str">
        <f>_xlfn.CONCAT(_xlfn.XLOOKUP("[S05_ImprovementReportArt69]["&amp;ROW(B1146)-ROW($B$1143)&amp;"][ImprovementReportSubmitted]",Submission!$O:$O,Submission!$H:$N,""))</f>
        <v>1</v>
      </c>
    </row>
    <row r="1147" spans="1:9" ht="27" customHeight="1" x14ac:dyDescent="0.3">
      <c r="A1147" s="12"/>
      <c r="C1147" s="47" t="str">
        <f>_xlfn.CONCAT(_xlfn.XLOOKUP("[S05_ImprovementReportArt69]["&amp;ROW(B1147)-ROW($B$1143)&amp;"][InstallationCategory]",Submission!$O:$O,Submission!$H:$N,""))</f>
        <v>Category A</v>
      </c>
      <c r="D1147" s="281" t="str">
        <f>_xlfn.CONCAT(_xlfn.XLOOKUP("[S05_ImprovementReportArt69]["&amp;ROW(B1147)-ROW($B$1143)&amp;"][Annex1Activity]",Submission!$O:$O,Submission!$H:$N,""))</f>
        <v>24 - Production of pig iron or steel as specified in Annex I of Directive 2003/87/EC</v>
      </c>
      <c r="E1147" s="347"/>
      <c r="F1147" s="284" t="str">
        <f>_xlfn.CONCAT(_xlfn.XLOOKUP("[S05_ImprovementReportArt69]["&amp;ROW(B1147)-ROW($B$1143)&amp;"][ImprovementReportType]",Submission!$O:$O,Submission!$H:$N,""))</f>
        <v>Improvement report according to Article 69(4)</v>
      </c>
      <c r="G1147" s="282"/>
      <c r="H1147" s="124" t="str">
        <f>_xlfn.CONCAT(_xlfn.XLOOKUP("[S05_ImprovementReportArt69]["&amp;ROW(B1147)-ROW($B$1143)&amp;"][ImprovementReportRequired]",Submission!$O:$O,Submission!$H:$N,""))</f>
        <v>1</v>
      </c>
      <c r="I1147" s="124" t="str">
        <f>_xlfn.CONCAT(_xlfn.XLOOKUP("[S05_ImprovementReportArt69]["&amp;ROW(B1147)-ROW($B$1143)&amp;"][ImprovementReportSubmitted]",Submission!$O:$O,Submission!$H:$N,""))</f>
        <v>1</v>
      </c>
    </row>
    <row r="1148" spans="1:9" ht="27" customHeight="1" x14ac:dyDescent="0.3">
      <c r="A1148" s="12"/>
      <c r="C1148" s="47" t="str">
        <f>_xlfn.CONCAT(_xlfn.XLOOKUP("[S05_ImprovementReportArt69]["&amp;ROW(B1148)-ROW($B$1143)&amp;"][InstallationCategory]",Submission!$O:$O,Submission!$H:$N,""))</f>
        <v>Category A</v>
      </c>
      <c r="D1148" s="281" t="str">
        <f>_xlfn.CONCAT(_xlfn.XLOOKUP("[S05_ImprovementReportArt69]["&amp;ROW(B1148)-ROW($B$1143)&amp;"][Annex1Activity]",Submission!$O:$O,Submission!$H:$N,""))</f>
        <v>30 - Production of lime or calcination of dolomite or magnesite as specified in Annex I of Directive 2003/87/ EC</v>
      </c>
      <c r="E1148" s="347"/>
      <c r="F1148" s="284" t="str">
        <f>_xlfn.CONCAT(_xlfn.XLOOKUP("[S05_ImprovementReportArt69]["&amp;ROW(B1148)-ROW($B$1143)&amp;"][ImprovementReportType]",Submission!$O:$O,Submission!$H:$N,""))</f>
        <v>Improvement report according to Article 69(4)</v>
      </c>
      <c r="G1148" s="282"/>
      <c r="H1148" s="124" t="str">
        <f>_xlfn.CONCAT(_xlfn.XLOOKUP("[S05_ImprovementReportArt69]["&amp;ROW(B1148)-ROW($B$1143)&amp;"][ImprovementReportRequired]",Submission!$O:$O,Submission!$H:$N,""))</f>
        <v>1</v>
      </c>
      <c r="I1148" s="124" t="str">
        <f>_xlfn.CONCAT(_xlfn.XLOOKUP("[S05_ImprovementReportArt69]["&amp;ROW(B1148)-ROW($B$1143)&amp;"][ImprovementReportSubmitted]",Submission!$O:$O,Submission!$H:$N,""))</f>
        <v>1</v>
      </c>
    </row>
    <row r="1149" spans="1:9" ht="27" customHeight="1" x14ac:dyDescent="0.3">
      <c r="A1149" s="12"/>
      <c r="C1149" s="47" t="str">
        <f>_xlfn.CONCAT(_xlfn.XLOOKUP("[S05_ImprovementReportArt69]["&amp;ROW(B1149)-ROW($B$1143)&amp;"][InstallationCategory]",Submission!$O:$O,Submission!$H:$N,""))</f>
        <v>Category B</v>
      </c>
      <c r="D1149" s="281" t="str">
        <f>_xlfn.CONCAT(_xlfn.XLOOKUP("[S05_ImprovementReportArt69]["&amp;ROW(B1149)-ROW($B$1143)&amp;"][Annex1Activity]",Submission!$O:$O,Submission!$H:$N,""))</f>
        <v>20 - Combustion of fuels as specified in Annex I of Directive 2003/87/EC</v>
      </c>
      <c r="E1149" s="347"/>
      <c r="F1149" s="284" t="str">
        <f>_xlfn.CONCAT(_xlfn.XLOOKUP("[S05_ImprovementReportArt69]["&amp;ROW(B1149)-ROW($B$1143)&amp;"][ImprovementReportType]",Submission!$O:$O,Submission!$H:$N,""))</f>
        <v>Improvement report according to Article 69(4)</v>
      </c>
      <c r="G1149" s="282"/>
      <c r="H1149" s="124" t="str">
        <f>_xlfn.CONCAT(_xlfn.XLOOKUP("[S05_ImprovementReportArt69]["&amp;ROW(B1149)-ROW($B$1143)&amp;"][ImprovementReportRequired]",Submission!$O:$O,Submission!$H:$N,""))</f>
        <v>8</v>
      </c>
      <c r="I1149" s="124" t="str">
        <f>_xlfn.CONCAT(_xlfn.XLOOKUP("[S05_ImprovementReportArt69]["&amp;ROW(B1149)-ROW($B$1143)&amp;"][ImprovementReportSubmitted]",Submission!$O:$O,Submission!$H:$N,""))</f>
        <v>8</v>
      </c>
    </row>
    <row r="1150" spans="1:9" ht="27" customHeight="1" x14ac:dyDescent="0.3">
      <c r="A1150" s="12"/>
      <c r="C1150" s="47" t="str">
        <f>_xlfn.CONCAT(_xlfn.XLOOKUP("[S05_ImprovementReportArt69]["&amp;ROW(B1150)-ROW($B$1143)&amp;"][InstallationCategory]",Submission!$O:$O,Submission!$H:$N,""))</f>
        <v>Category B</v>
      </c>
      <c r="D1150" s="281" t="str">
        <f>_xlfn.CONCAT(_xlfn.XLOOKUP("[S05_ImprovementReportArt69]["&amp;ROW(B1150)-ROW($B$1143)&amp;"][Annex1Activity]",Submission!$O:$O,Submission!$H:$N,""))</f>
        <v>30 - Production of lime or calcination of dolomite or magnesite as specified in Annex I of Directive 2003/87/ EC</v>
      </c>
      <c r="E1150" s="347"/>
      <c r="F1150" s="284" t="str">
        <f>_xlfn.CONCAT(_xlfn.XLOOKUP("[S05_ImprovementReportArt69]["&amp;ROW(B1150)-ROW($B$1143)&amp;"][ImprovementReportType]",Submission!$O:$O,Submission!$H:$N,""))</f>
        <v>Improvement report according to Article 69(4)</v>
      </c>
      <c r="G1150" s="282"/>
      <c r="H1150" s="124" t="str">
        <f>_xlfn.CONCAT(_xlfn.XLOOKUP("[S05_ImprovementReportArt69]["&amp;ROW(B1150)-ROW($B$1143)&amp;"][ImprovementReportRequired]",Submission!$O:$O,Submission!$H:$N,""))</f>
        <v>2</v>
      </c>
      <c r="I1150" s="124" t="str">
        <f>_xlfn.CONCAT(_xlfn.XLOOKUP("[S05_ImprovementReportArt69]["&amp;ROW(B1150)-ROW($B$1143)&amp;"][ImprovementReportSubmitted]",Submission!$O:$O,Submission!$H:$N,""))</f>
        <v>2</v>
      </c>
    </row>
    <row r="1151" spans="1:9" ht="27" customHeight="1" x14ac:dyDescent="0.3">
      <c r="A1151" s="12"/>
      <c r="C1151" s="47" t="str">
        <f>_xlfn.CONCAT(_xlfn.XLOOKUP("[S05_ImprovementReportArt69]["&amp;ROW(B1151)-ROW($B$1143)&amp;"][InstallationCategory]",Submission!$O:$O,Submission!$H:$N,""))</f>
        <v>Category B</v>
      </c>
      <c r="D1151" s="281" t="str">
        <f>_xlfn.CONCAT(_xlfn.XLOOKUP("[S05_ImprovementReportArt69]["&amp;ROW(B1151)-ROW($B$1143)&amp;"][Annex1Activity]",Submission!$O:$O,Submission!$H:$N,""))</f>
        <v xml:space="preserve">36 - Production of paper or cardboard as specified in Annex I of Directive 2003/87/EC </v>
      </c>
      <c r="E1151" s="347"/>
      <c r="F1151" s="284" t="str">
        <f>_xlfn.CONCAT(_xlfn.XLOOKUP("[S05_ImprovementReportArt69]["&amp;ROW(B1151)-ROW($B$1143)&amp;"][ImprovementReportType]",Submission!$O:$O,Submission!$H:$N,""))</f>
        <v>Improvement report according to Article 69(4)</v>
      </c>
      <c r="G1151" s="282"/>
      <c r="H1151" s="124" t="str">
        <f>_xlfn.CONCAT(_xlfn.XLOOKUP("[S05_ImprovementReportArt69]["&amp;ROW(B1151)-ROW($B$1143)&amp;"][ImprovementReportRequired]",Submission!$O:$O,Submission!$H:$N,""))</f>
        <v>1</v>
      </c>
      <c r="I1151" s="124" t="str">
        <f>_xlfn.CONCAT(_xlfn.XLOOKUP("[S05_ImprovementReportArt69]["&amp;ROW(B1151)-ROW($B$1143)&amp;"][ImprovementReportSubmitted]",Submission!$O:$O,Submission!$H:$N,""))</f>
        <v>1</v>
      </c>
    </row>
    <row r="1152" spans="1:9" ht="27" customHeight="1" x14ac:dyDescent="0.3">
      <c r="A1152" s="12"/>
      <c r="C1152" s="47" t="str">
        <f>_xlfn.CONCAT(_xlfn.XLOOKUP("[S05_ImprovementReportArt69]["&amp;ROW(B1152)-ROW($B$1143)&amp;"][InstallationCategory]",Submission!$O:$O,Submission!$H:$N,""))</f>
        <v>Category B</v>
      </c>
      <c r="D1152" s="281" t="str">
        <f>_xlfn.CONCAT(_xlfn.XLOOKUP("[S05_ImprovementReportArt69]["&amp;ROW(B1152)-ROW($B$1143)&amp;"][Annex1Activity]",Submission!$O:$O,Submission!$H:$N,""))</f>
        <v>29 - Production of cement clinker in rotary kilns as specified in Annex I of Directive 2003/87/ EC</v>
      </c>
      <c r="E1152" s="347"/>
      <c r="F1152" s="284" t="str">
        <f>_xlfn.CONCAT(_xlfn.XLOOKUP("[S05_ImprovementReportArt69]["&amp;ROW(B1152)-ROW($B$1143)&amp;"][ImprovementReportType]",Submission!$O:$O,Submission!$H:$N,""))</f>
        <v>Improvement report in accordance with Article 69(1)</v>
      </c>
      <c r="G1152" s="282"/>
      <c r="H1152" s="124" t="str">
        <f>_xlfn.CONCAT(_xlfn.XLOOKUP("[S05_ImprovementReportArt69]["&amp;ROW(B1152)-ROW($B$1143)&amp;"][ImprovementReportRequired]",Submission!$O:$O,Submission!$H:$N,""))</f>
        <v>2</v>
      </c>
      <c r="I1152" s="124" t="str">
        <f>_xlfn.CONCAT(_xlfn.XLOOKUP("[S05_ImprovementReportArt69]["&amp;ROW(B1152)-ROW($B$1143)&amp;"][ImprovementReportSubmitted]",Submission!$O:$O,Submission!$H:$N,""))</f>
        <v>2</v>
      </c>
    </row>
    <row r="1153" spans="1:9" ht="27" customHeight="1" x14ac:dyDescent="0.3">
      <c r="A1153" s="12"/>
      <c r="C1153" s="47" t="str">
        <f>_xlfn.CONCAT(_xlfn.XLOOKUP("[S05_ImprovementReportArt69]["&amp;ROW(B1153)-ROW($B$1143)&amp;"][InstallationCategory]",Submission!$O:$O,Submission!$H:$N,""))</f>
        <v>Category B</v>
      </c>
      <c r="D1153" s="281" t="str">
        <f>_xlfn.CONCAT(_xlfn.XLOOKUP("[S05_ImprovementReportArt69]["&amp;ROW(B1153)-ROW($B$1143)&amp;"][Annex1Activity]",Submission!$O:$O,Submission!$H:$N,""))</f>
        <v>29 - Production of cement clinker in rotary kilns as specified in Annex I of Directive 2003/87/ EC</v>
      </c>
      <c r="E1153" s="347"/>
      <c r="F1153" s="284" t="str">
        <f>_xlfn.CONCAT(_xlfn.XLOOKUP("[S05_ImprovementReportArt69]["&amp;ROW(B1153)-ROW($B$1143)&amp;"][ImprovementReportType]",Submission!$O:$O,Submission!$H:$N,""))</f>
        <v>Improvement report according to Article 69(4)</v>
      </c>
      <c r="G1153" s="282"/>
      <c r="H1153" s="124" t="str">
        <f>_xlfn.CONCAT(_xlfn.XLOOKUP("[S05_ImprovementReportArt69]["&amp;ROW(B1153)-ROW($B$1143)&amp;"][ImprovementReportRequired]",Submission!$O:$O,Submission!$H:$N,""))</f>
        <v>2</v>
      </c>
      <c r="I1153" s="124" t="str">
        <f>_xlfn.CONCAT(_xlfn.XLOOKUP("[S05_ImprovementReportArt69]["&amp;ROW(B1153)-ROW($B$1143)&amp;"][ImprovementReportSubmitted]",Submission!$O:$O,Submission!$H:$N,""))</f>
        <v>2</v>
      </c>
    </row>
    <row r="1154" spans="1:9" ht="27" customHeight="1" x14ac:dyDescent="0.3">
      <c r="A1154" s="12"/>
      <c r="C1154" s="47" t="str">
        <f>_xlfn.CONCAT(_xlfn.XLOOKUP("[S05_ImprovementReportArt69]["&amp;ROW(B1154)-ROW($B$1143)&amp;"][InstallationCategory]",Submission!$O:$O,Submission!$H:$N,""))</f>
        <v>Category B</v>
      </c>
      <c r="D1154" s="281" t="str">
        <f>_xlfn.CONCAT(_xlfn.XLOOKUP("[S05_ImprovementReportArt69]["&amp;ROW(B1154)-ROW($B$1143)&amp;"][Annex1Activity]",Submission!$O:$O,Submission!$H:$N,""))</f>
        <v>21 - Refining of mineral oil</v>
      </c>
      <c r="E1154" s="347"/>
      <c r="F1154" s="284" t="str">
        <f>_xlfn.CONCAT(_xlfn.XLOOKUP("[S05_ImprovementReportArt69]["&amp;ROW(B1154)-ROW($B$1143)&amp;"][ImprovementReportType]",Submission!$O:$O,Submission!$H:$N,""))</f>
        <v>Improvement report in accordance with Article 69(1)</v>
      </c>
      <c r="G1154" s="282"/>
      <c r="H1154" s="124" t="str">
        <f>_xlfn.CONCAT(_xlfn.XLOOKUP("[S05_ImprovementReportArt69]["&amp;ROW(B1154)-ROW($B$1143)&amp;"][ImprovementReportRequired]",Submission!$O:$O,Submission!$H:$N,""))</f>
        <v>1</v>
      </c>
      <c r="I1154" s="124" t="str">
        <f>_xlfn.CONCAT(_xlfn.XLOOKUP("[S05_ImprovementReportArt69]["&amp;ROW(B1154)-ROW($B$1143)&amp;"][ImprovementReportSubmitted]",Submission!$O:$O,Submission!$H:$N,""))</f>
        <v>1</v>
      </c>
    </row>
    <row r="1155" spans="1:9" ht="27" customHeight="1" x14ac:dyDescent="0.3">
      <c r="A1155" s="12"/>
      <c r="C1155" s="47" t="str">
        <f>_xlfn.CONCAT(_xlfn.XLOOKUP("[S05_ImprovementReportArt69]["&amp;ROW(B1155)-ROW($B$1143)&amp;"][InstallationCategory]",Submission!$O:$O,Submission!$H:$N,""))</f>
        <v>Category B</v>
      </c>
      <c r="D1155" s="281" t="str">
        <f>_xlfn.CONCAT(_xlfn.XLOOKUP("[S05_ImprovementReportArt69]["&amp;ROW(B1155)-ROW($B$1143)&amp;"][Annex1Activity]",Submission!$O:$O,Submission!$H:$N,""))</f>
        <v>21 - Refining of mineral oil</v>
      </c>
      <c r="E1155" s="347"/>
      <c r="F1155" s="284" t="str">
        <f>_xlfn.CONCAT(_xlfn.XLOOKUP("[S05_ImprovementReportArt69]["&amp;ROW(B1155)-ROW($B$1143)&amp;"][ImprovementReportType]",Submission!$O:$O,Submission!$H:$N,""))</f>
        <v>Improvement report according to Article 69(4)</v>
      </c>
      <c r="G1155" s="282"/>
      <c r="H1155" s="124" t="str">
        <f>_xlfn.CONCAT(_xlfn.XLOOKUP("[S05_ImprovementReportArt69]["&amp;ROW(B1155)-ROW($B$1143)&amp;"][ImprovementReportRequired]",Submission!$O:$O,Submission!$H:$N,""))</f>
        <v>1</v>
      </c>
      <c r="I1155" s="124" t="str">
        <f>_xlfn.CONCAT(_xlfn.XLOOKUP("[S05_ImprovementReportArt69]["&amp;ROW(B1155)-ROW($B$1143)&amp;"][ImprovementReportSubmitted]",Submission!$O:$O,Submission!$H:$N,""))</f>
        <v>1</v>
      </c>
    </row>
    <row r="1156" spans="1:9" ht="27" customHeight="1" x14ac:dyDescent="0.3">
      <c r="A1156" s="12"/>
      <c r="C1156" s="47" t="str">
        <f>_xlfn.CONCAT(_xlfn.XLOOKUP("[S05_ImprovementReportArt69]["&amp;ROW(B1156)-ROW($B$1143)&amp;"][InstallationCategory]",Submission!$O:$O,Submission!$H:$N,""))</f>
        <v>Category C</v>
      </c>
      <c r="D1156" s="281" t="str">
        <f>_xlfn.CONCAT(_xlfn.XLOOKUP("[S05_ImprovementReportArt69]["&amp;ROW(B1156)-ROW($B$1143)&amp;"][Annex1Activity]",Submission!$O:$O,Submission!$H:$N,""))</f>
        <v>20 - Combustion of fuels as specified in Annex I of Directive 2003/87/EC</v>
      </c>
      <c r="E1156" s="347"/>
      <c r="F1156" s="284" t="str">
        <f>_xlfn.CONCAT(_xlfn.XLOOKUP("[S05_ImprovementReportArt69]["&amp;ROW(B1156)-ROW($B$1143)&amp;"][ImprovementReportType]",Submission!$O:$O,Submission!$H:$N,""))</f>
        <v>Improvement report according to Article 69(4)</v>
      </c>
      <c r="G1156" s="282"/>
      <c r="H1156" s="124" t="str">
        <f>_xlfn.CONCAT(_xlfn.XLOOKUP("[S05_ImprovementReportArt69]["&amp;ROW(B1156)-ROW($B$1143)&amp;"][ImprovementReportRequired]",Submission!$O:$O,Submission!$H:$N,""))</f>
        <v>3</v>
      </c>
      <c r="I1156" s="124" t="str">
        <f>_xlfn.CONCAT(_xlfn.XLOOKUP("[S05_ImprovementReportArt69]["&amp;ROW(B1156)-ROW($B$1143)&amp;"][ImprovementReportSubmitted]",Submission!$O:$O,Submission!$H:$N,""))</f>
        <v>3</v>
      </c>
    </row>
    <row r="1157" spans="1:9" ht="27" customHeight="1" x14ac:dyDescent="0.3">
      <c r="A1157" s="12"/>
      <c r="C1157" s="47" t="str">
        <f>_xlfn.CONCAT(_xlfn.XLOOKUP("[S05_ImprovementReportArt69]["&amp;ROW(B1157)-ROW($B$1143)&amp;"][InstallationCategory]",Submission!$O:$O,Submission!$H:$N,""))</f>
        <v>Category C</v>
      </c>
      <c r="D1157" s="281" t="str">
        <f>_xlfn.CONCAT(_xlfn.XLOOKUP("[S05_ImprovementReportArt69]["&amp;ROW(B1157)-ROW($B$1143)&amp;"][Annex1Activity]",Submission!$O:$O,Submission!$H:$N,""))</f>
        <v>20 - Combustion of fuels as specified in Annex I of Directive 2003/87/EC</v>
      </c>
      <c r="E1157" s="347"/>
      <c r="F1157" s="284" t="str">
        <f>_xlfn.CONCAT(_xlfn.XLOOKUP("[S05_ImprovementReportArt69]["&amp;ROW(B1157)-ROW($B$1143)&amp;"][ImprovementReportType]",Submission!$O:$O,Submission!$H:$N,""))</f>
        <v>Improvement report in accordance with Article 69(1)</v>
      </c>
      <c r="G1157" s="282"/>
      <c r="H1157" s="124" t="str">
        <f>_xlfn.CONCAT(_xlfn.XLOOKUP("[S05_ImprovementReportArt69]["&amp;ROW(B1157)-ROW($B$1143)&amp;"][ImprovementReportRequired]",Submission!$O:$O,Submission!$H:$N,""))</f>
        <v>1</v>
      </c>
      <c r="I1157" s="124" t="str">
        <f>_xlfn.CONCAT(_xlfn.XLOOKUP("[S05_ImprovementReportArt69]["&amp;ROW(B1157)-ROW($B$1143)&amp;"][ImprovementReportSubmitted]",Submission!$O:$O,Submission!$H:$N,""))</f>
        <v>1</v>
      </c>
    </row>
    <row r="1158" spans="1:9" ht="27" customHeight="1" x14ac:dyDescent="0.3">
      <c r="A1158" s="12"/>
      <c r="C1158" s="47" t="str">
        <f>_xlfn.CONCAT(_xlfn.XLOOKUP("[S05_ImprovementReportArt69]["&amp;ROW(B1158)-ROW($B$1143)&amp;"][InstallationCategory]",Submission!$O:$O,Submission!$H:$N,""))</f>
        <v>Category C</v>
      </c>
      <c r="D1158" s="281" t="str">
        <f>_xlfn.CONCAT(_xlfn.XLOOKUP("[S05_ImprovementReportArt69]["&amp;ROW(B1158)-ROW($B$1143)&amp;"][Annex1Activity]",Submission!$O:$O,Submission!$H:$N,""))</f>
        <v>29 - Production of cement clinker in rotary kilns as specified in Annex I of Directive 2003/87/ EC</v>
      </c>
      <c r="E1158" s="347"/>
      <c r="F1158" s="284" t="str">
        <f>_xlfn.CONCAT(_xlfn.XLOOKUP("[S05_ImprovementReportArt69]["&amp;ROW(B1158)-ROW($B$1143)&amp;"][ImprovementReportType]",Submission!$O:$O,Submission!$H:$N,""))</f>
        <v>Improvement report according to Article 69(4)</v>
      </c>
      <c r="G1158" s="282"/>
      <c r="H1158" s="124" t="str">
        <f>_xlfn.CONCAT(_xlfn.XLOOKUP("[S05_ImprovementReportArt69]["&amp;ROW(B1158)-ROW($B$1143)&amp;"][ImprovementReportRequired]",Submission!$O:$O,Submission!$H:$N,""))</f>
        <v>2</v>
      </c>
      <c r="I1158" s="124" t="str">
        <f>_xlfn.CONCAT(_xlfn.XLOOKUP("[S05_ImprovementReportArt69]["&amp;ROW(B1158)-ROW($B$1143)&amp;"][ImprovementReportSubmitted]",Submission!$O:$O,Submission!$H:$N,""))</f>
        <v>2</v>
      </c>
    </row>
    <row r="1159" spans="1:9" ht="27" customHeight="1" x14ac:dyDescent="0.3">
      <c r="A1159" s="12"/>
      <c r="C1159" s="47" t="str">
        <f>_xlfn.CONCAT(_xlfn.XLOOKUP("[S05_ImprovementReportArt69]["&amp;ROW(B1159)-ROW($B$1143)&amp;"][InstallationCategory]",Submission!$O:$O,Submission!$H:$N,""))</f>
        <v>Category C</v>
      </c>
      <c r="D1159" s="281" t="str">
        <f>_xlfn.CONCAT(_xlfn.XLOOKUP("[S05_ImprovementReportArt69]["&amp;ROW(B1159)-ROW($B$1143)&amp;"][Annex1Activity]",Submission!$O:$O,Submission!$H:$N,""))</f>
        <v>21 - Refining of mineral oil</v>
      </c>
      <c r="E1159" s="347"/>
      <c r="F1159" s="284" t="str">
        <f>_xlfn.CONCAT(_xlfn.XLOOKUP("[S05_ImprovementReportArt69]["&amp;ROW(B1159)-ROW($B$1143)&amp;"][ImprovementReportType]",Submission!$O:$O,Submission!$H:$N,""))</f>
        <v>Improvement report according to Article 69(4)</v>
      </c>
      <c r="G1159" s="282"/>
      <c r="H1159" s="124" t="str">
        <f>_xlfn.CONCAT(_xlfn.XLOOKUP("[S05_ImprovementReportArt69]["&amp;ROW(B1159)-ROW($B$1143)&amp;"][ImprovementReportRequired]",Submission!$O:$O,Submission!$H:$N,""))</f>
        <v>1</v>
      </c>
      <c r="I1159" s="124" t="str">
        <f>_xlfn.CONCAT(_xlfn.XLOOKUP("[S05_ImprovementReportArt69]["&amp;ROW(B1159)-ROW($B$1143)&amp;"][ImprovementReportSubmitted]",Submission!$O:$O,Submission!$H:$N,""))</f>
        <v>1</v>
      </c>
    </row>
    <row r="1160" spans="1:9" ht="27" customHeight="1" x14ac:dyDescent="0.3">
      <c r="A1160" s="12"/>
      <c r="C1160" s="47" t="str">
        <f>_xlfn.CONCAT(_xlfn.XLOOKUP("[S05_ImprovementReportArt69]["&amp;ROW(B1160)-ROW($B$1143)&amp;"][InstallationCategory]",Submission!$O:$O,Submission!$H:$N,""))</f>
        <v>Category C</v>
      </c>
      <c r="D1160" s="281" t="str">
        <f>_xlfn.CONCAT(_xlfn.XLOOKUP("[S05_ImprovementReportArt69]["&amp;ROW(B1160)-ROW($B$1143)&amp;"][Annex1Activity]",Submission!$O:$O,Submission!$H:$N,""))</f>
        <v>21 - Refining of mineral oil</v>
      </c>
      <c r="E1160" s="347"/>
      <c r="F1160" s="284" t="str">
        <f>_xlfn.CONCAT(_xlfn.XLOOKUP("[S05_ImprovementReportArt69]["&amp;ROW(B1160)-ROW($B$1143)&amp;"][ImprovementReportType]",Submission!$O:$O,Submission!$H:$N,""))</f>
        <v>Improvement report in accordance with Article 69(1)</v>
      </c>
      <c r="G1160" s="282"/>
      <c r="H1160" s="124" t="str">
        <f>_xlfn.CONCAT(_xlfn.XLOOKUP("[S05_ImprovementReportArt69]["&amp;ROW(B1160)-ROW($B$1143)&amp;"][ImprovementReportRequired]",Submission!$O:$O,Submission!$H:$N,""))</f>
        <v>1</v>
      </c>
      <c r="I1160" s="124" t="str">
        <f>_xlfn.CONCAT(_xlfn.XLOOKUP("[S05_ImprovementReportArt69]["&amp;ROW(B1160)-ROW($B$1143)&amp;"][ImprovementReportSubmitted]",Submission!$O:$O,Submission!$H:$N,""))</f>
        <v>1</v>
      </c>
    </row>
    <row r="1161" spans="1:9" ht="27" customHeight="1" x14ac:dyDescent="0.3">
      <c r="A1161" s="12"/>
      <c r="C1161" s="47" t="str">
        <f>_xlfn.CONCAT(_xlfn.XLOOKUP("[S05_ImprovementReportArt69]["&amp;ROW(B1161)-ROW($B$1143)&amp;"][InstallationCategory]",Submission!$O:$O,Submission!$H:$N,""))</f>
        <v/>
      </c>
      <c r="D1161" s="281" t="str">
        <f>_xlfn.CONCAT(_xlfn.XLOOKUP("[S05_ImprovementReportArt69]["&amp;ROW(B1161)-ROW($B$1143)&amp;"][Annex1Activity]",Submission!$O:$O,Submission!$H:$N,""))</f>
        <v/>
      </c>
      <c r="E1161" s="347"/>
      <c r="F1161" s="284" t="str">
        <f>_xlfn.CONCAT(_xlfn.XLOOKUP("[S05_ImprovementReportArt69]["&amp;ROW(B1161)-ROW($B$1143)&amp;"][ImprovementReportType]",Submission!$O:$O,Submission!$H:$N,""))</f>
        <v/>
      </c>
      <c r="G1161" s="282"/>
      <c r="H1161" s="124" t="str">
        <f>_xlfn.CONCAT(_xlfn.XLOOKUP("[S05_ImprovementReportArt69]["&amp;ROW(B1161)-ROW($B$1143)&amp;"][ImprovementReportRequired]",Submission!$O:$O,Submission!$H:$N,""))</f>
        <v/>
      </c>
      <c r="I1161" s="124" t="str">
        <f>_xlfn.CONCAT(_xlfn.XLOOKUP("[S05_ImprovementReportArt69]["&amp;ROW(B1161)-ROW($B$1143)&amp;"][ImprovementReportSubmitted]",Submission!$O:$O,Submission!$H:$N,""))</f>
        <v/>
      </c>
    </row>
    <row r="1162" spans="1:9" ht="27" hidden="1" customHeight="1" outlineLevel="1" x14ac:dyDescent="0.3">
      <c r="A1162" s="12"/>
      <c r="C1162" s="47" t="str">
        <f>_xlfn.CONCAT(_xlfn.XLOOKUP("[S05_ImprovementReportArt69]["&amp;ROW(B1162)-ROW($B$1143)&amp;"][InstallationCategory]",Submission!$O:$O,Submission!$H:$N,""))</f>
        <v/>
      </c>
      <c r="D1162" s="281" t="str">
        <f>_xlfn.CONCAT(_xlfn.XLOOKUP("[S05_ImprovementReportArt69]["&amp;ROW(B1162)-ROW($B$1143)&amp;"][Annex1Activity]",Submission!$O:$O,Submission!$H:$N,""))</f>
        <v/>
      </c>
      <c r="E1162" s="347"/>
      <c r="F1162" s="284" t="str">
        <f>_xlfn.CONCAT(_xlfn.XLOOKUP("[S05_ImprovementReportArt69]["&amp;ROW(B1162)-ROW($B$1143)&amp;"][ImprovementReportType]",Submission!$O:$O,Submission!$H:$N,""))</f>
        <v/>
      </c>
      <c r="G1162" s="282"/>
      <c r="H1162" s="124" t="str">
        <f>_xlfn.CONCAT(_xlfn.XLOOKUP("[S05_ImprovementReportArt69]["&amp;ROW(B1162)-ROW($B$1143)&amp;"][ImprovementReportRequired]",Submission!$O:$O,Submission!$H:$N,""))</f>
        <v/>
      </c>
      <c r="I1162" s="124" t="str">
        <f>_xlfn.CONCAT(_xlfn.XLOOKUP("[S05_ImprovementReportArt69]["&amp;ROW(B1162)-ROW($B$1143)&amp;"][ImprovementReportSubmitted]",Submission!$O:$O,Submission!$H:$N,""))</f>
        <v/>
      </c>
    </row>
    <row r="1163" spans="1:9" ht="27" hidden="1" customHeight="1" outlineLevel="1" x14ac:dyDescent="0.3">
      <c r="A1163" s="12"/>
      <c r="C1163" s="47" t="str">
        <f>_xlfn.CONCAT(_xlfn.XLOOKUP("[S05_ImprovementReportArt69]["&amp;ROW(B1163)-ROW($B$1143)&amp;"][InstallationCategory]",Submission!$O:$O,Submission!$H:$N,""))</f>
        <v/>
      </c>
      <c r="D1163" s="281" t="str">
        <f>_xlfn.CONCAT(_xlfn.XLOOKUP("[S05_ImprovementReportArt69]["&amp;ROW(B1163)-ROW($B$1143)&amp;"][Annex1Activity]",Submission!$O:$O,Submission!$H:$N,""))</f>
        <v/>
      </c>
      <c r="E1163" s="347"/>
      <c r="F1163" s="284" t="str">
        <f>_xlfn.CONCAT(_xlfn.XLOOKUP("[S05_ImprovementReportArt69]["&amp;ROW(B1163)-ROW($B$1143)&amp;"][ImprovementReportType]",Submission!$O:$O,Submission!$H:$N,""))</f>
        <v/>
      </c>
      <c r="G1163" s="282"/>
      <c r="H1163" s="124" t="str">
        <f>_xlfn.CONCAT(_xlfn.XLOOKUP("[S05_ImprovementReportArt69]["&amp;ROW(B1163)-ROW($B$1143)&amp;"][ImprovementReportRequired]",Submission!$O:$O,Submission!$H:$N,""))</f>
        <v/>
      </c>
      <c r="I1163" s="124" t="str">
        <f>_xlfn.CONCAT(_xlfn.XLOOKUP("[S05_ImprovementReportArt69]["&amp;ROW(B1163)-ROW($B$1143)&amp;"][ImprovementReportSubmitted]",Submission!$O:$O,Submission!$H:$N,""))</f>
        <v/>
      </c>
    </row>
    <row r="1164" spans="1:9" ht="27" hidden="1" customHeight="1" outlineLevel="1" x14ac:dyDescent="0.3">
      <c r="A1164" s="12"/>
      <c r="C1164" s="47" t="str">
        <f>_xlfn.CONCAT(_xlfn.XLOOKUP("[S05_ImprovementReportArt69]["&amp;ROW(B1164)-ROW($B$1143)&amp;"][InstallationCategory]",Submission!$O:$O,Submission!$H:$N,""))</f>
        <v/>
      </c>
      <c r="D1164" s="281" t="str">
        <f>_xlfn.CONCAT(_xlfn.XLOOKUP("[S05_ImprovementReportArt69]["&amp;ROW(B1164)-ROW($B$1143)&amp;"][Annex1Activity]",Submission!$O:$O,Submission!$H:$N,""))</f>
        <v/>
      </c>
      <c r="E1164" s="347"/>
      <c r="F1164" s="284" t="str">
        <f>_xlfn.CONCAT(_xlfn.XLOOKUP("[S05_ImprovementReportArt69]["&amp;ROW(B1164)-ROW($B$1143)&amp;"][ImprovementReportType]",Submission!$O:$O,Submission!$H:$N,""))</f>
        <v/>
      </c>
      <c r="G1164" s="282"/>
      <c r="H1164" s="124" t="str">
        <f>_xlfn.CONCAT(_xlfn.XLOOKUP("[S05_ImprovementReportArt69]["&amp;ROW(B1164)-ROW($B$1143)&amp;"][ImprovementReportRequired]",Submission!$O:$O,Submission!$H:$N,""))</f>
        <v/>
      </c>
      <c r="I1164" s="124" t="str">
        <f>_xlfn.CONCAT(_xlfn.XLOOKUP("[S05_ImprovementReportArt69]["&amp;ROW(B1164)-ROW($B$1143)&amp;"][ImprovementReportSubmitted]",Submission!$O:$O,Submission!$H:$N,""))</f>
        <v/>
      </c>
    </row>
    <row r="1165" spans="1:9" ht="27" hidden="1" customHeight="1" outlineLevel="1" x14ac:dyDescent="0.3">
      <c r="A1165" s="12"/>
      <c r="C1165" s="47" t="str">
        <f>_xlfn.CONCAT(_xlfn.XLOOKUP("[S05_ImprovementReportArt69]["&amp;ROW(B1165)-ROW($B$1143)&amp;"][InstallationCategory]",Submission!$O:$O,Submission!$H:$N,""))</f>
        <v/>
      </c>
      <c r="D1165" s="281" t="str">
        <f>_xlfn.CONCAT(_xlfn.XLOOKUP("[S05_ImprovementReportArt69]["&amp;ROW(B1165)-ROW($B$1143)&amp;"][Annex1Activity]",Submission!$O:$O,Submission!$H:$N,""))</f>
        <v/>
      </c>
      <c r="E1165" s="347"/>
      <c r="F1165" s="284" t="str">
        <f>_xlfn.CONCAT(_xlfn.XLOOKUP("[S05_ImprovementReportArt69]["&amp;ROW(B1165)-ROW($B$1143)&amp;"][ImprovementReportType]",Submission!$O:$O,Submission!$H:$N,""))</f>
        <v/>
      </c>
      <c r="G1165" s="282"/>
      <c r="H1165" s="124" t="str">
        <f>_xlfn.CONCAT(_xlfn.XLOOKUP("[S05_ImprovementReportArt69]["&amp;ROW(B1165)-ROW($B$1143)&amp;"][ImprovementReportRequired]",Submission!$O:$O,Submission!$H:$N,""))</f>
        <v/>
      </c>
      <c r="I1165" s="124" t="str">
        <f>_xlfn.CONCAT(_xlfn.XLOOKUP("[S05_ImprovementReportArt69]["&amp;ROW(B1165)-ROW($B$1143)&amp;"][ImprovementReportSubmitted]",Submission!$O:$O,Submission!$H:$N,""))</f>
        <v/>
      </c>
    </row>
    <row r="1166" spans="1:9" ht="27" hidden="1" customHeight="1" outlineLevel="1" x14ac:dyDescent="0.3">
      <c r="A1166" s="12"/>
      <c r="C1166" s="47" t="str">
        <f>_xlfn.CONCAT(_xlfn.XLOOKUP("[S05_ImprovementReportArt69]["&amp;ROW(B1166)-ROW($B$1143)&amp;"][InstallationCategory]",Submission!$O:$O,Submission!$H:$N,""))</f>
        <v/>
      </c>
      <c r="D1166" s="281" t="str">
        <f>_xlfn.CONCAT(_xlfn.XLOOKUP("[S05_ImprovementReportArt69]["&amp;ROW(B1166)-ROW($B$1143)&amp;"][Annex1Activity]",Submission!$O:$O,Submission!$H:$N,""))</f>
        <v/>
      </c>
      <c r="E1166" s="347"/>
      <c r="F1166" s="284" t="str">
        <f>_xlfn.CONCAT(_xlfn.XLOOKUP("[S05_ImprovementReportArt69]["&amp;ROW(B1166)-ROW($B$1143)&amp;"][ImprovementReportType]",Submission!$O:$O,Submission!$H:$N,""))</f>
        <v/>
      </c>
      <c r="G1166" s="282"/>
      <c r="H1166" s="124" t="str">
        <f>_xlfn.CONCAT(_xlfn.XLOOKUP("[S05_ImprovementReportArt69]["&amp;ROW(B1166)-ROW($B$1143)&amp;"][ImprovementReportRequired]",Submission!$O:$O,Submission!$H:$N,""))</f>
        <v/>
      </c>
      <c r="I1166" s="124" t="str">
        <f>_xlfn.CONCAT(_xlfn.XLOOKUP("[S05_ImprovementReportArt69]["&amp;ROW(B1166)-ROW($B$1143)&amp;"][ImprovementReportSubmitted]",Submission!$O:$O,Submission!$H:$N,""))</f>
        <v/>
      </c>
    </row>
    <row r="1167" spans="1:9" ht="27" hidden="1" customHeight="1" outlineLevel="1" x14ac:dyDescent="0.3">
      <c r="A1167" s="12"/>
      <c r="C1167" s="47" t="str">
        <f>_xlfn.CONCAT(_xlfn.XLOOKUP("[S05_ImprovementReportArt69]["&amp;ROW(B1167)-ROW($B$1143)&amp;"][InstallationCategory]",Submission!$O:$O,Submission!$H:$N,""))</f>
        <v/>
      </c>
      <c r="D1167" s="281" t="str">
        <f>_xlfn.CONCAT(_xlfn.XLOOKUP("[S05_ImprovementReportArt69]["&amp;ROW(B1167)-ROW($B$1143)&amp;"][Annex1Activity]",Submission!$O:$O,Submission!$H:$N,""))</f>
        <v/>
      </c>
      <c r="E1167" s="347"/>
      <c r="F1167" s="284" t="str">
        <f>_xlfn.CONCAT(_xlfn.XLOOKUP("[S05_ImprovementReportArt69]["&amp;ROW(B1167)-ROW($B$1143)&amp;"][ImprovementReportType]",Submission!$O:$O,Submission!$H:$N,""))</f>
        <v/>
      </c>
      <c r="G1167" s="282"/>
      <c r="H1167" s="124" t="str">
        <f>_xlfn.CONCAT(_xlfn.XLOOKUP("[S05_ImprovementReportArt69]["&amp;ROW(B1167)-ROW($B$1143)&amp;"][ImprovementReportRequired]",Submission!$O:$O,Submission!$H:$N,""))</f>
        <v/>
      </c>
      <c r="I1167" s="124" t="str">
        <f>_xlfn.CONCAT(_xlfn.XLOOKUP("[S05_ImprovementReportArt69]["&amp;ROW(B1167)-ROW($B$1143)&amp;"][ImprovementReportSubmitted]",Submission!$O:$O,Submission!$H:$N,""))</f>
        <v/>
      </c>
    </row>
    <row r="1168" spans="1:9" ht="27" hidden="1" customHeight="1" outlineLevel="1" x14ac:dyDescent="0.3">
      <c r="A1168" s="12"/>
      <c r="C1168" s="47" t="str">
        <f>_xlfn.CONCAT(_xlfn.XLOOKUP("[S05_ImprovementReportArt69]["&amp;ROW(B1168)-ROW($B$1143)&amp;"][InstallationCategory]",Submission!$O:$O,Submission!$H:$N,""))</f>
        <v/>
      </c>
      <c r="D1168" s="281" t="str">
        <f>_xlfn.CONCAT(_xlfn.XLOOKUP("[S05_ImprovementReportArt69]["&amp;ROW(B1168)-ROW($B$1143)&amp;"][Annex1Activity]",Submission!$O:$O,Submission!$H:$N,""))</f>
        <v/>
      </c>
      <c r="E1168" s="347"/>
      <c r="F1168" s="284" t="str">
        <f>_xlfn.CONCAT(_xlfn.XLOOKUP("[S05_ImprovementReportArt69]["&amp;ROW(B1168)-ROW($B$1143)&amp;"][ImprovementReportType]",Submission!$O:$O,Submission!$H:$N,""))</f>
        <v/>
      </c>
      <c r="G1168" s="282"/>
      <c r="H1168" s="124" t="str">
        <f>_xlfn.CONCAT(_xlfn.XLOOKUP("[S05_ImprovementReportArt69]["&amp;ROW(B1168)-ROW($B$1143)&amp;"][ImprovementReportRequired]",Submission!$O:$O,Submission!$H:$N,""))</f>
        <v/>
      </c>
      <c r="I1168" s="124" t="str">
        <f>_xlfn.CONCAT(_xlfn.XLOOKUP("[S05_ImprovementReportArt69]["&amp;ROW(B1168)-ROW($B$1143)&amp;"][ImprovementReportSubmitted]",Submission!$O:$O,Submission!$H:$N,""))</f>
        <v/>
      </c>
    </row>
    <row r="1169" spans="1:9" ht="27" hidden="1" customHeight="1" outlineLevel="1" x14ac:dyDescent="0.3">
      <c r="A1169" s="12"/>
      <c r="C1169" s="47" t="str">
        <f>_xlfn.CONCAT(_xlfn.XLOOKUP("[S05_ImprovementReportArt69]["&amp;ROW(B1169)-ROW($B$1143)&amp;"][InstallationCategory]",Submission!$O:$O,Submission!$H:$N,""))</f>
        <v/>
      </c>
      <c r="D1169" s="281" t="str">
        <f>_xlfn.CONCAT(_xlfn.XLOOKUP("[S05_ImprovementReportArt69]["&amp;ROW(B1169)-ROW($B$1143)&amp;"][Annex1Activity]",Submission!$O:$O,Submission!$H:$N,""))</f>
        <v/>
      </c>
      <c r="E1169" s="347"/>
      <c r="F1169" s="284" t="str">
        <f>_xlfn.CONCAT(_xlfn.XLOOKUP("[S05_ImprovementReportArt69]["&amp;ROW(B1169)-ROW($B$1143)&amp;"][ImprovementReportType]",Submission!$O:$O,Submission!$H:$N,""))</f>
        <v/>
      </c>
      <c r="G1169" s="282"/>
      <c r="H1169" s="124" t="str">
        <f>_xlfn.CONCAT(_xlfn.XLOOKUP("[S05_ImprovementReportArt69]["&amp;ROW(B1169)-ROW($B$1143)&amp;"][ImprovementReportRequired]",Submission!$O:$O,Submission!$H:$N,""))</f>
        <v/>
      </c>
      <c r="I1169" s="124" t="str">
        <f>_xlfn.CONCAT(_xlfn.XLOOKUP("[S05_ImprovementReportArt69]["&amp;ROW(B1169)-ROW($B$1143)&amp;"][ImprovementReportSubmitted]",Submission!$O:$O,Submission!$H:$N,""))</f>
        <v/>
      </c>
    </row>
    <row r="1170" spans="1:9" ht="27" hidden="1" customHeight="1" outlineLevel="1" x14ac:dyDescent="0.3">
      <c r="A1170" s="12"/>
      <c r="C1170" s="47" t="str">
        <f>_xlfn.CONCAT(_xlfn.XLOOKUP("[S05_ImprovementReportArt69]["&amp;ROW(B1170)-ROW($B$1143)&amp;"][InstallationCategory]",Submission!$O:$O,Submission!$H:$N,""))</f>
        <v/>
      </c>
      <c r="D1170" s="281" t="str">
        <f>_xlfn.CONCAT(_xlfn.XLOOKUP("[S05_ImprovementReportArt69]["&amp;ROW(B1170)-ROW($B$1143)&amp;"][Annex1Activity]",Submission!$O:$O,Submission!$H:$N,""))</f>
        <v/>
      </c>
      <c r="E1170" s="347"/>
      <c r="F1170" s="284" t="str">
        <f>_xlfn.CONCAT(_xlfn.XLOOKUP("[S05_ImprovementReportArt69]["&amp;ROW(B1170)-ROW($B$1143)&amp;"][ImprovementReportType]",Submission!$O:$O,Submission!$H:$N,""))</f>
        <v/>
      </c>
      <c r="G1170" s="282"/>
      <c r="H1170" s="124" t="str">
        <f>_xlfn.CONCAT(_xlfn.XLOOKUP("[S05_ImprovementReportArt69]["&amp;ROW(B1170)-ROW($B$1143)&amp;"][ImprovementReportRequired]",Submission!$O:$O,Submission!$H:$N,""))</f>
        <v/>
      </c>
      <c r="I1170" s="124" t="str">
        <f>_xlfn.CONCAT(_xlfn.XLOOKUP("[S05_ImprovementReportArt69]["&amp;ROW(B1170)-ROW($B$1143)&amp;"][ImprovementReportSubmitted]",Submission!$O:$O,Submission!$H:$N,""))</f>
        <v/>
      </c>
    </row>
    <row r="1171" spans="1:9" ht="27" hidden="1" customHeight="1" outlineLevel="1" x14ac:dyDescent="0.3">
      <c r="A1171" s="12"/>
      <c r="C1171" s="47" t="str">
        <f>_xlfn.CONCAT(_xlfn.XLOOKUP("[S05_ImprovementReportArt69]["&amp;ROW(B1171)-ROW($B$1143)&amp;"][InstallationCategory]",Submission!$O:$O,Submission!$H:$N,""))</f>
        <v/>
      </c>
      <c r="D1171" s="281" t="str">
        <f>_xlfn.CONCAT(_xlfn.XLOOKUP("[S05_ImprovementReportArt69]["&amp;ROW(B1171)-ROW($B$1143)&amp;"][Annex1Activity]",Submission!$O:$O,Submission!$H:$N,""))</f>
        <v/>
      </c>
      <c r="E1171" s="347"/>
      <c r="F1171" s="284" t="str">
        <f>_xlfn.CONCAT(_xlfn.XLOOKUP("[S05_ImprovementReportArt69]["&amp;ROW(B1171)-ROW($B$1143)&amp;"][ImprovementReportType]",Submission!$O:$O,Submission!$H:$N,""))</f>
        <v/>
      </c>
      <c r="G1171" s="282"/>
      <c r="H1171" s="124" t="str">
        <f>_xlfn.CONCAT(_xlfn.XLOOKUP("[S05_ImprovementReportArt69]["&amp;ROW(B1171)-ROW($B$1143)&amp;"][ImprovementReportRequired]",Submission!$O:$O,Submission!$H:$N,""))</f>
        <v/>
      </c>
      <c r="I1171" s="124" t="str">
        <f>_xlfn.CONCAT(_xlfn.XLOOKUP("[S05_ImprovementReportArt69]["&amp;ROW(B1171)-ROW($B$1143)&amp;"][ImprovementReportSubmitted]",Submission!$O:$O,Submission!$H:$N,""))</f>
        <v/>
      </c>
    </row>
    <row r="1172" spans="1:9" ht="27" hidden="1" customHeight="1" outlineLevel="1" x14ac:dyDescent="0.3">
      <c r="A1172" s="12"/>
      <c r="C1172" s="47" t="str">
        <f>_xlfn.CONCAT(_xlfn.XLOOKUP("[S05_ImprovementReportArt69]["&amp;ROW(B1172)-ROW($B$1143)&amp;"][InstallationCategory]",Submission!$O:$O,Submission!$H:$N,""))</f>
        <v/>
      </c>
      <c r="D1172" s="281" t="str">
        <f>_xlfn.CONCAT(_xlfn.XLOOKUP("[S05_ImprovementReportArt69]["&amp;ROW(B1172)-ROW($B$1143)&amp;"][Annex1Activity]",Submission!$O:$O,Submission!$H:$N,""))</f>
        <v/>
      </c>
      <c r="E1172" s="347"/>
      <c r="F1172" s="284" t="str">
        <f>_xlfn.CONCAT(_xlfn.XLOOKUP("[S05_ImprovementReportArt69]["&amp;ROW(B1172)-ROW($B$1143)&amp;"][ImprovementReportType]",Submission!$O:$O,Submission!$H:$N,""))</f>
        <v/>
      </c>
      <c r="G1172" s="282"/>
      <c r="H1172" s="124" t="str">
        <f>_xlfn.CONCAT(_xlfn.XLOOKUP("[S05_ImprovementReportArt69]["&amp;ROW(B1172)-ROW($B$1143)&amp;"][ImprovementReportRequired]",Submission!$O:$O,Submission!$H:$N,""))</f>
        <v/>
      </c>
      <c r="I1172" s="124" t="str">
        <f>_xlfn.CONCAT(_xlfn.XLOOKUP("[S05_ImprovementReportArt69]["&amp;ROW(B1172)-ROW($B$1143)&amp;"][ImprovementReportSubmitted]",Submission!$O:$O,Submission!$H:$N,""))</f>
        <v/>
      </c>
    </row>
    <row r="1173" spans="1:9" ht="27" hidden="1" customHeight="1" outlineLevel="1" x14ac:dyDescent="0.3">
      <c r="A1173" s="12"/>
      <c r="C1173" s="47" t="str">
        <f>_xlfn.CONCAT(_xlfn.XLOOKUP("[S05_ImprovementReportArt69]["&amp;ROW(B1173)-ROW($B$1143)&amp;"][InstallationCategory]",Submission!$O:$O,Submission!$H:$N,""))</f>
        <v/>
      </c>
      <c r="D1173" s="281" t="str">
        <f>_xlfn.CONCAT(_xlfn.XLOOKUP("[S05_ImprovementReportArt69]["&amp;ROW(B1173)-ROW($B$1143)&amp;"][Annex1Activity]",Submission!$O:$O,Submission!$H:$N,""))</f>
        <v/>
      </c>
      <c r="E1173" s="347"/>
      <c r="F1173" s="284" t="str">
        <f>_xlfn.CONCAT(_xlfn.XLOOKUP("[S05_ImprovementReportArt69]["&amp;ROW(B1173)-ROW($B$1143)&amp;"][ImprovementReportType]",Submission!$O:$O,Submission!$H:$N,""))</f>
        <v/>
      </c>
      <c r="G1173" s="282"/>
      <c r="H1173" s="124" t="str">
        <f>_xlfn.CONCAT(_xlfn.XLOOKUP("[S05_ImprovementReportArt69]["&amp;ROW(B1173)-ROW($B$1143)&amp;"][ImprovementReportRequired]",Submission!$O:$O,Submission!$H:$N,""))</f>
        <v/>
      </c>
      <c r="I1173" s="124" t="str">
        <f>_xlfn.CONCAT(_xlfn.XLOOKUP("[S05_ImprovementReportArt69]["&amp;ROW(B1173)-ROW($B$1143)&amp;"][ImprovementReportSubmitted]",Submission!$O:$O,Submission!$H:$N,""))</f>
        <v/>
      </c>
    </row>
    <row r="1174" spans="1:9" ht="27" hidden="1" customHeight="1" outlineLevel="1" x14ac:dyDescent="0.3">
      <c r="A1174" s="12"/>
      <c r="C1174" s="47" t="str">
        <f>_xlfn.CONCAT(_xlfn.XLOOKUP("[S05_ImprovementReportArt69]["&amp;ROW(B1174)-ROW($B$1143)&amp;"][InstallationCategory]",Submission!$O:$O,Submission!$H:$N,""))</f>
        <v/>
      </c>
      <c r="D1174" s="281" t="str">
        <f>_xlfn.CONCAT(_xlfn.XLOOKUP("[S05_ImprovementReportArt69]["&amp;ROW(B1174)-ROW($B$1143)&amp;"][Annex1Activity]",Submission!$O:$O,Submission!$H:$N,""))</f>
        <v/>
      </c>
      <c r="E1174" s="347"/>
      <c r="F1174" s="284" t="str">
        <f>_xlfn.CONCAT(_xlfn.XLOOKUP("[S05_ImprovementReportArt69]["&amp;ROW(B1174)-ROW($B$1143)&amp;"][ImprovementReportType]",Submission!$O:$O,Submission!$H:$N,""))</f>
        <v/>
      </c>
      <c r="G1174" s="282"/>
      <c r="H1174" s="124" t="str">
        <f>_xlfn.CONCAT(_xlfn.XLOOKUP("[S05_ImprovementReportArt69]["&amp;ROW(B1174)-ROW($B$1143)&amp;"][ImprovementReportRequired]",Submission!$O:$O,Submission!$H:$N,""))</f>
        <v/>
      </c>
      <c r="I1174" s="124" t="str">
        <f>_xlfn.CONCAT(_xlfn.XLOOKUP("[S05_ImprovementReportArt69]["&amp;ROW(B1174)-ROW($B$1143)&amp;"][ImprovementReportSubmitted]",Submission!$O:$O,Submission!$H:$N,""))</f>
        <v/>
      </c>
    </row>
    <row r="1175" spans="1:9" ht="27" hidden="1" customHeight="1" outlineLevel="1" x14ac:dyDescent="0.3">
      <c r="A1175" s="12"/>
      <c r="C1175" s="47" t="str">
        <f>_xlfn.CONCAT(_xlfn.XLOOKUP("[S05_ImprovementReportArt69]["&amp;ROW(B1175)-ROW($B$1143)&amp;"][InstallationCategory]",Submission!$O:$O,Submission!$H:$N,""))</f>
        <v/>
      </c>
      <c r="D1175" s="281" t="str">
        <f>_xlfn.CONCAT(_xlfn.XLOOKUP("[S05_ImprovementReportArt69]["&amp;ROW(B1175)-ROW($B$1143)&amp;"][Annex1Activity]",Submission!$O:$O,Submission!$H:$N,""))</f>
        <v/>
      </c>
      <c r="E1175" s="347"/>
      <c r="F1175" s="284" t="str">
        <f>_xlfn.CONCAT(_xlfn.XLOOKUP("[S05_ImprovementReportArt69]["&amp;ROW(B1175)-ROW($B$1143)&amp;"][ImprovementReportType]",Submission!$O:$O,Submission!$H:$N,""))</f>
        <v/>
      </c>
      <c r="G1175" s="282"/>
      <c r="H1175" s="124" t="str">
        <f>_xlfn.CONCAT(_xlfn.XLOOKUP("[S05_ImprovementReportArt69]["&amp;ROW(B1175)-ROW($B$1143)&amp;"][ImprovementReportRequired]",Submission!$O:$O,Submission!$H:$N,""))</f>
        <v/>
      </c>
      <c r="I1175" s="124" t="str">
        <f>_xlfn.CONCAT(_xlfn.XLOOKUP("[S05_ImprovementReportArt69]["&amp;ROW(B1175)-ROW($B$1143)&amp;"][ImprovementReportSubmitted]",Submission!$O:$O,Submission!$H:$N,""))</f>
        <v/>
      </c>
    </row>
    <row r="1176" spans="1:9" ht="27" hidden="1" customHeight="1" outlineLevel="1" x14ac:dyDescent="0.3">
      <c r="A1176" s="12"/>
      <c r="C1176" s="47" t="str">
        <f>_xlfn.CONCAT(_xlfn.XLOOKUP("[S05_ImprovementReportArt69]["&amp;ROW(B1176)-ROW($B$1143)&amp;"][InstallationCategory]",Submission!$O:$O,Submission!$H:$N,""))</f>
        <v/>
      </c>
      <c r="D1176" s="281" t="str">
        <f>_xlfn.CONCAT(_xlfn.XLOOKUP("[S05_ImprovementReportArt69]["&amp;ROW(B1176)-ROW($B$1143)&amp;"][Annex1Activity]",Submission!$O:$O,Submission!$H:$N,""))</f>
        <v/>
      </c>
      <c r="E1176" s="347"/>
      <c r="F1176" s="284" t="str">
        <f>_xlfn.CONCAT(_xlfn.XLOOKUP("[S05_ImprovementReportArt69]["&amp;ROW(B1176)-ROW($B$1143)&amp;"][ImprovementReportType]",Submission!$O:$O,Submission!$H:$N,""))</f>
        <v/>
      </c>
      <c r="G1176" s="282"/>
      <c r="H1176" s="124" t="str">
        <f>_xlfn.CONCAT(_xlfn.XLOOKUP("[S05_ImprovementReportArt69]["&amp;ROW(B1176)-ROW($B$1143)&amp;"][ImprovementReportRequired]",Submission!$O:$O,Submission!$H:$N,""))</f>
        <v/>
      </c>
      <c r="I1176" s="124" t="str">
        <f>_xlfn.CONCAT(_xlfn.XLOOKUP("[S05_ImprovementReportArt69]["&amp;ROW(B1176)-ROW($B$1143)&amp;"][ImprovementReportSubmitted]",Submission!$O:$O,Submission!$H:$N,""))</f>
        <v/>
      </c>
    </row>
    <row r="1177" spans="1:9" ht="27" hidden="1" customHeight="1" outlineLevel="1" x14ac:dyDescent="0.3">
      <c r="A1177" s="12"/>
      <c r="C1177" s="47" t="str">
        <f>_xlfn.CONCAT(_xlfn.XLOOKUP("[S05_ImprovementReportArt69]["&amp;ROW(B1177)-ROW($B$1143)&amp;"][InstallationCategory]",Submission!$O:$O,Submission!$H:$N,""))</f>
        <v/>
      </c>
      <c r="D1177" s="281" t="str">
        <f>_xlfn.CONCAT(_xlfn.XLOOKUP("[S05_ImprovementReportArt69]["&amp;ROW(B1177)-ROW($B$1143)&amp;"][Annex1Activity]",Submission!$O:$O,Submission!$H:$N,""))</f>
        <v/>
      </c>
      <c r="E1177" s="347"/>
      <c r="F1177" s="284" t="str">
        <f>_xlfn.CONCAT(_xlfn.XLOOKUP("[S05_ImprovementReportArt69]["&amp;ROW(B1177)-ROW($B$1143)&amp;"][ImprovementReportType]",Submission!$O:$O,Submission!$H:$N,""))</f>
        <v/>
      </c>
      <c r="G1177" s="282"/>
      <c r="H1177" s="124" t="str">
        <f>_xlfn.CONCAT(_xlfn.XLOOKUP("[S05_ImprovementReportArt69]["&amp;ROW(B1177)-ROW($B$1143)&amp;"][ImprovementReportRequired]",Submission!$O:$O,Submission!$H:$N,""))</f>
        <v/>
      </c>
      <c r="I1177" s="124" t="str">
        <f>_xlfn.CONCAT(_xlfn.XLOOKUP("[S05_ImprovementReportArt69]["&amp;ROW(B1177)-ROW($B$1143)&amp;"][ImprovementReportSubmitted]",Submission!$O:$O,Submission!$H:$N,""))</f>
        <v/>
      </c>
    </row>
    <row r="1178" spans="1:9" ht="27" hidden="1" customHeight="1" outlineLevel="1" x14ac:dyDescent="0.3">
      <c r="A1178" s="12"/>
      <c r="C1178" s="47" t="str">
        <f>_xlfn.CONCAT(_xlfn.XLOOKUP("[S05_ImprovementReportArt69]["&amp;ROW(B1178)-ROW($B$1143)&amp;"][InstallationCategory]",Submission!$O:$O,Submission!$H:$N,""))</f>
        <v/>
      </c>
      <c r="D1178" s="281" t="str">
        <f>_xlfn.CONCAT(_xlfn.XLOOKUP("[S05_ImprovementReportArt69]["&amp;ROW(B1178)-ROW($B$1143)&amp;"][Annex1Activity]",Submission!$O:$O,Submission!$H:$N,""))</f>
        <v/>
      </c>
      <c r="E1178" s="347"/>
      <c r="F1178" s="284" t="str">
        <f>_xlfn.CONCAT(_xlfn.XLOOKUP("[S05_ImprovementReportArt69]["&amp;ROW(B1178)-ROW($B$1143)&amp;"][ImprovementReportType]",Submission!$O:$O,Submission!$H:$N,""))</f>
        <v/>
      </c>
      <c r="G1178" s="282"/>
      <c r="H1178" s="124" t="str">
        <f>_xlfn.CONCAT(_xlfn.XLOOKUP("[S05_ImprovementReportArt69]["&amp;ROW(B1178)-ROW($B$1143)&amp;"][ImprovementReportRequired]",Submission!$O:$O,Submission!$H:$N,""))</f>
        <v/>
      </c>
      <c r="I1178" s="124" t="str">
        <f>_xlfn.CONCAT(_xlfn.XLOOKUP("[S05_ImprovementReportArt69]["&amp;ROW(B1178)-ROW($B$1143)&amp;"][ImprovementReportSubmitted]",Submission!$O:$O,Submission!$H:$N,""))</f>
        <v/>
      </c>
    </row>
    <row r="1179" spans="1:9" ht="27" hidden="1" customHeight="1" outlineLevel="1" x14ac:dyDescent="0.3">
      <c r="A1179" s="12"/>
      <c r="C1179" s="47" t="str">
        <f>_xlfn.CONCAT(_xlfn.XLOOKUP("[S05_ImprovementReportArt69]["&amp;ROW(B1179)-ROW($B$1143)&amp;"][InstallationCategory]",Submission!$O:$O,Submission!$H:$N,""))</f>
        <v/>
      </c>
      <c r="D1179" s="281" t="str">
        <f>_xlfn.CONCAT(_xlfn.XLOOKUP("[S05_ImprovementReportArt69]["&amp;ROW(B1179)-ROW($B$1143)&amp;"][Annex1Activity]",Submission!$O:$O,Submission!$H:$N,""))</f>
        <v/>
      </c>
      <c r="E1179" s="347"/>
      <c r="F1179" s="284" t="str">
        <f>_xlfn.CONCAT(_xlfn.XLOOKUP("[S05_ImprovementReportArt69]["&amp;ROW(B1179)-ROW($B$1143)&amp;"][ImprovementReportType]",Submission!$O:$O,Submission!$H:$N,""))</f>
        <v/>
      </c>
      <c r="G1179" s="282"/>
      <c r="H1179" s="124" t="str">
        <f>_xlfn.CONCAT(_xlfn.XLOOKUP("[S05_ImprovementReportArt69]["&amp;ROW(B1179)-ROW($B$1143)&amp;"][ImprovementReportRequired]",Submission!$O:$O,Submission!$H:$N,""))</f>
        <v/>
      </c>
      <c r="I1179" s="124" t="str">
        <f>_xlfn.CONCAT(_xlfn.XLOOKUP("[S05_ImprovementReportArt69]["&amp;ROW(B1179)-ROW($B$1143)&amp;"][ImprovementReportSubmitted]",Submission!$O:$O,Submission!$H:$N,""))</f>
        <v/>
      </c>
    </row>
    <row r="1180" spans="1:9" ht="27" hidden="1" customHeight="1" outlineLevel="1" x14ac:dyDescent="0.3">
      <c r="A1180" s="12"/>
      <c r="C1180" s="47" t="str">
        <f>_xlfn.CONCAT(_xlfn.XLOOKUP("[S05_ImprovementReportArt69]["&amp;ROW(B1180)-ROW($B$1143)&amp;"][InstallationCategory]",Submission!$O:$O,Submission!$H:$N,""))</f>
        <v/>
      </c>
      <c r="D1180" s="281" t="str">
        <f>_xlfn.CONCAT(_xlfn.XLOOKUP("[S05_ImprovementReportArt69]["&amp;ROW(B1180)-ROW($B$1143)&amp;"][Annex1Activity]",Submission!$O:$O,Submission!$H:$N,""))</f>
        <v/>
      </c>
      <c r="E1180" s="347"/>
      <c r="F1180" s="284" t="str">
        <f>_xlfn.CONCAT(_xlfn.XLOOKUP("[S05_ImprovementReportArt69]["&amp;ROW(B1180)-ROW($B$1143)&amp;"][ImprovementReportType]",Submission!$O:$O,Submission!$H:$N,""))</f>
        <v/>
      </c>
      <c r="G1180" s="282"/>
      <c r="H1180" s="124" t="str">
        <f>_xlfn.CONCAT(_xlfn.XLOOKUP("[S05_ImprovementReportArt69]["&amp;ROW(B1180)-ROW($B$1143)&amp;"][ImprovementReportRequired]",Submission!$O:$O,Submission!$H:$N,""))</f>
        <v/>
      </c>
      <c r="I1180" s="124" t="str">
        <f>_xlfn.CONCAT(_xlfn.XLOOKUP("[S05_ImprovementReportArt69]["&amp;ROW(B1180)-ROW($B$1143)&amp;"][ImprovementReportSubmitted]",Submission!$O:$O,Submission!$H:$N,""))</f>
        <v/>
      </c>
    </row>
    <row r="1181" spans="1:9" ht="27" hidden="1" customHeight="1" outlineLevel="1" x14ac:dyDescent="0.3">
      <c r="A1181" s="12"/>
      <c r="C1181" s="47" t="str">
        <f>_xlfn.CONCAT(_xlfn.XLOOKUP("[S05_ImprovementReportArt69]["&amp;ROW(B1181)-ROW($B$1143)&amp;"][InstallationCategory]",Submission!$O:$O,Submission!$H:$N,""))</f>
        <v/>
      </c>
      <c r="D1181" s="281" t="str">
        <f>_xlfn.CONCAT(_xlfn.XLOOKUP("[S05_ImprovementReportArt69]["&amp;ROW(B1181)-ROW($B$1143)&amp;"][Annex1Activity]",Submission!$O:$O,Submission!$H:$N,""))</f>
        <v/>
      </c>
      <c r="E1181" s="347"/>
      <c r="F1181" s="284" t="str">
        <f>_xlfn.CONCAT(_xlfn.XLOOKUP("[S05_ImprovementReportArt69]["&amp;ROW(B1181)-ROW($B$1143)&amp;"][ImprovementReportType]",Submission!$O:$O,Submission!$H:$N,""))</f>
        <v/>
      </c>
      <c r="G1181" s="282"/>
      <c r="H1181" s="124" t="str">
        <f>_xlfn.CONCAT(_xlfn.XLOOKUP("[S05_ImprovementReportArt69]["&amp;ROW(B1181)-ROW($B$1143)&amp;"][ImprovementReportRequired]",Submission!$O:$O,Submission!$H:$N,""))</f>
        <v/>
      </c>
      <c r="I1181" s="124" t="str">
        <f>_xlfn.CONCAT(_xlfn.XLOOKUP("[S05_ImprovementReportArt69]["&amp;ROW(B1181)-ROW($B$1143)&amp;"][ImprovementReportSubmitted]",Submission!$O:$O,Submission!$H:$N,""))</f>
        <v/>
      </c>
    </row>
    <row r="1182" spans="1:9" ht="27" hidden="1" customHeight="1" outlineLevel="1" x14ac:dyDescent="0.3">
      <c r="A1182" s="12"/>
      <c r="C1182" s="47" t="str">
        <f>_xlfn.CONCAT(_xlfn.XLOOKUP("[S05_ImprovementReportArt69]["&amp;ROW(B1182)-ROW($B$1143)&amp;"][InstallationCategory]",Submission!$O:$O,Submission!$H:$N,""))</f>
        <v/>
      </c>
      <c r="D1182" s="281" t="str">
        <f>_xlfn.CONCAT(_xlfn.XLOOKUP("[S05_ImprovementReportArt69]["&amp;ROW(B1182)-ROW($B$1143)&amp;"][Annex1Activity]",Submission!$O:$O,Submission!$H:$N,""))</f>
        <v/>
      </c>
      <c r="E1182" s="347"/>
      <c r="F1182" s="284" t="str">
        <f>_xlfn.CONCAT(_xlfn.XLOOKUP("[S05_ImprovementReportArt69]["&amp;ROW(B1182)-ROW($B$1143)&amp;"][ImprovementReportType]",Submission!$O:$O,Submission!$H:$N,""))</f>
        <v/>
      </c>
      <c r="G1182" s="282"/>
      <c r="H1182" s="124" t="str">
        <f>_xlfn.CONCAT(_xlfn.XLOOKUP("[S05_ImprovementReportArt69]["&amp;ROW(B1182)-ROW($B$1143)&amp;"][ImprovementReportRequired]",Submission!$O:$O,Submission!$H:$N,""))</f>
        <v/>
      </c>
      <c r="I1182" s="124" t="str">
        <f>_xlfn.CONCAT(_xlfn.XLOOKUP("[S05_ImprovementReportArt69]["&amp;ROW(B1182)-ROW($B$1143)&amp;"][ImprovementReportSubmitted]",Submission!$O:$O,Submission!$H:$N,""))</f>
        <v/>
      </c>
    </row>
    <row r="1183" spans="1:9" ht="27" hidden="1" customHeight="1" outlineLevel="1" x14ac:dyDescent="0.3">
      <c r="A1183" s="12"/>
      <c r="C1183" s="47" t="str">
        <f>_xlfn.CONCAT(_xlfn.XLOOKUP("[S05_ImprovementReportArt69]["&amp;ROW(B1183)-ROW($B$1143)&amp;"][InstallationCategory]",Submission!$O:$O,Submission!$H:$N,""))</f>
        <v/>
      </c>
      <c r="D1183" s="281" t="str">
        <f>_xlfn.CONCAT(_xlfn.XLOOKUP("[S05_ImprovementReportArt69]["&amp;ROW(B1183)-ROW($B$1143)&amp;"][Annex1Activity]",Submission!$O:$O,Submission!$H:$N,""))</f>
        <v/>
      </c>
      <c r="E1183" s="347"/>
      <c r="F1183" s="284" t="str">
        <f>_xlfn.CONCAT(_xlfn.XLOOKUP("[S05_ImprovementReportArt69]["&amp;ROW(B1183)-ROW($B$1143)&amp;"][ImprovementReportType]",Submission!$O:$O,Submission!$H:$N,""))</f>
        <v/>
      </c>
      <c r="G1183" s="282"/>
      <c r="H1183" s="124" t="str">
        <f>_xlfn.CONCAT(_xlfn.XLOOKUP("[S05_ImprovementReportArt69]["&amp;ROW(B1183)-ROW($B$1143)&amp;"][ImprovementReportRequired]",Submission!$O:$O,Submission!$H:$N,""))</f>
        <v/>
      </c>
      <c r="I1183" s="124" t="str">
        <f>_xlfn.CONCAT(_xlfn.XLOOKUP("[S05_ImprovementReportArt69]["&amp;ROW(B1183)-ROW($B$1143)&amp;"][ImprovementReportSubmitted]",Submission!$O:$O,Submission!$H:$N,""))</f>
        <v/>
      </c>
    </row>
    <row r="1184" spans="1:9" ht="27" hidden="1" customHeight="1" outlineLevel="1" x14ac:dyDescent="0.3">
      <c r="A1184" s="12"/>
      <c r="C1184" s="47" t="str">
        <f>_xlfn.CONCAT(_xlfn.XLOOKUP("[S05_ImprovementReportArt69]["&amp;ROW(B1184)-ROW($B$1143)&amp;"][InstallationCategory]",Submission!$O:$O,Submission!$H:$N,""))</f>
        <v/>
      </c>
      <c r="D1184" s="281" t="str">
        <f>_xlfn.CONCAT(_xlfn.XLOOKUP("[S05_ImprovementReportArt69]["&amp;ROW(B1184)-ROW($B$1143)&amp;"][Annex1Activity]",Submission!$O:$O,Submission!$H:$N,""))</f>
        <v/>
      </c>
      <c r="E1184" s="347"/>
      <c r="F1184" s="284" t="str">
        <f>_xlfn.CONCAT(_xlfn.XLOOKUP("[S05_ImprovementReportArt69]["&amp;ROW(B1184)-ROW($B$1143)&amp;"][ImprovementReportType]",Submission!$O:$O,Submission!$H:$N,""))</f>
        <v/>
      </c>
      <c r="G1184" s="282"/>
      <c r="H1184" s="124" t="str">
        <f>_xlfn.CONCAT(_xlfn.XLOOKUP("[S05_ImprovementReportArt69]["&amp;ROW(B1184)-ROW($B$1143)&amp;"][ImprovementReportRequired]",Submission!$O:$O,Submission!$H:$N,""))</f>
        <v/>
      </c>
      <c r="I1184" s="124" t="str">
        <f>_xlfn.CONCAT(_xlfn.XLOOKUP("[S05_ImprovementReportArt69]["&amp;ROW(B1184)-ROW($B$1143)&amp;"][ImprovementReportSubmitted]",Submission!$O:$O,Submission!$H:$N,""))</f>
        <v/>
      </c>
    </row>
    <row r="1185" spans="1:9" ht="27" hidden="1" customHeight="1" outlineLevel="1" x14ac:dyDescent="0.3">
      <c r="A1185" s="12"/>
      <c r="C1185" s="47" t="str">
        <f>_xlfn.CONCAT(_xlfn.XLOOKUP("[S05_ImprovementReportArt69]["&amp;ROW(B1185)-ROW($B$1143)&amp;"][InstallationCategory]",Submission!$O:$O,Submission!$H:$N,""))</f>
        <v/>
      </c>
      <c r="D1185" s="281" t="str">
        <f>_xlfn.CONCAT(_xlfn.XLOOKUP("[S05_ImprovementReportArt69]["&amp;ROW(B1185)-ROW($B$1143)&amp;"][Annex1Activity]",Submission!$O:$O,Submission!$H:$N,""))</f>
        <v/>
      </c>
      <c r="E1185" s="347"/>
      <c r="F1185" s="284" t="str">
        <f>_xlfn.CONCAT(_xlfn.XLOOKUP("[S05_ImprovementReportArt69]["&amp;ROW(B1185)-ROW($B$1143)&amp;"][ImprovementReportType]",Submission!$O:$O,Submission!$H:$N,""))</f>
        <v/>
      </c>
      <c r="G1185" s="282"/>
      <c r="H1185" s="124" t="str">
        <f>_xlfn.CONCAT(_xlfn.XLOOKUP("[S05_ImprovementReportArt69]["&amp;ROW(B1185)-ROW($B$1143)&amp;"][ImprovementReportRequired]",Submission!$O:$O,Submission!$H:$N,""))</f>
        <v/>
      </c>
      <c r="I1185" s="124" t="str">
        <f>_xlfn.CONCAT(_xlfn.XLOOKUP("[S05_ImprovementReportArt69]["&amp;ROW(B1185)-ROW($B$1143)&amp;"][ImprovementReportSubmitted]",Submission!$O:$O,Submission!$H:$N,""))</f>
        <v/>
      </c>
    </row>
    <row r="1186" spans="1:9" ht="27" hidden="1" customHeight="1" outlineLevel="1" x14ac:dyDescent="0.3">
      <c r="A1186" s="12"/>
      <c r="C1186" s="47" t="str">
        <f>_xlfn.CONCAT(_xlfn.XLOOKUP("[S05_ImprovementReportArt69]["&amp;ROW(B1186)-ROW($B$1143)&amp;"][InstallationCategory]",Submission!$O:$O,Submission!$H:$N,""))</f>
        <v/>
      </c>
      <c r="D1186" s="281" t="str">
        <f>_xlfn.CONCAT(_xlfn.XLOOKUP("[S05_ImprovementReportArt69]["&amp;ROW(B1186)-ROW($B$1143)&amp;"][Annex1Activity]",Submission!$O:$O,Submission!$H:$N,""))</f>
        <v/>
      </c>
      <c r="E1186" s="347"/>
      <c r="F1186" s="284" t="str">
        <f>_xlfn.CONCAT(_xlfn.XLOOKUP("[S05_ImprovementReportArt69]["&amp;ROW(B1186)-ROW($B$1143)&amp;"][ImprovementReportType]",Submission!$O:$O,Submission!$H:$N,""))</f>
        <v/>
      </c>
      <c r="G1186" s="282"/>
      <c r="H1186" s="124" t="str">
        <f>_xlfn.CONCAT(_xlfn.XLOOKUP("[S05_ImprovementReportArt69]["&amp;ROW(B1186)-ROW($B$1143)&amp;"][ImprovementReportRequired]",Submission!$O:$O,Submission!$H:$N,""))</f>
        <v/>
      </c>
      <c r="I1186" s="124" t="str">
        <f>_xlfn.CONCAT(_xlfn.XLOOKUP("[S05_ImprovementReportArt69]["&amp;ROW(B1186)-ROW($B$1143)&amp;"][ImprovementReportSubmitted]",Submission!$O:$O,Submission!$H:$N,""))</f>
        <v/>
      </c>
    </row>
    <row r="1187" spans="1:9" ht="27" hidden="1" customHeight="1" outlineLevel="1" x14ac:dyDescent="0.3">
      <c r="A1187" s="12"/>
      <c r="C1187" s="47" t="str">
        <f>_xlfn.CONCAT(_xlfn.XLOOKUP("[S05_ImprovementReportArt69]["&amp;ROW(B1187)-ROW($B$1143)&amp;"][InstallationCategory]",Submission!$O:$O,Submission!$H:$N,""))</f>
        <v/>
      </c>
      <c r="D1187" s="281" t="str">
        <f>_xlfn.CONCAT(_xlfn.XLOOKUP("[S05_ImprovementReportArt69]["&amp;ROW(B1187)-ROW($B$1143)&amp;"][Annex1Activity]",Submission!$O:$O,Submission!$H:$N,""))</f>
        <v/>
      </c>
      <c r="E1187" s="347"/>
      <c r="F1187" s="284" t="str">
        <f>_xlfn.CONCAT(_xlfn.XLOOKUP("[S05_ImprovementReportArt69]["&amp;ROW(B1187)-ROW($B$1143)&amp;"][ImprovementReportType]",Submission!$O:$O,Submission!$H:$N,""))</f>
        <v/>
      </c>
      <c r="G1187" s="282"/>
      <c r="H1187" s="124" t="str">
        <f>_xlfn.CONCAT(_xlfn.XLOOKUP("[S05_ImprovementReportArt69]["&amp;ROW(B1187)-ROW($B$1143)&amp;"][ImprovementReportRequired]",Submission!$O:$O,Submission!$H:$N,""))</f>
        <v/>
      </c>
      <c r="I1187" s="124" t="str">
        <f>_xlfn.CONCAT(_xlfn.XLOOKUP("[S05_ImprovementReportArt69]["&amp;ROW(B1187)-ROW($B$1143)&amp;"][ImprovementReportSubmitted]",Submission!$O:$O,Submission!$H:$N,""))</f>
        <v/>
      </c>
    </row>
    <row r="1188" spans="1:9" ht="27" hidden="1" customHeight="1" outlineLevel="1" x14ac:dyDescent="0.3">
      <c r="A1188" s="12"/>
      <c r="C1188" s="47" t="str">
        <f>_xlfn.CONCAT(_xlfn.XLOOKUP("[S05_ImprovementReportArt69]["&amp;ROW(B1188)-ROW($B$1143)&amp;"][InstallationCategory]",Submission!$O:$O,Submission!$H:$N,""))</f>
        <v/>
      </c>
      <c r="D1188" s="281" t="str">
        <f>_xlfn.CONCAT(_xlfn.XLOOKUP("[S05_ImprovementReportArt69]["&amp;ROW(B1188)-ROW($B$1143)&amp;"][Annex1Activity]",Submission!$O:$O,Submission!$H:$N,""))</f>
        <v/>
      </c>
      <c r="E1188" s="347"/>
      <c r="F1188" s="284" t="str">
        <f>_xlfn.CONCAT(_xlfn.XLOOKUP("[S05_ImprovementReportArt69]["&amp;ROW(B1188)-ROW($B$1143)&amp;"][ImprovementReportType]",Submission!$O:$O,Submission!$H:$N,""))</f>
        <v/>
      </c>
      <c r="G1188" s="282"/>
      <c r="H1188" s="124" t="str">
        <f>_xlfn.CONCAT(_xlfn.XLOOKUP("[S05_ImprovementReportArt69]["&amp;ROW(B1188)-ROW($B$1143)&amp;"][ImprovementReportRequired]",Submission!$O:$O,Submission!$H:$N,""))</f>
        <v/>
      </c>
      <c r="I1188" s="124" t="str">
        <f>_xlfn.CONCAT(_xlfn.XLOOKUP("[S05_ImprovementReportArt69]["&amp;ROW(B1188)-ROW($B$1143)&amp;"][ImprovementReportSubmitted]",Submission!$O:$O,Submission!$H:$N,""))</f>
        <v/>
      </c>
    </row>
    <row r="1189" spans="1:9" ht="27" hidden="1" customHeight="1" outlineLevel="1" x14ac:dyDescent="0.3">
      <c r="A1189" s="12"/>
      <c r="C1189" s="47" t="str">
        <f>_xlfn.CONCAT(_xlfn.XLOOKUP("[S05_ImprovementReportArt69]["&amp;ROW(B1189)-ROW($B$1143)&amp;"][InstallationCategory]",Submission!$O:$O,Submission!$H:$N,""))</f>
        <v/>
      </c>
      <c r="D1189" s="281" t="str">
        <f>_xlfn.CONCAT(_xlfn.XLOOKUP("[S05_ImprovementReportArt69]["&amp;ROW(B1189)-ROW($B$1143)&amp;"][Annex1Activity]",Submission!$O:$O,Submission!$H:$N,""))</f>
        <v/>
      </c>
      <c r="E1189" s="347"/>
      <c r="F1189" s="284" t="str">
        <f>_xlfn.CONCAT(_xlfn.XLOOKUP("[S05_ImprovementReportArt69]["&amp;ROW(B1189)-ROW($B$1143)&amp;"][ImprovementReportType]",Submission!$O:$O,Submission!$H:$N,""))</f>
        <v/>
      </c>
      <c r="G1189" s="282"/>
      <c r="H1189" s="124" t="str">
        <f>_xlfn.CONCAT(_xlfn.XLOOKUP("[S05_ImprovementReportArt69]["&amp;ROW(B1189)-ROW($B$1143)&amp;"][ImprovementReportRequired]",Submission!$O:$O,Submission!$H:$N,""))</f>
        <v/>
      </c>
      <c r="I1189" s="124" t="str">
        <f>_xlfn.CONCAT(_xlfn.XLOOKUP("[S05_ImprovementReportArt69]["&amp;ROW(B1189)-ROW($B$1143)&amp;"][ImprovementReportSubmitted]",Submission!$O:$O,Submission!$H:$N,""))</f>
        <v/>
      </c>
    </row>
    <row r="1190" spans="1:9" ht="27" hidden="1" customHeight="1" outlineLevel="1" x14ac:dyDescent="0.3">
      <c r="A1190" s="12"/>
      <c r="C1190" s="47" t="str">
        <f>_xlfn.CONCAT(_xlfn.XLOOKUP("[S05_ImprovementReportArt69]["&amp;ROW(B1190)-ROW($B$1143)&amp;"][InstallationCategory]",Submission!$O:$O,Submission!$H:$N,""))</f>
        <v/>
      </c>
      <c r="D1190" s="281" t="str">
        <f>_xlfn.CONCAT(_xlfn.XLOOKUP("[S05_ImprovementReportArt69]["&amp;ROW(B1190)-ROW($B$1143)&amp;"][Annex1Activity]",Submission!$O:$O,Submission!$H:$N,""))</f>
        <v/>
      </c>
      <c r="E1190" s="347"/>
      <c r="F1190" s="284" t="str">
        <f>_xlfn.CONCAT(_xlfn.XLOOKUP("[S05_ImprovementReportArt69]["&amp;ROW(B1190)-ROW($B$1143)&amp;"][ImprovementReportType]",Submission!$O:$O,Submission!$H:$N,""))</f>
        <v/>
      </c>
      <c r="G1190" s="282"/>
      <c r="H1190" s="124" t="str">
        <f>_xlfn.CONCAT(_xlfn.XLOOKUP("[S05_ImprovementReportArt69]["&amp;ROW(B1190)-ROW($B$1143)&amp;"][ImprovementReportRequired]",Submission!$O:$O,Submission!$H:$N,""))</f>
        <v/>
      </c>
      <c r="I1190" s="124" t="str">
        <f>_xlfn.CONCAT(_xlfn.XLOOKUP("[S05_ImprovementReportArt69]["&amp;ROW(B1190)-ROW($B$1143)&amp;"][ImprovementReportSubmitted]",Submission!$O:$O,Submission!$H:$N,""))</f>
        <v/>
      </c>
    </row>
    <row r="1191" spans="1:9" ht="27" hidden="1" customHeight="1" outlineLevel="1" x14ac:dyDescent="0.3">
      <c r="A1191" s="12"/>
      <c r="C1191" s="47" t="str">
        <f>_xlfn.CONCAT(_xlfn.XLOOKUP("[S05_ImprovementReportArt69]["&amp;ROW(B1191)-ROW($B$1143)&amp;"][InstallationCategory]",Submission!$O:$O,Submission!$H:$N,""))</f>
        <v/>
      </c>
      <c r="D1191" s="281" t="str">
        <f>_xlfn.CONCAT(_xlfn.XLOOKUP("[S05_ImprovementReportArt69]["&amp;ROW(B1191)-ROW($B$1143)&amp;"][Annex1Activity]",Submission!$O:$O,Submission!$H:$N,""))</f>
        <v/>
      </c>
      <c r="E1191" s="347"/>
      <c r="F1191" s="284" t="str">
        <f>_xlfn.CONCAT(_xlfn.XLOOKUP("[S05_ImprovementReportArt69]["&amp;ROW(B1191)-ROW($B$1143)&amp;"][ImprovementReportType]",Submission!$O:$O,Submission!$H:$N,""))</f>
        <v/>
      </c>
      <c r="G1191" s="282"/>
      <c r="H1191" s="124" t="str">
        <f>_xlfn.CONCAT(_xlfn.XLOOKUP("[S05_ImprovementReportArt69]["&amp;ROW(B1191)-ROW($B$1143)&amp;"][ImprovementReportRequired]",Submission!$O:$O,Submission!$H:$N,""))</f>
        <v/>
      </c>
      <c r="I1191" s="124" t="str">
        <f>_xlfn.CONCAT(_xlfn.XLOOKUP("[S05_ImprovementReportArt69]["&amp;ROW(B1191)-ROW($B$1143)&amp;"][ImprovementReportSubmitted]",Submission!$O:$O,Submission!$H:$N,""))</f>
        <v/>
      </c>
    </row>
    <row r="1192" spans="1:9" ht="27" hidden="1" customHeight="1" outlineLevel="1" x14ac:dyDescent="0.3">
      <c r="A1192" s="12"/>
      <c r="C1192" s="47" t="str">
        <f>_xlfn.CONCAT(_xlfn.XLOOKUP("[S05_ImprovementReportArt69]["&amp;ROW(B1192)-ROW($B$1143)&amp;"][InstallationCategory]",Submission!$O:$O,Submission!$H:$N,""))</f>
        <v/>
      </c>
      <c r="D1192" s="281" t="str">
        <f>_xlfn.CONCAT(_xlfn.XLOOKUP("[S05_ImprovementReportArt69]["&amp;ROW(B1192)-ROW($B$1143)&amp;"][Annex1Activity]",Submission!$O:$O,Submission!$H:$N,""))</f>
        <v/>
      </c>
      <c r="E1192" s="347"/>
      <c r="F1192" s="284" t="str">
        <f>_xlfn.CONCAT(_xlfn.XLOOKUP("[S05_ImprovementReportArt69]["&amp;ROW(B1192)-ROW($B$1143)&amp;"][ImprovementReportType]",Submission!$O:$O,Submission!$H:$N,""))</f>
        <v/>
      </c>
      <c r="G1192" s="282"/>
      <c r="H1192" s="124" t="str">
        <f>_xlfn.CONCAT(_xlfn.XLOOKUP("[S05_ImprovementReportArt69]["&amp;ROW(B1192)-ROW($B$1143)&amp;"][ImprovementReportRequired]",Submission!$O:$O,Submission!$H:$N,""))</f>
        <v/>
      </c>
      <c r="I1192" s="124" t="str">
        <f>_xlfn.CONCAT(_xlfn.XLOOKUP("[S05_ImprovementReportArt69]["&amp;ROW(B1192)-ROW($B$1143)&amp;"][ImprovementReportSubmitted]",Submission!$O:$O,Submission!$H:$N,""))</f>
        <v/>
      </c>
    </row>
    <row r="1193" spans="1:9" ht="27" hidden="1" customHeight="1" outlineLevel="1" x14ac:dyDescent="0.3">
      <c r="A1193" s="12"/>
      <c r="C1193" s="47" t="str">
        <f>_xlfn.CONCAT(_xlfn.XLOOKUP("[S05_ImprovementReportArt69]["&amp;ROW(B1193)-ROW($B$1143)&amp;"][InstallationCategory]",Submission!$O:$O,Submission!$H:$N,""))</f>
        <v/>
      </c>
      <c r="D1193" s="281" t="str">
        <f>_xlfn.CONCAT(_xlfn.XLOOKUP("[S05_ImprovementReportArt69]["&amp;ROW(B1193)-ROW($B$1143)&amp;"][Annex1Activity]",Submission!$O:$O,Submission!$H:$N,""))</f>
        <v/>
      </c>
      <c r="E1193" s="347"/>
      <c r="F1193" s="284" t="str">
        <f>_xlfn.CONCAT(_xlfn.XLOOKUP("[S05_ImprovementReportArt69]["&amp;ROW(B1193)-ROW($B$1143)&amp;"][ImprovementReportType]",Submission!$O:$O,Submission!$H:$N,""))</f>
        <v/>
      </c>
      <c r="G1193" s="282"/>
      <c r="H1193" s="124" t="str">
        <f>_xlfn.CONCAT(_xlfn.XLOOKUP("[S05_ImprovementReportArt69]["&amp;ROW(B1193)-ROW($B$1143)&amp;"][ImprovementReportRequired]",Submission!$O:$O,Submission!$H:$N,""))</f>
        <v/>
      </c>
      <c r="I1193" s="124" t="str">
        <f>_xlfn.CONCAT(_xlfn.XLOOKUP("[S05_ImprovementReportArt69]["&amp;ROW(B1193)-ROW($B$1143)&amp;"][ImprovementReportSubmitted]",Submission!$O:$O,Submission!$H:$N,""))</f>
        <v/>
      </c>
    </row>
    <row r="1194" spans="1:9" ht="27" hidden="1" customHeight="1" outlineLevel="1" x14ac:dyDescent="0.3">
      <c r="A1194" s="12"/>
      <c r="C1194" s="47" t="str">
        <f>_xlfn.CONCAT(_xlfn.XLOOKUP("[S05_ImprovementReportArt69]["&amp;ROW(B1194)-ROW($B$1143)&amp;"][InstallationCategory]",Submission!$O:$O,Submission!$H:$N,""))</f>
        <v/>
      </c>
      <c r="D1194" s="281" t="str">
        <f>_xlfn.CONCAT(_xlfn.XLOOKUP("[S05_ImprovementReportArt69]["&amp;ROW(B1194)-ROW($B$1143)&amp;"][Annex1Activity]",Submission!$O:$O,Submission!$H:$N,""))</f>
        <v/>
      </c>
      <c r="E1194" s="347"/>
      <c r="F1194" s="284" t="str">
        <f>_xlfn.CONCAT(_xlfn.XLOOKUP("[S05_ImprovementReportArt69]["&amp;ROW(B1194)-ROW($B$1143)&amp;"][ImprovementReportType]",Submission!$O:$O,Submission!$H:$N,""))</f>
        <v/>
      </c>
      <c r="G1194" s="282"/>
      <c r="H1194" s="124" t="str">
        <f>_xlfn.CONCAT(_xlfn.XLOOKUP("[S05_ImprovementReportArt69]["&amp;ROW(B1194)-ROW($B$1143)&amp;"][ImprovementReportRequired]",Submission!$O:$O,Submission!$H:$N,""))</f>
        <v/>
      </c>
      <c r="I1194" s="124" t="str">
        <f>_xlfn.CONCAT(_xlfn.XLOOKUP("[S05_ImprovementReportArt69]["&amp;ROW(B1194)-ROW($B$1143)&amp;"][ImprovementReportSubmitted]",Submission!$O:$O,Submission!$H:$N,""))</f>
        <v/>
      </c>
    </row>
    <row r="1195" spans="1:9" ht="27" hidden="1" customHeight="1" outlineLevel="1" x14ac:dyDescent="0.3">
      <c r="A1195" s="12"/>
      <c r="C1195" s="47" t="str">
        <f>_xlfn.CONCAT(_xlfn.XLOOKUP("[S05_ImprovementReportArt69]["&amp;ROW(B1195)-ROW($B$1143)&amp;"][InstallationCategory]",Submission!$O:$O,Submission!$H:$N,""))</f>
        <v/>
      </c>
      <c r="D1195" s="281" t="str">
        <f>_xlfn.CONCAT(_xlfn.XLOOKUP("[S05_ImprovementReportArt69]["&amp;ROW(B1195)-ROW($B$1143)&amp;"][Annex1Activity]",Submission!$O:$O,Submission!$H:$N,""))</f>
        <v/>
      </c>
      <c r="E1195" s="347"/>
      <c r="F1195" s="284" t="str">
        <f>_xlfn.CONCAT(_xlfn.XLOOKUP("[S05_ImprovementReportArt69]["&amp;ROW(B1195)-ROW($B$1143)&amp;"][ImprovementReportType]",Submission!$O:$O,Submission!$H:$N,""))</f>
        <v/>
      </c>
      <c r="G1195" s="282"/>
      <c r="H1195" s="124" t="str">
        <f>_xlfn.CONCAT(_xlfn.XLOOKUP("[S05_ImprovementReportArt69]["&amp;ROW(B1195)-ROW($B$1143)&amp;"][ImprovementReportRequired]",Submission!$O:$O,Submission!$H:$N,""))</f>
        <v/>
      </c>
      <c r="I1195" s="124" t="str">
        <f>_xlfn.CONCAT(_xlfn.XLOOKUP("[S05_ImprovementReportArt69]["&amp;ROW(B1195)-ROW($B$1143)&amp;"][ImprovementReportSubmitted]",Submission!$O:$O,Submission!$H:$N,""))</f>
        <v/>
      </c>
    </row>
    <row r="1196" spans="1:9" ht="27" hidden="1" customHeight="1" outlineLevel="1" x14ac:dyDescent="0.3">
      <c r="A1196" s="12"/>
      <c r="C1196" s="47" t="str">
        <f>_xlfn.CONCAT(_xlfn.XLOOKUP("[S05_ImprovementReportArt69]["&amp;ROW(B1196)-ROW($B$1143)&amp;"][InstallationCategory]",Submission!$O:$O,Submission!$H:$N,""))</f>
        <v/>
      </c>
      <c r="D1196" s="281" t="str">
        <f>_xlfn.CONCAT(_xlfn.XLOOKUP("[S05_ImprovementReportArt69]["&amp;ROW(B1196)-ROW($B$1143)&amp;"][Annex1Activity]",Submission!$O:$O,Submission!$H:$N,""))</f>
        <v/>
      </c>
      <c r="E1196" s="347"/>
      <c r="F1196" s="284" t="str">
        <f>_xlfn.CONCAT(_xlfn.XLOOKUP("[S05_ImprovementReportArt69]["&amp;ROW(B1196)-ROW($B$1143)&amp;"][ImprovementReportType]",Submission!$O:$O,Submission!$H:$N,""))</f>
        <v/>
      </c>
      <c r="G1196" s="282"/>
      <c r="H1196" s="124" t="str">
        <f>_xlfn.CONCAT(_xlfn.XLOOKUP("[S05_ImprovementReportArt69]["&amp;ROW(B1196)-ROW($B$1143)&amp;"][ImprovementReportRequired]",Submission!$O:$O,Submission!$H:$N,""))</f>
        <v/>
      </c>
      <c r="I1196" s="124" t="str">
        <f>_xlfn.CONCAT(_xlfn.XLOOKUP("[S05_ImprovementReportArt69]["&amp;ROW(B1196)-ROW($B$1143)&amp;"][ImprovementReportSubmitted]",Submission!$O:$O,Submission!$H:$N,""))</f>
        <v/>
      </c>
    </row>
    <row r="1197" spans="1:9" ht="27" hidden="1" customHeight="1" outlineLevel="1" x14ac:dyDescent="0.3">
      <c r="A1197" s="12"/>
      <c r="C1197" s="47" t="str">
        <f>_xlfn.CONCAT(_xlfn.XLOOKUP("[S05_ImprovementReportArt69]["&amp;ROW(B1197)-ROW($B$1143)&amp;"][InstallationCategory]",Submission!$O:$O,Submission!$H:$N,""))</f>
        <v/>
      </c>
      <c r="D1197" s="281" t="str">
        <f>_xlfn.CONCAT(_xlfn.XLOOKUP("[S05_ImprovementReportArt69]["&amp;ROW(B1197)-ROW($B$1143)&amp;"][Annex1Activity]",Submission!$O:$O,Submission!$H:$N,""))</f>
        <v/>
      </c>
      <c r="E1197" s="347"/>
      <c r="F1197" s="284" t="str">
        <f>_xlfn.CONCAT(_xlfn.XLOOKUP("[S05_ImprovementReportArt69]["&amp;ROW(B1197)-ROW($B$1143)&amp;"][ImprovementReportType]",Submission!$O:$O,Submission!$H:$N,""))</f>
        <v/>
      </c>
      <c r="G1197" s="282"/>
      <c r="H1197" s="124" t="str">
        <f>_xlfn.CONCAT(_xlfn.XLOOKUP("[S05_ImprovementReportArt69]["&amp;ROW(B1197)-ROW($B$1143)&amp;"][ImprovementReportRequired]",Submission!$O:$O,Submission!$H:$N,""))</f>
        <v/>
      </c>
      <c r="I1197" s="124" t="str">
        <f>_xlfn.CONCAT(_xlfn.XLOOKUP("[S05_ImprovementReportArt69]["&amp;ROW(B1197)-ROW($B$1143)&amp;"][ImprovementReportSubmitted]",Submission!$O:$O,Submission!$H:$N,""))</f>
        <v/>
      </c>
    </row>
    <row r="1198" spans="1:9" ht="27" hidden="1" customHeight="1" outlineLevel="1" x14ac:dyDescent="0.3">
      <c r="A1198" s="12"/>
      <c r="C1198" s="47" t="str">
        <f>_xlfn.CONCAT(_xlfn.XLOOKUP("[S05_ImprovementReportArt69]["&amp;ROW(B1198)-ROW($B$1143)&amp;"][InstallationCategory]",Submission!$O:$O,Submission!$H:$N,""))</f>
        <v/>
      </c>
      <c r="D1198" s="281" t="str">
        <f>_xlfn.CONCAT(_xlfn.XLOOKUP("[S05_ImprovementReportArt69]["&amp;ROW(B1198)-ROW($B$1143)&amp;"][Annex1Activity]",Submission!$O:$O,Submission!$H:$N,""))</f>
        <v/>
      </c>
      <c r="E1198" s="347"/>
      <c r="F1198" s="284" t="str">
        <f>_xlfn.CONCAT(_xlfn.XLOOKUP("[S05_ImprovementReportArt69]["&amp;ROW(B1198)-ROW($B$1143)&amp;"][ImprovementReportType]",Submission!$O:$O,Submission!$H:$N,""))</f>
        <v/>
      </c>
      <c r="G1198" s="282"/>
      <c r="H1198" s="124" t="str">
        <f>_xlfn.CONCAT(_xlfn.XLOOKUP("[S05_ImprovementReportArt69]["&amp;ROW(B1198)-ROW($B$1143)&amp;"][ImprovementReportRequired]",Submission!$O:$O,Submission!$H:$N,""))</f>
        <v/>
      </c>
      <c r="I1198" s="124" t="str">
        <f>_xlfn.CONCAT(_xlfn.XLOOKUP("[S05_ImprovementReportArt69]["&amp;ROW(B1198)-ROW($B$1143)&amp;"][ImprovementReportSubmitted]",Submission!$O:$O,Submission!$H:$N,""))</f>
        <v/>
      </c>
    </row>
    <row r="1199" spans="1:9" ht="27" hidden="1" customHeight="1" outlineLevel="1" x14ac:dyDescent="0.3">
      <c r="A1199" s="12"/>
      <c r="C1199" s="47" t="str">
        <f>_xlfn.CONCAT(_xlfn.XLOOKUP("[S05_ImprovementReportArt69]["&amp;ROW(B1199)-ROW($B$1143)&amp;"][InstallationCategory]",Submission!$O:$O,Submission!$H:$N,""))</f>
        <v/>
      </c>
      <c r="D1199" s="281" t="str">
        <f>_xlfn.CONCAT(_xlfn.XLOOKUP("[S05_ImprovementReportArt69]["&amp;ROW(B1199)-ROW($B$1143)&amp;"][Annex1Activity]",Submission!$O:$O,Submission!$H:$N,""))</f>
        <v/>
      </c>
      <c r="E1199" s="347"/>
      <c r="F1199" s="284" t="str">
        <f>_xlfn.CONCAT(_xlfn.XLOOKUP("[S05_ImprovementReportArt69]["&amp;ROW(B1199)-ROW($B$1143)&amp;"][ImprovementReportType]",Submission!$O:$O,Submission!$H:$N,""))</f>
        <v/>
      </c>
      <c r="G1199" s="282"/>
      <c r="H1199" s="124" t="str">
        <f>_xlfn.CONCAT(_xlfn.XLOOKUP("[S05_ImprovementReportArt69]["&amp;ROW(B1199)-ROW($B$1143)&amp;"][ImprovementReportRequired]",Submission!$O:$O,Submission!$H:$N,""))</f>
        <v/>
      </c>
      <c r="I1199" s="124" t="str">
        <f>_xlfn.CONCAT(_xlfn.XLOOKUP("[S05_ImprovementReportArt69]["&amp;ROW(B1199)-ROW($B$1143)&amp;"][ImprovementReportSubmitted]",Submission!$O:$O,Submission!$H:$N,""))</f>
        <v/>
      </c>
    </row>
    <row r="1200" spans="1:9" ht="27" hidden="1" customHeight="1" outlineLevel="1" x14ac:dyDescent="0.3">
      <c r="A1200" s="12"/>
      <c r="C1200" s="47" t="str">
        <f>_xlfn.CONCAT(_xlfn.XLOOKUP("[S05_ImprovementReportArt69]["&amp;ROW(B1200)-ROW($B$1143)&amp;"][InstallationCategory]",Submission!$O:$O,Submission!$H:$N,""))</f>
        <v/>
      </c>
      <c r="D1200" s="281" t="str">
        <f>_xlfn.CONCAT(_xlfn.XLOOKUP("[S05_ImprovementReportArt69]["&amp;ROW(B1200)-ROW($B$1143)&amp;"][Annex1Activity]",Submission!$O:$O,Submission!$H:$N,""))</f>
        <v/>
      </c>
      <c r="E1200" s="347"/>
      <c r="F1200" s="284" t="str">
        <f>_xlfn.CONCAT(_xlfn.XLOOKUP("[S05_ImprovementReportArt69]["&amp;ROW(B1200)-ROW($B$1143)&amp;"][ImprovementReportType]",Submission!$O:$O,Submission!$H:$N,""))</f>
        <v/>
      </c>
      <c r="G1200" s="282"/>
      <c r="H1200" s="124" t="str">
        <f>_xlfn.CONCAT(_xlfn.XLOOKUP("[S05_ImprovementReportArt69]["&amp;ROW(B1200)-ROW($B$1143)&amp;"][ImprovementReportRequired]",Submission!$O:$O,Submission!$H:$N,""))</f>
        <v/>
      </c>
      <c r="I1200" s="124" t="str">
        <f>_xlfn.CONCAT(_xlfn.XLOOKUP("[S05_ImprovementReportArt69]["&amp;ROW(B1200)-ROW($B$1143)&amp;"][ImprovementReportSubmitted]",Submission!$O:$O,Submission!$H:$N,""))</f>
        <v/>
      </c>
    </row>
    <row r="1201" spans="1:9" ht="27" hidden="1" customHeight="1" outlineLevel="1" x14ac:dyDescent="0.3">
      <c r="A1201" s="12"/>
      <c r="C1201" s="47" t="str">
        <f>_xlfn.CONCAT(_xlfn.XLOOKUP("[S05_ImprovementReportArt69]["&amp;ROW(B1201)-ROW($B$1143)&amp;"][InstallationCategory]",Submission!$O:$O,Submission!$H:$N,""))</f>
        <v/>
      </c>
      <c r="D1201" s="281" t="str">
        <f>_xlfn.CONCAT(_xlfn.XLOOKUP("[S05_ImprovementReportArt69]["&amp;ROW(B1201)-ROW($B$1143)&amp;"][Annex1Activity]",Submission!$O:$O,Submission!$H:$N,""))</f>
        <v/>
      </c>
      <c r="E1201" s="347"/>
      <c r="F1201" s="284" t="str">
        <f>_xlfn.CONCAT(_xlfn.XLOOKUP("[S05_ImprovementReportArt69]["&amp;ROW(B1201)-ROW($B$1143)&amp;"][ImprovementReportType]",Submission!$O:$O,Submission!$H:$N,""))</f>
        <v/>
      </c>
      <c r="G1201" s="282"/>
      <c r="H1201" s="124" t="str">
        <f>_xlfn.CONCAT(_xlfn.XLOOKUP("[S05_ImprovementReportArt69]["&amp;ROW(B1201)-ROW($B$1143)&amp;"][ImprovementReportRequired]",Submission!$O:$O,Submission!$H:$N,""))</f>
        <v/>
      </c>
      <c r="I1201" s="124" t="str">
        <f>_xlfn.CONCAT(_xlfn.XLOOKUP("[S05_ImprovementReportArt69]["&amp;ROW(B1201)-ROW($B$1143)&amp;"][ImprovementReportSubmitted]",Submission!$O:$O,Submission!$H:$N,""))</f>
        <v/>
      </c>
    </row>
    <row r="1202" spans="1:9" ht="27" hidden="1" customHeight="1" outlineLevel="1" x14ac:dyDescent="0.3">
      <c r="A1202" s="12"/>
      <c r="C1202" s="47" t="str">
        <f>_xlfn.CONCAT(_xlfn.XLOOKUP("[S05_ImprovementReportArt69]["&amp;ROW(B1202)-ROW($B$1143)&amp;"][InstallationCategory]",Submission!$O:$O,Submission!$H:$N,""))</f>
        <v/>
      </c>
      <c r="D1202" s="281" t="str">
        <f>_xlfn.CONCAT(_xlfn.XLOOKUP("[S05_ImprovementReportArt69]["&amp;ROW(B1202)-ROW($B$1143)&amp;"][Annex1Activity]",Submission!$O:$O,Submission!$H:$N,""))</f>
        <v/>
      </c>
      <c r="E1202" s="347"/>
      <c r="F1202" s="284" t="str">
        <f>_xlfn.CONCAT(_xlfn.XLOOKUP("[S05_ImprovementReportArt69]["&amp;ROW(B1202)-ROW($B$1143)&amp;"][ImprovementReportType]",Submission!$O:$O,Submission!$H:$N,""))</f>
        <v/>
      </c>
      <c r="G1202" s="282"/>
      <c r="H1202" s="124" t="str">
        <f>_xlfn.CONCAT(_xlfn.XLOOKUP("[S05_ImprovementReportArt69]["&amp;ROW(B1202)-ROW($B$1143)&amp;"][ImprovementReportRequired]",Submission!$O:$O,Submission!$H:$N,""))</f>
        <v/>
      </c>
      <c r="I1202" s="124" t="str">
        <f>_xlfn.CONCAT(_xlfn.XLOOKUP("[S05_ImprovementReportArt69]["&amp;ROW(B1202)-ROW($B$1143)&amp;"][ImprovementReportSubmitted]",Submission!$O:$O,Submission!$H:$N,""))</f>
        <v/>
      </c>
    </row>
    <row r="1203" spans="1:9" ht="27" hidden="1" customHeight="1" outlineLevel="1" x14ac:dyDescent="0.3">
      <c r="A1203" s="12"/>
      <c r="C1203" s="47" t="str">
        <f>_xlfn.CONCAT(_xlfn.XLOOKUP("[S05_ImprovementReportArt69]["&amp;ROW(B1203)-ROW($B$1143)&amp;"][InstallationCategory]",Submission!$O:$O,Submission!$H:$N,""))</f>
        <v/>
      </c>
      <c r="D1203" s="281" t="str">
        <f>_xlfn.CONCAT(_xlfn.XLOOKUP("[S05_ImprovementReportArt69]["&amp;ROW(B1203)-ROW($B$1143)&amp;"][Annex1Activity]",Submission!$O:$O,Submission!$H:$N,""))</f>
        <v/>
      </c>
      <c r="E1203" s="347"/>
      <c r="F1203" s="284" t="str">
        <f>_xlfn.CONCAT(_xlfn.XLOOKUP("[S05_ImprovementReportArt69]["&amp;ROW(B1203)-ROW($B$1143)&amp;"][ImprovementReportType]",Submission!$O:$O,Submission!$H:$N,""))</f>
        <v/>
      </c>
      <c r="G1203" s="282"/>
      <c r="H1203" s="124" t="str">
        <f>_xlfn.CONCAT(_xlfn.XLOOKUP("[S05_ImprovementReportArt69]["&amp;ROW(B1203)-ROW($B$1143)&amp;"][ImprovementReportRequired]",Submission!$O:$O,Submission!$H:$N,""))</f>
        <v/>
      </c>
      <c r="I1203" s="124" t="str">
        <f>_xlfn.CONCAT(_xlfn.XLOOKUP("[S05_ImprovementReportArt69]["&amp;ROW(B1203)-ROW($B$1143)&amp;"][ImprovementReportSubmitted]",Submission!$O:$O,Submission!$H:$N,""))</f>
        <v/>
      </c>
    </row>
    <row r="1204" spans="1:9" ht="27" hidden="1" customHeight="1" outlineLevel="1" x14ac:dyDescent="0.3">
      <c r="A1204" s="12"/>
      <c r="C1204" s="47" t="str">
        <f>_xlfn.CONCAT(_xlfn.XLOOKUP("[S05_ImprovementReportArt69]["&amp;ROW(B1204)-ROW($B$1143)&amp;"][InstallationCategory]",Submission!$O:$O,Submission!$H:$N,""))</f>
        <v/>
      </c>
      <c r="D1204" s="281" t="str">
        <f>_xlfn.CONCAT(_xlfn.XLOOKUP("[S05_ImprovementReportArt69]["&amp;ROW(B1204)-ROW($B$1143)&amp;"][Annex1Activity]",Submission!$O:$O,Submission!$H:$N,""))</f>
        <v/>
      </c>
      <c r="E1204" s="347"/>
      <c r="F1204" s="284" t="str">
        <f>_xlfn.CONCAT(_xlfn.XLOOKUP("[S05_ImprovementReportArt69]["&amp;ROW(B1204)-ROW($B$1143)&amp;"][ImprovementReportType]",Submission!$O:$O,Submission!$H:$N,""))</f>
        <v/>
      </c>
      <c r="G1204" s="282"/>
      <c r="H1204" s="124" t="str">
        <f>_xlfn.CONCAT(_xlfn.XLOOKUP("[S05_ImprovementReportArt69]["&amp;ROW(B1204)-ROW($B$1143)&amp;"][ImprovementReportRequired]",Submission!$O:$O,Submission!$H:$N,""))</f>
        <v/>
      </c>
      <c r="I1204" s="124" t="str">
        <f>_xlfn.CONCAT(_xlfn.XLOOKUP("[S05_ImprovementReportArt69]["&amp;ROW(B1204)-ROW($B$1143)&amp;"][ImprovementReportSubmitted]",Submission!$O:$O,Submission!$H:$N,""))</f>
        <v/>
      </c>
    </row>
    <row r="1205" spans="1:9" ht="27" hidden="1" customHeight="1" outlineLevel="1" x14ac:dyDescent="0.3">
      <c r="A1205" s="12"/>
      <c r="C1205" s="47" t="str">
        <f>_xlfn.CONCAT(_xlfn.XLOOKUP("[S05_ImprovementReportArt69]["&amp;ROW(B1205)-ROW($B$1143)&amp;"][InstallationCategory]",Submission!$O:$O,Submission!$H:$N,""))</f>
        <v/>
      </c>
      <c r="D1205" s="281" t="str">
        <f>_xlfn.CONCAT(_xlfn.XLOOKUP("[S05_ImprovementReportArt69]["&amp;ROW(B1205)-ROW($B$1143)&amp;"][Annex1Activity]",Submission!$O:$O,Submission!$H:$N,""))</f>
        <v/>
      </c>
      <c r="E1205" s="347"/>
      <c r="F1205" s="284" t="str">
        <f>_xlfn.CONCAT(_xlfn.XLOOKUP("[S05_ImprovementReportArt69]["&amp;ROW(B1205)-ROW($B$1143)&amp;"][ImprovementReportType]",Submission!$O:$O,Submission!$H:$N,""))</f>
        <v/>
      </c>
      <c r="G1205" s="282"/>
      <c r="H1205" s="124" t="str">
        <f>_xlfn.CONCAT(_xlfn.XLOOKUP("[S05_ImprovementReportArt69]["&amp;ROW(B1205)-ROW($B$1143)&amp;"][ImprovementReportRequired]",Submission!$O:$O,Submission!$H:$N,""))</f>
        <v/>
      </c>
      <c r="I1205" s="124" t="str">
        <f>_xlfn.CONCAT(_xlfn.XLOOKUP("[S05_ImprovementReportArt69]["&amp;ROW(B1205)-ROW($B$1143)&amp;"][ImprovementReportSubmitted]",Submission!$O:$O,Submission!$H:$N,""))</f>
        <v/>
      </c>
    </row>
    <row r="1206" spans="1:9" ht="27" hidden="1" customHeight="1" outlineLevel="1" x14ac:dyDescent="0.3">
      <c r="A1206" s="12"/>
      <c r="C1206" s="47" t="str">
        <f>_xlfn.CONCAT(_xlfn.XLOOKUP("[S05_ImprovementReportArt69]["&amp;ROW(B1206)-ROW($B$1143)&amp;"][InstallationCategory]",Submission!$O:$O,Submission!$H:$N,""))</f>
        <v/>
      </c>
      <c r="D1206" s="281" t="str">
        <f>_xlfn.CONCAT(_xlfn.XLOOKUP("[S05_ImprovementReportArt69]["&amp;ROW(B1206)-ROW($B$1143)&amp;"][Annex1Activity]",Submission!$O:$O,Submission!$H:$N,""))</f>
        <v/>
      </c>
      <c r="E1206" s="347"/>
      <c r="F1206" s="284" t="str">
        <f>_xlfn.CONCAT(_xlfn.XLOOKUP("[S05_ImprovementReportArt69]["&amp;ROW(B1206)-ROW($B$1143)&amp;"][ImprovementReportType]",Submission!$O:$O,Submission!$H:$N,""))</f>
        <v/>
      </c>
      <c r="G1206" s="282"/>
      <c r="H1206" s="124" t="str">
        <f>_xlfn.CONCAT(_xlfn.XLOOKUP("[S05_ImprovementReportArt69]["&amp;ROW(B1206)-ROW($B$1143)&amp;"][ImprovementReportRequired]",Submission!$O:$O,Submission!$H:$N,""))</f>
        <v/>
      </c>
      <c r="I1206" s="124" t="str">
        <f>_xlfn.CONCAT(_xlfn.XLOOKUP("[S05_ImprovementReportArt69]["&amp;ROW(B1206)-ROW($B$1143)&amp;"][ImprovementReportSubmitted]",Submission!$O:$O,Submission!$H:$N,""))</f>
        <v/>
      </c>
    </row>
    <row r="1207" spans="1:9" ht="27" hidden="1" customHeight="1" outlineLevel="1" x14ac:dyDescent="0.3">
      <c r="A1207" s="12"/>
      <c r="C1207" s="47" t="str">
        <f>_xlfn.CONCAT(_xlfn.XLOOKUP("[S05_ImprovementReportArt69]["&amp;ROW(B1207)-ROW($B$1143)&amp;"][InstallationCategory]",Submission!$O:$O,Submission!$H:$N,""))</f>
        <v/>
      </c>
      <c r="D1207" s="281" t="str">
        <f>_xlfn.CONCAT(_xlfn.XLOOKUP("[S05_ImprovementReportArt69]["&amp;ROW(B1207)-ROW($B$1143)&amp;"][Annex1Activity]",Submission!$O:$O,Submission!$H:$N,""))</f>
        <v/>
      </c>
      <c r="E1207" s="347"/>
      <c r="F1207" s="284" t="str">
        <f>_xlfn.CONCAT(_xlfn.XLOOKUP("[S05_ImprovementReportArt69]["&amp;ROW(B1207)-ROW($B$1143)&amp;"][ImprovementReportType]",Submission!$O:$O,Submission!$H:$N,""))</f>
        <v/>
      </c>
      <c r="G1207" s="282"/>
      <c r="H1207" s="124" t="str">
        <f>_xlfn.CONCAT(_xlfn.XLOOKUP("[S05_ImprovementReportArt69]["&amp;ROW(B1207)-ROW($B$1143)&amp;"][ImprovementReportRequired]",Submission!$O:$O,Submission!$H:$N,""))</f>
        <v/>
      </c>
      <c r="I1207" s="124" t="str">
        <f>_xlfn.CONCAT(_xlfn.XLOOKUP("[S05_ImprovementReportArt69]["&amp;ROW(B1207)-ROW($B$1143)&amp;"][ImprovementReportSubmitted]",Submission!$O:$O,Submission!$H:$N,""))</f>
        <v/>
      </c>
    </row>
    <row r="1208" spans="1:9" ht="27" hidden="1" customHeight="1" outlineLevel="1" x14ac:dyDescent="0.3">
      <c r="A1208" s="12"/>
      <c r="C1208" s="47" t="str">
        <f>_xlfn.CONCAT(_xlfn.XLOOKUP("[S05_ImprovementReportArt69]["&amp;ROW(B1208)-ROW($B$1143)&amp;"][InstallationCategory]",Submission!$O:$O,Submission!$H:$N,""))</f>
        <v/>
      </c>
      <c r="D1208" s="281" t="str">
        <f>_xlfn.CONCAT(_xlfn.XLOOKUP("[S05_ImprovementReportArt69]["&amp;ROW(B1208)-ROW($B$1143)&amp;"][Annex1Activity]",Submission!$O:$O,Submission!$H:$N,""))</f>
        <v/>
      </c>
      <c r="E1208" s="347"/>
      <c r="F1208" s="284" t="str">
        <f>_xlfn.CONCAT(_xlfn.XLOOKUP("[S05_ImprovementReportArt69]["&amp;ROW(B1208)-ROW($B$1143)&amp;"][ImprovementReportType]",Submission!$O:$O,Submission!$H:$N,""))</f>
        <v/>
      </c>
      <c r="G1208" s="282"/>
      <c r="H1208" s="124" t="str">
        <f>_xlfn.CONCAT(_xlfn.XLOOKUP("[S05_ImprovementReportArt69]["&amp;ROW(B1208)-ROW($B$1143)&amp;"][ImprovementReportRequired]",Submission!$O:$O,Submission!$H:$N,""))</f>
        <v/>
      </c>
      <c r="I1208" s="124" t="str">
        <f>_xlfn.CONCAT(_xlfn.XLOOKUP("[S05_ImprovementReportArt69]["&amp;ROW(B1208)-ROW($B$1143)&amp;"][ImprovementReportSubmitted]",Submission!$O:$O,Submission!$H:$N,""))</f>
        <v/>
      </c>
    </row>
    <row r="1209" spans="1:9" ht="27" hidden="1" customHeight="1" outlineLevel="1" x14ac:dyDescent="0.3">
      <c r="A1209" s="12"/>
      <c r="C1209" s="47" t="str">
        <f>_xlfn.CONCAT(_xlfn.XLOOKUP("[S05_ImprovementReportArt69]["&amp;ROW(B1209)-ROW($B$1143)&amp;"][InstallationCategory]",Submission!$O:$O,Submission!$H:$N,""))</f>
        <v/>
      </c>
      <c r="D1209" s="281" t="str">
        <f>_xlfn.CONCAT(_xlfn.XLOOKUP("[S05_ImprovementReportArt69]["&amp;ROW(B1209)-ROW($B$1143)&amp;"][Annex1Activity]",Submission!$O:$O,Submission!$H:$N,""))</f>
        <v/>
      </c>
      <c r="E1209" s="347"/>
      <c r="F1209" s="284" t="str">
        <f>_xlfn.CONCAT(_xlfn.XLOOKUP("[S05_ImprovementReportArt69]["&amp;ROW(B1209)-ROW($B$1143)&amp;"][ImprovementReportType]",Submission!$O:$O,Submission!$H:$N,""))</f>
        <v/>
      </c>
      <c r="G1209" s="282"/>
      <c r="H1209" s="124" t="str">
        <f>_xlfn.CONCAT(_xlfn.XLOOKUP("[S05_ImprovementReportArt69]["&amp;ROW(B1209)-ROW($B$1143)&amp;"][ImprovementReportRequired]",Submission!$O:$O,Submission!$H:$N,""))</f>
        <v/>
      </c>
      <c r="I1209" s="124" t="str">
        <f>_xlfn.CONCAT(_xlfn.XLOOKUP("[S05_ImprovementReportArt69]["&amp;ROW(B1209)-ROW($B$1143)&amp;"][ImprovementReportSubmitted]",Submission!$O:$O,Submission!$H:$N,""))</f>
        <v/>
      </c>
    </row>
    <row r="1210" spans="1:9" ht="27" hidden="1" customHeight="1" outlineLevel="1" x14ac:dyDescent="0.3">
      <c r="A1210" s="12"/>
      <c r="C1210" s="47" t="str">
        <f>_xlfn.CONCAT(_xlfn.XLOOKUP("[S05_ImprovementReportArt69]["&amp;ROW(B1210)-ROW($B$1143)&amp;"][InstallationCategory]",Submission!$O:$O,Submission!$H:$N,""))</f>
        <v/>
      </c>
      <c r="D1210" s="281" t="str">
        <f>_xlfn.CONCAT(_xlfn.XLOOKUP("[S05_ImprovementReportArt69]["&amp;ROW(B1210)-ROW($B$1143)&amp;"][Annex1Activity]",Submission!$O:$O,Submission!$H:$N,""))</f>
        <v/>
      </c>
      <c r="E1210" s="347"/>
      <c r="F1210" s="284" t="str">
        <f>_xlfn.CONCAT(_xlfn.XLOOKUP("[S05_ImprovementReportArt69]["&amp;ROW(B1210)-ROW($B$1143)&amp;"][ImprovementReportType]",Submission!$O:$O,Submission!$H:$N,""))</f>
        <v/>
      </c>
      <c r="G1210" s="282"/>
      <c r="H1210" s="124" t="str">
        <f>_xlfn.CONCAT(_xlfn.XLOOKUP("[S05_ImprovementReportArt69]["&amp;ROW(B1210)-ROW($B$1143)&amp;"][ImprovementReportRequired]",Submission!$O:$O,Submission!$H:$N,""))</f>
        <v/>
      </c>
      <c r="I1210" s="124" t="str">
        <f>_xlfn.CONCAT(_xlfn.XLOOKUP("[S05_ImprovementReportArt69]["&amp;ROW(B1210)-ROW($B$1143)&amp;"][ImprovementReportSubmitted]",Submission!$O:$O,Submission!$H:$N,""))</f>
        <v/>
      </c>
    </row>
    <row r="1211" spans="1:9" ht="27" hidden="1" customHeight="1" outlineLevel="1" x14ac:dyDescent="0.3">
      <c r="A1211" s="12"/>
      <c r="C1211" s="47" t="str">
        <f>_xlfn.CONCAT(_xlfn.XLOOKUP("[S05_ImprovementReportArt69]["&amp;ROW(B1211)-ROW($B$1143)&amp;"][InstallationCategory]",Submission!$O:$O,Submission!$H:$N,""))</f>
        <v/>
      </c>
      <c r="D1211" s="281" t="str">
        <f>_xlfn.CONCAT(_xlfn.XLOOKUP("[S05_ImprovementReportArt69]["&amp;ROW(B1211)-ROW($B$1143)&amp;"][Annex1Activity]",Submission!$O:$O,Submission!$H:$N,""))</f>
        <v/>
      </c>
      <c r="E1211" s="347"/>
      <c r="F1211" s="284" t="str">
        <f>_xlfn.CONCAT(_xlfn.XLOOKUP("[S05_ImprovementReportArt69]["&amp;ROW(B1211)-ROW($B$1143)&amp;"][ImprovementReportType]",Submission!$O:$O,Submission!$H:$N,""))</f>
        <v/>
      </c>
      <c r="G1211" s="282"/>
      <c r="H1211" s="124" t="str">
        <f>_xlfn.CONCAT(_xlfn.XLOOKUP("[S05_ImprovementReportArt69]["&amp;ROW(B1211)-ROW($B$1143)&amp;"][ImprovementReportRequired]",Submission!$O:$O,Submission!$H:$N,""))</f>
        <v/>
      </c>
      <c r="I1211" s="124" t="str">
        <f>_xlfn.CONCAT(_xlfn.XLOOKUP("[S05_ImprovementReportArt69]["&amp;ROW(B1211)-ROW($B$1143)&amp;"][ImprovementReportSubmitted]",Submission!$O:$O,Submission!$H:$N,""))</f>
        <v/>
      </c>
    </row>
    <row r="1212" spans="1:9" ht="27" hidden="1" customHeight="1" outlineLevel="1" x14ac:dyDescent="0.3">
      <c r="A1212" s="12"/>
      <c r="C1212" s="47" t="str">
        <f>_xlfn.CONCAT(_xlfn.XLOOKUP("[S05_ImprovementReportArt69]["&amp;ROW(B1212)-ROW($B$1143)&amp;"][InstallationCategory]",Submission!$O:$O,Submission!$H:$N,""))</f>
        <v/>
      </c>
      <c r="D1212" s="281" t="str">
        <f>_xlfn.CONCAT(_xlfn.XLOOKUP("[S05_ImprovementReportArt69]["&amp;ROW(B1212)-ROW($B$1143)&amp;"][Annex1Activity]",Submission!$O:$O,Submission!$H:$N,""))</f>
        <v/>
      </c>
      <c r="E1212" s="347"/>
      <c r="F1212" s="284" t="str">
        <f>_xlfn.CONCAT(_xlfn.XLOOKUP("[S05_ImprovementReportArt69]["&amp;ROW(B1212)-ROW($B$1143)&amp;"][ImprovementReportType]",Submission!$O:$O,Submission!$H:$N,""))</f>
        <v/>
      </c>
      <c r="G1212" s="282"/>
      <c r="H1212" s="124" t="str">
        <f>_xlfn.CONCAT(_xlfn.XLOOKUP("[S05_ImprovementReportArt69]["&amp;ROW(B1212)-ROW($B$1143)&amp;"][ImprovementReportRequired]",Submission!$O:$O,Submission!$H:$N,""))</f>
        <v/>
      </c>
      <c r="I1212" s="124" t="str">
        <f>_xlfn.CONCAT(_xlfn.XLOOKUP("[S05_ImprovementReportArt69]["&amp;ROW(B1212)-ROW($B$1143)&amp;"][ImprovementReportSubmitted]",Submission!$O:$O,Submission!$H:$N,""))</f>
        <v/>
      </c>
    </row>
    <row r="1213" spans="1:9" ht="27" hidden="1" customHeight="1" outlineLevel="1" x14ac:dyDescent="0.3">
      <c r="A1213" s="12"/>
      <c r="C1213" s="47" t="str">
        <f>_xlfn.CONCAT(_xlfn.XLOOKUP("[S05_ImprovementReportArt69]["&amp;ROW(B1213)-ROW($B$1143)&amp;"][InstallationCategory]",Submission!$O:$O,Submission!$H:$N,""))</f>
        <v/>
      </c>
      <c r="D1213" s="281" t="str">
        <f>_xlfn.CONCAT(_xlfn.XLOOKUP("[S05_ImprovementReportArt69]["&amp;ROW(B1213)-ROW($B$1143)&amp;"][Annex1Activity]",Submission!$O:$O,Submission!$H:$N,""))</f>
        <v/>
      </c>
      <c r="E1213" s="347"/>
      <c r="F1213" s="284" t="str">
        <f>_xlfn.CONCAT(_xlfn.XLOOKUP("[S05_ImprovementReportArt69]["&amp;ROW(B1213)-ROW($B$1143)&amp;"][ImprovementReportType]",Submission!$O:$O,Submission!$H:$N,""))</f>
        <v/>
      </c>
      <c r="G1213" s="282"/>
      <c r="H1213" s="124" t="str">
        <f>_xlfn.CONCAT(_xlfn.XLOOKUP("[S05_ImprovementReportArt69]["&amp;ROW(B1213)-ROW($B$1143)&amp;"][ImprovementReportRequired]",Submission!$O:$O,Submission!$H:$N,""))</f>
        <v/>
      </c>
      <c r="I1213" s="124" t="str">
        <f>_xlfn.CONCAT(_xlfn.XLOOKUP("[S05_ImprovementReportArt69]["&amp;ROW(B1213)-ROW($B$1143)&amp;"][ImprovementReportSubmitted]",Submission!$O:$O,Submission!$H:$N,""))</f>
        <v/>
      </c>
    </row>
    <row r="1214" spans="1:9" ht="15.6" customHeight="1" collapsed="1" x14ac:dyDescent="0.3">
      <c r="A1214" s="13"/>
      <c r="B1214" s="26" t="s">
        <v>2</v>
      </c>
      <c r="C1214" s="19"/>
      <c r="D1214" s="20"/>
      <c r="E1214" s="20"/>
      <c r="F1214" s="20"/>
      <c r="G1214" s="20"/>
      <c r="H1214" s="20"/>
      <c r="I1214" s="20"/>
    </row>
    <row r="1215" spans="1:9" ht="27.6" customHeight="1" x14ac:dyDescent="0.3">
      <c r="A1215" s="13"/>
      <c r="B1215" s="16"/>
      <c r="C1215" s="367" t="s">
        <v>895</v>
      </c>
      <c r="D1215" s="367"/>
      <c r="E1215" s="367"/>
      <c r="F1215" s="367"/>
      <c r="G1215" s="367"/>
      <c r="H1215" s="367"/>
      <c r="I1215" s="367"/>
    </row>
    <row r="1216" spans="1:9" ht="15.9" customHeight="1" x14ac:dyDescent="0.3"/>
    <row r="1217" spans="1:12" ht="33" customHeight="1" x14ac:dyDescent="0.3">
      <c r="A1217" s="12" t="s">
        <v>273</v>
      </c>
      <c r="B1217" s="293" t="s">
        <v>896</v>
      </c>
      <c r="C1217" s="294"/>
      <c r="D1217" s="294"/>
      <c r="E1217" s="294"/>
      <c r="F1217" s="294"/>
      <c r="G1217" s="294"/>
      <c r="H1217" s="295"/>
      <c r="I1217" s="41" t="str">
        <f>_xlfn.CONCAT(_xlfn.XLOOKUP("[InherentCarbonTransferred][0][InherentCarbonTransferred]",Submission!$O:$O,Submission!$H:$N,""))</f>
        <v>No</v>
      </c>
    </row>
    <row r="1218" spans="1:12" ht="15.9" customHeight="1" x14ac:dyDescent="0.3">
      <c r="A1218" s="12"/>
      <c r="B1218" s="293" t="s">
        <v>884</v>
      </c>
      <c r="C1218" s="294"/>
      <c r="D1218" s="294"/>
      <c r="E1218" s="294"/>
      <c r="F1218" s="294"/>
      <c r="G1218" s="294"/>
      <c r="H1218" s="294"/>
      <c r="I1218" s="294"/>
    </row>
    <row r="1219" spans="1:12" ht="71.400000000000006" customHeight="1" x14ac:dyDescent="0.3">
      <c r="C1219" s="45" t="s">
        <v>897</v>
      </c>
      <c r="D1219" s="46" t="s">
        <v>898</v>
      </c>
      <c r="E1219" s="46" t="s">
        <v>899</v>
      </c>
      <c r="F1219" s="46" t="s">
        <v>900</v>
      </c>
      <c r="G1219" s="46" t="s">
        <v>901</v>
      </c>
      <c r="H1219" s="45" t="s">
        <v>902</v>
      </c>
      <c r="I1219" s="46" t="s">
        <v>903</v>
      </c>
    </row>
    <row r="1220" spans="1:12" s="147" customFormat="1" ht="41.4" customHeight="1" x14ac:dyDescent="0.3">
      <c r="A1220" s="146"/>
      <c r="C1220" s="71" t="str">
        <f>_xlfn.CONCAT(_xlfn.XLOOKUP("[S05_InherentCarbonTransferredDetail]["&amp;ROW(B1220)-ROW($B$1219)&amp;"][TransferType]",Submission!$O:$O,Submission!$H:$N,""))</f>
        <v/>
      </c>
      <c r="D1220" s="72" t="str">
        <f>_xlfn.CONCAT(_xlfn.XLOOKUP("[S05_InherentCarbonTransferredDetail]["&amp;ROW(B1220)-ROW($B$1219)&amp;"][InstallationIdTransferring]",Submission!$O:$O,Submission!$H:$N,""))</f>
        <v/>
      </c>
      <c r="E1220" s="72" t="str">
        <f>_xlfn.CONCAT(_xlfn.XLOOKUP("[S05_InherentCarbonTransferredDetail]["&amp;ROW(B1220)-ROW($B$1219)&amp;"][InstallationIdReceiving]",Submission!$O:$O,Submission!$H:$N,""))</f>
        <v/>
      </c>
      <c r="F1220" s="124" t="str">
        <f>_xlfn.CONCAT(_xlfn.XLOOKUP("[S05_InherentCarbonTransferredDetail]["&amp;ROW(B1220)-ROW($B$1219)&amp;"][AmountCO2Transferred]",Submission!$O:$O,Submission!$H:$N,""))</f>
        <v/>
      </c>
      <c r="G1220" s="124" t="str">
        <f>_xlfn.CONCAT(_xlfn.XLOOKUP("[S05_InherentCarbonTransferredDetail]["&amp;ROW(B1220)-ROW($B$1219)&amp;"][InherentCO2Received]",Submission!$O:$O,Submission!$H:$N,""))</f>
        <v/>
      </c>
      <c r="H1220" s="71" t="str">
        <f>_xlfn.CONCAT(_xlfn.XLOOKUP("[S05_InherentCarbonTransferredDetail]["&amp;ROW(B1220)-ROW($B$1219)&amp;"][ReceivingInstallationType]",Submission!$O:$O,Submission!$H:$N,""))</f>
        <v/>
      </c>
      <c r="I1220" s="72" t="str">
        <f>_xlfn.CONCAT(_xlfn.XLOOKUP("[S05_InherentCarbonTransferredDetail]["&amp;ROW(B1220)-ROW($B$1219)&amp;"][StorageSitePermitNumber]",Submission!$O:$O,Submission!$H:$N,""))</f>
        <v/>
      </c>
      <c r="K1220" s="13"/>
      <c r="L1220" s="13"/>
    </row>
    <row r="1221" spans="1:12" s="147" customFormat="1" ht="41.4" customHeight="1" x14ac:dyDescent="0.3">
      <c r="A1221" s="146"/>
      <c r="C1221" s="71" t="str">
        <f>_xlfn.CONCAT(_xlfn.XLOOKUP("[S05_InherentCarbonTransferredDetail]["&amp;ROW(B1221)-ROW($B$1219)&amp;"][TransferType]",Submission!$O:$O,Submission!$H:$N,""))</f>
        <v/>
      </c>
      <c r="D1221" s="72" t="str">
        <f>_xlfn.CONCAT(_xlfn.XLOOKUP("[S05_InherentCarbonTransferredDetail]["&amp;ROW(B1221)-ROW($B$1219)&amp;"][InstallationIdTransferring]",Submission!$O:$O,Submission!$H:$N,""))</f>
        <v/>
      </c>
      <c r="E1221" s="72" t="str">
        <f>_xlfn.CONCAT(_xlfn.XLOOKUP("[S05_InherentCarbonTransferredDetail]["&amp;ROW(B1221)-ROW($B$1219)&amp;"][InstallationIdReceiving]",Submission!$O:$O,Submission!$H:$N,""))</f>
        <v/>
      </c>
      <c r="F1221" s="124" t="str">
        <f>_xlfn.CONCAT(_xlfn.XLOOKUP("[S05_InherentCarbonTransferredDetail]["&amp;ROW(B1221)-ROW($B$1219)&amp;"][AmountCO2Transferred]",Submission!$O:$O,Submission!$H:$N,""))</f>
        <v/>
      </c>
      <c r="G1221" s="124" t="str">
        <f>_xlfn.CONCAT(_xlfn.XLOOKUP("[S05_InherentCarbonTransferredDetail]["&amp;ROW(B1221)-ROW($B$1219)&amp;"][InherentCO2Received]",Submission!$O:$O,Submission!$H:$N,""))</f>
        <v/>
      </c>
      <c r="H1221" s="71" t="str">
        <f>_xlfn.CONCAT(_xlfn.XLOOKUP("[S05_InherentCarbonTransferredDetail]["&amp;ROW(B1221)-ROW($B$1219)&amp;"][ReceivingInstallationType]",Submission!$O:$O,Submission!$H:$N,""))</f>
        <v/>
      </c>
      <c r="I1221" s="72" t="str">
        <f>_xlfn.CONCAT(_xlfn.XLOOKUP("[S05_InherentCarbonTransferredDetail]["&amp;ROW(B1221)-ROW($B$1219)&amp;"][StorageSitePermitNumber]",Submission!$O:$O,Submission!$H:$N,""))</f>
        <v/>
      </c>
      <c r="K1221" s="13"/>
      <c r="L1221" s="13"/>
    </row>
    <row r="1222" spans="1:12" s="147" customFormat="1" ht="41.4" customHeight="1" x14ac:dyDescent="0.3">
      <c r="A1222" s="146"/>
      <c r="C1222" s="71" t="str">
        <f>_xlfn.CONCAT(_xlfn.XLOOKUP("[S05_InherentCarbonTransferredDetail]["&amp;ROW(B1222)-ROW($B$1219)&amp;"][TransferType]",Submission!$O:$O,Submission!$H:$N,""))</f>
        <v/>
      </c>
      <c r="D1222" s="72" t="str">
        <f>_xlfn.CONCAT(_xlfn.XLOOKUP("[S05_InherentCarbonTransferredDetail]["&amp;ROW(B1222)-ROW($B$1219)&amp;"][InstallationIdTransferring]",Submission!$O:$O,Submission!$H:$N,""))</f>
        <v/>
      </c>
      <c r="E1222" s="72" t="str">
        <f>_xlfn.CONCAT(_xlfn.XLOOKUP("[S05_InherentCarbonTransferredDetail]["&amp;ROW(B1222)-ROW($B$1219)&amp;"][InstallationIdReceiving]",Submission!$O:$O,Submission!$H:$N,""))</f>
        <v/>
      </c>
      <c r="F1222" s="124" t="str">
        <f>_xlfn.CONCAT(_xlfn.XLOOKUP("[S05_InherentCarbonTransferredDetail]["&amp;ROW(B1222)-ROW($B$1219)&amp;"][AmountCO2Transferred]",Submission!$O:$O,Submission!$H:$N,""))</f>
        <v/>
      </c>
      <c r="G1222" s="124" t="str">
        <f>_xlfn.CONCAT(_xlfn.XLOOKUP("[S05_InherentCarbonTransferredDetail]["&amp;ROW(B1222)-ROW($B$1219)&amp;"][InherentCO2Received]",Submission!$O:$O,Submission!$H:$N,""))</f>
        <v/>
      </c>
      <c r="H1222" s="71" t="str">
        <f>_xlfn.CONCAT(_xlfn.XLOOKUP("[S05_InherentCarbonTransferredDetail]["&amp;ROW(B1222)-ROW($B$1219)&amp;"][ReceivingInstallationType]",Submission!$O:$O,Submission!$H:$N,""))</f>
        <v/>
      </c>
      <c r="I1222" s="72" t="str">
        <f>_xlfn.CONCAT(_xlfn.XLOOKUP("[S05_InherentCarbonTransferredDetail]["&amp;ROW(B1222)-ROW($B$1219)&amp;"][StorageSitePermitNumber]",Submission!$O:$O,Submission!$H:$N,""))</f>
        <v/>
      </c>
      <c r="K1222" s="13"/>
      <c r="L1222" s="13"/>
    </row>
    <row r="1223" spans="1:12" s="147" customFormat="1" ht="41.4" customHeight="1" x14ac:dyDescent="0.3">
      <c r="A1223" s="146"/>
      <c r="C1223" s="71" t="str">
        <f>_xlfn.CONCAT(_xlfn.XLOOKUP("[S05_InherentCarbonTransferredDetail]["&amp;ROW(B1223)-ROW($B$1219)&amp;"][TransferType]",Submission!$O:$O,Submission!$H:$N,""))</f>
        <v/>
      </c>
      <c r="D1223" s="72" t="str">
        <f>_xlfn.CONCAT(_xlfn.XLOOKUP("[S05_InherentCarbonTransferredDetail]["&amp;ROW(B1223)-ROW($B$1219)&amp;"][InstallationIdTransferring]",Submission!$O:$O,Submission!$H:$N,""))</f>
        <v/>
      </c>
      <c r="E1223" s="72" t="str">
        <f>_xlfn.CONCAT(_xlfn.XLOOKUP("[S05_InherentCarbonTransferredDetail]["&amp;ROW(B1223)-ROW($B$1219)&amp;"][InstallationIdReceiving]",Submission!$O:$O,Submission!$H:$N,""))</f>
        <v/>
      </c>
      <c r="F1223" s="124" t="str">
        <f>_xlfn.CONCAT(_xlfn.XLOOKUP("[S05_InherentCarbonTransferredDetail]["&amp;ROW(B1223)-ROW($B$1219)&amp;"][AmountCO2Transferred]",Submission!$O:$O,Submission!$H:$N,""))</f>
        <v/>
      </c>
      <c r="G1223" s="124" t="str">
        <f>_xlfn.CONCAT(_xlfn.XLOOKUP("[S05_InherentCarbonTransferredDetail]["&amp;ROW(B1223)-ROW($B$1219)&amp;"][InherentCO2Received]",Submission!$O:$O,Submission!$H:$N,""))</f>
        <v/>
      </c>
      <c r="H1223" s="71" t="str">
        <f>_xlfn.CONCAT(_xlfn.XLOOKUP("[S05_InherentCarbonTransferredDetail]["&amp;ROW(B1223)-ROW($B$1219)&amp;"][ReceivingInstallationType]",Submission!$O:$O,Submission!$H:$N,""))</f>
        <v/>
      </c>
      <c r="I1223" s="72" t="str">
        <f>_xlfn.CONCAT(_xlfn.XLOOKUP("[S05_InherentCarbonTransferredDetail]["&amp;ROW(B1223)-ROW($B$1219)&amp;"][StorageSitePermitNumber]",Submission!$O:$O,Submission!$H:$N,""))</f>
        <v/>
      </c>
      <c r="K1223" s="13"/>
      <c r="L1223" s="13"/>
    </row>
    <row r="1224" spans="1:12" s="147" customFormat="1" ht="41.4" customHeight="1" x14ac:dyDescent="0.3">
      <c r="A1224" s="146"/>
      <c r="C1224" s="71" t="str">
        <f>_xlfn.CONCAT(_xlfn.XLOOKUP("[S05_InherentCarbonTransferredDetail]["&amp;ROW(B1224)-ROW($B$1219)&amp;"][TransferType]",Submission!$O:$O,Submission!$H:$N,""))</f>
        <v/>
      </c>
      <c r="D1224" s="72" t="str">
        <f>_xlfn.CONCAT(_xlfn.XLOOKUP("[S05_InherentCarbonTransferredDetail]["&amp;ROW(B1224)-ROW($B$1219)&amp;"][InstallationIdTransferring]",Submission!$O:$O,Submission!$H:$N,""))</f>
        <v/>
      </c>
      <c r="E1224" s="72" t="str">
        <f>_xlfn.CONCAT(_xlfn.XLOOKUP("[S05_InherentCarbonTransferredDetail]["&amp;ROW(B1224)-ROW($B$1219)&amp;"][InstallationIdReceiving]",Submission!$O:$O,Submission!$H:$N,""))</f>
        <v/>
      </c>
      <c r="F1224" s="124" t="str">
        <f>_xlfn.CONCAT(_xlfn.XLOOKUP("[S05_InherentCarbonTransferredDetail]["&amp;ROW(B1224)-ROW($B$1219)&amp;"][AmountCO2Transferred]",Submission!$O:$O,Submission!$H:$N,""))</f>
        <v/>
      </c>
      <c r="G1224" s="124" t="str">
        <f>_xlfn.CONCAT(_xlfn.XLOOKUP("[S05_InherentCarbonTransferredDetail]["&amp;ROW(B1224)-ROW($B$1219)&amp;"][InherentCO2Received]",Submission!$O:$O,Submission!$H:$N,""))</f>
        <v/>
      </c>
      <c r="H1224" s="71" t="str">
        <f>_xlfn.CONCAT(_xlfn.XLOOKUP("[S05_InherentCarbonTransferredDetail]["&amp;ROW(B1224)-ROW($B$1219)&amp;"][ReceivingInstallationType]",Submission!$O:$O,Submission!$H:$N,""))</f>
        <v/>
      </c>
      <c r="I1224" s="72" t="str">
        <f>_xlfn.CONCAT(_xlfn.XLOOKUP("[S05_InherentCarbonTransferredDetail]["&amp;ROW(B1224)-ROW($B$1219)&amp;"][StorageSitePermitNumber]",Submission!$O:$O,Submission!$H:$N,""))</f>
        <v/>
      </c>
      <c r="K1224" s="13"/>
      <c r="L1224" s="13"/>
    </row>
    <row r="1225" spans="1:12" s="147" customFormat="1" ht="41.4" hidden="1" customHeight="1" outlineLevel="1" x14ac:dyDescent="0.3">
      <c r="A1225" s="146"/>
      <c r="C1225" s="71" t="str">
        <f>_xlfn.CONCAT(_xlfn.XLOOKUP("[S05_InherentCarbonTransferredDetail]["&amp;ROW(B1225)-ROW($B$1219)&amp;"][TransferType]",Submission!$O:$O,Submission!$H:$N,""))</f>
        <v/>
      </c>
      <c r="D1225" s="72" t="str">
        <f>_xlfn.CONCAT(_xlfn.XLOOKUP("[S05_InherentCarbonTransferredDetail]["&amp;ROW(B1225)-ROW($B$1219)&amp;"][InstallationIdTransferring]",Submission!$O:$O,Submission!$H:$N,""))</f>
        <v/>
      </c>
      <c r="E1225" s="72" t="str">
        <f>_xlfn.CONCAT(_xlfn.XLOOKUP("[S05_InherentCarbonTransferredDetail]["&amp;ROW(B1225)-ROW($B$1219)&amp;"][InstallationIdReceiving]",Submission!$O:$O,Submission!$H:$N,""))</f>
        <v/>
      </c>
      <c r="F1225" s="124" t="str">
        <f>_xlfn.CONCAT(_xlfn.XLOOKUP("[S05_InherentCarbonTransferredDetail]["&amp;ROW(B1225)-ROW($B$1219)&amp;"][AmountCO2Transferred]",Submission!$O:$O,Submission!$H:$N,""))</f>
        <v/>
      </c>
      <c r="G1225" s="124" t="str">
        <f>_xlfn.CONCAT(_xlfn.XLOOKUP("[S05_InherentCarbonTransferredDetail]["&amp;ROW(B1225)-ROW($B$1219)&amp;"][InherentCO2Received]",Submission!$O:$O,Submission!$H:$N,""))</f>
        <v/>
      </c>
      <c r="H1225" s="71" t="str">
        <f>_xlfn.CONCAT(_xlfn.XLOOKUP("[S05_InherentCarbonTransferredDetail]["&amp;ROW(B1225)-ROW($B$1219)&amp;"][ReceivingInstallationType]",Submission!$O:$O,Submission!$H:$N,""))</f>
        <v/>
      </c>
      <c r="I1225" s="72" t="str">
        <f>_xlfn.CONCAT(_xlfn.XLOOKUP("[S05_InherentCarbonTransferredDetail]["&amp;ROW(B1225)-ROW($B$1219)&amp;"][StorageSitePermitNumber]",Submission!$O:$O,Submission!$H:$N,""))</f>
        <v/>
      </c>
      <c r="K1225" s="13"/>
      <c r="L1225" s="13"/>
    </row>
    <row r="1226" spans="1:12" s="147" customFormat="1" ht="41.4" hidden="1" customHeight="1" outlineLevel="1" x14ac:dyDescent="0.3">
      <c r="A1226" s="146"/>
      <c r="C1226" s="71" t="str">
        <f>_xlfn.CONCAT(_xlfn.XLOOKUP("[S05_InherentCarbonTransferredDetail]["&amp;ROW(B1226)-ROW($B$1219)&amp;"][TransferType]",Submission!$O:$O,Submission!$H:$N,""))</f>
        <v/>
      </c>
      <c r="D1226" s="72" t="str">
        <f>_xlfn.CONCAT(_xlfn.XLOOKUP("[S05_InherentCarbonTransferredDetail]["&amp;ROW(B1226)-ROW($B$1219)&amp;"][InstallationIdTransferring]",Submission!$O:$O,Submission!$H:$N,""))</f>
        <v/>
      </c>
      <c r="E1226" s="72" t="str">
        <f>_xlfn.CONCAT(_xlfn.XLOOKUP("[S05_InherentCarbonTransferredDetail]["&amp;ROW(B1226)-ROW($B$1219)&amp;"][InstallationIdReceiving]",Submission!$O:$O,Submission!$H:$N,""))</f>
        <v/>
      </c>
      <c r="F1226" s="124" t="str">
        <f>_xlfn.CONCAT(_xlfn.XLOOKUP("[S05_InherentCarbonTransferredDetail]["&amp;ROW(B1226)-ROW($B$1219)&amp;"][AmountCO2Transferred]",Submission!$O:$O,Submission!$H:$N,""))</f>
        <v/>
      </c>
      <c r="G1226" s="124" t="str">
        <f>_xlfn.CONCAT(_xlfn.XLOOKUP("[S05_InherentCarbonTransferredDetail]["&amp;ROW(B1226)-ROW($B$1219)&amp;"][InherentCO2Received]",Submission!$O:$O,Submission!$H:$N,""))</f>
        <v/>
      </c>
      <c r="H1226" s="71" t="str">
        <f>_xlfn.CONCAT(_xlfn.XLOOKUP("[S05_InherentCarbonTransferredDetail]["&amp;ROW(B1226)-ROW($B$1219)&amp;"][ReceivingInstallationType]",Submission!$O:$O,Submission!$H:$N,""))</f>
        <v/>
      </c>
      <c r="I1226" s="72" t="str">
        <f>_xlfn.CONCAT(_xlfn.XLOOKUP("[S05_InherentCarbonTransferredDetail]["&amp;ROW(B1226)-ROW($B$1219)&amp;"][StorageSitePermitNumber]",Submission!$O:$O,Submission!$H:$N,""))</f>
        <v/>
      </c>
      <c r="K1226" s="13"/>
      <c r="L1226" s="13"/>
    </row>
    <row r="1227" spans="1:12" s="147" customFormat="1" ht="41.4" hidden="1" customHeight="1" outlineLevel="1" x14ac:dyDescent="0.3">
      <c r="A1227" s="146"/>
      <c r="C1227" s="71" t="str">
        <f>_xlfn.CONCAT(_xlfn.XLOOKUP("[S05_InherentCarbonTransferredDetail]["&amp;ROW(B1227)-ROW($B$1219)&amp;"][TransferType]",Submission!$O:$O,Submission!$H:$N,""))</f>
        <v/>
      </c>
      <c r="D1227" s="72" t="str">
        <f>_xlfn.CONCAT(_xlfn.XLOOKUP("[S05_InherentCarbonTransferredDetail]["&amp;ROW(B1227)-ROW($B$1219)&amp;"][InstallationIdTransferring]",Submission!$O:$O,Submission!$H:$N,""))</f>
        <v/>
      </c>
      <c r="E1227" s="72" t="str">
        <f>_xlfn.CONCAT(_xlfn.XLOOKUP("[S05_InherentCarbonTransferredDetail]["&amp;ROW(B1227)-ROW($B$1219)&amp;"][InstallationIdReceiving]",Submission!$O:$O,Submission!$H:$N,""))</f>
        <v/>
      </c>
      <c r="F1227" s="124" t="str">
        <f>_xlfn.CONCAT(_xlfn.XLOOKUP("[S05_InherentCarbonTransferredDetail]["&amp;ROW(B1227)-ROW($B$1219)&amp;"][AmountCO2Transferred]",Submission!$O:$O,Submission!$H:$N,""))</f>
        <v/>
      </c>
      <c r="G1227" s="124" t="str">
        <f>_xlfn.CONCAT(_xlfn.XLOOKUP("[S05_InherentCarbonTransferredDetail]["&amp;ROW(B1227)-ROW($B$1219)&amp;"][InherentCO2Received]",Submission!$O:$O,Submission!$H:$N,""))</f>
        <v/>
      </c>
      <c r="H1227" s="71" t="str">
        <f>_xlfn.CONCAT(_xlfn.XLOOKUP("[S05_InherentCarbonTransferredDetail]["&amp;ROW(B1227)-ROW($B$1219)&amp;"][ReceivingInstallationType]",Submission!$O:$O,Submission!$H:$N,""))</f>
        <v/>
      </c>
      <c r="I1227" s="72" t="str">
        <f>_xlfn.CONCAT(_xlfn.XLOOKUP("[S05_InherentCarbonTransferredDetail]["&amp;ROW(B1227)-ROW($B$1219)&amp;"][StorageSitePermitNumber]",Submission!$O:$O,Submission!$H:$N,""))</f>
        <v/>
      </c>
      <c r="K1227" s="13"/>
      <c r="L1227" s="13"/>
    </row>
    <row r="1228" spans="1:12" s="147" customFormat="1" ht="41.4" hidden="1" customHeight="1" outlineLevel="1" x14ac:dyDescent="0.3">
      <c r="A1228" s="146"/>
      <c r="C1228" s="71" t="str">
        <f>_xlfn.CONCAT(_xlfn.XLOOKUP("[S05_InherentCarbonTransferredDetail]["&amp;ROW(B1228)-ROW($B$1219)&amp;"][TransferType]",Submission!$O:$O,Submission!$H:$N,""))</f>
        <v/>
      </c>
      <c r="D1228" s="72" t="str">
        <f>_xlfn.CONCAT(_xlfn.XLOOKUP("[S05_InherentCarbonTransferredDetail]["&amp;ROW(B1228)-ROW($B$1219)&amp;"][InstallationIdTransferring]",Submission!$O:$O,Submission!$H:$N,""))</f>
        <v/>
      </c>
      <c r="E1228" s="72" t="str">
        <f>_xlfn.CONCAT(_xlfn.XLOOKUP("[S05_InherentCarbonTransferredDetail]["&amp;ROW(B1228)-ROW($B$1219)&amp;"][InstallationIdReceiving]",Submission!$O:$O,Submission!$H:$N,""))</f>
        <v/>
      </c>
      <c r="F1228" s="124" t="str">
        <f>_xlfn.CONCAT(_xlfn.XLOOKUP("[S05_InherentCarbonTransferredDetail]["&amp;ROW(B1228)-ROW($B$1219)&amp;"][AmountCO2Transferred]",Submission!$O:$O,Submission!$H:$N,""))</f>
        <v/>
      </c>
      <c r="G1228" s="124" t="str">
        <f>_xlfn.CONCAT(_xlfn.XLOOKUP("[S05_InherentCarbonTransferredDetail]["&amp;ROW(B1228)-ROW($B$1219)&amp;"][InherentCO2Received]",Submission!$O:$O,Submission!$H:$N,""))</f>
        <v/>
      </c>
      <c r="H1228" s="71" t="str">
        <f>_xlfn.CONCAT(_xlfn.XLOOKUP("[S05_InherentCarbonTransferredDetail]["&amp;ROW(B1228)-ROW($B$1219)&amp;"][ReceivingInstallationType]",Submission!$O:$O,Submission!$H:$N,""))</f>
        <v/>
      </c>
      <c r="I1228" s="72" t="str">
        <f>_xlfn.CONCAT(_xlfn.XLOOKUP("[S05_InherentCarbonTransferredDetail]["&amp;ROW(B1228)-ROW($B$1219)&amp;"][StorageSitePermitNumber]",Submission!$O:$O,Submission!$H:$N,""))</f>
        <v/>
      </c>
      <c r="K1228" s="13"/>
      <c r="L1228" s="13"/>
    </row>
    <row r="1229" spans="1:12" s="147" customFormat="1" ht="41.4" hidden="1" customHeight="1" outlineLevel="1" x14ac:dyDescent="0.3">
      <c r="A1229" s="146"/>
      <c r="C1229" s="71" t="str">
        <f>_xlfn.CONCAT(_xlfn.XLOOKUP("[S05_InherentCarbonTransferredDetail]["&amp;ROW(B1229)-ROW($B$1219)&amp;"][TransferType]",Submission!$O:$O,Submission!$H:$N,""))</f>
        <v/>
      </c>
      <c r="D1229" s="72" t="str">
        <f>_xlfn.CONCAT(_xlfn.XLOOKUP("[S05_InherentCarbonTransferredDetail]["&amp;ROW(B1229)-ROW($B$1219)&amp;"][InstallationIdTransferring]",Submission!$O:$O,Submission!$H:$N,""))</f>
        <v/>
      </c>
      <c r="E1229" s="72" t="str">
        <f>_xlfn.CONCAT(_xlfn.XLOOKUP("[S05_InherentCarbonTransferredDetail]["&amp;ROW(B1229)-ROW($B$1219)&amp;"][InstallationIdReceiving]",Submission!$O:$O,Submission!$H:$N,""))</f>
        <v/>
      </c>
      <c r="F1229" s="124" t="str">
        <f>_xlfn.CONCAT(_xlfn.XLOOKUP("[S05_InherentCarbonTransferredDetail]["&amp;ROW(B1229)-ROW($B$1219)&amp;"][AmountCO2Transferred]",Submission!$O:$O,Submission!$H:$N,""))</f>
        <v/>
      </c>
      <c r="G1229" s="124" t="str">
        <f>_xlfn.CONCAT(_xlfn.XLOOKUP("[S05_InherentCarbonTransferredDetail]["&amp;ROW(B1229)-ROW($B$1219)&amp;"][InherentCO2Received]",Submission!$O:$O,Submission!$H:$N,""))</f>
        <v/>
      </c>
      <c r="H1229" s="71" t="str">
        <f>_xlfn.CONCAT(_xlfn.XLOOKUP("[S05_InherentCarbonTransferredDetail]["&amp;ROW(B1229)-ROW($B$1219)&amp;"][ReceivingInstallationType]",Submission!$O:$O,Submission!$H:$N,""))</f>
        <v/>
      </c>
      <c r="I1229" s="72" t="str">
        <f>_xlfn.CONCAT(_xlfn.XLOOKUP("[S05_InherentCarbonTransferredDetail]["&amp;ROW(B1229)-ROW($B$1219)&amp;"][StorageSitePermitNumber]",Submission!$O:$O,Submission!$H:$N,""))</f>
        <v/>
      </c>
      <c r="K1229" s="13"/>
      <c r="L1229" s="13"/>
    </row>
    <row r="1230" spans="1:12" s="147" customFormat="1" ht="41.4" hidden="1" customHeight="1" outlineLevel="1" x14ac:dyDescent="0.3">
      <c r="A1230" s="146"/>
      <c r="C1230" s="71" t="str">
        <f>_xlfn.CONCAT(_xlfn.XLOOKUP("[S05_InherentCarbonTransferredDetail]["&amp;ROW(B1230)-ROW($B$1219)&amp;"][TransferType]",Submission!$O:$O,Submission!$H:$N,""))</f>
        <v/>
      </c>
      <c r="D1230" s="72" t="str">
        <f>_xlfn.CONCAT(_xlfn.XLOOKUP("[S05_InherentCarbonTransferredDetail]["&amp;ROW(B1230)-ROW($B$1219)&amp;"][InstallationIdTransferring]",Submission!$O:$O,Submission!$H:$N,""))</f>
        <v/>
      </c>
      <c r="E1230" s="72" t="str">
        <f>_xlfn.CONCAT(_xlfn.XLOOKUP("[S05_InherentCarbonTransferredDetail]["&amp;ROW(B1230)-ROW($B$1219)&amp;"][InstallationIdReceiving]",Submission!$O:$O,Submission!$H:$N,""))</f>
        <v/>
      </c>
      <c r="F1230" s="124" t="str">
        <f>_xlfn.CONCAT(_xlfn.XLOOKUP("[S05_InherentCarbonTransferredDetail]["&amp;ROW(B1230)-ROW($B$1219)&amp;"][AmountCO2Transferred]",Submission!$O:$O,Submission!$H:$N,""))</f>
        <v/>
      </c>
      <c r="G1230" s="124" t="str">
        <f>_xlfn.CONCAT(_xlfn.XLOOKUP("[S05_InherentCarbonTransferredDetail]["&amp;ROW(B1230)-ROW($B$1219)&amp;"][InherentCO2Received]",Submission!$O:$O,Submission!$H:$N,""))</f>
        <v/>
      </c>
      <c r="H1230" s="71" t="str">
        <f>_xlfn.CONCAT(_xlfn.XLOOKUP("[S05_InherentCarbonTransferredDetail]["&amp;ROW(B1230)-ROW($B$1219)&amp;"][ReceivingInstallationType]",Submission!$O:$O,Submission!$H:$N,""))</f>
        <v/>
      </c>
      <c r="I1230" s="72" t="str">
        <f>_xlfn.CONCAT(_xlfn.XLOOKUP("[S05_InherentCarbonTransferredDetail]["&amp;ROW(B1230)-ROW($B$1219)&amp;"][StorageSitePermitNumber]",Submission!$O:$O,Submission!$H:$N,""))</f>
        <v/>
      </c>
      <c r="K1230" s="13"/>
      <c r="L1230" s="13"/>
    </row>
    <row r="1231" spans="1:12" s="147" customFormat="1" ht="41.4" hidden="1" customHeight="1" outlineLevel="1" x14ac:dyDescent="0.3">
      <c r="A1231" s="146"/>
      <c r="C1231" s="71" t="str">
        <f>_xlfn.CONCAT(_xlfn.XLOOKUP("[S05_InherentCarbonTransferredDetail]["&amp;ROW(B1231)-ROW($B$1219)&amp;"][TransferType]",Submission!$O:$O,Submission!$H:$N,""))</f>
        <v/>
      </c>
      <c r="D1231" s="72" t="str">
        <f>_xlfn.CONCAT(_xlfn.XLOOKUP("[S05_InherentCarbonTransferredDetail]["&amp;ROW(B1231)-ROW($B$1219)&amp;"][InstallationIdTransferring]",Submission!$O:$O,Submission!$H:$N,""))</f>
        <v/>
      </c>
      <c r="E1231" s="72" t="str">
        <f>_xlfn.CONCAT(_xlfn.XLOOKUP("[S05_InherentCarbonTransferredDetail]["&amp;ROW(B1231)-ROW($B$1219)&amp;"][InstallationIdReceiving]",Submission!$O:$O,Submission!$H:$N,""))</f>
        <v/>
      </c>
      <c r="F1231" s="124" t="str">
        <f>_xlfn.CONCAT(_xlfn.XLOOKUP("[S05_InherentCarbonTransferredDetail]["&amp;ROW(B1231)-ROW($B$1219)&amp;"][AmountCO2Transferred]",Submission!$O:$O,Submission!$H:$N,""))</f>
        <v/>
      </c>
      <c r="G1231" s="124" t="str">
        <f>_xlfn.CONCAT(_xlfn.XLOOKUP("[S05_InherentCarbonTransferredDetail]["&amp;ROW(B1231)-ROW($B$1219)&amp;"][InherentCO2Received]",Submission!$O:$O,Submission!$H:$N,""))</f>
        <v/>
      </c>
      <c r="H1231" s="71" t="str">
        <f>_xlfn.CONCAT(_xlfn.XLOOKUP("[S05_InherentCarbonTransferredDetail]["&amp;ROW(B1231)-ROW($B$1219)&amp;"][ReceivingInstallationType]",Submission!$O:$O,Submission!$H:$N,""))</f>
        <v/>
      </c>
      <c r="I1231" s="72" t="str">
        <f>_xlfn.CONCAT(_xlfn.XLOOKUP("[S05_InherentCarbonTransferredDetail]["&amp;ROW(B1231)-ROW($B$1219)&amp;"][StorageSitePermitNumber]",Submission!$O:$O,Submission!$H:$N,""))</f>
        <v/>
      </c>
      <c r="K1231" s="13"/>
      <c r="L1231" s="13"/>
    </row>
    <row r="1232" spans="1:12" s="147" customFormat="1" ht="41.4" hidden="1" customHeight="1" outlineLevel="1" x14ac:dyDescent="0.3">
      <c r="A1232" s="146"/>
      <c r="C1232" s="71" t="str">
        <f>_xlfn.CONCAT(_xlfn.XLOOKUP("[S05_InherentCarbonTransferredDetail]["&amp;ROW(B1232)-ROW($B$1219)&amp;"][TransferType]",Submission!$O:$O,Submission!$H:$N,""))</f>
        <v/>
      </c>
      <c r="D1232" s="72" t="str">
        <f>_xlfn.CONCAT(_xlfn.XLOOKUP("[S05_InherentCarbonTransferredDetail]["&amp;ROW(B1232)-ROW($B$1219)&amp;"][InstallationIdTransferring]",Submission!$O:$O,Submission!$H:$N,""))</f>
        <v/>
      </c>
      <c r="E1232" s="72" t="str">
        <f>_xlfn.CONCAT(_xlfn.XLOOKUP("[S05_InherentCarbonTransferredDetail]["&amp;ROW(B1232)-ROW($B$1219)&amp;"][InstallationIdReceiving]",Submission!$O:$O,Submission!$H:$N,""))</f>
        <v/>
      </c>
      <c r="F1232" s="124" t="str">
        <f>_xlfn.CONCAT(_xlfn.XLOOKUP("[S05_InherentCarbonTransferredDetail]["&amp;ROW(B1232)-ROW($B$1219)&amp;"][AmountCO2Transferred]",Submission!$O:$O,Submission!$H:$N,""))</f>
        <v/>
      </c>
      <c r="G1232" s="124" t="str">
        <f>_xlfn.CONCAT(_xlfn.XLOOKUP("[S05_InherentCarbonTransferredDetail]["&amp;ROW(B1232)-ROW($B$1219)&amp;"][InherentCO2Received]",Submission!$O:$O,Submission!$H:$N,""))</f>
        <v/>
      </c>
      <c r="H1232" s="71" t="str">
        <f>_xlfn.CONCAT(_xlfn.XLOOKUP("[S05_InherentCarbonTransferredDetail]["&amp;ROW(B1232)-ROW($B$1219)&amp;"][ReceivingInstallationType]",Submission!$O:$O,Submission!$H:$N,""))</f>
        <v/>
      </c>
      <c r="I1232" s="72" t="str">
        <f>_xlfn.CONCAT(_xlfn.XLOOKUP("[S05_InherentCarbonTransferredDetail]["&amp;ROW(B1232)-ROW($B$1219)&amp;"][StorageSitePermitNumber]",Submission!$O:$O,Submission!$H:$N,""))</f>
        <v/>
      </c>
      <c r="K1232" s="13"/>
      <c r="L1232" s="13"/>
    </row>
    <row r="1233" spans="1:12" s="147" customFormat="1" ht="41.4" hidden="1" customHeight="1" outlineLevel="1" x14ac:dyDescent="0.3">
      <c r="A1233" s="146"/>
      <c r="C1233" s="71" t="str">
        <f>_xlfn.CONCAT(_xlfn.XLOOKUP("[S05_InherentCarbonTransferredDetail]["&amp;ROW(B1233)-ROW($B$1219)&amp;"][TransferType]",Submission!$O:$O,Submission!$H:$N,""))</f>
        <v/>
      </c>
      <c r="D1233" s="72" t="str">
        <f>_xlfn.CONCAT(_xlfn.XLOOKUP("[S05_InherentCarbonTransferredDetail]["&amp;ROW(B1233)-ROW($B$1219)&amp;"][InstallationIdTransferring]",Submission!$O:$O,Submission!$H:$N,""))</f>
        <v/>
      </c>
      <c r="E1233" s="72" t="str">
        <f>_xlfn.CONCAT(_xlfn.XLOOKUP("[S05_InherentCarbonTransferredDetail]["&amp;ROW(B1233)-ROW($B$1219)&amp;"][InstallationIdReceiving]",Submission!$O:$O,Submission!$H:$N,""))</f>
        <v/>
      </c>
      <c r="F1233" s="124" t="str">
        <f>_xlfn.CONCAT(_xlfn.XLOOKUP("[S05_InherentCarbonTransferredDetail]["&amp;ROW(B1233)-ROW($B$1219)&amp;"][AmountCO2Transferred]",Submission!$O:$O,Submission!$H:$N,""))</f>
        <v/>
      </c>
      <c r="G1233" s="124" t="str">
        <f>_xlfn.CONCAT(_xlfn.XLOOKUP("[S05_InherentCarbonTransferredDetail]["&amp;ROW(B1233)-ROW($B$1219)&amp;"][InherentCO2Received]",Submission!$O:$O,Submission!$H:$N,""))</f>
        <v/>
      </c>
      <c r="H1233" s="71" t="str">
        <f>_xlfn.CONCAT(_xlfn.XLOOKUP("[S05_InherentCarbonTransferredDetail]["&amp;ROW(B1233)-ROW($B$1219)&amp;"][ReceivingInstallationType]",Submission!$O:$O,Submission!$H:$N,""))</f>
        <v/>
      </c>
      <c r="I1233" s="72" t="str">
        <f>_xlfn.CONCAT(_xlfn.XLOOKUP("[S05_InherentCarbonTransferredDetail]["&amp;ROW(B1233)-ROW($B$1219)&amp;"][StorageSitePermitNumber]",Submission!$O:$O,Submission!$H:$N,""))</f>
        <v/>
      </c>
      <c r="K1233" s="13"/>
      <c r="L1233" s="13"/>
    </row>
    <row r="1234" spans="1:12" s="147" customFormat="1" ht="41.4" hidden="1" customHeight="1" outlineLevel="1" x14ac:dyDescent="0.3">
      <c r="A1234" s="146"/>
      <c r="C1234" s="71" t="str">
        <f>_xlfn.CONCAT(_xlfn.XLOOKUP("[S05_InherentCarbonTransferredDetail]["&amp;ROW(B1234)-ROW($B$1219)&amp;"][TransferType]",Submission!$O:$O,Submission!$H:$N,""))</f>
        <v/>
      </c>
      <c r="D1234" s="72" t="str">
        <f>_xlfn.CONCAT(_xlfn.XLOOKUP("[S05_InherentCarbonTransferredDetail]["&amp;ROW(B1234)-ROW($B$1219)&amp;"][InstallationIdTransferring]",Submission!$O:$O,Submission!$H:$N,""))</f>
        <v/>
      </c>
      <c r="E1234" s="72" t="str">
        <f>_xlfn.CONCAT(_xlfn.XLOOKUP("[S05_InherentCarbonTransferredDetail]["&amp;ROW(B1234)-ROW($B$1219)&amp;"][InstallationIdReceiving]",Submission!$O:$O,Submission!$H:$N,""))</f>
        <v/>
      </c>
      <c r="F1234" s="124" t="str">
        <f>_xlfn.CONCAT(_xlfn.XLOOKUP("[S05_InherentCarbonTransferredDetail]["&amp;ROW(B1234)-ROW($B$1219)&amp;"][AmountCO2Transferred]",Submission!$O:$O,Submission!$H:$N,""))</f>
        <v/>
      </c>
      <c r="G1234" s="124" t="str">
        <f>_xlfn.CONCAT(_xlfn.XLOOKUP("[S05_InherentCarbonTransferredDetail]["&amp;ROW(B1234)-ROW($B$1219)&amp;"][InherentCO2Received]",Submission!$O:$O,Submission!$H:$N,""))</f>
        <v/>
      </c>
      <c r="H1234" s="71" t="str">
        <f>_xlfn.CONCAT(_xlfn.XLOOKUP("[S05_InherentCarbonTransferredDetail]["&amp;ROW(B1234)-ROW($B$1219)&amp;"][ReceivingInstallationType]",Submission!$O:$O,Submission!$H:$N,""))</f>
        <v/>
      </c>
      <c r="I1234" s="72" t="str">
        <f>_xlfn.CONCAT(_xlfn.XLOOKUP("[S05_InherentCarbonTransferredDetail]["&amp;ROW(B1234)-ROW($B$1219)&amp;"][StorageSitePermitNumber]",Submission!$O:$O,Submission!$H:$N,""))</f>
        <v/>
      </c>
      <c r="K1234" s="13"/>
      <c r="L1234" s="13"/>
    </row>
    <row r="1235" spans="1:12" s="147" customFormat="1" ht="41.4" hidden="1" customHeight="1" outlineLevel="1" x14ac:dyDescent="0.3">
      <c r="A1235" s="146"/>
      <c r="C1235" s="71" t="str">
        <f>_xlfn.CONCAT(_xlfn.XLOOKUP("[S05_InherentCarbonTransferredDetail]["&amp;ROW(B1235)-ROW($B$1219)&amp;"][TransferType]",Submission!$O:$O,Submission!$H:$N,""))</f>
        <v/>
      </c>
      <c r="D1235" s="72" t="str">
        <f>_xlfn.CONCAT(_xlfn.XLOOKUP("[S05_InherentCarbonTransferredDetail]["&amp;ROW(B1235)-ROW($B$1219)&amp;"][InstallationIdTransferring]",Submission!$O:$O,Submission!$H:$N,""))</f>
        <v/>
      </c>
      <c r="E1235" s="72" t="str">
        <f>_xlfn.CONCAT(_xlfn.XLOOKUP("[S05_InherentCarbonTransferredDetail]["&amp;ROW(B1235)-ROW($B$1219)&amp;"][InstallationIdReceiving]",Submission!$O:$O,Submission!$H:$N,""))</f>
        <v/>
      </c>
      <c r="F1235" s="124" t="str">
        <f>_xlfn.CONCAT(_xlfn.XLOOKUP("[S05_InherentCarbonTransferredDetail]["&amp;ROW(B1235)-ROW($B$1219)&amp;"][AmountCO2Transferred]",Submission!$O:$O,Submission!$H:$N,""))</f>
        <v/>
      </c>
      <c r="G1235" s="124" t="str">
        <f>_xlfn.CONCAT(_xlfn.XLOOKUP("[S05_InherentCarbonTransferredDetail]["&amp;ROW(B1235)-ROW($B$1219)&amp;"][InherentCO2Received]",Submission!$O:$O,Submission!$H:$N,""))</f>
        <v/>
      </c>
      <c r="H1235" s="71" t="str">
        <f>_xlfn.CONCAT(_xlfn.XLOOKUP("[S05_InherentCarbonTransferredDetail]["&amp;ROW(B1235)-ROW($B$1219)&amp;"][ReceivingInstallationType]",Submission!$O:$O,Submission!$H:$N,""))</f>
        <v/>
      </c>
      <c r="I1235" s="72" t="str">
        <f>_xlfn.CONCAT(_xlfn.XLOOKUP("[S05_InherentCarbonTransferredDetail]["&amp;ROW(B1235)-ROW($B$1219)&amp;"][StorageSitePermitNumber]",Submission!$O:$O,Submission!$H:$N,""))</f>
        <v/>
      </c>
      <c r="K1235" s="13"/>
      <c r="L1235" s="13"/>
    </row>
    <row r="1236" spans="1:12" s="147" customFormat="1" ht="41.4" hidden="1" customHeight="1" outlineLevel="1" x14ac:dyDescent="0.3">
      <c r="A1236" s="146"/>
      <c r="C1236" s="71" t="str">
        <f>_xlfn.CONCAT(_xlfn.XLOOKUP("[S05_InherentCarbonTransferredDetail]["&amp;ROW(B1236)-ROW($B$1219)&amp;"][TransferType]",Submission!$O:$O,Submission!$H:$N,""))</f>
        <v/>
      </c>
      <c r="D1236" s="72" t="str">
        <f>_xlfn.CONCAT(_xlfn.XLOOKUP("[S05_InherentCarbonTransferredDetail]["&amp;ROW(B1236)-ROW($B$1219)&amp;"][InstallationIdTransferring]",Submission!$O:$O,Submission!$H:$N,""))</f>
        <v/>
      </c>
      <c r="E1236" s="72" t="str">
        <f>_xlfn.CONCAT(_xlfn.XLOOKUP("[S05_InherentCarbonTransferredDetail]["&amp;ROW(B1236)-ROW($B$1219)&amp;"][InstallationIdReceiving]",Submission!$O:$O,Submission!$H:$N,""))</f>
        <v/>
      </c>
      <c r="F1236" s="124" t="str">
        <f>_xlfn.CONCAT(_xlfn.XLOOKUP("[S05_InherentCarbonTransferredDetail]["&amp;ROW(B1236)-ROW($B$1219)&amp;"][AmountCO2Transferred]",Submission!$O:$O,Submission!$H:$N,""))</f>
        <v/>
      </c>
      <c r="G1236" s="124" t="str">
        <f>_xlfn.CONCAT(_xlfn.XLOOKUP("[S05_InherentCarbonTransferredDetail]["&amp;ROW(B1236)-ROW($B$1219)&amp;"][InherentCO2Received]",Submission!$O:$O,Submission!$H:$N,""))</f>
        <v/>
      </c>
      <c r="H1236" s="71" t="str">
        <f>_xlfn.CONCAT(_xlfn.XLOOKUP("[S05_InherentCarbonTransferredDetail]["&amp;ROW(B1236)-ROW($B$1219)&amp;"][ReceivingInstallationType]",Submission!$O:$O,Submission!$H:$N,""))</f>
        <v/>
      </c>
      <c r="I1236" s="72" t="str">
        <f>_xlfn.CONCAT(_xlfn.XLOOKUP("[S05_InherentCarbonTransferredDetail]["&amp;ROW(B1236)-ROW($B$1219)&amp;"][StorageSitePermitNumber]",Submission!$O:$O,Submission!$H:$N,""))</f>
        <v/>
      </c>
      <c r="K1236" s="13"/>
      <c r="L1236" s="13"/>
    </row>
    <row r="1237" spans="1:12" s="147" customFormat="1" ht="41.4" hidden="1" customHeight="1" outlineLevel="1" x14ac:dyDescent="0.3">
      <c r="A1237" s="146"/>
      <c r="C1237" s="71" t="str">
        <f>_xlfn.CONCAT(_xlfn.XLOOKUP("[S05_InherentCarbonTransferredDetail]["&amp;ROW(B1237)-ROW($B$1219)&amp;"][TransferType]",Submission!$O:$O,Submission!$H:$N,""))</f>
        <v/>
      </c>
      <c r="D1237" s="72" t="str">
        <f>_xlfn.CONCAT(_xlfn.XLOOKUP("[S05_InherentCarbonTransferredDetail]["&amp;ROW(B1237)-ROW($B$1219)&amp;"][InstallationIdTransferring]",Submission!$O:$O,Submission!$H:$N,""))</f>
        <v/>
      </c>
      <c r="E1237" s="72" t="str">
        <f>_xlfn.CONCAT(_xlfn.XLOOKUP("[S05_InherentCarbonTransferredDetail]["&amp;ROW(B1237)-ROW($B$1219)&amp;"][InstallationIdReceiving]",Submission!$O:$O,Submission!$H:$N,""))</f>
        <v/>
      </c>
      <c r="F1237" s="124" t="str">
        <f>_xlfn.CONCAT(_xlfn.XLOOKUP("[S05_InherentCarbonTransferredDetail]["&amp;ROW(B1237)-ROW($B$1219)&amp;"][AmountCO2Transferred]",Submission!$O:$O,Submission!$H:$N,""))</f>
        <v/>
      </c>
      <c r="G1237" s="124" t="str">
        <f>_xlfn.CONCAT(_xlfn.XLOOKUP("[S05_InherentCarbonTransferredDetail]["&amp;ROW(B1237)-ROW($B$1219)&amp;"][InherentCO2Received]",Submission!$O:$O,Submission!$H:$N,""))</f>
        <v/>
      </c>
      <c r="H1237" s="71" t="str">
        <f>_xlfn.CONCAT(_xlfn.XLOOKUP("[S05_InherentCarbonTransferredDetail]["&amp;ROW(B1237)-ROW($B$1219)&amp;"][ReceivingInstallationType]",Submission!$O:$O,Submission!$H:$N,""))</f>
        <v/>
      </c>
      <c r="I1237" s="72" t="str">
        <f>_xlfn.CONCAT(_xlfn.XLOOKUP("[S05_InherentCarbonTransferredDetail]["&amp;ROW(B1237)-ROW($B$1219)&amp;"][StorageSitePermitNumber]",Submission!$O:$O,Submission!$H:$N,""))</f>
        <v/>
      </c>
      <c r="K1237" s="13"/>
      <c r="L1237" s="13"/>
    </row>
    <row r="1238" spans="1:12" s="147" customFormat="1" ht="41.4" hidden="1" customHeight="1" outlineLevel="1" x14ac:dyDescent="0.3">
      <c r="A1238" s="146"/>
      <c r="C1238" s="71" t="str">
        <f>_xlfn.CONCAT(_xlfn.XLOOKUP("[S05_InherentCarbonTransferredDetail]["&amp;ROW(B1238)-ROW($B$1219)&amp;"][TransferType]",Submission!$O:$O,Submission!$H:$N,""))</f>
        <v/>
      </c>
      <c r="D1238" s="72" t="str">
        <f>_xlfn.CONCAT(_xlfn.XLOOKUP("[S05_InherentCarbonTransferredDetail]["&amp;ROW(B1238)-ROW($B$1219)&amp;"][InstallationIdTransferring]",Submission!$O:$O,Submission!$H:$N,""))</f>
        <v/>
      </c>
      <c r="E1238" s="72" t="str">
        <f>_xlfn.CONCAT(_xlfn.XLOOKUP("[S05_InherentCarbonTransferredDetail]["&amp;ROW(B1238)-ROW($B$1219)&amp;"][InstallationIdReceiving]",Submission!$O:$O,Submission!$H:$N,""))</f>
        <v/>
      </c>
      <c r="F1238" s="124" t="str">
        <f>_xlfn.CONCAT(_xlfn.XLOOKUP("[S05_InherentCarbonTransferredDetail]["&amp;ROW(B1238)-ROW($B$1219)&amp;"][AmountCO2Transferred]",Submission!$O:$O,Submission!$H:$N,""))</f>
        <v/>
      </c>
      <c r="G1238" s="124" t="str">
        <f>_xlfn.CONCAT(_xlfn.XLOOKUP("[S05_InherentCarbonTransferredDetail]["&amp;ROW(B1238)-ROW($B$1219)&amp;"][InherentCO2Received]",Submission!$O:$O,Submission!$H:$N,""))</f>
        <v/>
      </c>
      <c r="H1238" s="71" t="str">
        <f>_xlfn.CONCAT(_xlfn.XLOOKUP("[S05_InherentCarbonTransferredDetail]["&amp;ROW(B1238)-ROW($B$1219)&amp;"][ReceivingInstallationType]",Submission!$O:$O,Submission!$H:$N,""))</f>
        <v/>
      </c>
      <c r="I1238" s="72" t="str">
        <f>_xlfn.CONCAT(_xlfn.XLOOKUP("[S05_InherentCarbonTransferredDetail]["&amp;ROW(B1238)-ROW($B$1219)&amp;"][StorageSitePermitNumber]",Submission!$O:$O,Submission!$H:$N,""))</f>
        <v/>
      </c>
      <c r="K1238" s="13"/>
      <c r="L1238" s="13"/>
    </row>
    <row r="1239" spans="1:12" s="147" customFormat="1" ht="41.4" hidden="1" customHeight="1" outlineLevel="1" x14ac:dyDescent="0.3">
      <c r="A1239" s="146"/>
      <c r="C1239" s="71" t="str">
        <f>_xlfn.CONCAT(_xlfn.XLOOKUP("[S05_InherentCarbonTransferredDetail]["&amp;ROW(B1239)-ROW($B$1219)&amp;"][TransferType]",Submission!$O:$O,Submission!$H:$N,""))</f>
        <v/>
      </c>
      <c r="D1239" s="72" t="str">
        <f>_xlfn.CONCAT(_xlfn.XLOOKUP("[S05_InherentCarbonTransferredDetail]["&amp;ROW(B1239)-ROW($B$1219)&amp;"][InstallationIdTransferring]",Submission!$O:$O,Submission!$H:$N,""))</f>
        <v/>
      </c>
      <c r="E1239" s="72" t="str">
        <f>_xlfn.CONCAT(_xlfn.XLOOKUP("[S05_InherentCarbonTransferredDetail]["&amp;ROW(B1239)-ROW($B$1219)&amp;"][InstallationIdReceiving]",Submission!$O:$O,Submission!$H:$N,""))</f>
        <v/>
      </c>
      <c r="F1239" s="124" t="str">
        <f>_xlfn.CONCAT(_xlfn.XLOOKUP("[S05_InherentCarbonTransferredDetail]["&amp;ROW(B1239)-ROW($B$1219)&amp;"][AmountCO2Transferred]",Submission!$O:$O,Submission!$H:$N,""))</f>
        <v/>
      </c>
      <c r="G1239" s="124" t="str">
        <f>_xlfn.CONCAT(_xlfn.XLOOKUP("[S05_InherentCarbonTransferredDetail]["&amp;ROW(B1239)-ROW($B$1219)&amp;"][InherentCO2Received]",Submission!$O:$O,Submission!$H:$N,""))</f>
        <v/>
      </c>
      <c r="H1239" s="71" t="str">
        <f>_xlfn.CONCAT(_xlfn.XLOOKUP("[S05_InherentCarbonTransferredDetail]["&amp;ROW(B1239)-ROW($B$1219)&amp;"][ReceivingInstallationType]",Submission!$O:$O,Submission!$H:$N,""))</f>
        <v/>
      </c>
      <c r="I1239" s="72" t="str">
        <f>_xlfn.CONCAT(_xlfn.XLOOKUP("[S05_InherentCarbonTransferredDetail]["&amp;ROW(B1239)-ROW($B$1219)&amp;"][StorageSitePermitNumber]",Submission!$O:$O,Submission!$H:$N,""))</f>
        <v/>
      </c>
      <c r="K1239" s="13"/>
      <c r="L1239" s="13"/>
    </row>
    <row r="1240" spans="1:12" s="147" customFormat="1" ht="41.4" hidden="1" customHeight="1" outlineLevel="1" x14ac:dyDescent="0.3">
      <c r="A1240" s="146"/>
      <c r="C1240" s="71" t="str">
        <f>_xlfn.CONCAT(_xlfn.XLOOKUP("[S05_InherentCarbonTransferredDetail]["&amp;ROW(B1240)-ROW($B$1219)&amp;"][TransferType]",Submission!$O:$O,Submission!$H:$N,""))</f>
        <v/>
      </c>
      <c r="D1240" s="72" t="str">
        <f>_xlfn.CONCAT(_xlfn.XLOOKUP("[S05_InherentCarbonTransferredDetail]["&amp;ROW(B1240)-ROW($B$1219)&amp;"][InstallationIdTransferring]",Submission!$O:$O,Submission!$H:$N,""))</f>
        <v/>
      </c>
      <c r="E1240" s="72" t="str">
        <f>_xlfn.CONCAT(_xlfn.XLOOKUP("[S05_InherentCarbonTransferredDetail]["&amp;ROW(B1240)-ROW($B$1219)&amp;"][InstallationIdReceiving]",Submission!$O:$O,Submission!$H:$N,""))</f>
        <v/>
      </c>
      <c r="F1240" s="124" t="str">
        <f>_xlfn.CONCAT(_xlfn.XLOOKUP("[S05_InherentCarbonTransferredDetail]["&amp;ROW(B1240)-ROW($B$1219)&amp;"][AmountCO2Transferred]",Submission!$O:$O,Submission!$H:$N,""))</f>
        <v/>
      </c>
      <c r="G1240" s="124" t="str">
        <f>_xlfn.CONCAT(_xlfn.XLOOKUP("[S05_InherentCarbonTransferredDetail]["&amp;ROW(B1240)-ROW($B$1219)&amp;"][InherentCO2Received]",Submission!$O:$O,Submission!$H:$N,""))</f>
        <v/>
      </c>
      <c r="H1240" s="71" t="str">
        <f>_xlfn.CONCAT(_xlfn.XLOOKUP("[S05_InherentCarbonTransferredDetail]["&amp;ROW(B1240)-ROW($B$1219)&amp;"][ReceivingInstallationType]",Submission!$O:$O,Submission!$H:$N,""))</f>
        <v/>
      </c>
      <c r="I1240" s="72" t="str">
        <f>_xlfn.CONCAT(_xlfn.XLOOKUP("[S05_InherentCarbonTransferredDetail]["&amp;ROW(B1240)-ROW($B$1219)&amp;"][StorageSitePermitNumber]",Submission!$O:$O,Submission!$H:$N,""))</f>
        <v/>
      </c>
      <c r="K1240" s="13"/>
      <c r="L1240" s="13"/>
    </row>
    <row r="1241" spans="1:12" s="147" customFormat="1" ht="41.4" hidden="1" customHeight="1" outlineLevel="1" x14ac:dyDescent="0.3">
      <c r="A1241" s="146"/>
      <c r="C1241" s="71" t="str">
        <f>_xlfn.CONCAT(_xlfn.XLOOKUP("[S05_InherentCarbonTransferredDetail]["&amp;ROW(B1241)-ROW($B$1219)&amp;"][TransferType]",Submission!$O:$O,Submission!$H:$N,""))</f>
        <v/>
      </c>
      <c r="D1241" s="72" t="str">
        <f>_xlfn.CONCAT(_xlfn.XLOOKUP("[S05_InherentCarbonTransferredDetail]["&amp;ROW(B1241)-ROW($B$1219)&amp;"][InstallationIdTransferring]",Submission!$O:$O,Submission!$H:$N,""))</f>
        <v/>
      </c>
      <c r="E1241" s="72" t="str">
        <f>_xlfn.CONCAT(_xlfn.XLOOKUP("[S05_InherentCarbonTransferredDetail]["&amp;ROW(B1241)-ROW($B$1219)&amp;"][InstallationIdReceiving]",Submission!$O:$O,Submission!$H:$N,""))</f>
        <v/>
      </c>
      <c r="F1241" s="124" t="str">
        <f>_xlfn.CONCAT(_xlfn.XLOOKUP("[S05_InherentCarbonTransferredDetail]["&amp;ROW(B1241)-ROW($B$1219)&amp;"][AmountCO2Transferred]",Submission!$O:$O,Submission!$H:$N,""))</f>
        <v/>
      </c>
      <c r="G1241" s="124" t="str">
        <f>_xlfn.CONCAT(_xlfn.XLOOKUP("[S05_InherentCarbonTransferredDetail]["&amp;ROW(B1241)-ROW($B$1219)&amp;"][InherentCO2Received]",Submission!$O:$O,Submission!$H:$N,""))</f>
        <v/>
      </c>
      <c r="H1241" s="71" t="str">
        <f>_xlfn.CONCAT(_xlfn.XLOOKUP("[S05_InherentCarbonTransferredDetail]["&amp;ROW(B1241)-ROW($B$1219)&amp;"][ReceivingInstallationType]",Submission!$O:$O,Submission!$H:$N,""))</f>
        <v/>
      </c>
      <c r="I1241" s="72" t="str">
        <f>_xlfn.CONCAT(_xlfn.XLOOKUP("[S05_InherentCarbonTransferredDetail]["&amp;ROW(B1241)-ROW($B$1219)&amp;"][StorageSitePermitNumber]",Submission!$O:$O,Submission!$H:$N,""))</f>
        <v/>
      </c>
      <c r="K1241" s="13"/>
      <c r="L1241" s="13"/>
    </row>
    <row r="1242" spans="1:12" s="147" customFormat="1" ht="41.4" hidden="1" customHeight="1" outlineLevel="1" x14ac:dyDescent="0.3">
      <c r="A1242" s="146"/>
      <c r="C1242" s="71" t="str">
        <f>_xlfn.CONCAT(_xlfn.XLOOKUP("[S05_InherentCarbonTransferredDetail]["&amp;ROW(B1242)-ROW($B$1219)&amp;"][TransferType]",Submission!$O:$O,Submission!$H:$N,""))</f>
        <v/>
      </c>
      <c r="D1242" s="72" t="str">
        <f>_xlfn.CONCAT(_xlfn.XLOOKUP("[S05_InherentCarbonTransferredDetail]["&amp;ROW(B1242)-ROW($B$1219)&amp;"][InstallationIdTransferring]",Submission!$O:$O,Submission!$H:$N,""))</f>
        <v/>
      </c>
      <c r="E1242" s="72" t="str">
        <f>_xlfn.CONCAT(_xlfn.XLOOKUP("[S05_InherentCarbonTransferredDetail]["&amp;ROW(B1242)-ROW($B$1219)&amp;"][InstallationIdReceiving]",Submission!$O:$O,Submission!$H:$N,""))</f>
        <v/>
      </c>
      <c r="F1242" s="124" t="str">
        <f>_xlfn.CONCAT(_xlfn.XLOOKUP("[S05_InherentCarbonTransferredDetail]["&amp;ROW(B1242)-ROW($B$1219)&amp;"][AmountCO2Transferred]",Submission!$O:$O,Submission!$H:$N,""))</f>
        <v/>
      </c>
      <c r="G1242" s="124" t="str">
        <f>_xlfn.CONCAT(_xlfn.XLOOKUP("[S05_InherentCarbonTransferredDetail]["&amp;ROW(B1242)-ROW($B$1219)&amp;"][InherentCO2Received]",Submission!$O:$O,Submission!$H:$N,""))</f>
        <v/>
      </c>
      <c r="H1242" s="71" t="str">
        <f>_xlfn.CONCAT(_xlfn.XLOOKUP("[S05_InherentCarbonTransferredDetail]["&amp;ROW(B1242)-ROW($B$1219)&amp;"][ReceivingInstallationType]",Submission!$O:$O,Submission!$H:$N,""))</f>
        <v/>
      </c>
      <c r="I1242" s="72" t="str">
        <f>_xlfn.CONCAT(_xlfn.XLOOKUP("[S05_InherentCarbonTransferredDetail]["&amp;ROW(B1242)-ROW($B$1219)&amp;"][StorageSitePermitNumber]",Submission!$O:$O,Submission!$H:$N,""))</f>
        <v/>
      </c>
      <c r="K1242" s="13"/>
      <c r="L1242" s="13"/>
    </row>
    <row r="1243" spans="1:12" s="147" customFormat="1" ht="41.4" hidden="1" customHeight="1" outlineLevel="1" x14ac:dyDescent="0.3">
      <c r="A1243" s="146"/>
      <c r="C1243" s="71" t="str">
        <f>_xlfn.CONCAT(_xlfn.XLOOKUP("[S05_InherentCarbonTransferredDetail]["&amp;ROW(B1243)-ROW($B$1219)&amp;"][TransferType]",Submission!$O:$O,Submission!$H:$N,""))</f>
        <v/>
      </c>
      <c r="D1243" s="72" t="str">
        <f>_xlfn.CONCAT(_xlfn.XLOOKUP("[S05_InherentCarbonTransferredDetail]["&amp;ROW(B1243)-ROW($B$1219)&amp;"][InstallationIdTransferring]",Submission!$O:$O,Submission!$H:$N,""))</f>
        <v/>
      </c>
      <c r="E1243" s="72" t="str">
        <f>_xlfn.CONCAT(_xlfn.XLOOKUP("[S05_InherentCarbonTransferredDetail]["&amp;ROW(B1243)-ROW($B$1219)&amp;"][InstallationIdReceiving]",Submission!$O:$O,Submission!$H:$N,""))</f>
        <v/>
      </c>
      <c r="F1243" s="124" t="str">
        <f>_xlfn.CONCAT(_xlfn.XLOOKUP("[S05_InherentCarbonTransferredDetail]["&amp;ROW(B1243)-ROW($B$1219)&amp;"][AmountCO2Transferred]",Submission!$O:$O,Submission!$H:$N,""))</f>
        <v/>
      </c>
      <c r="G1243" s="124" t="str">
        <f>_xlfn.CONCAT(_xlfn.XLOOKUP("[S05_InherentCarbonTransferredDetail]["&amp;ROW(B1243)-ROW($B$1219)&amp;"][InherentCO2Received]",Submission!$O:$O,Submission!$H:$N,""))</f>
        <v/>
      </c>
      <c r="H1243" s="71" t="str">
        <f>_xlfn.CONCAT(_xlfn.XLOOKUP("[S05_InherentCarbonTransferredDetail]["&amp;ROW(B1243)-ROW($B$1219)&amp;"][ReceivingInstallationType]",Submission!$O:$O,Submission!$H:$N,""))</f>
        <v/>
      </c>
      <c r="I1243" s="72" t="str">
        <f>_xlfn.CONCAT(_xlfn.XLOOKUP("[S05_InherentCarbonTransferredDetail]["&amp;ROW(B1243)-ROW($B$1219)&amp;"][StorageSitePermitNumber]",Submission!$O:$O,Submission!$H:$N,""))</f>
        <v/>
      </c>
      <c r="K1243" s="13"/>
      <c r="L1243" s="13"/>
    </row>
    <row r="1244" spans="1:12" s="147" customFormat="1" ht="41.4" hidden="1" customHeight="1" outlineLevel="1" x14ac:dyDescent="0.3">
      <c r="A1244" s="146"/>
      <c r="C1244" s="71" t="str">
        <f>_xlfn.CONCAT(_xlfn.XLOOKUP("[S05_InherentCarbonTransferredDetail]["&amp;ROW(B1244)-ROW($B$1219)&amp;"][TransferType]",Submission!$O:$O,Submission!$H:$N,""))</f>
        <v/>
      </c>
      <c r="D1244" s="72" t="str">
        <f>_xlfn.CONCAT(_xlfn.XLOOKUP("[S05_InherentCarbonTransferredDetail]["&amp;ROW(B1244)-ROW($B$1219)&amp;"][InstallationIdTransferring]",Submission!$O:$O,Submission!$H:$N,""))</f>
        <v/>
      </c>
      <c r="E1244" s="72" t="str">
        <f>_xlfn.CONCAT(_xlfn.XLOOKUP("[S05_InherentCarbonTransferredDetail]["&amp;ROW(B1244)-ROW($B$1219)&amp;"][InstallationIdReceiving]",Submission!$O:$O,Submission!$H:$N,""))</f>
        <v/>
      </c>
      <c r="F1244" s="124" t="str">
        <f>_xlfn.CONCAT(_xlfn.XLOOKUP("[S05_InherentCarbonTransferredDetail]["&amp;ROW(B1244)-ROW($B$1219)&amp;"][AmountCO2Transferred]",Submission!$O:$O,Submission!$H:$N,""))</f>
        <v/>
      </c>
      <c r="G1244" s="124" t="str">
        <f>_xlfn.CONCAT(_xlfn.XLOOKUP("[S05_InherentCarbonTransferredDetail]["&amp;ROW(B1244)-ROW($B$1219)&amp;"][InherentCO2Received]",Submission!$O:$O,Submission!$H:$N,""))</f>
        <v/>
      </c>
      <c r="H1244" s="71" t="str">
        <f>_xlfn.CONCAT(_xlfn.XLOOKUP("[S05_InherentCarbonTransferredDetail]["&amp;ROW(B1244)-ROW($B$1219)&amp;"][ReceivingInstallationType]",Submission!$O:$O,Submission!$H:$N,""))</f>
        <v/>
      </c>
      <c r="I1244" s="72" t="str">
        <f>_xlfn.CONCAT(_xlfn.XLOOKUP("[S05_InherentCarbonTransferredDetail]["&amp;ROW(B1244)-ROW($B$1219)&amp;"][StorageSitePermitNumber]",Submission!$O:$O,Submission!$H:$N,""))</f>
        <v/>
      </c>
      <c r="K1244" s="13"/>
      <c r="L1244" s="13"/>
    </row>
    <row r="1245" spans="1:12" s="147" customFormat="1" ht="41.4" hidden="1" customHeight="1" outlineLevel="1" x14ac:dyDescent="0.3">
      <c r="A1245" s="146"/>
      <c r="C1245" s="71" t="str">
        <f>_xlfn.CONCAT(_xlfn.XLOOKUP("[S05_InherentCarbonTransferredDetail]["&amp;ROW(B1245)-ROW($B$1219)&amp;"][TransferType]",Submission!$O:$O,Submission!$H:$N,""))</f>
        <v/>
      </c>
      <c r="D1245" s="72" t="str">
        <f>_xlfn.CONCAT(_xlfn.XLOOKUP("[S05_InherentCarbonTransferredDetail]["&amp;ROW(B1245)-ROW($B$1219)&amp;"][InstallationIdTransferring]",Submission!$O:$O,Submission!$H:$N,""))</f>
        <v/>
      </c>
      <c r="E1245" s="72" t="str">
        <f>_xlfn.CONCAT(_xlfn.XLOOKUP("[S05_InherentCarbonTransferredDetail]["&amp;ROW(B1245)-ROW($B$1219)&amp;"][InstallationIdReceiving]",Submission!$O:$O,Submission!$H:$N,""))</f>
        <v/>
      </c>
      <c r="F1245" s="124" t="str">
        <f>_xlfn.CONCAT(_xlfn.XLOOKUP("[S05_InherentCarbonTransferredDetail]["&amp;ROW(B1245)-ROW($B$1219)&amp;"][AmountCO2Transferred]",Submission!$O:$O,Submission!$H:$N,""))</f>
        <v/>
      </c>
      <c r="G1245" s="124" t="str">
        <f>_xlfn.CONCAT(_xlfn.XLOOKUP("[S05_InherentCarbonTransferredDetail]["&amp;ROW(B1245)-ROW($B$1219)&amp;"][InherentCO2Received]",Submission!$O:$O,Submission!$H:$N,""))</f>
        <v/>
      </c>
      <c r="H1245" s="71" t="str">
        <f>_xlfn.CONCAT(_xlfn.XLOOKUP("[S05_InherentCarbonTransferredDetail]["&amp;ROW(B1245)-ROW($B$1219)&amp;"][ReceivingInstallationType]",Submission!$O:$O,Submission!$H:$N,""))</f>
        <v/>
      </c>
      <c r="I1245" s="72" t="str">
        <f>_xlfn.CONCAT(_xlfn.XLOOKUP("[S05_InherentCarbonTransferredDetail]["&amp;ROW(B1245)-ROW($B$1219)&amp;"][StorageSitePermitNumber]",Submission!$O:$O,Submission!$H:$N,""))</f>
        <v/>
      </c>
      <c r="K1245" s="13"/>
      <c r="L1245" s="13"/>
    </row>
    <row r="1246" spans="1:12" s="147" customFormat="1" ht="41.4" hidden="1" customHeight="1" outlineLevel="1" x14ac:dyDescent="0.3">
      <c r="A1246" s="146"/>
      <c r="C1246" s="71" t="str">
        <f>_xlfn.CONCAT(_xlfn.XLOOKUP("[S05_InherentCarbonTransferredDetail]["&amp;ROW(B1246)-ROW($B$1219)&amp;"][TransferType]",Submission!$O:$O,Submission!$H:$N,""))</f>
        <v/>
      </c>
      <c r="D1246" s="72" t="str">
        <f>_xlfn.CONCAT(_xlfn.XLOOKUP("[S05_InherentCarbonTransferredDetail]["&amp;ROW(B1246)-ROW($B$1219)&amp;"][InstallationIdTransferring]",Submission!$O:$O,Submission!$H:$N,""))</f>
        <v/>
      </c>
      <c r="E1246" s="72" t="str">
        <f>_xlfn.CONCAT(_xlfn.XLOOKUP("[S05_InherentCarbonTransferredDetail]["&amp;ROW(B1246)-ROW($B$1219)&amp;"][InstallationIdReceiving]",Submission!$O:$O,Submission!$H:$N,""))</f>
        <v/>
      </c>
      <c r="F1246" s="124" t="str">
        <f>_xlfn.CONCAT(_xlfn.XLOOKUP("[S05_InherentCarbonTransferredDetail]["&amp;ROW(B1246)-ROW($B$1219)&amp;"][AmountCO2Transferred]",Submission!$O:$O,Submission!$H:$N,""))</f>
        <v/>
      </c>
      <c r="G1246" s="124" t="str">
        <f>_xlfn.CONCAT(_xlfn.XLOOKUP("[S05_InherentCarbonTransferredDetail]["&amp;ROW(B1246)-ROW($B$1219)&amp;"][InherentCO2Received]",Submission!$O:$O,Submission!$H:$N,""))</f>
        <v/>
      </c>
      <c r="H1246" s="71" t="str">
        <f>_xlfn.CONCAT(_xlfn.XLOOKUP("[S05_InherentCarbonTransferredDetail]["&amp;ROW(B1246)-ROW($B$1219)&amp;"][ReceivingInstallationType]",Submission!$O:$O,Submission!$H:$N,""))</f>
        <v/>
      </c>
      <c r="I1246" s="72" t="str">
        <f>_xlfn.CONCAT(_xlfn.XLOOKUP("[S05_InherentCarbonTransferredDetail]["&amp;ROW(B1246)-ROW($B$1219)&amp;"][StorageSitePermitNumber]",Submission!$O:$O,Submission!$H:$N,""))</f>
        <v/>
      </c>
      <c r="K1246" s="13"/>
      <c r="L1246" s="13"/>
    </row>
    <row r="1247" spans="1:12" s="147" customFormat="1" ht="41.4" hidden="1" customHeight="1" outlineLevel="1" x14ac:dyDescent="0.3">
      <c r="A1247" s="146"/>
      <c r="C1247" s="71" t="str">
        <f>_xlfn.CONCAT(_xlfn.XLOOKUP("[S05_InherentCarbonTransferredDetail]["&amp;ROW(B1247)-ROW($B$1219)&amp;"][TransferType]",Submission!$O:$O,Submission!$H:$N,""))</f>
        <v/>
      </c>
      <c r="D1247" s="72" t="str">
        <f>_xlfn.CONCAT(_xlfn.XLOOKUP("[S05_InherentCarbonTransferredDetail]["&amp;ROW(B1247)-ROW($B$1219)&amp;"][InstallationIdTransferring]",Submission!$O:$O,Submission!$H:$N,""))</f>
        <v/>
      </c>
      <c r="E1247" s="72" t="str">
        <f>_xlfn.CONCAT(_xlfn.XLOOKUP("[S05_InherentCarbonTransferredDetail]["&amp;ROW(B1247)-ROW($B$1219)&amp;"][InstallationIdReceiving]",Submission!$O:$O,Submission!$H:$N,""))</f>
        <v/>
      </c>
      <c r="F1247" s="124" t="str">
        <f>_xlfn.CONCAT(_xlfn.XLOOKUP("[S05_InherentCarbonTransferredDetail]["&amp;ROW(B1247)-ROW($B$1219)&amp;"][AmountCO2Transferred]",Submission!$O:$O,Submission!$H:$N,""))</f>
        <v/>
      </c>
      <c r="G1247" s="124" t="str">
        <f>_xlfn.CONCAT(_xlfn.XLOOKUP("[S05_InherentCarbonTransferredDetail]["&amp;ROW(B1247)-ROW($B$1219)&amp;"][InherentCO2Received]",Submission!$O:$O,Submission!$H:$N,""))</f>
        <v/>
      </c>
      <c r="H1247" s="71" t="str">
        <f>_xlfn.CONCAT(_xlfn.XLOOKUP("[S05_InherentCarbonTransferredDetail]["&amp;ROW(B1247)-ROW($B$1219)&amp;"][ReceivingInstallationType]",Submission!$O:$O,Submission!$H:$N,""))</f>
        <v/>
      </c>
      <c r="I1247" s="72" t="str">
        <f>_xlfn.CONCAT(_xlfn.XLOOKUP("[S05_InherentCarbonTransferredDetail]["&amp;ROW(B1247)-ROW($B$1219)&amp;"][StorageSitePermitNumber]",Submission!$O:$O,Submission!$H:$N,""))</f>
        <v/>
      </c>
      <c r="K1247" s="13"/>
      <c r="L1247" s="13"/>
    </row>
    <row r="1248" spans="1:12" s="147" customFormat="1" ht="41.4" hidden="1" customHeight="1" outlineLevel="1" x14ac:dyDescent="0.3">
      <c r="A1248" s="146"/>
      <c r="C1248" s="71" t="str">
        <f>_xlfn.CONCAT(_xlfn.XLOOKUP("[S05_InherentCarbonTransferredDetail]["&amp;ROW(B1248)-ROW($B$1219)&amp;"][TransferType]",Submission!$O:$O,Submission!$H:$N,""))</f>
        <v/>
      </c>
      <c r="D1248" s="72" t="str">
        <f>_xlfn.CONCAT(_xlfn.XLOOKUP("[S05_InherentCarbonTransferredDetail]["&amp;ROW(B1248)-ROW($B$1219)&amp;"][InstallationIdTransferring]",Submission!$O:$O,Submission!$H:$N,""))</f>
        <v/>
      </c>
      <c r="E1248" s="72" t="str">
        <f>_xlfn.CONCAT(_xlfn.XLOOKUP("[S05_InherentCarbonTransferredDetail]["&amp;ROW(B1248)-ROW($B$1219)&amp;"][InstallationIdReceiving]",Submission!$O:$O,Submission!$H:$N,""))</f>
        <v/>
      </c>
      <c r="F1248" s="124" t="str">
        <f>_xlfn.CONCAT(_xlfn.XLOOKUP("[S05_InherentCarbonTransferredDetail]["&amp;ROW(B1248)-ROW($B$1219)&amp;"][AmountCO2Transferred]",Submission!$O:$O,Submission!$H:$N,""))</f>
        <v/>
      </c>
      <c r="G1248" s="124" t="str">
        <f>_xlfn.CONCAT(_xlfn.XLOOKUP("[S05_InherentCarbonTransferredDetail]["&amp;ROW(B1248)-ROW($B$1219)&amp;"][InherentCO2Received]",Submission!$O:$O,Submission!$H:$N,""))</f>
        <v/>
      </c>
      <c r="H1248" s="71" t="str">
        <f>_xlfn.CONCAT(_xlfn.XLOOKUP("[S05_InherentCarbonTransferredDetail]["&amp;ROW(B1248)-ROW($B$1219)&amp;"][ReceivingInstallationType]",Submission!$O:$O,Submission!$H:$N,""))</f>
        <v/>
      </c>
      <c r="I1248" s="72" t="str">
        <f>_xlfn.CONCAT(_xlfn.XLOOKUP("[S05_InherentCarbonTransferredDetail]["&amp;ROW(B1248)-ROW($B$1219)&amp;"][StorageSitePermitNumber]",Submission!$O:$O,Submission!$H:$N,""))</f>
        <v/>
      </c>
      <c r="K1248" s="13"/>
      <c r="L1248" s="13"/>
    </row>
    <row r="1249" spans="1:12" s="147" customFormat="1" ht="41.4" hidden="1" customHeight="1" outlineLevel="1" x14ac:dyDescent="0.3">
      <c r="A1249" s="146"/>
      <c r="C1249" s="71" t="str">
        <f>_xlfn.CONCAT(_xlfn.XLOOKUP("[S05_InherentCarbonTransferredDetail]["&amp;ROW(B1249)-ROW($B$1219)&amp;"][TransferType]",Submission!$O:$O,Submission!$H:$N,""))</f>
        <v/>
      </c>
      <c r="D1249" s="72" t="str">
        <f>_xlfn.CONCAT(_xlfn.XLOOKUP("[S05_InherentCarbonTransferredDetail]["&amp;ROW(B1249)-ROW($B$1219)&amp;"][InstallationIdTransferring]",Submission!$O:$O,Submission!$H:$N,""))</f>
        <v/>
      </c>
      <c r="E1249" s="72" t="str">
        <f>_xlfn.CONCAT(_xlfn.XLOOKUP("[S05_InherentCarbonTransferredDetail]["&amp;ROW(B1249)-ROW($B$1219)&amp;"][InstallationIdReceiving]",Submission!$O:$O,Submission!$H:$N,""))</f>
        <v/>
      </c>
      <c r="F1249" s="124" t="str">
        <f>_xlfn.CONCAT(_xlfn.XLOOKUP("[S05_InherentCarbonTransferredDetail]["&amp;ROW(B1249)-ROW($B$1219)&amp;"][AmountCO2Transferred]",Submission!$O:$O,Submission!$H:$N,""))</f>
        <v/>
      </c>
      <c r="G1249" s="124" t="str">
        <f>_xlfn.CONCAT(_xlfn.XLOOKUP("[S05_InherentCarbonTransferredDetail]["&amp;ROW(B1249)-ROW($B$1219)&amp;"][InherentCO2Received]",Submission!$O:$O,Submission!$H:$N,""))</f>
        <v/>
      </c>
      <c r="H1249" s="71" t="str">
        <f>_xlfn.CONCAT(_xlfn.XLOOKUP("[S05_InherentCarbonTransferredDetail]["&amp;ROW(B1249)-ROW($B$1219)&amp;"][ReceivingInstallationType]",Submission!$O:$O,Submission!$H:$N,""))</f>
        <v/>
      </c>
      <c r="I1249" s="72" t="str">
        <f>_xlfn.CONCAT(_xlfn.XLOOKUP("[S05_InherentCarbonTransferredDetail]["&amp;ROW(B1249)-ROW($B$1219)&amp;"][StorageSitePermitNumber]",Submission!$O:$O,Submission!$H:$N,""))</f>
        <v/>
      </c>
      <c r="K1249" s="13"/>
      <c r="L1249" s="13"/>
    </row>
    <row r="1250" spans="1:12" s="147" customFormat="1" ht="41.4" hidden="1" customHeight="1" outlineLevel="1" x14ac:dyDescent="0.3">
      <c r="A1250" s="146"/>
      <c r="C1250" s="71" t="str">
        <f>_xlfn.CONCAT(_xlfn.XLOOKUP("[S05_InherentCarbonTransferredDetail]["&amp;ROW(B1250)-ROW($B$1219)&amp;"][TransferType]",Submission!$O:$O,Submission!$H:$N,""))</f>
        <v/>
      </c>
      <c r="D1250" s="72" t="str">
        <f>_xlfn.CONCAT(_xlfn.XLOOKUP("[S05_InherentCarbonTransferredDetail]["&amp;ROW(B1250)-ROW($B$1219)&amp;"][InstallationIdTransferring]",Submission!$O:$O,Submission!$H:$N,""))</f>
        <v/>
      </c>
      <c r="E1250" s="72" t="str">
        <f>_xlfn.CONCAT(_xlfn.XLOOKUP("[S05_InherentCarbonTransferredDetail]["&amp;ROW(B1250)-ROW($B$1219)&amp;"][InstallationIdReceiving]",Submission!$O:$O,Submission!$H:$N,""))</f>
        <v/>
      </c>
      <c r="F1250" s="124" t="str">
        <f>_xlfn.CONCAT(_xlfn.XLOOKUP("[S05_InherentCarbonTransferredDetail]["&amp;ROW(B1250)-ROW($B$1219)&amp;"][AmountCO2Transferred]",Submission!$O:$O,Submission!$H:$N,""))</f>
        <v/>
      </c>
      <c r="G1250" s="124" t="str">
        <f>_xlfn.CONCAT(_xlfn.XLOOKUP("[S05_InherentCarbonTransferredDetail]["&amp;ROW(B1250)-ROW($B$1219)&amp;"][InherentCO2Received]",Submission!$O:$O,Submission!$H:$N,""))</f>
        <v/>
      </c>
      <c r="H1250" s="71" t="str">
        <f>_xlfn.CONCAT(_xlfn.XLOOKUP("[S05_InherentCarbonTransferredDetail]["&amp;ROW(B1250)-ROW($B$1219)&amp;"][ReceivingInstallationType]",Submission!$O:$O,Submission!$H:$N,""))</f>
        <v/>
      </c>
      <c r="I1250" s="72" t="str">
        <f>_xlfn.CONCAT(_xlfn.XLOOKUP("[S05_InherentCarbonTransferredDetail]["&amp;ROW(B1250)-ROW($B$1219)&amp;"][StorageSitePermitNumber]",Submission!$O:$O,Submission!$H:$N,""))</f>
        <v/>
      </c>
      <c r="K1250" s="13"/>
      <c r="L1250" s="13"/>
    </row>
    <row r="1251" spans="1:12" s="147" customFormat="1" ht="41.4" hidden="1" customHeight="1" outlineLevel="1" x14ac:dyDescent="0.3">
      <c r="A1251" s="146"/>
      <c r="C1251" s="71" t="str">
        <f>_xlfn.CONCAT(_xlfn.XLOOKUP("[S05_InherentCarbonTransferredDetail]["&amp;ROW(B1251)-ROW($B$1219)&amp;"][TransferType]",Submission!$O:$O,Submission!$H:$N,""))</f>
        <v/>
      </c>
      <c r="D1251" s="72" t="str">
        <f>_xlfn.CONCAT(_xlfn.XLOOKUP("[S05_InherentCarbonTransferredDetail]["&amp;ROW(B1251)-ROW($B$1219)&amp;"][InstallationIdTransferring]",Submission!$O:$O,Submission!$H:$N,""))</f>
        <v/>
      </c>
      <c r="E1251" s="72" t="str">
        <f>_xlfn.CONCAT(_xlfn.XLOOKUP("[S05_InherentCarbonTransferredDetail]["&amp;ROW(B1251)-ROW($B$1219)&amp;"][InstallationIdReceiving]",Submission!$O:$O,Submission!$H:$N,""))</f>
        <v/>
      </c>
      <c r="F1251" s="124" t="str">
        <f>_xlfn.CONCAT(_xlfn.XLOOKUP("[S05_InherentCarbonTransferredDetail]["&amp;ROW(B1251)-ROW($B$1219)&amp;"][AmountCO2Transferred]",Submission!$O:$O,Submission!$H:$N,""))</f>
        <v/>
      </c>
      <c r="G1251" s="124" t="str">
        <f>_xlfn.CONCAT(_xlfn.XLOOKUP("[S05_InherentCarbonTransferredDetail]["&amp;ROW(B1251)-ROW($B$1219)&amp;"][InherentCO2Received]",Submission!$O:$O,Submission!$H:$N,""))</f>
        <v/>
      </c>
      <c r="H1251" s="71" t="str">
        <f>_xlfn.CONCAT(_xlfn.XLOOKUP("[S05_InherentCarbonTransferredDetail]["&amp;ROW(B1251)-ROW($B$1219)&amp;"][ReceivingInstallationType]",Submission!$O:$O,Submission!$H:$N,""))</f>
        <v/>
      </c>
      <c r="I1251" s="72" t="str">
        <f>_xlfn.CONCAT(_xlfn.XLOOKUP("[S05_InherentCarbonTransferredDetail]["&amp;ROW(B1251)-ROW($B$1219)&amp;"][StorageSitePermitNumber]",Submission!$O:$O,Submission!$H:$N,""))</f>
        <v/>
      </c>
      <c r="K1251" s="13"/>
      <c r="L1251" s="13"/>
    </row>
    <row r="1252" spans="1:12" s="147" customFormat="1" ht="41.4" hidden="1" customHeight="1" outlineLevel="1" x14ac:dyDescent="0.3">
      <c r="A1252" s="146"/>
      <c r="C1252" s="71" t="str">
        <f>_xlfn.CONCAT(_xlfn.XLOOKUP("[S05_InherentCarbonTransferredDetail]["&amp;ROW(B1252)-ROW($B$1219)&amp;"][TransferType]",Submission!$O:$O,Submission!$H:$N,""))</f>
        <v/>
      </c>
      <c r="D1252" s="72" t="str">
        <f>_xlfn.CONCAT(_xlfn.XLOOKUP("[S05_InherentCarbonTransferredDetail]["&amp;ROW(B1252)-ROW($B$1219)&amp;"][InstallationIdTransferring]",Submission!$O:$O,Submission!$H:$N,""))</f>
        <v/>
      </c>
      <c r="E1252" s="72" t="str">
        <f>_xlfn.CONCAT(_xlfn.XLOOKUP("[S05_InherentCarbonTransferredDetail]["&amp;ROW(B1252)-ROW($B$1219)&amp;"][InstallationIdReceiving]",Submission!$O:$O,Submission!$H:$N,""))</f>
        <v/>
      </c>
      <c r="F1252" s="124" t="str">
        <f>_xlfn.CONCAT(_xlfn.XLOOKUP("[S05_InherentCarbonTransferredDetail]["&amp;ROW(B1252)-ROW($B$1219)&amp;"][AmountCO2Transferred]",Submission!$O:$O,Submission!$H:$N,""))</f>
        <v/>
      </c>
      <c r="G1252" s="124" t="str">
        <f>_xlfn.CONCAT(_xlfn.XLOOKUP("[S05_InherentCarbonTransferredDetail]["&amp;ROW(B1252)-ROW($B$1219)&amp;"][InherentCO2Received]",Submission!$O:$O,Submission!$H:$N,""))</f>
        <v/>
      </c>
      <c r="H1252" s="71" t="str">
        <f>_xlfn.CONCAT(_xlfn.XLOOKUP("[S05_InherentCarbonTransferredDetail]["&amp;ROW(B1252)-ROW($B$1219)&amp;"][ReceivingInstallationType]",Submission!$O:$O,Submission!$H:$N,""))</f>
        <v/>
      </c>
      <c r="I1252" s="72" t="str">
        <f>_xlfn.CONCAT(_xlfn.XLOOKUP("[S05_InherentCarbonTransferredDetail]["&amp;ROW(B1252)-ROW($B$1219)&amp;"][StorageSitePermitNumber]",Submission!$O:$O,Submission!$H:$N,""))</f>
        <v/>
      </c>
      <c r="K1252" s="13"/>
      <c r="L1252" s="13"/>
    </row>
    <row r="1253" spans="1:12" s="147" customFormat="1" ht="41.4" hidden="1" customHeight="1" outlineLevel="1" x14ac:dyDescent="0.3">
      <c r="A1253" s="146"/>
      <c r="C1253" s="71" t="str">
        <f>_xlfn.CONCAT(_xlfn.XLOOKUP("[S05_InherentCarbonTransferredDetail]["&amp;ROW(B1253)-ROW($B$1219)&amp;"][TransferType]",Submission!$O:$O,Submission!$H:$N,""))</f>
        <v/>
      </c>
      <c r="D1253" s="72" t="str">
        <f>_xlfn.CONCAT(_xlfn.XLOOKUP("[S05_InherentCarbonTransferredDetail]["&amp;ROW(B1253)-ROW($B$1219)&amp;"][InstallationIdTransferring]",Submission!$O:$O,Submission!$H:$N,""))</f>
        <v/>
      </c>
      <c r="E1253" s="72" t="str">
        <f>_xlfn.CONCAT(_xlfn.XLOOKUP("[S05_InherentCarbonTransferredDetail]["&amp;ROW(B1253)-ROW($B$1219)&amp;"][InstallationIdReceiving]",Submission!$O:$O,Submission!$H:$N,""))</f>
        <v/>
      </c>
      <c r="F1253" s="124" t="str">
        <f>_xlfn.CONCAT(_xlfn.XLOOKUP("[S05_InherentCarbonTransferredDetail]["&amp;ROW(B1253)-ROW($B$1219)&amp;"][AmountCO2Transferred]",Submission!$O:$O,Submission!$H:$N,""))</f>
        <v/>
      </c>
      <c r="G1253" s="124" t="str">
        <f>_xlfn.CONCAT(_xlfn.XLOOKUP("[S05_InherentCarbonTransferredDetail]["&amp;ROW(B1253)-ROW($B$1219)&amp;"][InherentCO2Received]",Submission!$O:$O,Submission!$H:$N,""))</f>
        <v/>
      </c>
      <c r="H1253" s="71" t="str">
        <f>_xlfn.CONCAT(_xlfn.XLOOKUP("[S05_InherentCarbonTransferredDetail]["&amp;ROW(B1253)-ROW($B$1219)&amp;"][ReceivingInstallationType]",Submission!$O:$O,Submission!$H:$N,""))</f>
        <v/>
      </c>
      <c r="I1253" s="72" t="str">
        <f>_xlfn.CONCAT(_xlfn.XLOOKUP("[S05_InherentCarbonTransferredDetail]["&amp;ROW(B1253)-ROW($B$1219)&amp;"][StorageSitePermitNumber]",Submission!$O:$O,Submission!$H:$N,""))</f>
        <v/>
      </c>
      <c r="K1253" s="13"/>
      <c r="L1253" s="13"/>
    </row>
    <row r="1254" spans="1:12" s="147" customFormat="1" ht="41.4" hidden="1" customHeight="1" outlineLevel="1" x14ac:dyDescent="0.3">
      <c r="A1254" s="146"/>
      <c r="C1254" s="71" t="str">
        <f>_xlfn.CONCAT(_xlfn.XLOOKUP("[S05_InherentCarbonTransferredDetail]["&amp;ROW(B1254)-ROW($B$1219)&amp;"][TransferType]",Submission!$O:$O,Submission!$H:$N,""))</f>
        <v/>
      </c>
      <c r="D1254" s="72" t="str">
        <f>_xlfn.CONCAT(_xlfn.XLOOKUP("[S05_InherentCarbonTransferredDetail]["&amp;ROW(B1254)-ROW($B$1219)&amp;"][InstallationIdTransferring]",Submission!$O:$O,Submission!$H:$N,""))</f>
        <v/>
      </c>
      <c r="E1254" s="72" t="str">
        <f>_xlfn.CONCAT(_xlfn.XLOOKUP("[S05_InherentCarbonTransferredDetail]["&amp;ROW(B1254)-ROW($B$1219)&amp;"][InstallationIdReceiving]",Submission!$O:$O,Submission!$H:$N,""))</f>
        <v/>
      </c>
      <c r="F1254" s="124" t="str">
        <f>_xlfn.CONCAT(_xlfn.XLOOKUP("[S05_InherentCarbonTransferredDetail]["&amp;ROW(B1254)-ROW($B$1219)&amp;"][AmountCO2Transferred]",Submission!$O:$O,Submission!$H:$N,""))</f>
        <v/>
      </c>
      <c r="G1254" s="124" t="str">
        <f>_xlfn.CONCAT(_xlfn.XLOOKUP("[S05_InherentCarbonTransferredDetail]["&amp;ROW(B1254)-ROW($B$1219)&amp;"][InherentCO2Received]",Submission!$O:$O,Submission!$H:$N,""))</f>
        <v/>
      </c>
      <c r="H1254" s="71" t="str">
        <f>_xlfn.CONCAT(_xlfn.XLOOKUP("[S05_InherentCarbonTransferredDetail]["&amp;ROW(B1254)-ROW($B$1219)&amp;"][ReceivingInstallationType]",Submission!$O:$O,Submission!$H:$N,""))</f>
        <v/>
      </c>
      <c r="I1254" s="72" t="str">
        <f>_xlfn.CONCAT(_xlfn.XLOOKUP("[S05_InherentCarbonTransferredDetail]["&amp;ROW(B1254)-ROW($B$1219)&amp;"][StorageSitePermitNumber]",Submission!$O:$O,Submission!$H:$N,""))</f>
        <v/>
      </c>
      <c r="K1254" s="13"/>
      <c r="L1254" s="13"/>
    </row>
    <row r="1255" spans="1:12" s="147" customFormat="1" ht="41.4" hidden="1" customHeight="1" outlineLevel="1" x14ac:dyDescent="0.3">
      <c r="A1255" s="146"/>
      <c r="C1255" s="71" t="str">
        <f>_xlfn.CONCAT(_xlfn.XLOOKUP("[S05_InherentCarbonTransferredDetail]["&amp;ROW(B1255)-ROW($B$1219)&amp;"][TransferType]",Submission!$O:$O,Submission!$H:$N,""))</f>
        <v/>
      </c>
      <c r="D1255" s="72" t="str">
        <f>_xlfn.CONCAT(_xlfn.XLOOKUP("[S05_InherentCarbonTransferredDetail]["&amp;ROW(B1255)-ROW($B$1219)&amp;"][InstallationIdTransferring]",Submission!$O:$O,Submission!$H:$N,""))</f>
        <v/>
      </c>
      <c r="E1255" s="72" t="str">
        <f>_xlfn.CONCAT(_xlfn.XLOOKUP("[S05_InherentCarbonTransferredDetail]["&amp;ROW(B1255)-ROW($B$1219)&amp;"][InstallationIdReceiving]",Submission!$O:$O,Submission!$H:$N,""))</f>
        <v/>
      </c>
      <c r="F1255" s="124" t="str">
        <f>_xlfn.CONCAT(_xlfn.XLOOKUP("[S05_InherentCarbonTransferredDetail]["&amp;ROW(B1255)-ROW($B$1219)&amp;"][AmountCO2Transferred]",Submission!$O:$O,Submission!$H:$N,""))</f>
        <v/>
      </c>
      <c r="G1255" s="124" t="str">
        <f>_xlfn.CONCAT(_xlfn.XLOOKUP("[S05_InherentCarbonTransferredDetail]["&amp;ROW(B1255)-ROW($B$1219)&amp;"][InherentCO2Received]",Submission!$O:$O,Submission!$H:$N,""))</f>
        <v/>
      </c>
      <c r="H1255" s="71" t="str">
        <f>_xlfn.CONCAT(_xlfn.XLOOKUP("[S05_InherentCarbonTransferredDetail]["&amp;ROW(B1255)-ROW($B$1219)&amp;"][ReceivingInstallationType]",Submission!$O:$O,Submission!$H:$N,""))</f>
        <v/>
      </c>
      <c r="I1255" s="72" t="str">
        <f>_xlfn.CONCAT(_xlfn.XLOOKUP("[S05_InherentCarbonTransferredDetail]["&amp;ROW(B1255)-ROW($B$1219)&amp;"][StorageSitePermitNumber]",Submission!$O:$O,Submission!$H:$N,""))</f>
        <v/>
      </c>
      <c r="K1255" s="13"/>
      <c r="L1255" s="13"/>
    </row>
    <row r="1256" spans="1:12" s="147" customFormat="1" ht="41.4" hidden="1" customHeight="1" outlineLevel="1" x14ac:dyDescent="0.3">
      <c r="A1256" s="146"/>
      <c r="C1256" s="71" t="str">
        <f>_xlfn.CONCAT(_xlfn.XLOOKUP("[S05_InherentCarbonTransferredDetail]["&amp;ROW(B1256)-ROW($B$1219)&amp;"][TransferType]",Submission!$O:$O,Submission!$H:$N,""))</f>
        <v/>
      </c>
      <c r="D1256" s="72" t="str">
        <f>_xlfn.CONCAT(_xlfn.XLOOKUP("[S05_InherentCarbonTransferredDetail]["&amp;ROW(B1256)-ROW($B$1219)&amp;"][InstallationIdTransferring]",Submission!$O:$O,Submission!$H:$N,""))</f>
        <v/>
      </c>
      <c r="E1256" s="72" t="str">
        <f>_xlfn.CONCAT(_xlfn.XLOOKUP("[S05_InherentCarbonTransferredDetail]["&amp;ROW(B1256)-ROW($B$1219)&amp;"][InstallationIdReceiving]",Submission!$O:$O,Submission!$H:$N,""))</f>
        <v/>
      </c>
      <c r="F1256" s="124" t="str">
        <f>_xlfn.CONCAT(_xlfn.XLOOKUP("[S05_InherentCarbonTransferredDetail]["&amp;ROW(B1256)-ROW($B$1219)&amp;"][AmountCO2Transferred]",Submission!$O:$O,Submission!$H:$N,""))</f>
        <v/>
      </c>
      <c r="G1256" s="124" t="str">
        <f>_xlfn.CONCAT(_xlfn.XLOOKUP("[S05_InherentCarbonTransferredDetail]["&amp;ROW(B1256)-ROW($B$1219)&amp;"][InherentCO2Received]",Submission!$O:$O,Submission!$H:$N,""))</f>
        <v/>
      </c>
      <c r="H1256" s="71" t="str">
        <f>_xlfn.CONCAT(_xlfn.XLOOKUP("[S05_InherentCarbonTransferredDetail]["&amp;ROW(B1256)-ROW($B$1219)&amp;"][ReceivingInstallationType]",Submission!$O:$O,Submission!$H:$N,""))</f>
        <v/>
      </c>
      <c r="I1256" s="72" t="str">
        <f>_xlfn.CONCAT(_xlfn.XLOOKUP("[S05_InherentCarbonTransferredDetail]["&amp;ROW(B1256)-ROW($B$1219)&amp;"][StorageSitePermitNumber]",Submission!$O:$O,Submission!$H:$N,""))</f>
        <v/>
      </c>
      <c r="K1256" s="13"/>
      <c r="L1256" s="13"/>
    </row>
    <row r="1257" spans="1:12" s="147" customFormat="1" ht="41.4" hidden="1" customHeight="1" outlineLevel="1" x14ac:dyDescent="0.3">
      <c r="A1257" s="146"/>
      <c r="C1257" s="71" t="str">
        <f>_xlfn.CONCAT(_xlfn.XLOOKUP("[S05_InherentCarbonTransferredDetail]["&amp;ROW(B1257)-ROW($B$1219)&amp;"][TransferType]",Submission!$O:$O,Submission!$H:$N,""))</f>
        <v/>
      </c>
      <c r="D1257" s="72" t="str">
        <f>_xlfn.CONCAT(_xlfn.XLOOKUP("[S05_InherentCarbonTransferredDetail]["&amp;ROW(B1257)-ROW($B$1219)&amp;"][InstallationIdTransferring]",Submission!$O:$O,Submission!$H:$N,""))</f>
        <v/>
      </c>
      <c r="E1257" s="72" t="str">
        <f>_xlfn.CONCAT(_xlfn.XLOOKUP("[S05_InherentCarbonTransferredDetail]["&amp;ROW(B1257)-ROW($B$1219)&amp;"][InstallationIdReceiving]",Submission!$O:$O,Submission!$H:$N,""))</f>
        <v/>
      </c>
      <c r="F1257" s="124" t="str">
        <f>_xlfn.CONCAT(_xlfn.XLOOKUP("[S05_InherentCarbonTransferredDetail]["&amp;ROW(B1257)-ROW($B$1219)&amp;"][AmountCO2Transferred]",Submission!$O:$O,Submission!$H:$N,""))</f>
        <v/>
      </c>
      <c r="G1257" s="124" t="str">
        <f>_xlfn.CONCAT(_xlfn.XLOOKUP("[S05_InherentCarbonTransferredDetail]["&amp;ROW(B1257)-ROW($B$1219)&amp;"][InherentCO2Received]",Submission!$O:$O,Submission!$H:$N,""))</f>
        <v/>
      </c>
      <c r="H1257" s="71" t="str">
        <f>_xlfn.CONCAT(_xlfn.XLOOKUP("[S05_InherentCarbonTransferredDetail]["&amp;ROW(B1257)-ROW($B$1219)&amp;"][ReceivingInstallationType]",Submission!$O:$O,Submission!$H:$N,""))</f>
        <v/>
      </c>
      <c r="I1257" s="72" t="str">
        <f>_xlfn.CONCAT(_xlfn.XLOOKUP("[S05_InherentCarbonTransferredDetail]["&amp;ROW(B1257)-ROW($B$1219)&amp;"][StorageSitePermitNumber]",Submission!$O:$O,Submission!$H:$N,""))</f>
        <v/>
      </c>
      <c r="K1257" s="13"/>
      <c r="L1257" s="13"/>
    </row>
    <row r="1258" spans="1:12" s="147" customFormat="1" ht="41.4" hidden="1" customHeight="1" outlineLevel="1" x14ac:dyDescent="0.3">
      <c r="A1258" s="146"/>
      <c r="C1258" s="71" t="str">
        <f>_xlfn.CONCAT(_xlfn.XLOOKUP("[S05_InherentCarbonTransferredDetail]["&amp;ROW(B1258)-ROW($B$1219)&amp;"][TransferType]",Submission!$O:$O,Submission!$H:$N,""))</f>
        <v/>
      </c>
      <c r="D1258" s="72" t="str">
        <f>_xlfn.CONCAT(_xlfn.XLOOKUP("[S05_InherentCarbonTransferredDetail]["&amp;ROW(B1258)-ROW($B$1219)&amp;"][InstallationIdTransferring]",Submission!$O:$O,Submission!$H:$N,""))</f>
        <v/>
      </c>
      <c r="E1258" s="72" t="str">
        <f>_xlfn.CONCAT(_xlfn.XLOOKUP("[S05_InherentCarbonTransferredDetail]["&amp;ROW(B1258)-ROW($B$1219)&amp;"][InstallationIdReceiving]",Submission!$O:$O,Submission!$H:$N,""))</f>
        <v/>
      </c>
      <c r="F1258" s="124" t="str">
        <f>_xlfn.CONCAT(_xlfn.XLOOKUP("[S05_InherentCarbonTransferredDetail]["&amp;ROW(B1258)-ROW($B$1219)&amp;"][AmountCO2Transferred]",Submission!$O:$O,Submission!$H:$N,""))</f>
        <v/>
      </c>
      <c r="G1258" s="124" t="str">
        <f>_xlfn.CONCAT(_xlfn.XLOOKUP("[S05_InherentCarbonTransferredDetail]["&amp;ROW(B1258)-ROW($B$1219)&amp;"][InherentCO2Received]",Submission!$O:$O,Submission!$H:$N,""))</f>
        <v/>
      </c>
      <c r="H1258" s="71" t="str">
        <f>_xlfn.CONCAT(_xlfn.XLOOKUP("[S05_InherentCarbonTransferredDetail]["&amp;ROW(B1258)-ROW($B$1219)&amp;"][ReceivingInstallationType]",Submission!$O:$O,Submission!$H:$N,""))</f>
        <v/>
      </c>
      <c r="I1258" s="72" t="str">
        <f>_xlfn.CONCAT(_xlfn.XLOOKUP("[S05_InherentCarbonTransferredDetail]["&amp;ROW(B1258)-ROW($B$1219)&amp;"][StorageSitePermitNumber]",Submission!$O:$O,Submission!$H:$N,""))</f>
        <v/>
      </c>
      <c r="K1258" s="13"/>
      <c r="L1258" s="13"/>
    </row>
    <row r="1259" spans="1:12" s="147" customFormat="1" ht="41.4" hidden="1" customHeight="1" outlineLevel="1" x14ac:dyDescent="0.3">
      <c r="A1259" s="146"/>
      <c r="C1259" s="71" t="str">
        <f>_xlfn.CONCAT(_xlfn.XLOOKUP("[S05_InherentCarbonTransferredDetail]["&amp;ROW(B1259)-ROW($B$1219)&amp;"][TransferType]",Submission!$O:$O,Submission!$H:$N,""))</f>
        <v/>
      </c>
      <c r="D1259" s="72" t="str">
        <f>_xlfn.CONCAT(_xlfn.XLOOKUP("[S05_InherentCarbonTransferredDetail]["&amp;ROW(B1259)-ROW($B$1219)&amp;"][InstallationIdTransferring]",Submission!$O:$O,Submission!$H:$N,""))</f>
        <v/>
      </c>
      <c r="E1259" s="72" t="str">
        <f>_xlfn.CONCAT(_xlfn.XLOOKUP("[S05_InherentCarbonTransferredDetail]["&amp;ROW(B1259)-ROW($B$1219)&amp;"][InstallationIdReceiving]",Submission!$O:$O,Submission!$H:$N,""))</f>
        <v/>
      </c>
      <c r="F1259" s="124" t="str">
        <f>_xlfn.CONCAT(_xlfn.XLOOKUP("[S05_InherentCarbonTransferredDetail]["&amp;ROW(B1259)-ROW($B$1219)&amp;"][AmountCO2Transferred]",Submission!$O:$O,Submission!$H:$N,""))</f>
        <v/>
      </c>
      <c r="G1259" s="124" t="str">
        <f>_xlfn.CONCAT(_xlfn.XLOOKUP("[S05_InherentCarbonTransferredDetail]["&amp;ROW(B1259)-ROW($B$1219)&amp;"][InherentCO2Received]",Submission!$O:$O,Submission!$H:$N,""))</f>
        <v/>
      </c>
      <c r="H1259" s="71" t="str">
        <f>_xlfn.CONCAT(_xlfn.XLOOKUP("[S05_InherentCarbonTransferredDetail]["&amp;ROW(B1259)-ROW($B$1219)&amp;"][ReceivingInstallationType]",Submission!$O:$O,Submission!$H:$N,""))</f>
        <v/>
      </c>
      <c r="I1259" s="72" t="str">
        <f>_xlfn.CONCAT(_xlfn.XLOOKUP("[S05_InherentCarbonTransferredDetail]["&amp;ROW(B1259)-ROW($B$1219)&amp;"][StorageSitePermitNumber]",Submission!$O:$O,Submission!$H:$N,""))</f>
        <v/>
      </c>
      <c r="K1259" s="13"/>
      <c r="L1259" s="13"/>
    </row>
    <row r="1260" spans="1:12" s="147" customFormat="1" ht="41.4" hidden="1" customHeight="1" outlineLevel="1" x14ac:dyDescent="0.3">
      <c r="A1260" s="146"/>
      <c r="C1260" s="71" t="str">
        <f>_xlfn.CONCAT(_xlfn.XLOOKUP("[S05_InherentCarbonTransferredDetail]["&amp;ROW(B1260)-ROW($B$1219)&amp;"][TransferType]",Submission!$O:$O,Submission!$H:$N,""))</f>
        <v/>
      </c>
      <c r="D1260" s="72" t="str">
        <f>_xlfn.CONCAT(_xlfn.XLOOKUP("[S05_InherentCarbonTransferredDetail]["&amp;ROW(B1260)-ROW($B$1219)&amp;"][InstallationIdTransferring]",Submission!$O:$O,Submission!$H:$N,""))</f>
        <v/>
      </c>
      <c r="E1260" s="72" t="str">
        <f>_xlfn.CONCAT(_xlfn.XLOOKUP("[S05_InherentCarbonTransferredDetail]["&amp;ROW(B1260)-ROW($B$1219)&amp;"][InstallationIdReceiving]",Submission!$O:$O,Submission!$H:$N,""))</f>
        <v/>
      </c>
      <c r="F1260" s="124" t="str">
        <f>_xlfn.CONCAT(_xlfn.XLOOKUP("[S05_InherentCarbonTransferredDetail]["&amp;ROW(B1260)-ROW($B$1219)&amp;"][AmountCO2Transferred]",Submission!$O:$O,Submission!$H:$N,""))</f>
        <v/>
      </c>
      <c r="G1260" s="124" t="str">
        <f>_xlfn.CONCAT(_xlfn.XLOOKUP("[S05_InherentCarbonTransferredDetail]["&amp;ROW(B1260)-ROW($B$1219)&amp;"][InherentCO2Received]",Submission!$O:$O,Submission!$H:$N,""))</f>
        <v/>
      </c>
      <c r="H1260" s="71" t="str">
        <f>_xlfn.CONCAT(_xlfn.XLOOKUP("[S05_InherentCarbonTransferredDetail]["&amp;ROW(B1260)-ROW($B$1219)&amp;"][ReceivingInstallationType]",Submission!$O:$O,Submission!$H:$N,""))</f>
        <v/>
      </c>
      <c r="I1260" s="72" t="str">
        <f>_xlfn.CONCAT(_xlfn.XLOOKUP("[S05_InherentCarbonTransferredDetail]["&amp;ROW(B1260)-ROW($B$1219)&amp;"][StorageSitePermitNumber]",Submission!$O:$O,Submission!$H:$N,""))</f>
        <v/>
      </c>
      <c r="K1260" s="13"/>
      <c r="L1260" s="13"/>
    </row>
    <row r="1261" spans="1:12" s="147" customFormat="1" ht="41.4" hidden="1" customHeight="1" outlineLevel="1" x14ac:dyDescent="0.3">
      <c r="A1261" s="146"/>
      <c r="C1261" s="71" t="str">
        <f>_xlfn.CONCAT(_xlfn.XLOOKUP("[S05_InherentCarbonTransferredDetail]["&amp;ROW(B1261)-ROW($B$1219)&amp;"][TransferType]",Submission!$O:$O,Submission!$H:$N,""))</f>
        <v/>
      </c>
      <c r="D1261" s="72" t="str">
        <f>_xlfn.CONCAT(_xlfn.XLOOKUP("[S05_InherentCarbonTransferredDetail]["&amp;ROW(B1261)-ROW($B$1219)&amp;"][InstallationIdTransferring]",Submission!$O:$O,Submission!$H:$N,""))</f>
        <v/>
      </c>
      <c r="E1261" s="72" t="str">
        <f>_xlfn.CONCAT(_xlfn.XLOOKUP("[S05_InherentCarbonTransferredDetail]["&amp;ROW(B1261)-ROW($B$1219)&amp;"][InstallationIdReceiving]",Submission!$O:$O,Submission!$H:$N,""))</f>
        <v/>
      </c>
      <c r="F1261" s="124" t="str">
        <f>_xlfn.CONCAT(_xlfn.XLOOKUP("[S05_InherentCarbonTransferredDetail]["&amp;ROW(B1261)-ROW($B$1219)&amp;"][AmountCO2Transferred]",Submission!$O:$O,Submission!$H:$N,""))</f>
        <v/>
      </c>
      <c r="G1261" s="124" t="str">
        <f>_xlfn.CONCAT(_xlfn.XLOOKUP("[S05_InherentCarbonTransferredDetail]["&amp;ROW(B1261)-ROW($B$1219)&amp;"][InherentCO2Received]",Submission!$O:$O,Submission!$H:$N,""))</f>
        <v/>
      </c>
      <c r="H1261" s="71" t="str">
        <f>_xlfn.CONCAT(_xlfn.XLOOKUP("[S05_InherentCarbonTransferredDetail]["&amp;ROW(B1261)-ROW($B$1219)&amp;"][ReceivingInstallationType]",Submission!$O:$O,Submission!$H:$N,""))</f>
        <v/>
      </c>
      <c r="I1261" s="72" t="str">
        <f>_xlfn.CONCAT(_xlfn.XLOOKUP("[S05_InherentCarbonTransferredDetail]["&amp;ROW(B1261)-ROW($B$1219)&amp;"][StorageSitePermitNumber]",Submission!$O:$O,Submission!$H:$N,""))</f>
        <v/>
      </c>
      <c r="K1261" s="13"/>
      <c r="L1261" s="13"/>
    </row>
    <row r="1262" spans="1:12" s="147" customFormat="1" ht="41.4" hidden="1" customHeight="1" outlineLevel="1" x14ac:dyDescent="0.3">
      <c r="A1262" s="146"/>
      <c r="C1262" s="71" t="str">
        <f>_xlfn.CONCAT(_xlfn.XLOOKUP("[S05_InherentCarbonTransferredDetail]["&amp;ROW(B1262)-ROW($B$1219)&amp;"][TransferType]",Submission!$O:$O,Submission!$H:$N,""))</f>
        <v/>
      </c>
      <c r="D1262" s="72" t="str">
        <f>_xlfn.CONCAT(_xlfn.XLOOKUP("[S05_InherentCarbonTransferredDetail]["&amp;ROW(B1262)-ROW($B$1219)&amp;"][InstallationIdTransferring]",Submission!$O:$O,Submission!$H:$N,""))</f>
        <v/>
      </c>
      <c r="E1262" s="72" t="str">
        <f>_xlfn.CONCAT(_xlfn.XLOOKUP("[S05_InherentCarbonTransferredDetail]["&amp;ROW(B1262)-ROW($B$1219)&amp;"][InstallationIdReceiving]",Submission!$O:$O,Submission!$H:$N,""))</f>
        <v/>
      </c>
      <c r="F1262" s="124" t="str">
        <f>_xlfn.CONCAT(_xlfn.XLOOKUP("[S05_InherentCarbonTransferredDetail]["&amp;ROW(B1262)-ROW($B$1219)&amp;"][AmountCO2Transferred]",Submission!$O:$O,Submission!$H:$N,""))</f>
        <v/>
      </c>
      <c r="G1262" s="124" t="str">
        <f>_xlfn.CONCAT(_xlfn.XLOOKUP("[S05_InherentCarbonTransferredDetail]["&amp;ROW(B1262)-ROW($B$1219)&amp;"][InherentCO2Received]",Submission!$O:$O,Submission!$H:$N,""))</f>
        <v/>
      </c>
      <c r="H1262" s="71" t="str">
        <f>_xlfn.CONCAT(_xlfn.XLOOKUP("[S05_InherentCarbonTransferredDetail]["&amp;ROW(B1262)-ROW($B$1219)&amp;"][ReceivingInstallationType]",Submission!$O:$O,Submission!$H:$N,""))</f>
        <v/>
      </c>
      <c r="I1262" s="72" t="str">
        <f>_xlfn.CONCAT(_xlfn.XLOOKUP("[S05_InherentCarbonTransferredDetail]["&amp;ROW(B1262)-ROW($B$1219)&amp;"][StorageSitePermitNumber]",Submission!$O:$O,Submission!$H:$N,""))</f>
        <v/>
      </c>
      <c r="K1262" s="13"/>
      <c r="L1262" s="13"/>
    </row>
    <row r="1263" spans="1:12" s="147" customFormat="1" ht="41.4" hidden="1" customHeight="1" outlineLevel="1" x14ac:dyDescent="0.3">
      <c r="A1263" s="146"/>
      <c r="C1263" s="71" t="str">
        <f>_xlfn.CONCAT(_xlfn.XLOOKUP("[S05_InherentCarbonTransferredDetail]["&amp;ROW(B1263)-ROW($B$1219)&amp;"][TransferType]",Submission!$O:$O,Submission!$H:$N,""))</f>
        <v/>
      </c>
      <c r="D1263" s="72" t="str">
        <f>_xlfn.CONCAT(_xlfn.XLOOKUP("[S05_InherentCarbonTransferredDetail]["&amp;ROW(B1263)-ROW($B$1219)&amp;"][InstallationIdTransferring]",Submission!$O:$O,Submission!$H:$N,""))</f>
        <v/>
      </c>
      <c r="E1263" s="72" t="str">
        <f>_xlfn.CONCAT(_xlfn.XLOOKUP("[S05_InherentCarbonTransferredDetail]["&amp;ROW(B1263)-ROW($B$1219)&amp;"][InstallationIdReceiving]",Submission!$O:$O,Submission!$H:$N,""))</f>
        <v/>
      </c>
      <c r="F1263" s="124" t="str">
        <f>_xlfn.CONCAT(_xlfn.XLOOKUP("[S05_InherentCarbonTransferredDetail]["&amp;ROW(B1263)-ROW($B$1219)&amp;"][AmountCO2Transferred]",Submission!$O:$O,Submission!$H:$N,""))</f>
        <v/>
      </c>
      <c r="G1263" s="124" t="str">
        <f>_xlfn.CONCAT(_xlfn.XLOOKUP("[S05_InherentCarbonTransferredDetail]["&amp;ROW(B1263)-ROW($B$1219)&amp;"][InherentCO2Received]",Submission!$O:$O,Submission!$H:$N,""))</f>
        <v/>
      </c>
      <c r="H1263" s="71" t="str">
        <f>_xlfn.CONCAT(_xlfn.XLOOKUP("[S05_InherentCarbonTransferredDetail]["&amp;ROW(B1263)-ROW($B$1219)&amp;"][ReceivingInstallationType]",Submission!$O:$O,Submission!$H:$N,""))</f>
        <v/>
      </c>
      <c r="I1263" s="72" t="str">
        <f>_xlfn.CONCAT(_xlfn.XLOOKUP("[S05_InherentCarbonTransferredDetail]["&amp;ROW(B1263)-ROW($B$1219)&amp;"][StorageSitePermitNumber]",Submission!$O:$O,Submission!$H:$N,""))</f>
        <v/>
      </c>
      <c r="K1263" s="13"/>
      <c r="L1263" s="13"/>
    </row>
    <row r="1264" spans="1:12" s="147" customFormat="1" ht="41.4" hidden="1" customHeight="1" outlineLevel="1" x14ac:dyDescent="0.3">
      <c r="A1264" s="146"/>
      <c r="C1264" s="71" t="str">
        <f>_xlfn.CONCAT(_xlfn.XLOOKUP("[S05_InherentCarbonTransferredDetail]["&amp;ROW(B1264)-ROW($B$1219)&amp;"][TransferType]",Submission!$O:$O,Submission!$H:$N,""))</f>
        <v/>
      </c>
      <c r="D1264" s="72" t="str">
        <f>_xlfn.CONCAT(_xlfn.XLOOKUP("[S05_InherentCarbonTransferredDetail]["&amp;ROW(B1264)-ROW($B$1219)&amp;"][InstallationIdTransferring]",Submission!$O:$O,Submission!$H:$N,""))</f>
        <v/>
      </c>
      <c r="E1264" s="72" t="str">
        <f>_xlfn.CONCAT(_xlfn.XLOOKUP("[S05_InherentCarbonTransferredDetail]["&amp;ROW(B1264)-ROW($B$1219)&amp;"][InstallationIdReceiving]",Submission!$O:$O,Submission!$H:$N,""))</f>
        <v/>
      </c>
      <c r="F1264" s="124" t="str">
        <f>_xlfn.CONCAT(_xlfn.XLOOKUP("[S05_InherentCarbonTransferredDetail]["&amp;ROW(B1264)-ROW($B$1219)&amp;"][AmountCO2Transferred]",Submission!$O:$O,Submission!$H:$N,""))</f>
        <v/>
      </c>
      <c r="G1264" s="124" t="str">
        <f>_xlfn.CONCAT(_xlfn.XLOOKUP("[S05_InherentCarbonTransferredDetail]["&amp;ROW(B1264)-ROW($B$1219)&amp;"][InherentCO2Received]",Submission!$O:$O,Submission!$H:$N,""))</f>
        <v/>
      </c>
      <c r="H1264" s="71" t="str">
        <f>_xlfn.CONCAT(_xlfn.XLOOKUP("[S05_InherentCarbonTransferredDetail]["&amp;ROW(B1264)-ROW($B$1219)&amp;"][ReceivingInstallationType]",Submission!$O:$O,Submission!$H:$N,""))</f>
        <v/>
      </c>
      <c r="I1264" s="72" t="str">
        <f>_xlfn.CONCAT(_xlfn.XLOOKUP("[S05_InherentCarbonTransferredDetail]["&amp;ROW(B1264)-ROW($B$1219)&amp;"][StorageSitePermitNumber]",Submission!$O:$O,Submission!$H:$N,""))</f>
        <v/>
      </c>
      <c r="K1264" s="13"/>
      <c r="L1264" s="13"/>
    </row>
    <row r="1265" spans="1:12" s="147" customFormat="1" ht="41.4" hidden="1" customHeight="1" outlineLevel="1" x14ac:dyDescent="0.3">
      <c r="A1265" s="146"/>
      <c r="C1265" s="71" t="str">
        <f>_xlfn.CONCAT(_xlfn.XLOOKUP("[S05_InherentCarbonTransferredDetail]["&amp;ROW(B1265)-ROW($B$1219)&amp;"][TransferType]",Submission!$O:$O,Submission!$H:$N,""))</f>
        <v/>
      </c>
      <c r="D1265" s="72" t="str">
        <f>_xlfn.CONCAT(_xlfn.XLOOKUP("[S05_InherentCarbonTransferredDetail]["&amp;ROW(B1265)-ROW($B$1219)&amp;"][InstallationIdTransferring]",Submission!$O:$O,Submission!$H:$N,""))</f>
        <v/>
      </c>
      <c r="E1265" s="72" t="str">
        <f>_xlfn.CONCAT(_xlfn.XLOOKUP("[S05_InherentCarbonTransferredDetail]["&amp;ROW(B1265)-ROW($B$1219)&amp;"][InstallationIdReceiving]",Submission!$O:$O,Submission!$H:$N,""))</f>
        <v/>
      </c>
      <c r="F1265" s="124" t="str">
        <f>_xlfn.CONCAT(_xlfn.XLOOKUP("[S05_InherentCarbonTransferredDetail]["&amp;ROW(B1265)-ROW($B$1219)&amp;"][AmountCO2Transferred]",Submission!$O:$O,Submission!$H:$N,""))</f>
        <v/>
      </c>
      <c r="G1265" s="124" t="str">
        <f>_xlfn.CONCAT(_xlfn.XLOOKUP("[S05_InherentCarbonTransferredDetail]["&amp;ROW(B1265)-ROW($B$1219)&amp;"][InherentCO2Received]",Submission!$O:$O,Submission!$H:$N,""))</f>
        <v/>
      </c>
      <c r="H1265" s="71" t="str">
        <f>_xlfn.CONCAT(_xlfn.XLOOKUP("[S05_InherentCarbonTransferredDetail]["&amp;ROW(B1265)-ROW($B$1219)&amp;"][ReceivingInstallationType]",Submission!$O:$O,Submission!$H:$N,""))</f>
        <v/>
      </c>
      <c r="I1265" s="72" t="str">
        <f>_xlfn.CONCAT(_xlfn.XLOOKUP("[S05_InherentCarbonTransferredDetail]["&amp;ROW(B1265)-ROW($B$1219)&amp;"][StorageSitePermitNumber]",Submission!$O:$O,Submission!$H:$N,""))</f>
        <v/>
      </c>
      <c r="K1265" s="13"/>
      <c r="L1265" s="13"/>
    </row>
    <row r="1266" spans="1:12" s="147" customFormat="1" ht="41.4" hidden="1" customHeight="1" outlineLevel="1" x14ac:dyDescent="0.3">
      <c r="A1266" s="146"/>
      <c r="C1266" s="71" t="str">
        <f>_xlfn.CONCAT(_xlfn.XLOOKUP("[S05_InherentCarbonTransferredDetail]["&amp;ROW(B1266)-ROW($B$1219)&amp;"][TransferType]",Submission!$O:$O,Submission!$H:$N,""))</f>
        <v/>
      </c>
      <c r="D1266" s="72" t="str">
        <f>_xlfn.CONCAT(_xlfn.XLOOKUP("[S05_InherentCarbonTransferredDetail]["&amp;ROW(B1266)-ROW($B$1219)&amp;"][InstallationIdTransferring]",Submission!$O:$O,Submission!$H:$N,""))</f>
        <v/>
      </c>
      <c r="E1266" s="72" t="str">
        <f>_xlfn.CONCAT(_xlfn.XLOOKUP("[S05_InherentCarbonTransferredDetail]["&amp;ROW(B1266)-ROW($B$1219)&amp;"][InstallationIdReceiving]",Submission!$O:$O,Submission!$H:$N,""))</f>
        <v/>
      </c>
      <c r="F1266" s="124" t="str">
        <f>_xlfn.CONCAT(_xlfn.XLOOKUP("[S05_InherentCarbonTransferredDetail]["&amp;ROW(B1266)-ROW($B$1219)&amp;"][AmountCO2Transferred]",Submission!$O:$O,Submission!$H:$N,""))</f>
        <v/>
      </c>
      <c r="G1266" s="124" t="str">
        <f>_xlfn.CONCAT(_xlfn.XLOOKUP("[S05_InherentCarbonTransferredDetail]["&amp;ROW(B1266)-ROW($B$1219)&amp;"][InherentCO2Received]",Submission!$O:$O,Submission!$H:$N,""))</f>
        <v/>
      </c>
      <c r="H1266" s="71" t="str">
        <f>_xlfn.CONCAT(_xlfn.XLOOKUP("[S05_InherentCarbonTransferredDetail]["&amp;ROW(B1266)-ROW($B$1219)&amp;"][ReceivingInstallationType]",Submission!$O:$O,Submission!$H:$N,""))</f>
        <v/>
      </c>
      <c r="I1266" s="72" t="str">
        <f>_xlfn.CONCAT(_xlfn.XLOOKUP("[S05_InherentCarbonTransferredDetail]["&amp;ROW(B1266)-ROW($B$1219)&amp;"][StorageSitePermitNumber]",Submission!$O:$O,Submission!$H:$N,""))</f>
        <v/>
      </c>
      <c r="K1266" s="13"/>
      <c r="L1266" s="13"/>
    </row>
    <row r="1267" spans="1:12" s="147" customFormat="1" ht="41.4" hidden="1" customHeight="1" outlineLevel="1" x14ac:dyDescent="0.3">
      <c r="A1267" s="146"/>
      <c r="C1267" s="71" t="str">
        <f>_xlfn.CONCAT(_xlfn.XLOOKUP("[S05_InherentCarbonTransferredDetail]["&amp;ROW(B1267)-ROW($B$1219)&amp;"][TransferType]",Submission!$O:$O,Submission!$H:$N,""))</f>
        <v/>
      </c>
      <c r="D1267" s="72" t="str">
        <f>_xlfn.CONCAT(_xlfn.XLOOKUP("[S05_InherentCarbonTransferredDetail]["&amp;ROW(B1267)-ROW($B$1219)&amp;"][InstallationIdTransferring]",Submission!$O:$O,Submission!$H:$N,""))</f>
        <v/>
      </c>
      <c r="E1267" s="72" t="str">
        <f>_xlfn.CONCAT(_xlfn.XLOOKUP("[S05_InherentCarbonTransferredDetail]["&amp;ROW(B1267)-ROW($B$1219)&amp;"][InstallationIdReceiving]",Submission!$O:$O,Submission!$H:$N,""))</f>
        <v/>
      </c>
      <c r="F1267" s="124" t="str">
        <f>_xlfn.CONCAT(_xlfn.XLOOKUP("[S05_InherentCarbonTransferredDetail]["&amp;ROW(B1267)-ROW($B$1219)&amp;"][AmountCO2Transferred]",Submission!$O:$O,Submission!$H:$N,""))</f>
        <v/>
      </c>
      <c r="G1267" s="124" t="str">
        <f>_xlfn.CONCAT(_xlfn.XLOOKUP("[S05_InherentCarbonTransferredDetail]["&amp;ROW(B1267)-ROW($B$1219)&amp;"][InherentCO2Received]",Submission!$O:$O,Submission!$H:$N,""))</f>
        <v/>
      </c>
      <c r="H1267" s="71" t="str">
        <f>_xlfn.CONCAT(_xlfn.XLOOKUP("[S05_InherentCarbonTransferredDetail]["&amp;ROW(B1267)-ROW($B$1219)&amp;"][ReceivingInstallationType]",Submission!$O:$O,Submission!$H:$N,""))</f>
        <v/>
      </c>
      <c r="I1267" s="72" t="str">
        <f>_xlfn.CONCAT(_xlfn.XLOOKUP("[S05_InherentCarbonTransferredDetail]["&amp;ROW(B1267)-ROW($B$1219)&amp;"][StorageSitePermitNumber]",Submission!$O:$O,Submission!$H:$N,""))</f>
        <v/>
      </c>
      <c r="K1267" s="13"/>
      <c r="L1267" s="13"/>
    </row>
    <row r="1268" spans="1:12" s="147" customFormat="1" ht="41.4" hidden="1" customHeight="1" outlineLevel="1" x14ac:dyDescent="0.3">
      <c r="A1268" s="146"/>
      <c r="C1268" s="71" t="str">
        <f>_xlfn.CONCAT(_xlfn.XLOOKUP("[S05_InherentCarbonTransferredDetail]["&amp;ROW(B1268)-ROW($B$1219)&amp;"][TransferType]",Submission!$O:$O,Submission!$H:$N,""))</f>
        <v/>
      </c>
      <c r="D1268" s="72" t="str">
        <f>_xlfn.CONCAT(_xlfn.XLOOKUP("[S05_InherentCarbonTransferredDetail]["&amp;ROW(B1268)-ROW($B$1219)&amp;"][InstallationIdTransferring]",Submission!$O:$O,Submission!$H:$N,""))</f>
        <v/>
      </c>
      <c r="E1268" s="72" t="str">
        <f>_xlfn.CONCAT(_xlfn.XLOOKUP("[S05_InherentCarbonTransferredDetail]["&amp;ROW(B1268)-ROW($B$1219)&amp;"][InstallationIdReceiving]",Submission!$O:$O,Submission!$H:$N,""))</f>
        <v/>
      </c>
      <c r="F1268" s="124" t="str">
        <f>_xlfn.CONCAT(_xlfn.XLOOKUP("[S05_InherentCarbonTransferredDetail]["&amp;ROW(B1268)-ROW($B$1219)&amp;"][AmountCO2Transferred]",Submission!$O:$O,Submission!$H:$N,""))</f>
        <v/>
      </c>
      <c r="G1268" s="124" t="str">
        <f>_xlfn.CONCAT(_xlfn.XLOOKUP("[S05_InherentCarbonTransferredDetail]["&amp;ROW(B1268)-ROW($B$1219)&amp;"][InherentCO2Received]",Submission!$O:$O,Submission!$H:$N,""))</f>
        <v/>
      </c>
      <c r="H1268" s="71" t="str">
        <f>_xlfn.CONCAT(_xlfn.XLOOKUP("[S05_InherentCarbonTransferredDetail]["&amp;ROW(B1268)-ROW($B$1219)&amp;"][ReceivingInstallationType]",Submission!$O:$O,Submission!$H:$N,""))</f>
        <v/>
      </c>
      <c r="I1268" s="72" t="str">
        <f>_xlfn.CONCAT(_xlfn.XLOOKUP("[S05_InherentCarbonTransferredDetail]["&amp;ROW(B1268)-ROW($B$1219)&amp;"][StorageSitePermitNumber]",Submission!$O:$O,Submission!$H:$N,""))</f>
        <v/>
      </c>
      <c r="K1268" s="13"/>
      <c r="L1268" s="13"/>
    </row>
    <row r="1269" spans="1:12" s="147" customFormat="1" ht="41.4" hidden="1" customHeight="1" outlineLevel="1" x14ac:dyDescent="0.3">
      <c r="A1269" s="146"/>
      <c r="C1269" s="71" t="str">
        <f>_xlfn.CONCAT(_xlfn.XLOOKUP("[S05_InherentCarbonTransferredDetail]["&amp;ROW(B1269)-ROW($B$1219)&amp;"][TransferType]",Submission!$O:$O,Submission!$H:$N,""))</f>
        <v/>
      </c>
      <c r="D1269" s="72" t="str">
        <f>_xlfn.CONCAT(_xlfn.XLOOKUP("[S05_InherentCarbonTransferredDetail]["&amp;ROW(B1269)-ROW($B$1219)&amp;"][InstallationIdTransferring]",Submission!$O:$O,Submission!$H:$N,""))</f>
        <v/>
      </c>
      <c r="E1269" s="72" t="str">
        <f>_xlfn.CONCAT(_xlfn.XLOOKUP("[S05_InherentCarbonTransferredDetail]["&amp;ROW(B1269)-ROW($B$1219)&amp;"][InstallationIdReceiving]",Submission!$O:$O,Submission!$H:$N,""))</f>
        <v/>
      </c>
      <c r="F1269" s="124" t="str">
        <f>_xlfn.CONCAT(_xlfn.XLOOKUP("[S05_InherentCarbonTransferredDetail]["&amp;ROW(B1269)-ROW($B$1219)&amp;"][AmountCO2Transferred]",Submission!$O:$O,Submission!$H:$N,""))</f>
        <v/>
      </c>
      <c r="G1269" s="124" t="str">
        <f>_xlfn.CONCAT(_xlfn.XLOOKUP("[S05_InherentCarbonTransferredDetail]["&amp;ROW(B1269)-ROW($B$1219)&amp;"][InherentCO2Received]",Submission!$O:$O,Submission!$H:$N,""))</f>
        <v/>
      </c>
      <c r="H1269" s="71" t="str">
        <f>_xlfn.CONCAT(_xlfn.XLOOKUP("[S05_InherentCarbonTransferredDetail]["&amp;ROW(B1269)-ROW($B$1219)&amp;"][ReceivingInstallationType]",Submission!$O:$O,Submission!$H:$N,""))</f>
        <v/>
      </c>
      <c r="I1269" s="72" t="str">
        <f>_xlfn.CONCAT(_xlfn.XLOOKUP("[S05_InherentCarbonTransferredDetail]["&amp;ROW(B1269)-ROW($B$1219)&amp;"][StorageSitePermitNumber]",Submission!$O:$O,Submission!$H:$N,""))</f>
        <v/>
      </c>
      <c r="K1269" s="13"/>
      <c r="L1269" s="13"/>
    </row>
    <row r="1270" spans="1:12" s="147" customFormat="1" ht="41.4" hidden="1" customHeight="1" outlineLevel="1" x14ac:dyDescent="0.3">
      <c r="A1270" s="146"/>
      <c r="C1270" s="71" t="str">
        <f>_xlfn.CONCAT(_xlfn.XLOOKUP("[S05_InherentCarbonTransferredDetail]["&amp;ROW(B1270)-ROW($B$1219)&amp;"][TransferType]",Submission!$O:$O,Submission!$H:$N,""))</f>
        <v/>
      </c>
      <c r="D1270" s="72" t="str">
        <f>_xlfn.CONCAT(_xlfn.XLOOKUP("[S05_InherentCarbonTransferredDetail]["&amp;ROW(B1270)-ROW($B$1219)&amp;"][InstallationIdTransferring]",Submission!$O:$O,Submission!$H:$N,""))</f>
        <v/>
      </c>
      <c r="E1270" s="72" t="str">
        <f>_xlfn.CONCAT(_xlfn.XLOOKUP("[S05_InherentCarbonTransferredDetail]["&amp;ROW(B1270)-ROW($B$1219)&amp;"][InstallationIdReceiving]",Submission!$O:$O,Submission!$H:$N,""))</f>
        <v/>
      </c>
      <c r="F1270" s="124" t="str">
        <f>_xlfn.CONCAT(_xlfn.XLOOKUP("[S05_InherentCarbonTransferredDetail]["&amp;ROW(B1270)-ROW($B$1219)&amp;"][AmountCO2Transferred]",Submission!$O:$O,Submission!$H:$N,""))</f>
        <v/>
      </c>
      <c r="G1270" s="124" t="str">
        <f>_xlfn.CONCAT(_xlfn.XLOOKUP("[S05_InherentCarbonTransferredDetail]["&amp;ROW(B1270)-ROW($B$1219)&amp;"][InherentCO2Received]",Submission!$O:$O,Submission!$H:$N,""))</f>
        <v/>
      </c>
      <c r="H1270" s="71" t="str">
        <f>_xlfn.CONCAT(_xlfn.XLOOKUP("[S05_InherentCarbonTransferredDetail]["&amp;ROW(B1270)-ROW($B$1219)&amp;"][ReceivingInstallationType]",Submission!$O:$O,Submission!$H:$N,""))</f>
        <v/>
      </c>
      <c r="I1270" s="72" t="str">
        <f>_xlfn.CONCAT(_xlfn.XLOOKUP("[S05_InherentCarbonTransferredDetail]["&amp;ROW(B1270)-ROW($B$1219)&amp;"][StorageSitePermitNumber]",Submission!$O:$O,Submission!$H:$N,""))</f>
        <v/>
      </c>
      <c r="K1270" s="13"/>
      <c r="L1270" s="13"/>
    </row>
    <row r="1271" spans="1:12" s="147" customFormat="1" ht="41.4" hidden="1" customHeight="1" outlineLevel="1" x14ac:dyDescent="0.3">
      <c r="A1271" s="146"/>
      <c r="C1271" s="71" t="str">
        <f>_xlfn.CONCAT(_xlfn.XLOOKUP("[S05_InherentCarbonTransferredDetail]["&amp;ROW(B1271)-ROW($B$1219)&amp;"][TransferType]",Submission!$O:$O,Submission!$H:$N,""))</f>
        <v/>
      </c>
      <c r="D1271" s="72" t="str">
        <f>_xlfn.CONCAT(_xlfn.XLOOKUP("[S05_InherentCarbonTransferredDetail]["&amp;ROW(B1271)-ROW($B$1219)&amp;"][InstallationIdTransferring]",Submission!$O:$O,Submission!$H:$N,""))</f>
        <v/>
      </c>
      <c r="E1271" s="72" t="str">
        <f>_xlfn.CONCAT(_xlfn.XLOOKUP("[S05_InherentCarbonTransferredDetail]["&amp;ROW(B1271)-ROW($B$1219)&amp;"][InstallationIdReceiving]",Submission!$O:$O,Submission!$H:$N,""))</f>
        <v/>
      </c>
      <c r="F1271" s="124" t="str">
        <f>_xlfn.CONCAT(_xlfn.XLOOKUP("[S05_InherentCarbonTransferredDetail]["&amp;ROW(B1271)-ROW($B$1219)&amp;"][AmountCO2Transferred]",Submission!$O:$O,Submission!$H:$N,""))</f>
        <v/>
      </c>
      <c r="G1271" s="124" t="str">
        <f>_xlfn.CONCAT(_xlfn.XLOOKUP("[S05_InherentCarbonTransferredDetail]["&amp;ROW(B1271)-ROW($B$1219)&amp;"][InherentCO2Received]",Submission!$O:$O,Submission!$H:$N,""))</f>
        <v/>
      </c>
      <c r="H1271" s="71" t="str">
        <f>_xlfn.CONCAT(_xlfn.XLOOKUP("[S05_InherentCarbonTransferredDetail]["&amp;ROW(B1271)-ROW($B$1219)&amp;"][ReceivingInstallationType]",Submission!$O:$O,Submission!$H:$N,""))</f>
        <v/>
      </c>
      <c r="I1271" s="72" t="str">
        <f>_xlfn.CONCAT(_xlfn.XLOOKUP("[S05_InherentCarbonTransferredDetail]["&amp;ROW(B1271)-ROW($B$1219)&amp;"][StorageSitePermitNumber]",Submission!$O:$O,Submission!$H:$N,""))</f>
        <v/>
      </c>
      <c r="K1271" s="13"/>
      <c r="L1271" s="13"/>
    </row>
    <row r="1272" spans="1:12" s="147" customFormat="1" ht="41.4" hidden="1" customHeight="1" outlineLevel="1" x14ac:dyDescent="0.3">
      <c r="A1272" s="146"/>
      <c r="C1272" s="71" t="str">
        <f>_xlfn.CONCAT(_xlfn.XLOOKUP("[S05_InherentCarbonTransferredDetail]["&amp;ROW(B1272)-ROW($B$1219)&amp;"][TransferType]",Submission!$O:$O,Submission!$H:$N,""))</f>
        <v/>
      </c>
      <c r="D1272" s="72" t="str">
        <f>_xlfn.CONCAT(_xlfn.XLOOKUP("[S05_InherentCarbonTransferredDetail]["&amp;ROW(B1272)-ROW($B$1219)&amp;"][InstallationIdTransferring]",Submission!$O:$O,Submission!$H:$N,""))</f>
        <v/>
      </c>
      <c r="E1272" s="72" t="str">
        <f>_xlfn.CONCAT(_xlfn.XLOOKUP("[S05_InherentCarbonTransferredDetail]["&amp;ROW(B1272)-ROW($B$1219)&amp;"][InstallationIdReceiving]",Submission!$O:$O,Submission!$H:$N,""))</f>
        <v/>
      </c>
      <c r="F1272" s="124" t="str">
        <f>_xlfn.CONCAT(_xlfn.XLOOKUP("[S05_InherentCarbonTransferredDetail]["&amp;ROW(B1272)-ROW($B$1219)&amp;"][AmountCO2Transferred]",Submission!$O:$O,Submission!$H:$N,""))</f>
        <v/>
      </c>
      <c r="G1272" s="124" t="str">
        <f>_xlfn.CONCAT(_xlfn.XLOOKUP("[S05_InherentCarbonTransferredDetail]["&amp;ROW(B1272)-ROW($B$1219)&amp;"][InherentCO2Received]",Submission!$O:$O,Submission!$H:$N,""))</f>
        <v/>
      </c>
      <c r="H1272" s="71" t="str">
        <f>_xlfn.CONCAT(_xlfn.XLOOKUP("[S05_InherentCarbonTransferredDetail]["&amp;ROW(B1272)-ROW($B$1219)&amp;"][ReceivingInstallationType]",Submission!$O:$O,Submission!$H:$N,""))</f>
        <v/>
      </c>
      <c r="I1272" s="72" t="str">
        <f>_xlfn.CONCAT(_xlfn.XLOOKUP("[S05_InherentCarbonTransferredDetail]["&amp;ROW(B1272)-ROW($B$1219)&amp;"][StorageSitePermitNumber]",Submission!$O:$O,Submission!$H:$N,""))</f>
        <v/>
      </c>
      <c r="K1272" s="13"/>
      <c r="L1272" s="13"/>
    </row>
    <row r="1273" spans="1:12" s="147" customFormat="1" ht="41.4" hidden="1" customHeight="1" outlineLevel="1" x14ac:dyDescent="0.3">
      <c r="A1273" s="146"/>
      <c r="C1273" s="71" t="str">
        <f>_xlfn.CONCAT(_xlfn.XLOOKUP("[S05_InherentCarbonTransferredDetail]["&amp;ROW(B1273)-ROW($B$1219)&amp;"][TransferType]",Submission!$O:$O,Submission!$H:$N,""))</f>
        <v/>
      </c>
      <c r="D1273" s="72" t="str">
        <f>_xlfn.CONCAT(_xlfn.XLOOKUP("[S05_InherentCarbonTransferredDetail]["&amp;ROW(B1273)-ROW($B$1219)&amp;"][InstallationIdTransferring]",Submission!$O:$O,Submission!$H:$N,""))</f>
        <v/>
      </c>
      <c r="E1273" s="72" t="str">
        <f>_xlfn.CONCAT(_xlfn.XLOOKUP("[S05_InherentCarbonTransferredDetail]["&amp;ROW(B1273)-ROW($B$1219)&amp;"][InstallationIdReceiving]",Submission!$O:$O,Submission!$H:$N,""))</f>
        <v/>
      </c>
      <c r="F1273" s="124" t="str">
        <f>_xlfn.CONCAT(_xlfn.XLOOKUP("[S05_InherentCarbonTransferredDetail]["&amp;ROW(B1273)-ROW($B$1219)&amp;"][AmountCO2Transferred]",Submission!$O:$O,Submission!$H:$N,""))</f>
        <v/>
      </c>
      <c r="G1273" s="124" t="str">
        <f>_xlfn.CONCAT(_xlfn.XLOOKUP("[S05_InherentCarbonTransferredDetail]["&amp;ROW(B1273)-ROW($B$1219)&amp;"][InherentCO2Received]",Submission!$O:$O,Submission!$H:$N,""))</f>
        <v/>
      </c>
      <c r="H1273" s="71" t="str">
        <f>_xlfn.CONCAT(_xlfn.XLOOKUP("[S05_InherentCarbonTransferredDetail]["&amp;ROW(B1273)-ROW($B$1219)&amp;"][ReceivingInstallationType]",Submission!$O:$O,Submission!$H:$N,""))</f>
        <v/>
      </c>
      <c r="I1273" s="72" t="str">
        <f>_xlfn.CONCAT(_xlfn.XLOOKUP("[S05_InherentCarbonTransferredDetail]["&amp;ROW(B1273)-ROW($B$1219)&amp;"][StorageSitePermitNumber]",Submission!$O:$O,Submission!$H:$N,""))</f>
        <v/>
      </c>
      <c r="K1273" s="13"/>
      <c r="L1273" s="13"/>
    </row>
    <row r="1274" spans="1:12" s="147" customFormat="1" ht="41.4" hidden="1" customHeight="1" outlineLevel="1" x14ac:dyDescent="0.3">
      <c r="A1274" s="146"/>
      <c r="C1274" s="71" t="str">
        <f>_xlfn.CONCAT(_xlfn.XLOOKUP("[S05_InherentCarbonTransferredDetail]["&amp;ROW(B1274)-ROW($B$1219)&amp;"][TransferType]",Submission!$O:$O,Submission!$H:$N,""))</f>
        <v/>
      </c>
      <c r="D1274" s="72" t="str">
        <f>_xlfn.CONCAT(_xlfn.XLOOKUP("[S05_InherentCarbonTransferredDetail]["&amp;ROW(B1274)-ROW($B$1219)&amp;"][InstallationIdTransferring]",Submission!$O:$O,Submission!$H:$N,""))</f>
        <v/>
      </c>
      <c r="E1274" s="72" t="str">
        <f>_xlfn.CONCAT(_xlfn.XLOOKUP("[S05_InherentCarbonTransferredDetail]["&amp;ROW(B1274)-ROW($B$1219)&amp;"][InstallationIdReceiving]",Submission!$O:$O,Submission!$H:$N,""))</f>
        <v/>
      </c>
      <c r="F1274" s="124" t="str">
        <f>_xlfn.CONCAT(_xlfn.XLOOKUP("[S05_InherentCarbonTransferredDetail]["&amp;ROW(B1274)-ROW($B$1219)&amp;"][AmountCO2Transferred]",Submission!$O:$O,Submission!$H:$N,""))</f>
        <v/>
      </c>
      <c r="G1274" s="124" t="str">
        <f>_xlfn.CONCAT(_xlfn.XLOOKUP("[S05_InherentCarbonTransferredDetail]["&amp;ROW(B1274)-ROW($B$1219)&amp;"][InherentCO2Received]",Submission!$O:$O,Submission!$H:$N,""))</f>
        <v/>
      </c>
      <c r="H1274" s="71" t="str">
        <f>_xlfn.CONCAT(_xlfn.XLOOKUP("[S05_InherentCarbonTransferredDetail]["&amp;ROW(B1274)-ROW($B$1219)&amp;"][ReceivingInstallationType]",Submission!$O:$O,Submission!$H:$N,""))</f>
        <v/>
      </c>
      <c r="I1274" s="72" t="str">
        <f>_xlfn.CONCAT(_xlfn.XLOOKUP("[S05_InherentCarbonTransferredDetail]["&amp;ROW(B1274)-ROW($B$1219)&amp;"][StorageSitePermitNumber]",Submission!$O:$O,Submission!$H:$N,""))</f>
        <v/>
      </c>
      <c r="K1274" s="13"/>
      <c r="L1274" s="13"/>
    </row>
    <row r="1275" spans="1:12" s="147" customFormat="1" ht="41.4" hidden="1" customHeight="1" outlineLevel="1" x14ac:dyDescent="0.3">
      <c r="A1275" s="146"/>
      <c r="C1275" s="71" t="str">
        <f>_xlfn.CONCAT(_xlfn.XLOOKUP("[S05_InherentCarbonTransferredDetail]["&amp;ROW(B1275)-ROW($B$1219)&amp;"][TransferType]",Submission!$O:$O,Submission!$H:$N,""))</f>
        <v/>
      </c>
      <c r="D1275" s="72" t="str">
        <f>_xlfn.CONCAT(_xlfn.XLOOKUP("[S05_InherentCarbonTransferredDetail]["&amp;ROW(B1275)-ROW($B$1219)&amp;"][InstallationIdTransferring]",Submission!$O:$O,Submission!$H:$N,""))</f>
        <v/>
      </c>
      <c r="E1275" s="72" t="str">
        <f>_xlfn.CONCAT(_xlfn.XLOOKUP("[S05_InherentCarbonTransferredDetail]["&amp;ROW(B1275)-ROW($B$1219)&amp;"][InstallationIdReceiving]",Submission!$O:$O,Submission!$H:$N,""))</f>
        <v/>
      </c>
      <c r="F1275" s="124" t="str">
        <f>_xlfn.CONCAT(_xlfn.XLOOKUP("[S05_InherentCarbonTransferredDetail]["&amp;ROW(B1275)-ROW($B$1219)&amp;"][AmountCO2Transferred]",Submission!$O:$O,Submission!$H:$N,""))</f>
        <v/>
      </c>
      <c r="G1275" s="124" t="str">
        <f>_xlfn.CONCAT(_xlfn.XLOOKUP("[S05_InherentCarbonTransferredDetail]["&amp;ROW(B1275)-ROW($B$1219)&amp;"][InherentCO2Received]",Submission!$O:$O,Submission!$H:$N,""))</f>
        <v/>
      </c>
      <c r="H1275" s="71" t="str">
        <f>_xlfn.CONCAT(_xlfn.XLOOKUP("[S05_InherentCarbonTransferredDetail]["&amp;ROW(B1275)-ROW($B$1219)&amp;"][ReceivingInstallationType]",Submission!$O:$O,Submission!$H:$N,""))</f>
        <v/>
      </c>
      <c r="I1275" s="72" t="str">
        <f>_xlfn.CONCAT(_xlfn.XLOOKUP("[S05_InherentCarbonTransferredDetail]["&amp;ROW(B1275)-ROW($B$1219)&amp;"][StorageSitePermitNumber]",Submission!$O:$O,Submission!$H:$N,""))</f>
        <v/>
      </c>
      <c r="K1275" s="13"/>
      <c r="L1275" s="13"/>
    </row>
    <row r="1276" spans="1:12" s="147" customFormat="1" ht="41.4" hidden="1" customHeight="1" outlineLevel="1" x14ac:dyDescent="0.3">
      <c r="A1276" s="146"/>
      <c r="C1276" s="71" t="str">
        <f>_xlfn.CONCAT(_xlfn.XLOOKUP("[S05_InherentCarbonTransferredDetail]["&amp;ROW(B1276)-ROW($B$1219)&amp;"][TransferType]",Submission!$O:$O,Submission!$H:$N,""))</f>
        <v/>
      </c>
      <c r="D1276" s="72" t="str">
        <f>_xlfn.CONCAT(_xlfn.XLOOKUP("[S05_InherentCarbonTransferredDetail]["&amp;ROW(B1276)-ROW($B$1219)&amp;"][InstallationIdTransferring]",Submission!$O:$O,Submission!$H:$N,""))</f>
        <v/>
      </c>
      <c r="E1276" s="72" t="str">
        <f>_xlfn.CONCAT(_xlfn.XLOOKUP("[S05_InherentCarbonTransferredDetail]["&amp;ROW(B1276)-ROW($B$1219)&amp;"][InstallationIdReceiving]",Submission!$O:$O,Submission!$H:$N,""))</f>
        <v/>
      </c>
      <c r="F1276" s="124" t="str">
        <f>_xlfn.CONCAT(_xlfn.XLOOKUP("[S05_InherentCarbonTransferredDetail]["&amp;ROW(B1276)-ROW($B$1219)&amp;"][AmountCO2Transferred]",Submission!$O:$O,Submission!$H:$N,""))</f>
        <v/>
      </c>
      <c r="G1276" s="124" t="str">
        <f>_xlfn.CONCAT(_xlfn.XLOOKUP("[S05_InherentCarbonTransferredDetail]["&amp;ROW(B1276)-ROW($B$1219)&amp;"][InherentCO2Received]",Submission!$O:$O,Submission!$H:$N,""))</f>
        <v/>
      </c>
      <c r="H1276" s="71" t="str">
        <f>_xlfn.CONCAT(_xlfn.XLOOKUP("[S05_InherentCarbonTransferredDetail]["&amp;ROW(B1276)-ROW($B$1219)&amp;"][ReceivingInstallationType]",Submission!$O:$O,Submission!$H:$N,""))</f>
        <v/>
      </c>
      <c r="I1276" s="72" t="str">
        <f>_xlfn.CONCAT(_xlfn.XLOOKUP("[S05_InherentCarbonTransferredDetail]["&amp;ROW(B1276)-ROW($B$1219)&amp;"][StorageSitePermitNumber]",Submission!$O:$O,Submission!$H:$N,""))</f>
        <v/>
      </c>
      <c r="K1276" s="13"/>
      <c r="L1276" s="13"/>
    </row>
    <row r="1277" spans="1:12" s="147" customFormat="1" ht="41.4" hidden="1" customHeight="1" outlineLevel="1" x14ac:dyDescent="0.3">
      <c r="A1277" s="146"/>
      <c r="C1277" s="71" t="str">
        <f>_xlfn.CONCAT(_xlfn.XLOOKUP("[S05_InherentCarbonTransferredDetail]["&amp;ROW(B1277)-ROW($B$1219)&amp;"][TransferType]",Submission!$O:$O,Submission!$H:$N,""))</f>
        <v/>
      </c>
      <c r="D1277" s="72" t="str">
        <f>_xlfn.CONCAT(_xlfn.XLOOKUP("[S05_InherentCarbonTransferredDetail]["&amp;ROW(B1277)-ROW($B$1219)&amp;"][InstallationIdTransferring]",Submission!$O:$O,Submission!$H:$N,""))</f>
        <v/>
      </c>
      <c r="E1277" s="72" t="str">
        <f>_xlfn.CONCAT(_xlfn.XLOOKUP("[S05_InherentCarbonTransferredDetail]["&amp;ROW(B1277)-ROW($B$1219)&amp;"][InstallationIdReceiving]",Submission!$O:$O,Submission!$H:$N,""))</f>
        <v/>
      </c>
      <c r="F1277" s="124" t="str">
        <f>_xlfn.CONCAT(_xlfn.XLOOKUP("[S05_InherentCarbonTransferredDetail]["&amp;ROW(B1277)-ROW($B$1219)&amp;"][AmountCO2Transferred]",Submission!$O:$O,Submission!$H:$N,""))</f>
        <v/>
      </c>
      <c r="G1277" s="124" t="str">
        <f>_xlfn.CONCAT(_xlfn.XLOOKUP("[S05_InherentCarbonTransferredDetail]["&amp;ROW(B1277)-ROW($B$1219)&amp;"][InherentCO2Received]",Submission!$O:$O,Submission!$H:$N,""))</f>
        <v/>
      </c>
      <c r="H1277" s="71" t="str">
        <f>_xlfn.CONCAT(_xlfn.XLOOKUP("[S05_InherentCarbonTransferredDetail]["&amp;ROW(B1277)-ROW($B$1219)&amp;"][ReceivingInstallationType]",Submission!$O:$O,Submission!$H:$N,""))</f>
        <v/>
      </c>
      <c r="I1277" s="72" t="str">
        <f>_xlfn.CONCAT(_xlfn.XLOOKUP("[S05_InherentCarbonTransferredDetail]["&amp;ROW(B1277)-ROW($B$1219)&amp;"][StorageSitePermitNumber]",Submission!$O:$O,Submission!$H:$N,""))</f>
        <v/>
      </c>
      <c r="K1277" s="13"/>
      <c r="L1277" s="13"/>
    </row>
    <row r="1278" spans="1:12" s="147" customFormat="1" ht="41.4" hidden="1" customHeight="1" outlineLevel="1" x14ac:dyDescent="0.3">
      <c r="A1278" s="146"/>
      <c r="C1278" s="71" t="str">
        <f>_xlfn.CONCAT(_xlfn.XLOOKUP("[S05_InherentCarbonTransferredDetail]["&amp;ROW(B1278)-ROW($B$1219)&amp;"][TransferType]",Submission!$O:$O,Submission!$H:$N,""))</f>
        <v/>
      </c>
      <c r="D1278" s="72" t="str">
        <f>_xlfn.CONCAT(_xlfn.XLOOKUP("[S05_InherentCarbonTransferredDetail]["&amp;ROW(B1278)-ROW($B$1219)&amp;"][InstallationIdTransferring]",Submission!$O:$O,Submission!$H:$N,""))</f>
        <v/>
      </c>
      <c r="E1278" s="72" t="str">
        <f>_xlfn.CONCAT(_xlfn.XLOOKUP("[S05_InherentCarbonTransferredDetail]["&amp;ROW(B1278)-ROW($B$1219)&amp;"][InstallationIdReceiving]",Submission!$O:$O,Submission!$H:$N,""))</f>
        <v/>
      </c>
      <c r="F1278" s="124" t="str">
        <f>_xlfn.CONCAT(_xlfn.XLOOKUP("[S05_InherentCarbonTransferredDetail]["&amp;ROW(B1278)-ROW($B$1219)&amp;"][AmountCO2Transferred]",Submission!$O:$O,Submission!$H:$N,""))</f>
        <v/>
      </c>
      <c r="G1278" s="124" t="str">
        <f>_xlfn.CONCAT(_xlfn.XLOOKUP("[S05_InherentCarbonTransferredDetail]["&amp;ROW(B1278)-ROW($B$1219)&amp;"][InherentCO2Received]",Submission!$O:$O,Submission!$H:$N,""))</f>
        <v/>
      </c>
      <c r="H1278" s="71" t="str">
        <f>_xlfn.CONCAT(_xlfn.XLOOKUP("[S05_InherentCarbonTransferredDetail]["&amp;ROW(B1278)-ROW($B$1219)&amp;"][ReceivingInstallationType]",Submission!$O:$O,Submission!$H:$N,""))</f>
        <v/>
      </c>
      <c r="I1278" s="72" t="str">
        <f>_xlfn.CONCAT(_xlfn.XLOOKUP("[S05_InherentCarbonTransferredDetail]["&amp;ROW(B1278)-ROW($B$1219)&amp;"][StorageSitePermitNumber]",Submission!$O:$O,Submission!$H:$N,""))</f>
        <v/>
      </c>
      <c r="K1278" s="13"/>
      <c r="L1278" s="13"/>
    </row>
    <row r="1279" spans="1:12" s="147" customFormat="1" ht="41.4" hidden="1" customHeight="1" outlineLevel="1" x14ac:dyDescent="0.3">
      <c r="A1279" s="146"/>
      <c r="C1279" s="71" t="str">
        <f>_xlfn.CONCAT(_xlfn.XLOOKUP("[S05_InherentCarbonTransferredDetail]["&amp;ROW(B1279)-ROW($B$1219)&amp;"][TransferType]",Submission!$O:$O,Submission!$H:$N,""))</f>
        <v/>
      </c>
      <c r="D1279" s="72" t="str">
        <f>_xlfn.CONCAT(_xlfn.XLOOKUP("[S05_InherentCarbonTransferredDetail]["&amp;ROW(B1279)-ROW($B$1219)&amp;"][InstallationIdTransferring]",Submission!$O:$O,Submission!$H:$N,""))</f>
        <v/>
      </c>
      <c r="E1279" s="72" t="str">
        <f>_xlfn.CONCAT(_xlfn.XLOOKUP("[S05_InherentCarbonTransferredDetail]["&amp;ROW(B1279)-ROW($B$1219)&amp;"][InstallationIdReceiving]",Submission!$O:$O,Submission!$H:$N,""))</f>
        <v/>
      </c>
      <c r="F1279" s="124" t="str">
        <f>_xlfn.CONCAT(_xlfn.XLOOKUP("[S05_InherentCarbonTransferredDetail]["&amp;ROW(B1279)-ROW($B$1219)&amp;"][AmountCO2Transferred]",Submission!$O:$O,Submission!$H:$N,""))</f>
        <v/>
      </c>
      <c r="G1279" s="124" t="str">
        <f>_xlfn.CONCAT(_xlfn.XLOOKUP("[S05_InherentCarbonTransferredDetail]["&amp;ROW(B1279)-ROW($B$1219)&amp;"][InherentCO2Received]",Submission!$O:$O,Submission!$H:$N,""))</f>
        <v/>
      </c>
      <c r="H1279" s="71" t="str">
        <f>_xlfn.CONCAT(_xlfn.XLOOKUP("[S05_InherentCarbonTransferredDetail]["&amp;ROW(B1279)-ROW($B$1219)&amp;"][ReceivingInstallationType]",Submission!$O:$O,Submission!$H:$N,""))</f>
        <v/>
      </c>
      <c r="I1279" s="72" t="str">
        <f>_xlfn.CONCAT(_xlfn.XLOOKUP("[S05_InherentCarbonTransferredDetail]["&amp;ROW(B1279)-ROW($B$1219)&amp;"][StorageSitePermitNumber]",Submission!$O:$O,Submission!$H:$N,""))</f>
        <v/>
      </c>
      <c r="K1279" s="13"/>
      <c r="L1279" s="13"/>
    </row>
    <row r="1280" spans="1:12" s="147" customFormat="1" ht="41.4" hidden="1" customHeight="1" outlineLevel="1" x14ac:dyDescent="0.3">
      <c r="A1280" s="146"/>
      <c r="C1280" s="71" t="str">
        <f>_xlfn.CONCAT(_xlfn.XLOOKUP("[S05_InherentCarbonTransferredDetail]["&amp;ROW(B1280)-ROW($B$1219)&amp;"][TransferType]",Submission!$O:$O,Submission!$H:$N,""))</f>
        <v/>
      </c>
      <c r="D1280" s="72" t="str">
        <f>_xlfn.CONCAT(_xlfn.XLOOKUP("[S05_InherentCarbonTransferredDetail]["&amp;ROW(B1280)-ROW($B$1219)&amp;"][InstallationIdTransferring]",Submission!$O:$O,Submission!$H:$N,""))</f>
        <v/>
      </c>
      <c r="E1280" s="72" t="str">
        <f>_xlfn.CONCAT(_xlfn.XLOOKUP("[S05_InherentCarbonTransferredDetail]["&amp;ROW(B1280)-ROW($B$1219)&amp;"][InstallationIdReceiving]",Submission!$O:$O,Submission!$H:$N,""))</f>
        <v/>
      </c>
      <c r="F1280" s="124" t="str">
        <f>_xlfn.CONCAT(_xlfn.XLOOKUP("[S05_InherentCarbonTransferredDetail]["&amp;ROW(B1280)-ROW($B$1219)&amp;"][AmountCO2Transferred]",Submission!$O:$O,Submission!$H:$N,""))</f>
        <v/>
      </c>
      <c r="G1280" s="124" t="str">
        <f>_xlfn.CONCAT(_xlfn.XLOOKUP("[S05_InherentCarbonTransferredDetail]["&amp;ROW(B1280)-ROW($B$1219)&amp;"][InherentCO2Received]",Submission!$O:$O,Submission!$H:$N,""))</f>
        <v/>
      </c>
      <c r="H1280" s="71" t="str">
        <f>_xlfn.CONCAT(_xlfn.XLOOKUP("[S05_InherentCarbonTransferredDetail]["&amp;ROW(B1280)-ROW($B$1219)&amp;"][ReceivingInstallationType]",Submission!$O:$O,Submission!$H:$N,""))</f>
        <v/>
      </c>
      <c r="I1280" s="72" t="str">
        <f>_xlfn.CONCAT(_xlfn.XLOOKUP("[S05_InherentCarbonTransferredDetail]["&amp;ROW(B1280)-ROW($B$1219)&amp;"][StorageSitePermitNumber]",Submission!$O:$O,Submission!$H:$N,""))</f>
        <v/>
      </c>
      <c r="K1280" s="13"/>
      <c r="L1280" s="13"/>
    </row>
    <row r="1281" spans="1:12" s="147" customFormat="1" ht="41.4" hidden="1" customHeight="1" outlineLevel="1" x14ac:dyDescent="0.3">
      <c r="A1281" s="146"/>
      <c r="C1281" s="71" t="str">
        <f>_xlfn.CONCAT(_xlfn.XLOOKUP("[S05_InherentCarbonTransferredDetail]["&amp;ROW(B1281)-ROW($B$1219)&amp;"][TransferType]",Submission!$O:$O,Submission!$H:$N,""))</f>
        <v/>
      </c>
      <c r="D1281" s="72" t="str">
        <f>_xlfn.CONCAT(_xlfn.XLOOKUP("[S05_InherentCarbonTransferredDetail]["&amp;ROW(B1281)-ROW($B$1219)&amp;"][InstallationIdTransferring]",Submission!$O:$O,Submission!$H:$N,""))</f>
        <v/>
      </c>
      <c r="E1281" s="72" t="str">
        <f>_xlfn.CONCAT(_xlfn.XLOOKUP("[S05_InherentCarbonTransferredDetail]["&amp;ROW(B1281)-ROW($B$1219)&amp;"][InstallationIdReceiving]",Submission!$O:$O,Submission!$H:$N,""))</f>
        <v/>
      </c>
      <c r="F1281" s="124" t="str">
        <f>_xlfn.CONCAT(_xlfn.XLOOKUP("[S05_InherentCarbonTransferredDetail]["&amp;ROW(B1281)-ROW($B$1219)&amp;"][AmountCO2Transferred]",Submission!$O:$O,Submission!$H:$N,""))</f>
        <v/>
      </c>
      <c r="G1281" s="124" t="str">
        <f>_xlfn.CONCAT(_xlfn.XLOOKUP("[S05_InherentCarbonTransferredDetail]["&amp;ROW(B1281)-ROW($B$1219)&amp;"][InherentCO2Received]",Submission!$O:$O,Submission!$H:$N,""))</f>
        <v/>
      </c>
      <c r="H1281" s="71" t="str">
        <f>_xlfn.CONCAT(_xlfn.XLOOKUP("[S05_InherentCarbonTransferredDetail]["&amp;ROW(B1281)-ROW($B$1219)&amp;"][ReceivingInstallationType]",Submission!$O:$O,Submission!$H:$N,""))</f>
        <v/>
      </c>
      <c r="I1281" s="72" t="str">
        <f>_xlfn.CONCAT(_xlfn.XLOOKUP("[S05_InherentCarbonTransferredDetail]["&amp;ROW(B1281)-ROW($B$1219)&amp;"][StorageSitePermitNumber]",Submission!$O:$O,Submission!$H:$N,""))</f>
        <v/>
      </c>
      <c r="K1281" s="13"/>
      <c r="L1281" s="13"/>
    </row>
    <row r="1282" spans="1:12" s="147" customFormat="1" ht="41.4" hidden="1" customHeight="1" outlineLevel="1" x14ac:dyDescent="0.3">
      <c r="A1282" s="146"/>
      <c r="C1282" s="71" t="str">
        <f>_xlfn.CONCAT(_xlfn.XLOOKUP("[S05_InherentCarbonTransferredDetail]["&amp;ROW(B1282)-ROW($B$1219)&amp;"][TransferType]",Submission!$O:$O,Submission!$H:$N,""))</f>
        <v/>
      </c>
      <c r="D1282" s="72" t="str">
        <f>_xlfn.CONCAT(_xlfn.XLOOKUP("[S05_InherentCarbonTransferredDetail]["&amp;ROW(B1282)-ROW($B$1219)&amp;"][InstallationIdTransferring]",Submission!$O:$O,Submission!$H:$N,""))</f>
        <v/>
      </c>
      <c r="E1282" s="72" t="str">
        <f>_xlfn.CONCAT(_xlfn.XLOOKUP("[S05_InherentCarbonTransferredDetail]["&amp;ROW(B1282)-ROW($B$1219)&amp;"][InstallationIdReceiving]",Submission!$O:$O,Submission!$H:$N,""))</f>
        <v/>
      </c>
      <c r="F1282" s="124" t="str">
        <f>_xlfn.CONCAT(_xlfn.XLOOKUP("[S05_InherentCarbonTransferredDetail]["&amp;ROW(B1282)-ROW($B$1219)&amp;"][AmountCO2Transferred]",Submission!$O:$O,Submission!$H:$N,""))</f>
        <v/>
      </c>
      <c r="G1282" s="124" t="str">
        <f>_xlfn.CONCAT(_xlfn.XLOOKUP("[S05_InherentCarbonTransferredDetail]["&amp;ROW(B1282)-ROW($B$1219)&amp;"][InherentCO2Received]",Submission!$O:$O,Submission!$H:$N,""))</f>
        <v/>
      </c>
      <c r="H1282" s="71" t="str">
        <f>_xlfn.CONCAT(_xlfn.XLOOKUP("[S05_InherentCarbonTransferredDetail]["&amp;ROW(B1282)-ROW($B$1219)&amp;"][ReceivingInstallationType]",Submission!$O:$O,Submission!$H:$N,""))</f>
        <v/>
      </c>
      <c r="I1282" s="72" t="str">
        <f>_xlfn.CONCAT(_xlfn.XLOOKUP("[S05_InherentCarbonTransferredDetail]["&amp;ROW(B1282)-ROW($B$1219)&amp;"][StorageSitePermitNumber]",Submission!$O:$O,Submission!$H:$N,""))</f>
        <v/>
      </c>
      <c r="K1282" s="13"/>
      <c r="L1282" s="13"/>
    </row>
    <row r="1283" spans="1:12" s="147" customFormat="1" ht="41.4" hidden="1" customHeight="1" outlineLevel="1" x14ac:dyDescent="0.3">
      <c r="A1283" s="146"/>
      <c r="C1283" s="71" t="str">
        <f>_xlfn.CONCAT(_xlfn.XLOOKUP("[S05_InherentCarbonTransferredDetail]["&amp;ROW(B1283)-ROW($B$1219)&amp;"][TransferType]",Submission!$O:$O,Submission!$H:$N,""))</f>
        <v/>
      </c>
      <c r="D1283" s="72" t="str">
        <f>_xlfn.CONCAT(_xlfn.XLOOKUP("[S05_InherentCarbonTransferredDetail]["&amp;ROW(B1283)-ROW($B$1219)&amp;"][InstallationIdTransferring]",Submission!$O:$O,Submission!$H:$N,""))</f>
        <v/>
      </c>
      <c r="E1283" s="72" t="str">
        <f>_xlfn.CONCAT(_xlfn.XLOOKUP("[S05_InherentCarbonTransferredDetail]["&amp;ROW(B1283)-ROW($B$1219)&amp;"][InstallationIdReceiving]",Submission!$O:$O,Submission!$H:$N,""))</f>
        <v/>
      </c>
      <c r="F1283" s="124" t="str">
        <f>_xlfn.CONCAT(_xlfn.XLOOKUP("[S05_InherentCarbonTransferredDetail]["&amp;ROW(B1283)-ROW($B$1219)&amp;"][AmountCO2Transferred]",Submission!$O:$O,Submission!$H:$N,""))</f>
        <v/>
      </c>
      <c r="G1283" s="124" t="str">
        <f>_xlfn.CONCAT(_xlfn.XLOOKUP("[S05_InherentCarbonTransferredDetail]["&amp;ROW(B1283)-ROW($B$1219)&amp;"][InherentCO2Received]",Submission!$O:$O,Submission!$H:$N,""))</f>
        <v/>
      </c>
      <c r="H1283" s="71" t="str">
        <f>_xlfn.CONCAT(_xlfn.XLOOKUP("[S05_InherentCarbonTransferredDetail]["&amp;ROW(B1283)-ROW($B$1219)&amp;"][ReceivingInstallationType]",Submission!$O:$O,Submission!$H:$N,""))</f>
        <v/>
      </c>
      <c r="I1283" s="72" t="str">
        <f>_xlfn.CONCAT(_xlfn.XLOOKUP("[S05_InherentCarbonTransferredDetail]["&amp;ROW(B1283)-ROW($B$1219)&amp;"][StorageSitePermitNumber]",Submission!$O:$O,Submission!$H:$N,""))</f>
        <v/>
      </c>
      <c r="K1283" s="13"/>
      <c r="L1283" s="13"/>
    </row>
    <row r="1284" spans="1:12" s="147" customFormat="1" ht="41.4" hidden="1" customHeight="1" outlineLevel="1" x14ac:dyDescent="0.3">
      <c r="A1284" s="146"/>
      <c r="C1284" s="71" t="str">
        <f>_xlfn.CONCAT(_xlfn.XLOOKUP("[S05_InherentCarbonTransferredDetail]["&amp;ROW(B1284)-ROW($B$1219)&amp;"][TransferType]",Submission!$O:$O,Submission!$H:$N,""))</f>
        <v/>
      </c>
      <c r="D1284" s="72" t="str">
        <f>_xlfn.CONCAT(_xlfn.XLOOKUP("[S05_InherentCarbonTransferredDetail]["&amp;ROW(B1284)-ROW($B$1219)&amp;"][InstallationIdTransferring]",Submission!$O:$O,Submission!$H:$N,""))</f>
        <v/>
      </c>
      <c r="E1284" s="72" t="str">
        <f>_xlfn.CONCAT(_xlfn.XLOOKUP("[S05_InherentCarbonTransferredDetail]["&amp;ROW(B1284)-ROW($B$1219)&amp;"][InstallationIdReceiving]",Submission!$O:$O,Submission!$H:$N,""))</f>
        <v/>
      </c>
      <c r="F1284" s="124" t="str">
        <f>_xlfn.CONCAT(_xlfn.XLOOKUP("[S05_InherentCarbonTransferredDetail]["&amp;ROW(B1284)-ROW($B$1219)&amp;"][AmountCO2Transferred]",Submission!$O:$O,Submission!$H:$N,""))</f>
        <v/>
      </c>
      <c r="G1284" s="124" t="str">
        <f>_xlfn.CONCAT(_xlfn.XLOOKUP("[S05_InherentCarbonTransferredDetail]["&amp;ROW(B1284)-ROW($B$1219)&amp;"][InherentCO2Received]",Submission!$O:$O,Submission!$H:$N,""))</f>
        <v/>
      </c>
      <c r="H1284" s="71" t="str">
        <f>_xlfn.CONCAT(_xlfn.XLOOKUP("[S05_InherentCarbonTransferredDetail]["&amp;ROW(B1284)-ROW($B$1219)&amp;"][ReceivingInstallationType]",Submission!$O:$O,Submission!$H:$N,""))</f>
        <v/>
      </c>
      <c r="I1284" s="72" t="str">
        <f>_xlfn.CONCAT(_xlfn.XLOOKUP("[S05_InherentCarbonTransferredDetail]["&amp;ROW(B1284)-ROW($B$1219)&amp;"][StorageSitePermitNumber]",Submission!$O:$O,Submission!$H:$N,""))</f>
        <v/>
      </c>
      <c r="K1284" s="13"/>
      <c r="L1284" s="13"/>
    </row>
    <row r="1285" spans="1:12" s="147" customFormat="1" ht="41.4" hidden="1" customHeight="1" outlineLevel="1" x14ac:dyDescent="0.3">
      <c r="A1285" s="146"/>
      <c r="C1285" s="71" t="str">
        <f>_xlfn.CONCAT(_xlfn.XLOOKUP("[S05_InherentCarbonTransferredDetail]["&amp;ROW(B1285)-ROW($B$1219)&amp;"][TransferType]",Submission!$O:$O,Submission!$H:$N,""))</f>
        <v/>
      </c>
      <c r="D1285" s="72" t="str">
        <f>_xlfn.CONCAT(_xlfn.XLOOKUP("[S05_InherentCarbonTransferredDetail]["&amp;ROW(B1285)-ROW($B$1219)&amp;"][InstallationIdTransferring]",Submission!$O:$O,Submission!$H:$N,""))</f>
        <v/>
      </c>
      <c r="E1285" s="72" t="str">
        <f>_xlfn.CONCAT(_xlfn.XLOOKUP("[S05_InherentCarbonTransferredDetail]["&amp;ROW(B1285)-ROW($B$1219)&amp;"][InstallationIdReceiving]",Submission!$O:$O,Submission!$H:$N,""))</f>
        <v/>
      </c>
      <c r="F1285" s="124" t="str">
        <f>_xlfn.CONCAT(_xlfn.XLOOKUP("[S05_InherentCarbonTransferredDetail]["&amp;ROW(B1285)-ROW($B$1219)&amp;"][AmountCO2Transferred]",Submission!$O:$O,Submission!$H:$N,""))</f>
        <v/>
      </c>
      <c r="G1285" s="124" t="str">
        <f>_xlfn.CONCAT(_xlfn.XLOOKUP("[S05_InherentCarbonTransferredDetail]["&amp;ROW(B1285)-ROW($B$1219)&amp;"][InherentCO2Received]",Submission!$O:$O,Submission!$H:$N,""))</f>
        <v/>
      </c>
      <c r="H1285" s="71" t="str">
        <f>_xlfn.CONCAT(_xlfn.XLOOKUP("[S05_InherentCarbonTransferredDetail]["&amp;ROW(B1285)-ROW($B$1219)&amp;"][ReceivingInstallationType]",Submission!$O:$O,Submission!$H:$N,""))</f>
        <v/>
      </c>
      <c r="I1285" s="72" t="str">
        <f>_xlfn.CONCAT(_xlfn.XLOOKUP("[S05_InherentCarbonTransferredDetail]["&amp;ROW(B1285)-ROW($B$1219)&amp;"][StorageSitePermitNumber]",Submission!$O:$O,Submission!$H:$N,""))</f>
        <v/>
      </c>
      <c r="K1285" s="13"/>
      <c r="L1285" s="13"/>
    </row>
    <row r="1286" spans="1:12" s="147" customFormat="1" ht="41.4" hidden="1" customHeight="1" outlineLevel="1" x14ac:dyDescent="0.3">
      <c r="A1286" s="146"/>
      <c r="C1286" s="71" t="str">
        <f>_xlfn.CONCAT(_xlfn.XLOOKUP("[S05_InherentCarbonTransferredDetail]["&amp;ROW(B1286)-ROW($B$1219)&amp;"][TransferType]",Submission!$O:$O,Submission!$H:$N,""))</f>
        <v/>
      </c>
      <c r="D1286" s="72" t="str">
        <f>_xlfn.CONCAT(_xlfn.XLOOKUP("[S05_InherentCarbonTransferredDetail]["&amp;ROW(B1286)-ROW($B$1219)&amp;"][InstallationIdTransferring]",Submission!$O:$O,Submission!$H:$N,""))</f>
        <v/>
      </c>
      <c r="E1286" s="72" t="str">
        <f>_xlfn.CONCAT(_xlfn.XLOOKUP("[S05_InherentCarbonTransferredDetail]["&amp;ROW(B1286)-ROW($B$1219)&amp;"][InstallationIdReceiving]",Submission!$O:$O,Submission!$H:$N,""))</f>
        <v/>
      </c>
      <c r="F1286" s="124" t="str">
        <f>_xlfn.CONCAT(_xlfn.XLOOKUP("[S05_InherentCarbonTransferredDetail]["&amp;ROW(B1286)-ROW($B$1219)&amp;"][AmountCO2Transferred]",Submission!$O:$O,Submission!$H:$N,""))</f>
        <v/>
      </c>
      <c r="G1286" s="124" t="str">
        <f>_xlfn.CONCAT(_xlfn.XLOOKUP("[S05_InherentCarbonTransferredDetail]["&amp;ROW(B1286)-ROW($B$1219)&amp;"][InherentCO2Received]",Submission!$O:$O,Submission!$H:$N,""))</f>
        <v/>
      </c>
      <c r="H1286" s="71" t="str">
        <f>_xlfn.CONCAT(_xlfn.XLOOKUP("[S05_InherentCarbonTransferredDetail]["&amp;ROW(B1286)-ROW($B$1219)&amp;"][ReceivingInstallationType]",Submission!$O:$O,Submission!$H:$N,""))</f>
        <v/>
      </c>
      <c r="I1286" s="72" t="str">
        <f>_xlfn.CONCAT(_xlfn.XLOOKUP("[S05_InherentCarbonTransferredDetail]["&amp;ROW(B1286)-ROW($B$1219)&amp;"][StorageSitePermitNumber]",Submission!$O:$O,Submission!$H:$N,""))</f>
        <v/>
      </c>
      <c r="K1286" s="13"/>
      <c r="L1286" s="13"/>
    </row>
    <row r="1287" spans="1:12" s="147" customFormat="1" ht="41.4" hidden="1" customHeight="1" outlineLevel="1" x14ac:dyDescent="0.3">
      <c r="A1287" s="146"/>
      <c r="C1287" s="71" t="str">
        <f>_xlfn.CONCAT(_xlfn.XLOOKUP("[S05_InherentCarbonTransferredDetail]["&amp;ROW(B1287)-ROW($B$1219)&amp;"][TransferType]",Submission!$O:$O,Submission!$H:$N,""))</f>
        <v/>
      </c>
      <c r="D1287" s="72" t="str">
        <f>_xlfn.CONCAT(_xlfn.XLOOKUP("[S05_InherentCarbonTransferredDetail]["&amp;ROW(B1287)-ROW($B$1219)&amp;"][InstallationIdTransferring]",Submission!$O:$O,Submission!$H:$N,""))</f>
        <v/>
      </c>
      <c r="E1287" s="72" t="str">
        <f>_xlfn.CONCAT(_xlfn.XLOOKUP("[S05_InherentCarbonTransferredDetail]["&amp;ROW(B1287)-ROW($B$1219)&amp;"][InstallationIdReceiving]",Submission!$O:$O,Submission!$H:$N,""))</f>
        <v/>
      </c>
      <c r="F1287" s="124" t="str">
        <f>_xlfn.CONCAT(_xlfn.XLOOKUP("[S05_InherentCarbonTransferredDetail]["&amp;ROW(B1287)-ROW($B$1219)&amp;"][AmountCO2Transferred]",Submission!$O:$O,Submission!$H:$N,""))</f>
        <v/>
      </c>
      <c r="G1287" s="124" t="str">
        <f>_xlfn.CONCAT(_xlfn.XLOOKUP("[S05_InherentCarbonTransferredDetail]["&amp;ROW(B1287)-ROW($B$1219)&amp;"][InherentCO2Received]",Submission!$O:$O,Submission!$H:$N,""))</f>
        <v/>
      </c>
      <c r="H1287" s="71" t="str">
        <f>_xlfn.CONCAT(_xlfn.XLOOKUP("[S05_InherentCarbonTransferredDetail]["&amp;ROW(B1287)-ROW($B$1219)&amp;"][ReceivingInstallationType]",Submission!$O:$O,Submission!$H:$N,""))</f>
        <v/>
      </c>
      <c r="I1287" s="72" t="str">
        <f>_xlfn.CONCAT(_xlfn.XLOOKUP("[S05_InherentCarbonTransferredDetail]["&amp;ROW(B1287)-ROW($B$1219)&amp;"][StorageSitePermitNumber]",Submission!$O:$O,Submission!$H:$N,""))</f>
        <v/>
      </c>
      <c r="K1287" s="13"/>
      <c r="L1287" s="13"/>
    </row>
    <row r="1288" spans="1:12" s="147" customFormat="1" ht="41.4" hidden="1" customHeight="1" outlineLevel="1" x14ac:dyDescent="0.3">
      <c r="A1288" s="146"/>
      <c r="C1288" s="71" t="str">
        <f>_xlfn.CONCAT(_xlfn.XLOOKUP("[S05_InherentCarbonTransferredDetail]["&amp;ROW(B1288)-ROW($B$1219)&amp;"][TransferType]",Submission!$O:$O,Submission!$H:$N,""))</f>
        <v/>
      </c>
      <c r="D1288" s="72" t="str">
        <f>_xlfn.CONCAT(_xlfn.XLOOKUP("[S05_InherentCarbonTransferredDetail]["&amp;ROW(B1288)-ROW($B$1219)&amp;"][InstallationIdTransferring]",Submission!$O:$O,Submission!$H:$N,""))</f>
        <v/>
      </c>
      <c r="E1288" s="72" t="str">
        <f>_xlfn.CONCAT(_xlfn.XLOOKUP("[S05_InherentCarbonTransferredDetail]["&amp;ROW(B1288)-ROW($B$1219)&amp;"][InstallationIdReceiving]",Submission!$O:$O,Submission!$H:$N,""))</f>
        <v/>
      </c>
      <c r="F1288" s="124" t="str">
        <f>_xlfn.CONCAT(_xlfn.XLOOKUP("[S05_InherentCarbonTransferredDetail]["&amp;ROW(B1288)-ROW($B$1219)&amp;"][AmountCO2Transferred]",Submission!$O:$O,Submission!$H:$N,""))</f>
        <v/>
      </c>
      <c r="G1288" s="124" t="str">
        <f>_xlfn.CONCAT(_xlfn.XLOOKUP("[S05_InherentCarbonTransferredDetail]["&amp;ROW(B1288)-ROW($B$1219)&amp;"][InherentCO2Received]",Submission!$O:$O,Submission!$H:$N,""))</f>
        <v/>
      </c>
      <c r="H1288" s="71" t="str">
        <f>_xlfn.CONCAT(_xlfn.XLOOKUP("[S05_InherentCarbonTransferredDetail]["&amp;ROW(B1288)-ROW($B$1219)&amp;"][ReceivingInstallationType]",Submission!$O:$O,Submission!$H:$N,""))</f>
        <v/>
      </c>
      <c r="I1288" s="72" t="str">
        <f>_xlfn.CONCAT(_xlfn.XLOOKUP("[S05_InherentCarbonTransferredDetail]["&amp;ROW(B1288)-ROW($B$1219)&amp;"][StorageSitePermitNumber]",Submission!$O:$O,Submission!$H:$N,""))</f>
        <v/>
      </c>
      <c r="K1288" s="13"/>
      <c r="L1288" s="13"/>
    </row>
    <row r="1289" spans="1:12" s="147" customFormat="1" ht="41.4" hidden="1" customHeight="1" outlineLevel="1" x14ac:dyDescent="0.3">
      <c r="A1289" s="146"/>
      <c r="C1289" s="71" t="str">
        <f>_xlfn.CONCAT(_xlfn.XLOOKUP("[S05_InherentCarbonTransferredDetail]["&amp;ROW(B1289)-ROW($B$1219)&amp;"][TransferType]",Submission!$O:$O,Submission!$H:$N,""))</f>
        <v/>
      </c>
      <c r="D1289" s="72" t="str">
        <f>_xlfn.CONCAT(_xlfn.XLOOKUP("[S05_InherentCarbonTransferredDetail]["&amp;ROW(B1289)-ROW($B$1219)&amp;"][InstallationIdTransferring]",Submission!$O:$O,Submission!$H:$N,""))</f>
        <v/>
      </c>
      <c r="E1289" s="72" t="str">
        <f>_xlfn.CONCAT(_xlfn.XLOOKUP("[S05_InherentCarbonTransferredDetail]["&amp;ROW(B1289)-ROW($B$1219)&amp;"][InstallationIdReceiving]",Submission!$O:$O,Submission!$H:$N,""))</f>
        <v/>
      </c>
      <c r="F1289" s="124" t="str">
        <f>_xlfn.CONCAT(_xlfn.XLOOKUP("[S05_InherentCarbonTransferredDetail]["&amp;ROW(B1289)-ROW($B$1219)&amp;"][AmountCO2Transferred]",Submission!$O:$O,Submission!$H:$N,""))</f>
        <v/>
      </c>
      <c r="G1289" s="124" t="str">
        <f>_xlfn.CONCAT(_xlfn.XLOOKUP("[S05_InherentCarbonTransferredDetail]["&amp;ROW(B1289)-ROW($B$1219)&amp;"][InherentCO2Received]",Submission!$O:$O,Submission!$H:$N,""))</f>
        <v/>
      </c>
      <c r="H1289" s="71" t="str">
        <f>_xlfn.CONCAT(_xlfn.XLOOKUP("[S05_InherentCarbonTransferredDetail]["&amp;ROW(B1289)-ROW($B$1219)&amp;"][ReceivingInstallationType]",Submission!$O:$O,Submission!$H:$N,""))</f>
        <v/>
      </c>
      <c r="I1289" s="72" t="str">
        <f>_xlfn.CONCAT(_xlfn.XLOOKUP("[S05_InherentCarbonTransferredDetail]["&amp;ROW(B1289)-ROW($B$1219)&amp;"][StorageSitePermitNumber]",Submission!$O:$O,Submission!$H:$N,""))</f>
        <v/>
      </c>
      <c r="K1289" s="13"/>
      <c r="L1289" s="13"/>
    </row>
    <row r="1290" spans="1:12" s="147" customFormat="1" ht="41.4" hidden="1" customHeight="1" outlineLevel="1" x14ac:dyDescent="0.3">
      <c r="A1290" s="146"/>
      <c r="C1290" s="71" t="str">
        <f>_xlfn.CONCAT(_xlfn.XLOOKUP("[S05_InherentCarbonTransferredDetail]["&amp;ROW(B1290)-ROW($B$1219)&amp;"][TransferType]",Submission!$O:$O,Submission!$H:$N,""))</f>
        <v/>
      </c>
      <c r="D1290" s="72" t="str">
        <f>_xlfn.CONCAT(_xlfn.XLOOKUP("[S05_InherentCarbonTransferredDetail]["&amp;ROW(B1290)-ROW($B$1219)&amp;"][InstallationIdTransferring]",Submission!$O:$O,Submission!$H:$N,""))</f>
        <v/>
      </c>
      <c r="E1290" s="72" t="str">
        <f>_xlfn.CONCAT(_xlfn.XLOOKUP("[S05_InherentCarbonTransferredDetail]["&amp;ROW(B1290)-ROW($B$1219)&amp;"][InstallationIdReceiving]",Submission!$O:$O,Submission!$H:$N,""))</f>
        <v/>
      </c>
      <c r="F1290" s="124" t="str">
        <f>_xlfn.CONCAT(_xlfn.XLOOKUP("[S05_InherentCarbonTransferredDetail]["&amp;ROW(B1290)-ROW($B$1219)&amp;"][AmountCO2Transferred]",Submission!$O:$O,Submission!$H:$N,""))</f>
        <v/>
      </c>
      <c r="G1290" s="124" t="str">
        <f>_xlfn.CONCAT(_xlfn.XLOOKUP("[S05_InherentCarbonTransferredDetail]["&amp;ROW(B1290)-ROW($B$1219)&amp;"][InherentCO2Received]",Submission!$O:$O,Submission!$H:$N,""))</f>
        <v/>
      </c>
      <c r="H1290" s="71" t="str">
        <f>_xlfn.CONCAT(_xlfn.XLOOKUP("[S05_InherentCarbonTransferredDetail]["&amp;ROW(B1290)-ROW($B$1219)&amp;"][ReceivingInstallationType]",Submission!$O:$O,Submission!$H:$N,""))</f>
        <v/>
      </c>
      <c r="I1290" s="72" t="str">
        <f>_xlfn.CONCAT(_xlfn.XLOOKUP("[S05_InherentCarbonTransferredDetail]["&amp;ROW(B1290)-ROW($B$1219)&amp;"][StorageSitePermitNumber]",Submission!$O:$O,Submission!$H:$N,""))</f>
        <v/>
      </c>
      <c r="K1290" s="13"/>
      <c r="L1290" s="13"/>
    </row>
    <row r="1291" spans="1:12" s="147" customFormat="1" ht="41.4" hidden="1" customHeight="1" outlineLevel="1" x14ac:dyDescent="0.3">
      <c r="A1291" s="146"/>
      <c r="C1291" s="71" t="str">
        <f>_xlfn.CONCAT(_xlfn.XLOOKUP("[S05_InherentCarbonTransferredDetail]["&amp;ROW(B1291)-ROW($B$1219)&amp;"][TransferType]",Submission!$O:$O,Submission!$H:$N,""))</f>
        <v/>
      </c>
      <c r="D1291" s="72" t="str">
        <f>_xlfn.CONCAT(_xlfn.XLOOKUP("[S05_InherentCarbonTransferredDetail]["&amp;ROW(B1291)-ROW($B$1219)&amp;"][InstallationIdTransferring]",Submission!$O:$O,Submission!$H:$N,""))</f>
        <v/>
      </c>
      <c r="E1291" s="72" t="str">
        <f>_xlfn.CONCAT(_xlfn.XLOOKUP("[S05_InherentCarbonTransferredDetail]["&amp;ROW(B1291)-ROW($B$1219)&amp;"][InstallationIdReceiving]",Submission!$O:$O,Submission!$H:$N,""))</f>
        <v/>
      </c>
      <c r="F1291" s="124" t="str">
        <f>_xlfn.CONCAT(_xlfn.XLOOKUP("[S05_InherentCarbonTransferredDetail]["&amp;ROW(B1291)-ROW($B$1219)&amp;"][AmountCO2Transferred]",Submission!$O:$O,Submission!$H:$N,""))</f>
        <v/>
      </c>
      <c r="G1291" s="124" t="str">
        <f>_xlfn.CONCAT(_xlfn.XLOOKUP("[S05_InherentCarbonTransferredDetail]["&amp;ROW(B1291)-ROW($B$1219)&amp;"][InherentCO2Received]",Submission!$O:$O,Submission!$H:$N,""))</f>
        <v/>
      </c>
      <c r="H1291" s="71" t="str">
        <f>_xlfn.CONCAT(_xlfn.XLOOKUP("[S05_InherentCarbonTransferredDetail]["&amp;ROW(B1291)-ROW($B$1219)&amp;"][ReceivingInstallationType]",Submission!$O:$O,Submission!$H:$N,""))</f>
        <v/>
      </c>
      <c r="I1291" s="72" t="str">
        <f>_xlfn.CONCAT(_xlfn.XLOOKUP("[S05_InherentCarbonTransferredDetail]["&amp;ROW(B1291)-ROW($B$1219)&amp;"][StorageSitePermitNumber]",Submission!$O:$O,Submission!$H:$N,""))</f>
        <v/>
      </c>
      <c r="K1291" s="13"/>
      <c r="L1291" s="13"/>
    </row>
    <row r="1292" spans="1:12" s="147" customFormat="1" ht="41.4" hidden="1" customHeight="1" outlineLevel="1" x14ac:dyDescent="0.3">
      <c r="A1292" s="146"/>
      <c r="C1292" s="71" t="str">
        <f>_xlfn.CONCAT(_xlfn.XLOOKUP("[S05_InherentCarbonTransferredDetail]["&amp;ROW(B1292)-ROW($B$1219)&amp;"][TransferType]",Submission!$O:$O,Submission!$H:$N,""))</f>
        <v/>
      </c>
      <c r="D1292" s="72" t="str">
        <f>_xlfn.CONCAT(_xlfn.XLOOKUP("[S05_InherentCarbonTransferredDetail]["&amp;ROW(B1292)-ROW($B$1219)&amp;"][InstallationIdTransferring]",Submission!$O:$O,Submission!$H:$N,""))</f>
        <v/>
      </c>
      <c r="E1292" s="72" t="str">
        <f>_xlfn.CONCAT(_xlfn.XLOOKUP("[S05_InherentCarbonTransferredDetail]["&amp;ROW(B1292)-ROW($B$1219)&amp;"][InstallationIdReceiving]",Submission!$O:$O,Submission!$H:$N,""))</f>
        <v/>
      </c>
      <c r="F1292" s="124" t="str">
        <f>_xlfn.CONCAT(_xlfn.XLOOKUP("[S05_InherentCarbonTransferredDetail]["&amp;ROW(B1292)-ROW($B$1219)&amp;"][AmountCO2Transferred]",Submission!$O:$O,Submission!$H:$N,""))</f>
        <v/>
      </c>
      <c r="G1292" s="124" t="str">
        <f>_xlfn.CONCAT(_xlfn.XLOOKUP("[S05_InherentCarbonTransferredDetail]["&amp;ROW(B1292)-ROW($B$1219)&amp;"][InherentCO2Received]",Submission!$O:$O,Submission!$H:$N,""))</f>
        <v/>
      </c>
      <c r="H1292" s="71" t="str">
        <f>_xlfn.CONCAT(_xlfn.XLOOKUP("[S05_InherentCarbonTransferredDetail]["&amp;ROW(B1292)-ROW($B$1219)&amp;"][ReceivingInstallationType]",Submission!$O:$O,Submission!$H:$N,""))</f>
        <v/>
      </c>
      <c r="I1292" s="72" t="str">
        <f>_xlfn.CONCAT(_xlfn.XLOOKUP("[S05_InherentCarbonTransferredDetail]["&amp;ROW(B1292)-ROW($B$1219)&amp;"][StorageSitePermitNumber]",Submission!$O:$O,Submission!$H:$N,""))</f>
        <v/>
      </c>
      <c r="K1292" s="13"/>
      <c r="L1292" s="13"/>
    </row>
    <row r="1293" spans="1:12" s="147" customFormat="1" ht="41.4" hidden="1" customHeight="1" outlineLevel="1" x14ac:dyDescent="0.3">
      <c r="A1293" s="146"/>
      <c r="C1293" s="71" t="str">
        <f>_xlfn.CONCAT(_xlfn.XLOOKUP("[S05_InherentCarbonTransferredDetail]["&amp;ROW(B1293)-ROW($B$1219)&amp;"][TransferType]",Submission!$O:$O,Submission!$H:$N,""))</f>
        <v/>
      </c>
      <c r="D1293" s="72" t="str">
        <f>_xlfn.CONCAT(_xlfn.XLOOKUP("[S05_InherentCarbonTransferredDetail]["&amp;ROW(B1293)-ROW($B$1219)&amp;"][InstallationIdTransferring]",Submission!$O:$O,Submission!$H:$N,""))</f>
        <v/>
      </c>
      <c r="E1293" s="72" t="str">
        <f>_xlfn.CONCAT(_xlfn.XLOOKUP("[S05_InherentCarbonTransferredDetail]["&amp;ROW(B1293)-ROW($B$1219)&amp;"][InstallationIdReceiving]",Submission!$O:$O,Submission!$H:$N,""))</f>
        <v/>
      </c>
      <c r="F1293" s="124" t="str">
        <f>_xlfn.CONCAT(_xlfn.XLOOKUP("[S05_InherentCarbonTransferredDetail]["&amp;ROW(B1293)-ROW($B$1219)&amp;"][AmountCO2Transferred]",Submission!$O:$O,Submission!$H:$N,""))</f>
        <v/>
      </c>
      <c r="G1293" s="124" t="str">
        <f>_xlfn.CONCAT(_xlfn.XLOOKUP("[S05_InherentCarbonTransferredDetail]["&amp;ROW(B1293)-ROW($B$1219)&amp;"][InherentCO2Received]",Submission!$O:$O,Submission!$H:$N,""))</f>
        <v/>
      </c>
      <c r="H1293" s="71" t="str">
        <f>_xlfn.CONCAT(_xlfn.XLOOKUP("[S05_InherentCarbonTransferredDetail]["&amp;ROW(B1293)-ROW($B$1219)&amp;"][ReceivingInstallationType]",Submission!$O:$O,Submission!$H:$N,""))</f>
        <v/>
      </c>
      <c r="I1293" s="72" t="str">
        <f>_xlfn.CONCAT(_xlfn.XLOOKUP("[S05_InherentCarbonTransferredDetail]["&amp;ROW(B1293)-ROW($B$1219)&amp;"][StorageSitePermitNumber]",Submission!$O:$O,Submission!$H:$N,""))</f>
        <v/>
      </c>
      <c r="K1293" s="13"/>
      <c r="L1293" s="13"/>
    </row>
    <row r="1294" spans="1:12" s="147" customFormat="1" ht="41.4" hidden="1" customHeight="1" outlineLevel="1" x14ac:dyDescent="0.3">
      <c r="A1294" s="146"/>
      <c r="C1294" s="71" t="str">
        <f>_xlfn.CONCAT(_xlfn.XLOOKUP("[S05_InherentCarbonTransferredDetail]["&amp;ROW(B1294)-ROW($B$1219)&amp;"][TransferType]",Submission!$O:$O,Submission!$H:$N,""))</f>
        <v/>
      </c>
      <c r="D1294" s="72" t="str">
        <f>_xlfn.CONCAT(_xlfn.XLOOKUP("[S05_InherentCarbonTransferredDetail]["&amp;ROW(B1294)-ROW($B$1219)&amp;"][InstallationIdTransferring]",Submission!$O:$O,Submission!$H:$N,""))</f>
        <v/>
      </c>
      <c r="E1294" s="72" t="str">
        <f>_xlfn.CONCAT(_xlfn.XLOOKUP("[S05_InherentCarbonTransferredDetail]["&amp;ROW(B1294)-ROW($B$1219)&amp;"][InstallationIdReceiving]",Submission!$O:$O,Submission!$H:$N,""))</f>
        <v/>
      </c>
      <c r="F1294" s="124" t="str">
        <f>_xlfn.CONCAT(_xlfn.XLOOKUP("[S05_InherentCarbonTransferredDetail]["&amp;ROW(B1294)-ROW($B$1219)&amp;"][AmountCO2Transferred]",Submission!$O:$O,Submission!$H:$N,""))</f>
        <v/>
      </c>
      <c r="G1294" s="124" t="str">
        <f>_xlfn.CONCAT(_xlfn.XLOOKUP("[S05_InherentCarbonTransferredDetail]["&amp;ROW(B1294)-ROW($B$1219)&amp;"][InherentCO2Received]",Submission!$O:$O,Submission!$H:$N,""))</f>
        <v/>
      </c>
      <c r="H1294" s="71" t="str">
        <f>_xlfn.CONCAT(_xlfn.XLOOKUP("[S05_InherentCarbonTransferredDetail]["&amp;ROW(B1294)-ROW($B$1219)&amp;"][ReceivingInstallationType]",Submission!$O:$O,Submission!$H:$N,""))</f>
        <v/>
      </c>
      <c r="I1294" s="72" t="str">
        <f>_xlfn.CONCAT(_xlfn.XLOOKUP("[S05_InherentCarbonTransferredDetail]["&amp;ROW(B1294)-ROW($B$1219)&amp;"][StorageSitePermitNumber]",Submission!$O:$O,Submission!$H:$N,""))</f>
        <v/>
      </c>
      <c r="K1294" s="13"/>
      <c r="L1294" s="13"/>
    </row>
    <row r="1295" spans="1:12" s="147" customFormat="1" ht="41.4" hidden="1" customHeight="1" outlineLevel="1" x14ac:dyDescent="0.3">
      <c r="A1295" s="146"/>
      <c r="C1295" s="71" t="str">
        <f>_xlfn.CONCAT(_xlfn.XLOOKUP("[S05_InherentCarbonTransferredDetail]["&amp;ROW(B1295)-ROW($B$1219)&amp;"][TransferType]",Submission!$O:$O,Submission!$H:$N,""))</f>
        <v/>
      </c>
      <c r="D1295" s="72" t="str">
        <f>_xlfn.CONCAT(_xlfn.XLOOKUP("[S05_InherentCarbonTransferredDetail]["&amp;ROW(B1295)-ROW($B$1219)&amp;"][InstallationIdTransferring]",Submission!$O:$O,Submission!$H:$N,""))</f>
        <v/>
      </c>
      <c r="E1295" s="72" t="str">
        <f>_xlfn.CONCAT(_xlfn.XLOOKUP("[S05_InherentCarbonTransferredDetail]["&amp;ROW(B1295)-ROW($B$1219)&amp;"][InstallationIdReceiving]",Submission!$O:$O,Submission!$H:$N,""))</f>
        <v/>
      </c>
      <c r="F1295" s="124" t="str">
        <f>_xlfn.CONCAT(_xlfn.XLOOKUP("[S05_InherentCarbonTransferredDetail]["&amp;ROW(B1295)-ROW($B$1219)&amp;"][AmountCO2Transferred]",Submission!$O:$O,Submission!$H:$N,""))</f>
        <v/>
      </c>
      <c r="G1295" s="124" t="str">
        <f>_xlfn.CONCAT(_xlfn.XLOOKUP("[S05_InherentCarbonTransferredDetail]["&amp;ROW(B1295)-ROW($B$1219)&amp;"][InherentCO2Received]",Submission!$O:$O,Submission!$H:$N,""))</f>
        <v/>
      </c>
      <c r="H1295" s="71" t="str">
        <f>_xlfn.CONCAT(_xlfn.XLOOKUP("[S05_InherentCarbonTransferredDetail]["&amp;ROW(B1295)-ROW($B$1219)&amp;"][ReceivingInstallationType]",Submission!$O:$O,Submission!$H:$N,""))</f>
        <v/>
      </c>
      <c r="I1295" s="72" t="str">
        <f>_xlfn.CONCAT(_xlfn.XLOOKUP("[S05_InherentCarbonTransferredDetail]["&amp;ROW(B1295)-ROW($B$1219)&amp;"][StorageSitePermitNumber]",Submission!$O:$O,Submission!$H:$N,""))</f>
        <v/>
      </c>
      <c r="K1295" s="13"/>
      <c r="L1295" s="13"/>
    </row>
    <row r="1296" spans="1:12" s="147" customFormat="1" ht="41.4" hidden="1" customHeight="1" outlineLevel="1" x14ac:dyDescent="0.3">
      <c r="A1296" s="146"/>
      <c r="C1296" s="71" t="str">
        <f>_xlfn.CONCAT(_xlfn.XLOOKUP("[S05_InherentCarbonTransferredDetail]["&amp;ROW(B1296)-ROW($B$1219)&amp;"][TransferType]",Submission!$O:$O,Submission!$H:$N,""))</f>
        <v/>
      </c>
      <c r="D1296" s="72" t="str">
        <f>_xlfn.CONCAT(_xlfn.XLOOKUP("[S05_InherentCarbonTransferredDetail]["&amp;ROW(B1296)-ROW($B$1219)&amp;"][InstallationIdTransferring]",Submission!$O:$O,Submission!$H:$N,""))</f>
        <v/>
      </c>
      <c r="E1296" s="72" t="str">
        <f>_xlfn.CONCAT(_xlfn.XLOOKUP("[S05_InherentCarbonTransferredDetail]["&amp;ROW(B1296)-ROW($B$1219)&amp;"][InstallationIdReceiving]",Submission!$O:$O,Submission!$H:$N,""))</f>
        <v/>
      </c>
      <c r="F1296" s="124" t="str">
        <f>_xlfn.CONCAT(_xlfn.XLOOKUP("[S05_InherentCarbonTransferredDetail]["&amp;ROW(B1296)-ROW($B$1219)&amp;"][AmountCO2Transferred]",Submission!$O:$O,Submission!$H:$N,""))</f>
        <v/>
      </c>
      <c r="G1296" s="124" t="str">
        <f>_xlfn.CONCAT(_xlfn.XLOOKUP("[S05_InherentCarbonTransferredDetail]["&amp;ROW(B1296)-ROW($B$1219)&amp;"][InherentCO2Received]",Submission!$O:$O,Submission!$H:$N,""))</f>
        <v/>
      </c>
      <c r="H1296" s="71" t="str">
        <f>_xlfn.CONCAT(_xlfn.XLOOKUP("[S05_InherentCarbonTransferredDetail]["&amp;ROW(B1296)-ROW($B$1219)&amp;"][ReceivingInstallationType]",Submission!$O:$O,Submission!$H:$N,""))</f>
        <v/>
      </c>
      <c r="I1296" s="72" t="str">
        <f>_xlfn.CONCAT(_xlfn.XLOOKUP("[S05_InherentCarbonTransferredDetail]["&amp;ROW(B1296)-ROW($B$1219)&amp;"][StorageSitePermitNumber]",Submission!$O:$O,Submission!$H:$N,""))</f>
        <v/>
      </c>
      <c r="K1296" s="13"/>
      <c r="L1296" s="13"/>
    </row>
    <row r="1297" spans="1:12" s="147" customFormat="1" ht="41.4" hidden="1" customHeight="1" outlineLevel="1" x14ac:dyDescent="0.3">
      <c r="A1297" s="146"/>
      <c r="C1297" s="71" t="str">
        <f>_xlfn.CONCAT(_xlfn.XLOOKUP("[S05_InherentCarbonTransferredDetail]["&amp;ROW(B1297)-ROW($B$1219)&amp;"][TransferType]",Submission!$O:$O,Submission!$H:$N,""))</f>
        <v/>
      </c>
      <c r="D1297" s="72" t="str">
        <f>_xlfn.CONCAT(_xlfn.XLOOKUP("[S05_InherentCarbonTransferredDetail]["&amp;ROW(B1297)-ROW($B$1219)&amp;"][InstallationIdTransferring]",Submission!$O:$O,Submission!$H:$N,""))</f>
        <v/>
      </c>
      <c r="E1297" s="72" t="str">
        <f>_xlfn.CONCAT(_xlfn.XLOOKUP("[S05_InherentCarbonTransferredDetail]["&amp;ROW(B1297)-ROW($B$1219)&amp;"][InstallationIdReceiving]",Submission!$O:$O,Submission!$H:$N,""))</f>
        <v/>
      </c>
      <c r="F1297" s="124" t="str">
        <f>_xlfn.CONCAT(_xlfn.XLOOKUP("[S05_InherentCarbonTransferredDetail]["&amp;ROW(B1297)-ROW($B$1219)&amp;"][AmountCO2Transferred]",Submission!$O:$O,Submission!$H:$N,""))</f>
        <v/>
      </c>
      <c r="G1297" s="124" t="str">
        <f>_xlfn.CONCAT(_xlfn.XLOOKUP("[S05_InherentCarbonTransferredDetail]["&amp;ROW(B1297)-ROW($B$1219)&amp;"][InherentCO2Received]",Submission!$O:$O,Submission!$H:$N,""))</f>
        <v/>
      </c>
      <c r="H1297" s="71" t="str">
        <f>_xlfn.CONCAT(_xlfn.XLOOKUP("[S05_InherentCarbonTransferredDetail]["&amp;ROW(B1297)-ROW($B$1219)&amp;"][ReceivingInstallationType]",Submission!$O:$O,Submission!$H:$N,""))</f>
        <v/>
      </c>
      <c r="I1297" s="72" t="str">
        <f>_xlfn.CONCAT(_xlfn.XLOOKUP("[S05_InherentCarbonTransferredDetail]["&amp;ROW(B1297)-ROW($B$1219)&amp;"][StorageSitePermitNumber]",Submission!$O:$O,Submission!$H:$N,""))</f>
        <v/>
      </c>
      <c r="K1297" s="13"/>
      <c r="L1297" s="13"/>
    </row>
    <row r="1298" spans="1:12" s="147" customFormat="1" ht="41.4" hidden="1" customHeight="1" outlineLevel="1" x14ac:dyDescent="0.3">
      <c r="A1298" s="146"/>
      <c r="C1298" s="71" t="str">
        <f>_xlfn.CONCAT(_xlfn.XLOOKUP("[S05_InherentCarbonTransferredDetail]["&amp;ROW(B1298)-ROW($B$1219)&amp;"][TransferType]",Submission!$O:$O,Submission!$H:$N,""))</f>
        <v/>
      </c>
      <c r="D1298" s="72" t="str">
        <f>_xlfn.CONCAT(_xlfn.XLOOKUP("[S05_InherentCarbonTransferredDetail]["&amp;ROW(B1298)-ROW($B$1219)&amp;"][InstallationIdTransferring]",Submission!$O:$O,Submission!$H:$N,""))</f>
        <v/>
      </c>
      <c r="E1298" s="72" t="str">
        <f>_xlfn.CONCAT(_xlfn.XLOOKUP("[S05_InherentCarbonTransferredDetail]["&amp;ROW(B1298)-ROW($B$1219)&amp;"][InstallationIdReceiving]",Submission!$O:$O,Submission!$H:$N,""))</f>
        <v/>
      </c>
      <c r="F1298" s="124" t="str">
        <f>_xlfn.CONCAT(_xlfn.XLOOKUP("[S05_InherentCarbonTransferredDetail]["&amp;ROW(B1298)-ROW($B$1219)&amp;"][AmountCO2Transferred]",Submission!$O:$O,Submission!$H:$N,""))</f>
        <v/>
      </c>
      <c r="G1298" s="124" t="str">
        <f>_xlfn.CONCAT(_xlfn.XLOOKUP("[S05_InherentCarbonTransferredDetail]["&amp;ROW(B1298)-ROW($B$1219)&amp;"][InherentCO2Received]",Submission!$O:$O,Submission!$H:$N,""))</f>
        <v/>
      </c>
      <c r="H1298" s="71" t="str">
        <f>_xlfn.CONCAT(_xlfn.XLOOKUP("[S05_InherentCarbonTransferredDetail]["&amp;ROW(B1298)-ROW($B$1219)&amp;"][ReceivingInstallationType]",Submission!$O:$O,Submission!$H:$N,""))</f>
        <v/>
      </c>
      <c r="I1298" s="72" t="str">
        <f>_xlfn.CONCAT(_xlfn.XLOOKUP("[S05_InherentCarbonTransferredDetail]["&amp;ROW(B1298)-ROW($B$1219)&amp;"][StorageSitePermitNumber]",Submission!$O:$O,Submission!$H:$N,""))</f>
        <v/>
      </c>
      <c r="K1298" s="13"/>
      <c r="L1298" s="13"/>
    </row>
    <row r="1299" spans="1:12" s="147" customFormat="1" ht="41.4" hidden="1" customHeight="1" outlineLevel="1" x14ac:dyDescent="0.3">
      <c r="A1299" s="146"/>
      <c r="C1299" s="71" t="str">
        <f>_xlfn.CONCAT(_xlfn.XLOOKUP("[S05_InherentCarbonTransferredDetail]["&amp;ROW(B1299)-ROW($B$1219)&amp;"][TransferType]",Submission!$O:$O,Submission!$H:$N,""))</f>
        <v/>
      </c>
      <c r="D1299" s="72" t="str">
        <f>_xlfn.CONCAT(_xlfn.XLOOKUP("[S05_InherentCarbonTransferredDetail]["&amp;ROW(B1299)-ROW($B$1219)&amp;"][InstallationIdTransferring]",Submission!$O:$O,Submission!$H:$N,""))</f>
        <v/>
      </c>
      <c r="E1299" s="72" t="str">
        <f>_xlfn.CONCAT(_xlfn.XLOOKUP("[S05_InherentCarbonTransferredDetail]["&amp;ROW(B1299)-ROW($B$1219)&amp;"][InstallationIdReceiving]",Submission!$O:$O,Submission!$H:$N,""))</f>
        <v/>
      </c>
      <c r="F1299" s="124" t="str">
        <f>_xlfn.CONCAT(_xlfn.XLOOKUP("[S05_InherentCarbonTransferredDetail]["&amp;ROW(B1299)-ROW($B$1219)&amp;"][AmountCO2Transferred]",Submission!$O:$O,Submission!$H:$N,""))</f>
        <v/>
      </c>
      <c r="G1299" s="124" t="str">
        <f>_xlfn.CONCAT(_xlfn.XLOOKUP("[S05_InherentCarbonTransferredDetail]["&amp;ROW(B1299)-ROW($B$1219)&amp;"][InherentCO2Received]",Submission!$O:$O,Submission!$H:$N,""))</f>
        <v/>
      </c>
      <c r="H1299" s="71" t="str">
        <f>_xlfn.CONCAT(_xlfn.XLOOKUP("[S05_InherentCarbonTransferredDetail]["&amp;ROW(B1299)-ROW($B$1219)&amp;"][ReceivingInstallationType]",Submission!$O:$O,Submission!$H:$N,""))</f>
        <v/>
      </c>
      <c r="I1299" s="72" t="str">
        <f>_xlfn.CONCAT(_xlfn.XLOOKUP("[S05_InherentCarbonTransferredDetail]["&amp;ROW(B1299)-ROW($B$1219)&amp;"][StorageSitePermitNumber]",Submission!$O:$O,Submission!$H:$N,""))</f>
        <v/>
      </c>
      <c r="K1299" s="13"/>
      <c r="L1299" s="13"/>
    </row>
    <row r="1300" spans="1:12" s="147" customFormat="1" ht="41.4" hidden="1" customHeight="1" outlineLevel="1" x14ac:dyDescent="0.3">
      <c r="A1300" s="146"/>
      <c r="C1300" s="71" t="str">
        <f>_xlfn.CONCAT(_xlfn.XLOOKUP("[S05_InherentCarbonTransferredDetail]["&amp;ROW(B1300)-ROW($B$1219)&amp;"][TransferType]",Submission!$O:$O,Submission!$H:$N,""))</f>
        <v/>
      </c>
      <c r="D1300" s="72" t="str">
        <f>_xlfn.CONCAT(_xlfn.XLOOKUP("[S05_InherentCarbonTransferredDetail]["&amp;ROW(B1300)-ROW($B$1219)&amp;"][InstallationIdTransferring]",Submission!$O:$O,Submission!$H:$N,""))</f>
        <v/>
      </c>
      <c r="E1300" s="72" t="str">
        <f>_xlfn.CONCAT(_xlfn.XLOOKUP("[S05_InherentCarbonTransferredDetail]["&amp;ROW(B1300)-ROW($B$1219)&amp;"][InstallationIdReceiving]",Submission!$O:$O,Submission!$H:$N,""))</f>
        <v/>
      </c>
      <c r="F1300" s="124" t="str">
        <f>_xlfn.CONCAT(_xlfn.XLOOKUP("[S05_InherentCarbonTransferredDetail]["&amp;ROW(B1300)-ROW($B$1219)&amp;"][AmountCO2Transferred]",Submission!$O:$O,Submission!$H:$N,""))</f>
        <v/>
      </c>
      <c r="G1300" s="124" t="str">
        <f>_xlfn.CONCAT(_xlfn.XLOOKUP("[S05_InherentCarbonTransferredDetail]["&amp;ROW(B1300)-ROW($B$1219)&amp;"][InherentCO2Received]",Submission!$O:$O,Submission!$H:$N,""))</f>
        <v/>
      </c>
      <c r="H1300" s="71" t="str">
        <f>_xlfn.CONCAT(_xlfn.XLOOKUP("[S05_InherentCarbonTransferredDetail]["&amp;ROW(B1300)-ROW($B$1219)&amp;"][ReceivingInstallationType]",Submission!$O:$O,Submission!$H:$N,""))</f>
        <v/>
      </c>
      <c r="I1300" s="72" t="str">
        <f>_xlfn.CONCAT(_xlfn.XLOOKUP("[S05_InherentCarbonTransferredDetail]["&amp;ROW(B1300)-ROW($B$1219)&amp;"][StorageSitePermitNumber]",Submission!$O:$O,Submission!$H:$N,""))</f>
        <v/>
      </c>
      <c r="K1300" s="13"/>
      <c r="L1300" s="13"/>
    </row>
    <row r="1301" spans="1:12" s="147" customFormat="1" ht="41.4" hidden="1" customHeight="1" outlineLevel="1" x14ac:dyDescent="0.3">
      <c r="A1301" s="146"/>
      <c r="C1301" s="71" t="str">
        <f>_xlfn.CONCAT(_xlfn.XLOOKUP("[S05_InherentCarbonTransferredDetail]["&amp;ROW(B1301)-ROW($B$1219)&amp;"][TransferType]",Submission!$O:$O,Submission!$H:$N,""))</f>
        <v/>
      </c>
      <c r="D1301" s="72" t="str">
        <f>_xlfn.CONCAT(_xlfn.XLOOKUP("[S05_InherentCarbonTransferredDetail]["&amp;ROW(B1301)-ROW($B$1219)&amp;"][InstallationIdTransferring]",Submission!$O:$O,Submission!$H:$N,""))</f>
        <v/>
      </c>
      <c r="E1301" s="72" t="str">
        <f>_xlfn.CONCAT(_xlfn.XLOOKUP("[S05_InherentCarbonTransferredDetail]["&amp;ROW(B1301)-ROW($B$1219)&amp;"][InstallationIdReceiving]",Submission!$O:$O,Submission!$H:$N,""))</f>
        <v/>
      </c>
      <c r="F1301" s="124" t="str">
        <f>_xlfn.CONCAT(_xlfn.XLOOKUP("[S05_InherentCarbonTransferredDetail]["&amp;ROW(B1301)-ROW($B$1219)&amp;"][AmountCO2Transferred]",Submission!$O:$O,Submission!$H:$N,""))</f>
        <v/>
      </c>
      <c r="G1301" s="124" t="str">
        <f>_xlfn.CONCAT(_xlfn.XLOOKUP("[S05_InherentCarbonTransferredDetail]["&amp;ROW(B1301)-ROW($B$1219)&amp;"][InherentCO2Received]",Submission!$O:$O,Submission!$H:$N,""))</f>
        <v/>
      </c>
      <c r="H1301" s="71" t="str">
        <f>_xlfn.CONCAT(_xlfn.XLOOKUP("[S05_InherentCarbonTransferredDetail]["&amp;ROW(B1301)-ROW($B$1219)&amp;"][ReceivingInstallationType]",Submission!$O:$O,Submission!$H:$N,""))</f>
        <v/>
      </c>
      <c r="I1301" s="72" t="str">
        <f>_xlfn.CONCAT(_xlfn.XLOOKUP("[S05_InherentCarbonTransferredDetail]["&amp;ROW(B1301)-ROW($B$1219)&amp;"][StorageSitePermitNumber]",Submission!$O:$O,Submission!$H:$N,""))</f>
        <v/>
      </c>
      <c r="K1301" s="13"/>
      <c r="L1301" s="13"/>
    </row>
    <row r="1302" spans="1:12" s="147" customFormat="1" ht="41.4" hidden="1" customHeight="1" outlineLevel="1" x14ac:dyDescent="0.3">
      <c r="A1302" s="146"/>
      <c r="C1302" s="71" t="str">
        <f>_xlfn.CONCAT(_xlfn.XLOOKUP("[S05_InherentCarbonTransferredDetail]["&amp;ROW(B1302)-ROW($B$1219)&amp;"][TransferType]",Submission!$O:$O,Submission!$H:$N,""))</f>
        <v/>
      </c>
      <c r="D1302" s="72" t="str">
        <f>_xlfn.CONCAT(_xlfn.XLOOKUP("[S05_InherentCarbonTransferredDetail]["&amp;ROW(B1302)-ROW($B$1219)&amp;"][InstallationIdTransferring]",Submission!$O:$O,Submission!$H:$N,""))</f>
        <v/>
      </c>
      <c r="E1302" s="72" t="str">
        <f>_xlfn.CONCAT(_xlfn.XLOOKUP("[S05_InherentCarbonTransferredDetail]["&amp;ROW(B1302)-ROW($B$1219)&amp;"][InstallationIdReceiving]",Submission!$O:$O,Submission!$H:$N,""))</f>
        <v/>
      </c>
      <c r="F1302" s="124" t="str">
        <f>_xlfn.CONCAT(_xlfn.XLOOKUP("[S05_InherentCarbonTransferredDetail]["&amp;ROW(B1302)-ROW($B$1219)&amp;"][AmountCO2Transferred]",Submission!$O:$O,Submission!$H:$N,""))</f>
        <v/>
      </c>
      <c r="G1302" s="124" t="str">
        <f>_xlfn.CONCAT(_xlfn.XLOOKUP("[S05_InherentCarbonTransferredDetail]["&amp;ROW(B1302)-ROW($B$1219)&amp;"][InherentCO2Received]",Submission!$O:$O,Submission!$H:$N,""))</f>
        <v/>
      </c>
      <c r="H1302" s="71" t="str">
        <f>_xlfn.CONCAT(_xlfn.XLOOKUP("[S05_InherentCarbonTransferredDetail]["&amp;ROW(B1302)-ROW($B$1219)&amp;"][ReceivingInstallationType]",Submission!$O:$O,Submission!$H:$N,""))</f>
        <v/>
      </c>
      <c r="I1302" s="72" t="str">
        <f>_xlfn.CONCAT(_xlfn.XLOOKUP("[S05_InherentCarbonTransferredDetail]["&amp;ROW(B1302)-ROW($B$1219)&amp;"][StorageSitePermitNumber]",Submission!$O:$O,Submission!$H:$N,""))</f>
        <v/>
      </c>
      <c r="K1302" s="13"/>
      <c r="L1302" s="13"/>
    </row>
    <row r="1303" spans="1:12" s="147" customFormat="1" ht="41.4" hidden="1" customHeight="1" outlineLevel="1" x14ac:dyDescent="0.3">
      <c r="A1303" s="146"/>
      <c r="C1303" s="71" t="str">
        <f>_xlfn.CONCAT(_xlfn.XLOOKUP("[S05_InherentCarbonTransferredDetail]["&amp;ROW(B1303)-ROW($B$1219)&amp;"][TransferType]",Submission!$O:$O,Submission!$H:$N,""))</f>
        <v/>
      </c>
      <c r="D1303" s="72" t="str">
        <f>_xlfn.CONCAT(_xlfn.XLOOKUP("[S05_InherentCarbonTransferredDetail]["&amp;ROW(B1303)-ROW($B$1219)&amp;"][InstallationIdTransferring]",Submission!$O:$O,Submission!$H:$N,""))</f>
        <v/>
      </c>
      <c r="E1303" s="72" t="str">
        <f>_xlfn.CONCAT(_xlfn.XLOOKUP("[S05_InherentCarbonTransferredDetail]["&amp;ROW(B1303)-ROW($B$1219)&amp;"][InstallationIdReceiving]",Submission!$O:$O,Submission!$H:$N,""))</f>
        <v/>
      </c>
      <c r="F1303" s="124" t="str">
        <f>_xlfn.CONCAT(_xlfn.XLOOKUP("[S05_InherentCarbonTransferredDetail]["&amp;ROW(B1303)-ROW($B$1219)&amp;"][AmountCO2Transferred]",Submission!$O:$O,Submission!$H:$N,""))</f>
        <v/>
      </c>
      <c r="G1303" s="124" t="str">
        <f>_xlfn.CONCAT(_xlfn.XLOOKUP("[S05_InherentCarbonTransferredDetail]["&amp;ROW(B1303)-ROW($B$1219)&amp;"][InherentCO2Received]",Submission!$O:$O,Submission!$H:$N,""))</f>
        <v/>
      </c>
      <c r="H1303" s="71" t="str">
        <f>_xlfn.CONCAT(_xlfn.XLOOKUP("[S05_InherentCarbonTransferredDetail]["&amp;ROW(B1303)-ROW($B$1219)&amp;"][ReceivingInstallationType]",Submission!$O:$O,Submission!$H:$N,""))</f>
        <v/>
      </c>
      <c r="I1303" s="72" t="str">
        <f>_xlfn.CONCAT(_xlfn.XLOOKUP("[S05_InherentCarbonTransferredDetail]["&amp;ROW(B1303)-ROW($B$1219)&amp;"][StorageSitePermitNumber]",Submission!$O:$O,Submission!$H:$N,""))</f>
        <v/>
      </c>
      <c r="K1303" s="13"/>
      <c r="L1303" s="13"/>
    </row>
    <row r="1304" spans="1:12" s="147" customFormat="1" ht="41.4" hidden="1" customHeight="1" outlineLevel="1" x14ac:dyDescent="0.3">
      <c r="A1304" s="146"/>
      <c r="C1304" s="71" t="str">
        <f>_xlfn.CONCAT(_xlfn.XLOOKUP("[S05_InherentCarbonTransferredDetail]["&amp;ROW(B1304)-ROW($B$1219)&amp;"][TransferType]",Submission!$O:$O,Submission!$H:$N,""))</f>
        <v/>
      </c>
      <c r="D1304" s="72" t="str">
        <f>_xlfn.CONCAT(_xlfn.XLOOKUP("[S05_InherentCarbonTransferredDetail]["&amp;ROW(B1304)-ROW($B$1219)&amp;"][InstallationIdTransferring]",Submission!$O:$O,Submission!$H:$N,""))</f>
        <v/>
      </c>
      <c r="E1304" s="72" t="str">
        <f>_xlfn.CONCAT(_xlfn.XLOOKUP("[S05_InherentCarbonTransferredDetail]["&amp;ROW(B1304)-ROW($B$1219)&amp;"][InstallationIdReceiving]",Submission!$O:$O,Submission!$H:$N,""))</f>
        <v/>
      </c>
      <c r="F1304" s="124" t="str">
        <f>_xlfn.CONCAT(_xlfn.XLOOKUP("[S05_InherentCarbonTransferredDetail]["&amp;ROW(B1304)-ROW($B$1219)&amp;"][AmountCO2Transferred]",Submission!$O:$O,Submission!$H:$N,""))</f>
        <v/>
      </c>
      <c r="G1304" s="124" t="str">
        <f>_xlfn.CONCAT(_xlfn.XLOOKUP("[S05_InherentCarbonTransferredDetail]["&amp;ROW(B1304)-ROW($B$1219)&amp;"][InherentCO2Received]",Submission!$O:$O,Submission!$H:$N,""))</f>
        <v/>
      </c>
      <c r="H1304" s="71" t="str">
        <f>_xlfn.CONCAT(_xlfn.XLOOKUP("[S05_InherentCarbonTransferredDetail]["&amp;ROW(B1304)-ROW($B$1219)&amp;"][ReceivingInstallationType]",Submission!$O:$O,Submission!$H:$N,""))</f>
        <v/>
      </c>
      <c r="I1304" s="72" t="str">
        <f>_xlfn.CONCAT(_xlfn.XLOOKUP("[S05_InherentCarbonTransferredDetail]["&amp;ROW(B1304)-ROW($B$1219)&amp;"][StorageSitePermitNumber]",Submission!$O:$O,Submission!$H:$N,""))</f>
        <v/>
      </c>
      <c r="K1304" s="13"/>
      <c r="L1304" s="13"/>
    </row>
    <row r="1305" spans="1:12" s="147" customFormat="1" ht="41.4" hidden="1" customHeight="1" outlineLevel="1" x14ac:dyDescent="0.3">
      <c r="A1305" s="146"/>
      <c r="C1305" s="71" t="str">
        <f>_xlfn.CONCAT(_xlfn.XLOOKUP("[S05_InherentCarbonTransferredDetail]["&amp;ROW(B1305)-ROW($B$1219)&amp;"][TransferType]",Submission!$O:$O,Submission!$H:$N,""))</f>
        <v/>
      </c>
      <c r="D1305" s="72" t="str">
        <f>_xlfn.CONCAT(_xlfn.XLOOKUP("[S05_InherentCarbonTransferredDetail]["&amp;ROW(B1305)-ROW($B$1219)&amp;"][InstallationIdTransferring]",Submission!$O:$O,Submission!$H:$N,""))</f>
        <v/>
      </c>
      <c r="E1305" s="72" t="str">
        <f>_xlfn.CONCAT(_xlfn.XLOOKUP("[S05_InherentCarbonTransferredDetail]["&amp;ROW(B1305)-ROW($B$1219)&amp;"][InstallationIdReceiving]",Submission!$O:$O,Submission!$H:$N,""))</f>
        <v/>
      </c>
      <c r="F1305" s="124" t="str">
        <f>_xlfn.CONCAT(_xlfn.XLOOKUP("[S05_InherentCarbonTransferredDetail]["&amp;ROW(B1305)-ROW($B$1219)&amp;"][AmountCO2Transferred]",Submission!$O:$O,Submission!$H:$N,""))</f>
        <v/>
      </c>
      <c r="G1305" s="124" t="str">
        <f>_xlfn.CONCAT(_xlfn.XLOOKUP("[S05_InherentCarbonTransferredDetail]["&amp;ROW(B1305)-ROW($B$1219)&amp;"][InherentCO2Received]",Submission!$O:$O,Submission!$H:$N,""))</f>
        <v/>
      </c>
      <c r="H1305" s="71" t="str">
        <f>_xlfn.CONCAT(_xlfn.XLOOKUP("[S05_InherentCarbonTransferredDetail]["&amp;ROW(B1305)-ROW($B$1219)&amp;"][ReceivingInstallationType]",Submission!$O:$O,Submission!$H:$N,""))</f>
        <v/>
      </c>
      <c r="I1305" s="72" t="str">
        <f>_xlfn.CONCAT(_xlfn.XLOOKUP("[S05_InherentCarbonTransferredDetail]["&amp;ROW(B1305)-ROW($B$1219)&amp;"][StorageSitePermitNumber]",Submission!$O:$O,Submission!$H:$N,""))</f>
        <v/>
      </c>
      <c r="K1305" s="13"/>
      <c r="L1305" s="13"/>
    </row>
    <row r="1306" spans="1:12" s="147" customFormat="1" ht="41.4" hidden="1" customHeight="1" outlineLevel="1" x14ac:dyDescent="0.3">
      <c r="A1306" s="146"/>
      <c r="C1306" s="71" t="str">
        <f>_xlfn.CONCAT(_xlfn.XLOOKUP("[S05_InherentCarbonTransferredDetail]["&amp;ROW(B1306)-ROW($B$1219)&amp;"][TransferType]",Submission!$O:$O,Submission!$H:$N,""))</f>
        <v/>
      </c>
      <c r="D1306" s="72" t="str">
        <f>_xlfn.CONCAT(_xlfn.XLOOKUP("[S05_InherentCarbonTransferredDetail]["&amp;ROW(B1306)-ROW($B$1219)&amp;"][InstallationIdTransferring]",Submission!$O:$O,Submission!$H:$N,""))</f>
        <v/>
      </c>
      <c r="E1306" s="72" t="str">
        <f>_xlfn.CONCAT(_xlfn.XLOOKUP("[S05_InherentCarbonTransferredDetail]["&amp;ROW(B1306)-ROW($B$1219)&amp;"][InstallationIdReceiving]",Submission!$O:$O,Submission!$H:$N,""))</f>
        <v/>
      </c>
      <c r="F1306" s="124" t="str">
        <f>_xlfn.CONCAT(_xlfn.XLOOKUP("[S05_InherentCarbonTransferredDetail]["&amp;ROW(B1306)-ROW($B$1219)&amp;"][AmountCO2Transferred]",Submission!$O:$O,Submission!$H:$N,""))</f>
        <v/>
      </c>
      <c r="G1306" s="124" t="str">
        <f>_xlfn.CONCAT(_xlfn.XLOOKUP("[S05_InherentCarbonTransferredDetail]["&amp;ROW(B1306)-ROW($B$1219)&amp;"][InherentCO2Received]",Submission!$O:$O,Submission!$H:$N,""))</f>
        <v/>
      </c>
      <c r="H1306" s="71" t="str">
        <f>_xlfn.CONCAT(_xlfn.XLOOKUP("[S05_InherentCarbonTransferredDetail]["&amp;ROW(B1306)-ROW($B$1219)&amp;"][ReceivingInstallationType]",Submission!$O:$O,Submission!$H:$N,""))</f>
        <v/>
      </c>
      <c r="I1306" s="72" t="str">
        <f>_xlfn.CONCAT(_xlfn.XLOOKUP("[S05_InherentCarbonTransferredDetail]["&amp;ROW(B1306)-ROW($B$1219)&amp;"][StorageSitePermitNumber]",Submission!$O:$O,Submission!$H:$N,""))</f>
        <v/>
      </c>
      <c r="K1306" s="13"/>
      <c r="L1306" s="13"/>
    </row>
    <row r="1307" spans="1:12" s="147" customFormat="1" ht="41.4" hidden="1" customHeight="1" outlineLevel="1" x14ac:dyDescent="0.3">
      <c r="A1307" s="146"/>
      <c r="C1307" s="71" t="str">
        <f>_xlfn.CONCAT(_xlfn.XLOOKUP("[S05_InherentCarbonTransferredDetail]["&amp;ROW(B1307)-ROW($B$1219)&amp;"][TransferType]",Submission!$O:$O,Submission!$H:$N,""))</f>
        <v/>
      </c>
      <c r="D1307" s="72" t="str">
        <f>_xlfn.CONCAT(_xlfn.XLOOKUP("[S05_InherentCarbonTransferredDetail]["&amp;ROW(B1307)-ROW($B$1219)&amp;"][InstallationIdTransferring]",Submission!$O:$O,Submission!$H:$N,""))</f>
        <v/>
      </c>
      <c r="E1307" s="72" t="str">
        <f>_xlfn.CONCAT(_xlfn.XLOOKUP("[S05_InherentCarbonTransferredDetail]["&amp;ROW(B1307)-ROW($B$1219)&amp;"][InstallationIdReceiving]",Submission!$O:$O,Submission!$H:$N,""))</f>
        <v/>
      </c>
      <c r="F1307" s="124" t="str">
        <f>_xlfn.CONCAT(_xlfn.XLOOKUP("[S05_InherentCarbonTransferredDetail]["&amp;ROW(B1307)-ROW($B$1219)&amp;"][AmountCO2Transferred]",Submission!$O:$O,Submission!$H:$N,""))</f>
        <v/>
      </c>
      <c r="G1307" s="124" t="str">
        <f>_xlfn.CONCAT(_xlfn.XLOOKUP("[S05_InherentCarbonTransferredDetail]["&amp;ROW(B1307)-ROW($B$1219)&amp;"][InherentCO2Received]",Submission!$O:$O,Submission!$H:$N,""))</f>
        <v/>
      </c>
      <c r="H1307" s="71" t="str">
        <f>_xlfn.CONCAT(_xlfn.XLOOKUP("[S05_InherentCarbonTransferredDetail]["&amp;ROW(B1307)-ROW($B$1219)&amp;"][ReceivingInstallationType]",Submission!$O:$O,Submission!$H:$N,""))</f>
        <v/>
      </c>
      <c r="I1307" s="72" t="str">
        <f>_xlfn.CONCAT(_xlfn.XLOOKUP("[S05_InherentCarbonTransferredDetail]["&amp;ROW(B1307)-ROW($B$1219)&amp;"][StorageSitePermitNumber]",Submission!$O:$O,Submission!$H:$N,""))</f>
        <v/>
      </c>
      <c r="K1307" s="13"/>
      <c r="L1307" s="13"/>
    </row>
    <row r="1308" spans="1:12" s="147" customFormat="1" ht="41.4" hidden="1" customHeight="1" outlineLevel="1" x14ac:dyDescent="0.3">
      <c r="A1308" s="146"/>
      <c r="C1308" s="71" t="str">
        <f>_xlfn.CONCAT(_xlfn.XLOOKUP("[S05_InherentCarbonTransferredDetail]["&amp;ROW(B1308)-ROW($B$1219)&amp;"][TransferType]",Submission!$O:$O,Submission!$H:$N,""))</f>
        <v/>
      </c>
      <c r="D1308" s="72" t="str">
        <f>_xlfn.CONCAT(_xlfn.XLOOKUP("[S05_InherentCarbonTransferredDetail]["&amp;ROW(B1308)-ROW($B$1219)&amp;"][InstallationIdTransferring]",Submission!$O:$O,Submission!$H:$N,""))</f>
        <v/>
      </c>
      <c r="E1308" s="72" t="str">
        <f>_xlfn.CONCAT(_xlfn.XLOOKUP("[S05_InherentCarbonTransferredDetail]["&amp;ROW(B1308)-ROW($B$1219)&amp;"][InstallationIdReceiving]",Submission!$O:$O,Submission!$H:$N,""))</f>
        <v/>
      </c>
      <c r="F1308" s="124" t="str">
        <f>_xlfn.CONCAT(_xlfn.XLOOKUP("[S05_InherentCarbonTransferredDetail]["&amp;ROW(B1308)-ROW($B$1219)&amp;"][AmountCO2Transferred]",Submission!$O:$O,Submission!$H:$N,""))</f>
        <v/>
      </c>
      <c r="G1308" s="124" t="str">
        <f>_xlfn.CONCAT(_xlfn.XLOOKUP("[S05_InherentCarbonTransferredDetail]["&amp;ROW(B1308)-ROW($B$1219)&amp;"][InherentCO2Received]",Submission!$O:$O,Submission!$H:$N,""))</f>
        <v/>
      </c>
      <c r="H1308" s="71" t="str">
        <f>_xlfn.CONCAT(_xlfn.XLOOKUP("[S05_InherentCarbonTransferredDetail]["&amp;ROW(B1308)-ROW($B$1219)&amp;"][ReceivingInstallationType]",Submission!$O:$O,Submission!$H:$N,""))</f>
        <v/>
      </c>
      <c r="I1308" s="72" t="str">
        <f>_xlfn.CONCAT(_xlfn.XLOOKUP("[S05_InherentCarbonTransferredDetail]["&amp;ROW(B1308)-ROW($B$1219)&amp;"][StorageSitePermitNumber]",Submission!$O:$O,Submission!$H:$N,""))</f>
        <v/>
      </c>
      <c r="K1308" s="13"/>
      <c r="L1308" s="13"/>
    </row>
    <row r="1309" spans="1:12" s="147" customFormat="1" ht="41.4" hidden="1" customHeight="1" outlineLevel="1" x14ac:dyDescent="0.3">
      <c r="A1309" s="146"/>
      <c r="C1309" s="71" t="str">
        <f>_xlfn.CONCAT(_xlfn.XLOOKUP("[S05_InherentCarbonTransferredDetail]["&amp;ROW(B1309)-ROW($B$1219)&amp;"][TransferType]",Submission!$O:$O,Submission!$H:$N,""))</f>
        <v/>
      </c>
      <c r="D1309" s="72" t="str">
        <f>_xlfn.CONCAT(_xlfn.XLOOKUP("[S05_InherentCarbonTransferredDetail]["&amp;ROW(B1309)-ROW($B$1219)&amp;"][InstallationIdTransferring]",Submission!$O:$O,Submission!$H:$N,""))</f>
        <v/>
      </c>
      <c r="E1309" s="72" t="str">
        <f>_xlfn.CONCAT(_xlfn.XLOOKUP("[S05_InherentCarbonTransferredDetail]["&amp;ROW(B1309)-ROW($B$1219)&amp;"][InstallationIdReceiving]",Submission!$O:$O,Submission!$H:$N,""))</f>
        <v/>
      </c>
      <c r="F1309" s="124" t="str">
        <f>_xlfn.CONCAT(_xlfn.XLOOKUP("[S05_InherentCarbonTransferredDetail]["&amp;ROW(B1309)-ROW($B$1219)&amp;"][AmountCO2Transferred]",Submission!$O:$O,Submission!$H:$N,""))</f>
        <v/>
      </c>
      <c r="G1309" s="124" t="str">
        <f>_xlfn.CONCAT(_xlfn.XLOOKUP("[S05_InherentCarbonTransferredDetail]["&amp;ROW(B1309)-ROW($B$1219)&amp;"][InherentCO2Received]",Submission!$O:$O,Submission!$H:$N,""))</f>
        <v/>
      </c>
      <c r="H1309" s="71" t="str">
        <f>_xlfn.CONCAT(_xlfn.XLOOKUP("[S05_InherentCarbonTransferredDetail]["&amp;ROW(B1309)-ROW($B$1219)&amp;"][ReceivingInstallationType]",Submission!$O:$O,Submission!$H:$N,""))</f>
        <v/>
      </c>
      <c r="I1309" s="72" t="str">
        <f>_xlfn.CONCAT(_xlfn.XLOOKUP("[S05_InherentCarbonTransferredDetail]["&amp;ROW(B1309)-ROW($B$1219)&amp;"][StorageSitePermitNumber]",Submission!$O:$O,Submission!$H:$N,""))</f>
        <v/>
      </c>
      <c r="K1309" s="13"/>
      <c r="L1309" s="13"/>
    </row>
    <row r="1310" spans="1:12" s="147" customFormat="1" ht="41.4" hidden="1" customHeight="1" outlineLevel="1" x14ac:dyDescent="0.3">
      <c r="A1310" s="146"/>
      <c r="C1310" s="71" t="str">
        <f>_xlfn.CONCAT(_xlfn.XLOOKUP("[S05_InherentCarbonTransferredDetail]["&amp;ROW(B1310)-ROW($B$1219)&amp;"][TransferType]",Submission!$O:$O,Submission!$H:$N,""))</f>
        <v/>
      </c>
      <c r="D1310" s="72" t="str">
        <f>_xlfn.CONCAT(_xlfn.XLOOKUP("[S05_InherentCarbonTransferredDetail]["&amp;ROW(B1310)-ROW($B$1219)&amp;"][InstallationIdTransferring]",Submission!$O:$O,Submission!$H:$N,""))</f>
        <v/>
      </c>
      <c r="E1310" s="72" t="str">
        <f>_xlfn.CONCAT(_xlfn.XLOOKUP("[S05_InherentCarbonTransferredDetail]["&amp;ROW(B1310)-ROW($B$1219)&amp;"][InstallationIdReceiving]",Submission!$O:$O,Submission!$H:$N,""))</f>
        <v/>
      </c>
      <c r="F1310" s="124" t="str">
        <f>_xlfn.CONCAT(_xlfn.XLOOKUP("[S05_InherentCarbonTransferredDetail]["&amp;ROW(B1310)-ROW($B$1219)&amp;"][AmountCO2Transferred]",Submission!$O:$O,Submission!$H:$N,""))</f>
        <v/>
      </c>
      <c r="G1310" s="124" t="str">
        <f>_xlfn.CONCAT(_xlfn.XLOOKUP("[S05_InherentCarbonTransferredDetail]["&amp;ROW(B1310)-ROW($B$1219)&amp;"][InherentCO2Received]",Submission!$O:$O,Submission!$H:$N,""))</f>
        <v/>
      </c>
      <c r="H1310" s="71" t="str">
        <f>_xlfn.CONCAT(_xlfn.XLOOKUP("[S05_InherentCarbonTransferredDetail]["&amp;ROW(B1310)-ROW($B$1219)&amp;"][ReceivingInstallationType]",Submission!$O:$O,Submission!$H:$N,""))</f>
        <v/>
      </c>
      <c r="I1310" s="72" t="str">
        <f>_xlfn.CONCAT(_xlfn.XLOOKUP("[S05_InherentCarbonTransferredDetail]["&amp;ROW(B1310)-ROW($B$1219)&amp;"][StorageSitePermitNumber]",Submission!$O:$O,Submission!$H:$N,""))</f>
        <v/>
      </c>
      <c r="K1310" s="13"/>
      <c r="L1310" s="13"/>
    </row>
    <row r="1311" spans="1:12" s="147" customFormat="1" ht="41.4" hidden="1" customHeight="1" outlineLevel="1" x14ac:dyDescent="0.3">
      <c r="A1311" s="146"/>
      <c r="C1311" s="71" t="str">
        <f>_xlfn.CONCAT(_xlfn.XLOOKUP("[S05_InherentCarbonTransferredDetail]["&amp;ROW(B1311)-ROW($B$1219)&amp;"][TransferType]",Submission!$O:$O,Submission!$H:$N,""))</f>
        <v/>
      </c>
      <c r="D1311" s="72" t="str">
        <f>_xlfn.CONCAT(_xlfn.XLOOKUP("[S05_InherentCarbonTransferredDetail]["&amp;ROW(B1311)-ROW($B$1219)&amp;"][InstallationIdTransferring]",Submission!$O:$O,Submission!$H:$N,""))</f>
        <v/>
      </c>
      <c r="E1311" s="72" t="str">
        <f>_xlfn.CONCAT(_xlfn.XLOOKUP("[S05_InherentCarbonTransferredDetail]["&amp;ROW(B1311)-ROW($B$1219)&amp;"][InstallationIdReceiving]",Submission!$O:$O,Submission!$H:$N,""))</f>
        <v/>
      </c>
      <c r="F1311" s="124" t="str">
        <f>_xlfn.CONCAT(_xlfn.XLOOKUP("[S05_InherentCarbonTransferredDetail]["&amp;ROW(B1311)-ROW($B$1219)&amp;"][AmountCO2Transferred]",Submission!$O:$O,Submission!$H:$N,""))</f>
        <v/>
      </c>
      <c r="G1311" s="124" t="str">
        <f>_xlfn.CONCAT(_xlfn.XLOOKUP("[S05_InherentCarbonTransferredDetail]["&amp;ROW(B1311)-ROW($B$1219)&amp;"][InherentCO2Received]",Submission!$O:$O,Submission!$H:$N,""))</f>
        <v/>
      </c>
      <c r="H1311" s="71" t="str">
        <f>_xlfn.CONCAT(_xlfn.XLOOKUP("[S05_InherentCarbonTransferredDetail]["&amp;ROW(B1311)-ROW($B$1219)&amp;"][ReceivingInstallationType]",Submission!$O:$O,Submission!$H:$N,""))</f>
        <v/>
      </c>
      <c r="I1311" s="72" t="str">
        <f>_xlfn.CONCAT(_xlfn.XLOOKUP("[S05_InherentCarbonTransferredDetail]["&amp;ROW(B1311)-ROW($B$1219)&amp;"][StorageSitePermitNumber]",Submission!$O:$O,Submission!$H:$N,""))</f>
        <v/>
      </c>
      <c r="K1311" s="13"/>
      <c r="L1311" s="13"/>
    </row>
    <row r="1312" spans="1:12" s="147" customFormat="1" ht="41.4" hidden="1" customHeight="1" outlineLevel="1" x14ac:dyDescent="0.3">
      <c r="A1312" s="146"/>
      <c r="C1312" s="71" t="str">
        <f>_xlfn.CONCAT(_xlfn.XLOOKUP("[S05_InherentCarbonTransferredDetail]["&amp;ROW(B1312)-ROW($B$1219)&amp;"][TransferType]",Submission!$O:$O,Submission!$H:$N,""))</f>
        <v/>
      </c>
      <c r="D1312" s="72" t="str">
        <f>_xlfn.CONCAT(_xlfn.XLOOKUP("[S05_InherentCarbonTransferredDetail]["&amp;ROW(B1312)-ROW($B$1219)&amp;"][InstallationIdTransferring]",Submission!$O:$O,Submission!$H:$N,""))</f>
        <v/>
      </c>
      <c r="E1312" s="72" t="str">
        <f>_xlfn.CONCAT(_xlfn.XLOOKUP("[S05_InherentCarbonTransferredDetail]["&amp;ROW(B1312)-ROW($B$1219)&amp;"][InstallationIdReceiving]",Submission!$O:$O,Submission!$H:$N,""))</f>
        <v/>
      </c>
      <c r="F1312" s="124" t="str">
        <f>_xlfn.CONCAT(_xlfn.XLOOKUP("[S05_InherentCarbonTransferredDetail]["&amp;ROW(B1312)-ROW($B$1219)&amp;"][AmountCO2Transferred]",Submission!$O:$O,Submission!$H:$N,""))</f>
        <v/>
      </c>
      <c r="G1312" s="124" t="str">
        <f>_xlfn.CONCAT(_xlfn.XLOOKUP("[S05_InherentCarbonTransferredDetail]["&amp;ROW(B1312)-ROW($B$1219)&amp;"][InherentCO2Received]",Submission!$O:$O,Submission!$H:$N,""))</f>
        <v/>
      </c>
      <c r="H1312" s="71" t="str">
        <f>_xlfn.CONCAT(_xlfn.XLOOKUP("[S05_InherentCarbonTransferredDetail]["&amp;ROW(B1312)-ROW($B$1219)&amp;"][ReceivingInstallationType]",Submission!$O:$O,Submission!$H:$N,""))</f>
        <v/>
      </c>
      <c r="I1312" s="72" t="str">
        <f>_xlfn.CONCAT(_xlfn.XLOOKUP("[S05_InherentCarbonTransferredDetail]["&amp;ROW(B1312)-ROW($B$1219)&amp;"][StorageSitePermitNumber]",Submission!$O:$O,Submission!$H:$N,""))</f>
        <v/>
      </c>
      <c r="K1312" s="13"/>
      <c r="L1312" s="13"/>
    </row>
    <row r="1313" spans="1:12" s="147" customFormat="1" ht="41.4" hidden="1" customHeight="1" outlineLevel="1" x14ac:dyDescent="0.3">
      <c r="A1313" s="146"/>
      <c r="C1313" s="71" t="str">
        <f>_xlfn.CONCAT(_xlfn.XLOOKUP("[S05_InherentCarbonTransferredDetail]["&amp;ROW(B1313)-ROW($B$1219)&amp;"][TransferType]",Submission!$O:$O,Submission!$H:$N,""))</f>
        <v/>
      </c>
      <c r="D1313" s="72" t="str">
        <f>_xlfn.CONCAT(_xlfn.XLOOKUP("[S05_InherentCarbonTransferredDetail]["&amp;ROW(B1313)-ROW($B$1219)&amp;"][InstallationIdTransferring]",Submission!$O:$O,Submission!$H:$N,""))</f>
        <v/>
      </c>
      <c r="E1313" s="72" t="str">
        <f>_xlfn.CONCAT(_xlfn.XLOOKUP("[S05_InherentCarbonTransferredDetail]["&amp;ROW(B1313)-ROW($B$1219)&amp;"][InstallationIdReceiving]",Submission!$O:$O,Submission!$H:$N,""))</f>
        <v/>
      </c>
      <c r="F1313" s="124" t="str">
        <f>_xlfn.CONCAT(_xlfn.XLOOKUP("[S05_InherentCarbonTransferredDetail]["&amp;ROW(B1313)-ROW($B$1219)&amp;"][AmountCO2Transferred]",Submission!$O:$O,Submission!$H:$N,""))</f>
        <v/>
      </c>
      <c r="G1313" s="124" t="str">
        <f>_xlfn.CONCAT(_xlfn.XLOOKUP("[S05_InherentCarbonTransferredDetail]["&amp;ROW(B1313)-ROW($B$1219)&amp;"][InherentCO2Received]",Submission!$O:$O,Submission!$H:$N,""))</f>
        <v/>
      </c>
      <c r="H1313" s="71" t="str">
        <f>_xlfn.CONCAT(_xlfn.XLOOKUP("[S05_InherentCarbonTransferredDetail]["&amp;ROW(B1313)-ROW($B$1219)&amp;"][ReceivingInstallationType]",Submission!$O:$O,Submission!$H:$N,""))</f>
        <v/>
      </c>
      <c r="I1313" s="72" t="str">
        <f>_xlfn.CONCAT(_xlfn.XLOOKUP("[S05_InherentCarbonTransferredDetail]["&amp;ROW(B1313)-ROW($B$1219)&amp;"][StorageSitePermitNumber]",Submission!$O:$O,Submission!$H:$N,""))</f>
        <v/>
      </c>
      <c r="K1313" s="13"/>
      <c r="L1313" s="13"/>
    </row>
    <row r="1314" spans="1:12" s="147" customFormat="1" ht="41.4" hidden="1" customHeight="1" outlineLevel="1" x14ac:dyDescent="0.3">
      <c r="A1314" s="146"/>
      <c r="C1314" s="71" t="str">
        <f>_xlfn.CONCAT(_xlfn.XLOOKUP("[S05_InherentCarbonTransferredDetail]["&amp;ROW(B1314)-ROW($B$1219)&amp;"][TransferType]",Submission!$O:$O,Submission!$H:$N,""))</f>
        <v/>
      </c>
      <c r="D1314" s="72" t="str">
        <f>_xlfn.CONCAT(_xlfn.XLOOKUP("[S05_InherentCarbonTransferredDetail]["&amp;ROW(B1314)-ROW($B$1219)&amp;"][InstallationIdTransferring]",Submission!$O:$O,Submission!$H:$N,""))</f>
        <v/>
      </c>
      <c r="E1314" s="72" t="str">
        <f>_xlfn.CONCAT(_xlfn.XLOOKUP("[S05_InherentCarbonTransferredDetail]["&amp;ROW(B1314)-ROW($B$1219)&amp;"][InstallationIdReceiving]",Submission!$O:$O,Submission!$H:$N,""))</f>
        <v/>
      </c>
      <c r="F1314" s="124" t="str">
        <f>_xlfn.CONCAT(_xlfn.XLOOKUP("[S05_InherentCarbonTransferredDetail]["&amp;ROW(B1314)-ROW($B$1219)&amp;"][AmountCO2Transferred]",Submission!$O:$O,Submission!$H:$N,""))</f>
        <v/>
      </c>
      <c r="G1314" s="124" t="str">
        <f>_xlfn.CONCAT(_xlfn.XLOOKUP("[S05_InherentCarbonTransferredDetail]["&amp;ROW(B1314)-ROW($B$1219)&amp;"][InherentCO2Received]",Submission!$O:$O,Submission!$H:$N,""))</f>
        <v/>
      </c>
      <c r="H1314" s="71" t="str">
        <f>_xlfn.CONCAT(_xlfn.XLOOKUP("[S05_InherentCarbonTransferredDetail]["&amp;ROW(B1314)-ROW($B$1219)&amp;"][ReceivingInstallationType]",Submission!$O:$O,Submission!$H:$N,""))</f>
        <v/>
      </c>
      <c r="I1314" s="72" t="str">
        <f>_xlfn.CONCAT(_xlfn.XLOOKUP("[S05_InherentCarbonTransferredDetail]["&amp;ROW(B1314)-ROW($B$1219)&amp;"][StorageSitePermitNumber]",Submission!$O:$O,Submission!$H:$N,""))</f>
        <v/>
      </c>
      <c r="K1314" s="13"/>
      <c r="L1314" s="13"/>
    </row>
    <row r="1315" spans="1:12" s="147" customFormat="1" ht="41.4" hidden="1" customHeight="1" outlineLevel="1" x14ac:dyDescent="0.3">
      <c r="A1315" s="146"/>
      <c r="C1315" s="71" t="str">
        <f>_xlfn.CONCAT(_xlfn.XLOOKUP("[S05_InherentCarbonTransferredDetail]["&amp;ROW(B1315)-ROW($B$1219)&amp;"][TransferType]",Submission!$O:$O,Submission!$H:$N,""))</f>
        <v/>
      </c>
      <c r="D1315" s="72" t="str">
        <f>_xlfn.CONCAT(_xlfn.XLOOKUP("[S05_InherentCarbonTransferredDetail]["&amp;ROW(B1315)-ROW($B$1219)&amp;"][InstallationIdTransferring]",Submission!$O:$O,Submission!$H:$N,""))</f>
        <v/>
      </c>
      <c r="E1315" s="72" t="str">
        <f>_xlfn.CONCAT(_xlfn.XLOOKUP("[S05_InherentCarbonTransferredDetail]["&amp;ROW(B1315)-ROW($B$1219)&amp;"][InstallationIdReceiving]",Submission!$O:$O,Submission!$H:$N,""))</f>
        <v/>
      </c>
      <c r="F1315" s="124" t="str">
        <f>_xlfn.CONCAT(_xlfn.XLOOKUP("[S05_InherentCarbonTransferredDetail]["&amp;ROW(B1315)-ROW($B$1219)&amp;"][AmountCO2Transferred]",Submission!$O:$O,Submission!$H:$N,""))</f>
        <v/>
      </c>
      <c r="G1315" s="124" t="str">
        <f>_xlfn.CONCAT(_xlfn.XLOOKUP("[S05_InherentCarbonTransferredDetail]["&amp;ROW(B1315)-ROW($B$1219)&amp;"][InherentCO2Received]",Submission!$O:$O,Submission!$H:$N,""))</f>
        <v/>
      </c>
      <c r="H1315" s="71" t="str">
        <f>_xlfn.CONCAT(_xlfn.XLOOKUP("[S05_InherentCarbonTransferredDetail]["&amp;ROW(B1315)-ROW($B$1219)&amp;"][ReceivingInstallationType]",Submission!$O:$O,Submission!$H:$N,""))</f>
        <v/>
      </c>
      <c r="I1315" s="72" t="str">
        <f>_xlfn.CONCAT(_xlfn.XLOOKUP("[S05_InherentCarbonTransferredDetail]["&amp;ROW(B1315)-ROW($B$1219)&amp;"][StorageSitePermitNumber]",Submission!$O:$O,Submission!$H:$N,""))</f>
        <v/>
      </c>
      <c r="K1315" s="13"/>
      <c r="L1315" s="13"/>
    </row>
    <row r="1316" spans="1:12" s="147" customFormat="1" ht="41.4" hidden="1" customHeight="1" outlineLevel="1" x14ac:dyDescent="0.3">
      <c r="A1316" s="146"/>
      <c r="C1316" s="71" t="str">
        <f>_xlfn.CONCAT(_xlfn.XLOOKUP("[S05_InherentCarbonTransferredDetail]["&amp;ROW(B1316)-ROW($B$1219)&amp;"][TransferType]",Submission!$O:$O,Submission!$H:$N,""))</f>
        <v/>
      </c>
      <c r="D1316" s="72" t="str">
        <f>_xlfn.CONCAT(_xlfn.XLOOKUP("[S05_InherentCarbonTransferredDetail]["&amp;ROW(B1316)-ROW($B$1219)&amp;"][InstallationIdTransferring]",Submission!$O:$O,Submission!$H:$N,""))</f>
        <v/>
      </c>
      <c r="E1316" s="72" t="str">
        <f>_xlfn.CONCAT(_xlfn.XLOOKUP("[S05_InherentCarbonTransferredDetail]["&amp;ROW(B1316)-ROW($B$1219)&amp;"][InstallationIdReceiving]",Submission!$O:$O,Submission!$H:$N,""))</f>
        <v/>
      </c>
      <c r="F1316" s="124" t="str">
        <f>_xlfn.CONCAT(_xlfn.XLOOKUP("[S05_InherentCarbonTransferredDetail]["&amp;ROW(B1316)-ROW($B$1219)&amp;"][AmountCO2Transferred]",Submission!$O:$O,Submission!$H:$N,""))</f>
        <v/>
      </c>
      <c r="G1316" s="124" t="str">
        <f>_xlfn.CONCAT(_xlfn.XLOOKUP("[S05_InherentCarbonTransferredDetail]["&amp;ROW(B1316)-ROW($B$1219)&amp;"][InherentCO2Received]",Submission!$O:$O,Submission!$H:$N,""))</f>
        <v/>
      </c>
      <c r="H1316" s="71" t="str">
        <f>_xlfn.CONCAT(_xlfn.XLOOKUP("[S05_InherentCarbonTransferredDetail]["&amp;ROW(B1316)-ROW($B$1219)&amp;"][ReceivingInstallationType]",Submission!$O:$O,Submission!$H:$N,""))</f>
        <v/>
      </c>
      <c r="I1316" s="72" t="str">
        <f>_xlfn.CONCAT(_xlfn.XLOOKUP("[S05_InherentCarbonTransferredDetail]["&amp;ROW(B1316)-ROW($B$1219)&amp;"][StorageSitePermitNumber]",Submission!$O:$O,Submission!$H:$N,""))</f>
        <v/>
      </c>
      <c r="K1316" s="13"/>
      <c r="L1316" s="13"/>
    </row>
    <row r="1317" spans="1:12" ht="15.9" customHeight="1" collapsed="1" x14ac:dyDescent="0.3">
      <c r="B1317" s="26" t="s">
        <v>2</v>
      </c>
      <c r="C1317" s="19"/>
      <c r="D1317" s="20"/>
      <c r="E1317" s="20"/>
      <c r="F1317" s="20"/>
      <c r="G1317" s="20"/>
      <c r="H1317" s="20"/>
      <c r="I1317" s="20"/>
    </row>
    <row r="1318" spans="1:12" ht="15" customHeight="1" x14ac:dyDescent="0.3">
      <c r="B1318" s="16"/>
      <c r="C1318" s="367" t="s">
        <v>904</v>
      </c>
      <c r="D1318" s="380"/>
      <c r="E1318" s="380"/>
      <c r="F1318" s="380"/>
      <c r="G1318" s="380"/>
      <c r="H1318" s="380"/>
      <c r="I1318" s="380"/>
    </row>
    <row r="1319" spans="1:12" ht="15.9" customHeight="1" x14ac:dyDescent="0.3">
      <c r="B1319" s="16"/>
      <c r="C1319" s="248" t="s">
        <v>905</v>
      </c>
      <c r="D1319" s="249"/>
      <c r="E1319" s="249"/>
      <c r="F1319" s="249"/>
      <c r="G1319" s="249"/>
      <c r="H1319" s="249"/>
      <c r="I1319" s="249"/>
    </row>
    <row r="1320" spans="1:12" ht="28.2" customHeight="1" x14ac:dyDescent="0.3">
      <c r="B1320" s="16"/>
      <c r="C1320" s="248" t="s">
        <v>906</v>
      </c>
      <c r="D1320" s="386"/>
      <c r="E1320" s="386"/>
      <c r="F1320" s="386"/>
      <c r="G1320" s="386"/>
      <c r="H1320" s="386"/>
      <c r="I1320" s="386"/>
    </row>
    <row r="1321" spans="1:12" ht="29.4" customHeight="1" x14ac:dyDescent="0.3">
      <c r="B1321" s="16"/>
      <c r="C1321" s="248" t="s">
        <v>907</v>
      </c>
      <c r="D1321" s="386"/>
      <c r="E1321" s="386"/>
      <c r="F1321" s="386"/>
      <c r="G1321" s="386"/>
      <c r="H1321" s="386"/>
      <c r="I1321" s="386"/>
    </row>
    <row r="1322" spans="1:12" ht="28.2" customHeight="1" x14ac:dyDescent="0.3">
      <c r="B1322" s="16"/>
      <c r="C1322" s="248" t="s">
        <v>908</v>
      </c>
      <c r="D1322" s="248"/>
      <c r="E1322" s="248"/>
      <c r="F1322" s="248"/>
      <c r="G1322" s="248"/>
      <c r="H1322" s="248"/>
      <c r="I1322" s="248"/>
    </row>
    <row r="1323" spans="1:12" ht="15.9" customHeight="1" x14ac:dyDescent="0.3"/>
    <row r="1324" spans="1:12" ht="31.95" customHeight="1" x14ac:dyDescent="0.3">
      <c r="A1324" s="12" t="s">
        <v>283</v>
      </c>
      <c r="B1324" s="293" t="s">
        <v>909</v>
      </c>
      <c r="C1324" s="294"/>
      <c r="D1324" s="294"/>
      <c r="E1324" s="294"/>
      <c r="F1324" s="294"/>
      <c r="G1324" s="294"/>
      <c r="H1324" s="295"/>
      <c r="I1324" s="41" t="str">
        <f>_xlfn.CONCAT(_xlfn.XLOOKUP("[ContinuousEmissionsMeasurement][0][ContinuousEmissionsMeasurement]",Submission!$O:$O,Submission!$H:$N,""))</f>
        <v>Yes</v>
      </c>
    </row>
    <row r="1325" spans="1:12" s="58" customFormat="1" ht="36" customHeight="1" x14ac:dyDescent="0.3">
      <c r="A1325" s="57"/>
      <c r="B1325" s="273" t="s">
        <v>910</v>
      </c>
      <c r="C1325" s="258"/>
      <c r="D1325" s="258"/>
      <c r="E1325" s="258"/>
      <c r="F1325" s="258"/>
      <c r="G1325" s="258"/>
      <c r="H1325" s="258"/>
      <c r="I1325" s="258"/>
    </row>
    <row r="1326" spans="1:12" ht="46.95" customHeight="1" x14ac:dyDescent="0.3">
      <c r="B1326" s="23"/>
      <c r="C1326" s="315" t="s">
        <v>911</v>
      </c>
      <c r="D1326" s="336"/>
      <c r="E1326" s="315" t="s">
        <v>912</v>
      </c>
      <c r="F1326" s="336"/>
      <c r="G1326" s="46" t="s">
        <v>913</v>
      </c>
      <c r="H1326" s="46" t="s">
        <v>914</v>
      </c>
      <c r="I1326" s="46" t="s">
        <v>915</v>
      </c>
    </row>
    <row r="1327" spans="1:12" ht="15.9" customHeight="1" x14ac:dyDescent="0.3">
      <c r="A1327" s="13"/>
      <c r="B1327" s="23"/>
      <c r="C1327" s="284" t="str">
        <f>_xlfn.CONCAT(_xlfn.XLOOKUP("[S05_ContinuousEmissionsMeasurementDetail][1][InstallationIDCO2]",Submission!$O:$O,Submission!$H:$N,""))</f>
        <v>/</v>
      </c>
      <c r="D1327" s="285"/>
      <c r="E1327" s="284" t="str">
        <f>_xlfn.CONCAT(_xlfn.XLOOKUP("[S05_ContinuousEmissionsMeasurementDetail][1][InstallationIDN2O]",Submission!$O:$O,Submission!$H:$N,""))</f>
        <v>204107</v>
      </c>
      <c r="F1327" s="285"/>
      <c r="G1327" s="127" t="str">
        <f>_xlfn.CONCAT(_xlfn.XLOOKUP("[S05_ContinuousEmissionsMeasurementDetail][1][TotalEmissionsCO2E]",Submission!$O:$O,Submission!$H:$N,""))</f>
        <v>832650</v>
      </c>
      <c r="H1327" s="127" t="str">
        <f>_xlfn.CONCAT(_xlfn.XLOOKUP("[S05_ContinuousEmissionsMeasurementDetail][1][ContinuousMeasurementTotalEmissions]",Submission!$O:$O,Submission!$H:$N,""))</f>
        <v>36275</v>
      </c>
      <c r="I1327" s="72" t="str">
        <f>_xlfn.CONCAT(_xlfn.XLOOKUP("[S05_ContinuousEmissionsMeasurementDetail][1][FlueGasContainBiomass]",Submission!$O:$O,Submission!$H:$N,""))</f>
        <v>No</v>
      </c>
    </row>
    <row r="1328" spans="1:12" ht="15.9" customHeight="1" x14ac:dyDescent="0.3">
      <c r="A1328" s="13"/>
      <c r="B1328" s="23"/>
      <c r="C1328" s="284" t="str">
        <f>_xlfn.CONCAT(_xlfn.XLOOKUP("[S05_ContinuousEmissionsMeasurementDetail][2][InstallationIDCO2]",Submission!$O:$O,Submission!$H:$N,""))</f>
        <v/>
      </c>
      <c r="D1328" s="285"/>
      <c r="E1328" s="284" t="str">
        <f>_xlfn.CONCAT(_xlfn.XLOOKUP("[S05_ContinuousEmissionsMeasurementDetail][2][InstallationIDN2O]",Submission!$O:$O,Submission!$H:$N,""))</f>
        <v/>
      </c>
      <c r="F1328" s="285"/>
      <c r="G1328" s="127" t="str">
        <f>_xlfn.CONCAT(_xlfn.XLOOKUP("[S05_ContinuousEmissionsMeasurementDetail][2][TotalEmissionsCO2E]",Submission!$O:$O,Submission!$H:$N,""))</f>
        <v/>
      </c>
      <c r="H1328" s="127" t="str">
        <f>_xlfn.CONCAT(_xlfn.XLOOKUP("[S05_ContinuousEmissionsMeasurementDetail][2][ContinuousMeasurementTotalEmissions]",Submission!$O:$O,Submission!$H:$N,""))</f>
        <v/>
      </c>
      <c r="I1328" s="72" t="str">
        <f>_xlfn.CONCAT(_xlfn.XLOOKUP("[S05_ContinuousEmissionsMeasurementDetail][2][FlueGasContainBiomass]",Submission!$O:$O,Submission!$H:$N,""))</f>
        <v/>
      </c>
    </row>
    <row r="1329" spans="1:9" ht="15.9" customHeight="1" x14ac:dyDescent="0.3">
      <c r="A1329" s="13"/>
      <c r="B1329" s="23"/>
      <c r="C1329" s="284" t="str">
        <f>_xlfn.CONCAT(_xlfn.XLOOKUP("[S05_ContinuousEmissionsMeasurementDetail][3][InstallationIDCO2]",Submission!$O:$O,Submission!$H:$N,""))</f>
        <v/>
      </c>
      <c r="D1329" s="285"/>
      <c r="E1329" s="284" t="str">
        <f>_xlfn.CONCAT(_xlfn.XLOOKUP("[S05_ContinuousEmissionsMeasurementDetail][3][InstallationIDN2O]",Submission!$O:$O,Submission!$H:$N,""))</f>
        <v/>
      </c>
      <c r="F1329" s="285"/>
      <c r="G1329" s="127" t="str">
        <f>_xlfn.CONCAT(_xlfn.XLOOKUP("[S05_ContinuousEmissionsMeasurementDetail][3][TotalEmissionsCO2E]",Submission!$O:$O,Submission!$H:$N,""))</f>
        <v/>
      </c>
      <c r="H1329" s="127" t="str">
        <f>_xlfn.CONCAT(_xlfn.XLOOKUP("[S05_ContinuousEmissionsMeasurementDetail][3][ContinuousMeasurementTotalEmissions]",Submission!$O:$O,Submission!$H:$N,""))</f>
        <v/>
      </c>
      <c r="I1329" s="72" t="str">
        <f>_xlfn.CONCAT(_xlfn.XLOOKUP("[S05_ContinuousEmissionsMeasurementDetail][3][FlueGasContainBiomass]",Submission!$O:$O,Submission!$H:$N,""))</f>
        <v/>
      </c>
    </row>
    <row r="1330" spans="1:9" ht="15.9" customHeight="1" x14ac:dyDescent="0.3">
      <c r="A1330" s="13"/>
      <c r="B1330" s="23"/>
      <c r="C1330" s="284" t="str">
        <f>_xlfn.CONCAT(_xlfn.XLOOKUP("[S05_ContinuousEmissionsMeasurementDetail][4][InstallationIDCO2]",Submission!$O:$O,Submission!$H:$N,""))</f>
        <v/>
      </c>
      <c r="D1330" s="285"/>
      <c r="E1330" s="284" t="str">
        <f>_xlfn.CONCAT(_xlfn.XLOOKUP("[S05_ContinuousEmissionsMeasurementDetail][4][InstallationIDN2O]",Submission!$O:$O,Submission!$H:$N,""))</f>
        <v/>
      </c>
      <c r="F1330" s="285"/>
      <c r="G1330" s="127" t="str">
        <f>_xlfn.CONCAT(_xlfn.XLOOKUP("[S05_ContinuousEmissionsMeasurementDetail][4][TotalEmissionsCO2E]",Submission!$O:$O,Submission!$H:$N,""))</f>
        <v/>
      </c>
      <c r="H1330" s="127" t="str">
        <f>_xlfn.CONCAT(_xlfn.XLOOKUP("[S05_ContinuousEmissionsMeasurementDetail][4][ContinuousMeasurementTotalEmissions]",Submission!$O:$O,Submission!$H:$N,""))</f>
        <v/>
      </c>
      <c r="I1330" s="72" t="str">
        <f>_xlfn.CONCAT(_xlfn.XLOOKUP("[S05_ContinuousEmissionsMeasurementDetail][4][FlueGasContainBiomass]",Submission!$O:$O,Submission!$H:$N,""))</f>
        <v/>
      </c>
    </row>
    <row r="1331" spans="1:9" ht="15.9" customHeight="1" x14ac:dyDescent="0.3">
      <c r="A1331" s="13"/>
      <c r="B1331" s="23"/>
      <c r="C1331" s="284" t="str">
        <f>_xlfn.CONCAT(_xlfn.XLOOKUP("[S05_ContinuousEmissionsMeasurementDetail][5][InstallationIDCO2]",Submission!$O:$O,Submission!$H:$N,""))</f>
        <v/>
      </c>
      <c r="D1331" s="285"/>
      <c r="E1331" s="284" t="str">
        <f>_xlfn.CONCAT(_xlfn.XLOOKUP("[S05_ContinuousEmissionsMeasurementDetail][5][InstallationIDN2O]",Submission!$O:$O,Submission!$H:$N,""))</f>
        <v/>
      </c>
      <c r="F1331" s="285"/>
      <c r="G1331" s="127" t="str">
        <f>_xlfn.CONCAT(_xlfn.XLOOKUP("[S05_ContinuousEmissionsMeasurementDetail][5][TotalEmissionsCO2E]",Submission!$O:$O,Submission!$H:$N,""))</f>
        <v/>
      </c>
      <c r="H1331" s="127" t="str">
        <f>_xlfn.CONCAT(_xlfn.XLOOKUP("[S05_ContinuousEmissionsMeasurementDetail][5][ContinuousMeasurementTotalEmissions]",Submission!$O:$O,Submission!$H:$N,""))</f>
        <v/>
      </c>
      <c r="I1331" s="72" t="str">
        <f>_xlfn.CONCAT(_xlfn.XLOOKUP("[S05_ContinuousEmissionsMeasurementDetail][5][FlueGasContainBiomass]",Submission!$O:$O,Submission!$H:$N,""))</f>
        <v/>
      </c>
    </row>
    <row r="1332" spans="1:9" ht="15.9" customHeight="1" x14ac:dyDescent="0.3">
      <c r="A1332" s="13"/>
      <c r="B1332" s="23"/>
      <c r="C1332" s="284" t="str">
        <f>_xlfn.CONCAT(_xlfn.XLOOKUP("[S05_ContinuousEmissionsMeasurementDetail][6][InstallationIDCO2]",Submission!$O:$O,Submission!$H:$N,""))</f>
        <v/>
      </c>
      <c r="D1332" s="285"/>
      <c r="E1332" s="284" t="str">
        <f>_xlfn.CONCAT(_xlfn.XLOOKUP("[S05_ContinuousEmissionsMeasurementDetail][6][InstallationIDN2O]",Submission!$O:$O,Submission!$H:$N,""))</f>
        <v/>
      </c>
      <c r="F1332" s="285"/>
      <c r="G1332" s="127" t="str">
        <f>_xlfn.CONCAT(_xlfn.XLOOKUP("[S05_ContinuousEmissionsMeasurementDetail][6][TotalEmissionsCO2E]",Submission!$O:$O,Submission!$H:$N,""))</f>
        <v/>
      </c>
      <c r="H1332" s="127" t="str">
        <f>_xlfn.CONCAT(_xlfn.XLOOKUP("[S05_ContinuousEmissionsMeasurementDetail][6][ContinuousMeasurementTotalEmissions]",Submission!$O:$O,Submission!$H:$N,""))</f>
        <v/>
      </c>
      <c r="I1332" s="72" t="str">
        <f>_xlfn.CONCAT(_xlfn.XLOOKUP("[S05_ContinuousEmissionsMeasurementDetail][6][FlueGasContainBiomass]",Submission!$O:$O,Submission!$H:$N,""))</f>
        <v/>
      </c>
    </row>
    <row r="1333" spans="1:9" ht="15.9" customHeight="1" x14ac:dyDescent="0.3">
      <c r="A1333" s="13"/>
      <c r="B1333" s="23"/>
      <c r="C1333" s="284" t="str">
        <f>_xlfn.CONCAT(_xlfn.XLOOKUP("[S05_ContinuousEmissionsMeasurementDetail][7][InstallationIDCO2]",Submission!$O:$O,Submission!$H:$N,""))</f>
        <v/>
      </c>
      <c r="D1333" s="285"/>
      <c r="E1333" s="284" t="str">
        <f>_xlfn.CONCAT(_xlfn.XLOOKUP("[S05_ContinuousEmissionsMeasurementDetail][7][InstallationIDN2O]",Submission!$O:$O,Submission!$H:$N,""))</f>
        <v/>
      </c>
      <c r="F1333" s="285"/>
      <c r="G1333" s="127" t="str">
        <f>_xlfn.CONCAT(_xlfn.XLOOKUP("[S05_ContinuousEmissionsMeasurementDetail][7][TotalEmissionsCO2E]",Submission!$O:$O,Submission!$H:$N,""))</f>
        <v/>
      </c>
      <c r="H1333" s="127" t="str">
        <f>_xlfn.CONCAT(_xlfn.XLOOKUP("[S05_ContinuousEmissionsMeasurementDetail][7][ContinuousMeasurementTotalEmissions]",Submission!$O:$O,Submission!$H:$N,""))</f>
        <v/>
      </c>
      <c r="I1333" s="72" t="str">
        <f>_xlfn.CONCAT(_xlfn.XLOOKUP("[S05_ContinuousEmissionsMeasurementDetail][7][FlueGasContainBiomass]",Submission!$O:$O,Submission!$H:$N,""))</f>
        <v/>
      </c>
    </row>
    <row r="1334" spans="1:9" ht="15.9" customHeight="1" x14ac:dyDescent="0.3">
      <c r="A1334" s="13"/>
      <c r="B1334" s="23"/>
      <c r="C1334" s="284" t="str">
        <f>_xlfn.CONCAT(_xlfn.XLOOKUP("[S05_ContinuousEmissionsMeasurementDetail][8][InstallationIDCO2]",Submission!$O:$O,Submission!$H:$N,""))</f>
        <v/>
      </c>
      <c r="D1334" s="285"/>
      <c r="E1334" s="284" t="str">
        <f>_xlfn.CONCAT(_xlfn.XLOOKUP("[S05_ContinuousEmissionsMeasurementDetail][8][InstallationIDN2O]",Submission!$O:$O,Submission!$H:$N,""))</f>
        <v/>
      </c>
      <c r="F1334" s="285"/>
      <c r="G1334" s="127" t="str">
        <f>_xlfn.CONCAT(_xlfn.XLOOKUP("[S05_ContinuousEmissionsMeasurementDetail][8][TotalEmissionsCO2E]",Submission!$O:$O,Submission!$H:$N,""))</f>
        <v/>
      </c>
      <c r="H1334" s="127" t="str">
        <f>_xlfn.CONCAT(_xlfn.XLOOKUP("[S05_ContinuousEmissionsMeasurementDetail][8][ContinuousMeasurementTotalEmissions]",Submission!$O:$O,Submission!$H:$N,""))</f>
        <v/>
      </c>
      <c r="I1334" s="72" t="str">
        <f>_xlfn.CONCAT(_xlfn.XLOOKUP("[S05_ContinuousEmissionsMeasurementDetail][8][FlueGasContainBiomass]",Submission!$O:$O,Submission!$H:$N,""))</f>
        <v/>
      </c>
    </row>
    <row r="1335" spans="1:9" ht="15.9" hidden="1" customHeight="1" outlineLevel="1" x14ac:dyDescent="0.3">
      <c r="A1335" s="13"/>
      <c r="B1335" s="23"/>
      <c r="C1335" s="284" t="str">
        <f>_xlfn.CONCAT(_xlfn.XLOOKUP("[S05_ContinuousEmissionsMeasurementDetail][9][InstallationIDCO2]",Submission!$O:$O,Submission!$H:$N,""))</f>
        <v/>
      </c>
      <c r="D1335" s="285"/>
      <c r="E1335" s="284" t="str">
        <f>_xlfn.CONCAT(_xlfn.XLOOKUP("[S05_ContinuousEmissionsMeasurementDetail][9][InstallationIDN2O]",Submission!$O:$O,Submission!$H:$N,""))</f>
        <v/>
      </c>
      <c r="F1335" s="285"/>
      <c r="G1335" s="127" t="str">
        <f>_xlfn.CONCAT(_xlfn.XLOOKUP("[S05_ContinuousEmissionsMeasurementDetail][9][TotalEmissionsCO2E]",Submission!$O:$O,Submission!$H:$N,""))</f>
        <v/>
      </c>
      <c r="H1335" s="127" t="str">
        <f>_xlfn.CONCAT(_xlfn.XLOOKUP("[S05_ContinuousEmissionsMeasurementDetail][9][ContinuousMeasurementTotalEmissions]",Submission!$O:$O,Submission!$H:$N,""))</f>
        <v/>
      </c>
      <c r="I1335" s="72" t="str">
        <f>_xlfn.CONCAT(_xlfn.XLOOKUP("[S05_ContinuousEmissionsMeasurementDetail][9][FlueGasContainBiomass]",Submission!$O:$O,Submission!$H:$N,""))</f>
        <v/>
      </c>
    </row>
    <row r="1336" spans="1:9" ht="15.9" hidden="1" customHeight="1" outlineLevel="1" x14ac:dyDescent="0.3">
      <c r="A1336" s="13"/>
      <c r="B1336" s="23"/>
      <c r="C1336" s="284" t="str">
        <f>_xlfn.CONCAT(_xlfn.XLOOKUP("[S05_ContinuousEmissionsMeasurementDetail][10][InstallationIDCO2]",Submission!$O:$O,Submission!$H:$N,""))</f>
        <v/>
      </c>
      <c r="D1336" s="285"/>
      <c r="E1336" s="284" t="str">
        <f>_xlfn.CONCAT(_xlfn.XLOOKUP("[S05_ContinuousEmissionsMeasurementDetail][10][InstallationIDN2O]",Submission!$O:$O,Submission!$H:$N,""))</f>
        <v/>
      </c>
      <c r="F1336" s="285"/>
      <c r="G1336" s="127" t="str">
        <f>_xlfn.CONCAT(_xlfn.XLOOKUP("[S05_ContinuousEmissionsMeasurementDetail][10][TotalEmissionsCO2E]",Submission!$O:$O,Submission!$H:$N,""))</f>
        <v/>
      </c>
      <c r="H1336" s="127" t="str">
        <f>_xlfn.CONCAT(_xlfn.XLOOKUP("[S05_ContinuousEmissionsMeasurementDetail][10][ContinuousMeasurementTotalEmissions]",Submission!$O:$O,Submission!$H:$N,""))</f>
        <v/>
      </c>
      <c r="I1336" s="72" t="str">
        <f>_xlfn.CONCAT(_xlfn.XLOOKUP("[S05_ContinuousEmissionsMeasurementDetail][10][FlueGasContainBiomass]",Submission!$O:$O,Submission!$H:$N,""))</f>
        <v/>
      </c>
    </row>
    <row r="1337" spans="1:9" ht="15.9" hidden="1" customHeight="1" outlineLevel="1" x14ac:dyDescent="0.3">
      <c r="A1337" s="13"/>
      <c r="B1337" s="23"/>
      <c r="C1337" s="284" t="str">
        <f>_xlfn.CONCAT(_xlfn.XLOOKUP("[S05_ContinuousEmissionsMeasurementDetail][11][InstallationIDCO2]",Submission!$O:$O,Submission!$H:$N,""))</f>
        <v/>
      </c>
      <c r="D1337" s="285"/>
      <c r="E1337" s="284" t="str">
        <f>_xlfn.CONCAT(_xlfn.XLOOKUP("[S05_ContinuousEmissionsMeasurementDetail][11][InstallationIDN2O]",Submission!$O:$O,Submission!$H:$N,""))</f>
        <v/>
      </c>
      <c r="F1337" s="285"/>
      <c r="G1337" s="127" t="str">
        <f>_xlfn.CONCAT(_xlfn.XLOOKUP("[S05_ContinuousEmissionsMeasurementDetail][11][TotalEmissionsCO2E]",Submission!$O:$O,Submission!$H:$N,""))</f>
        <v/>
      </c>
      <c r="H1337" s="127" t="str">
        <f>_xlfn.CONCAT(_xlfn.XLOOKUP("[S05_ContinuousEmissionsMeasurementDetail][11][ContinuousMeasurementTotalEmissions]",Submission!$O:$O,Submission!$H:$N,""))</f>
        <v/>
      </c>
      <c r="I1337" s="72" t="str">
        <f>_xlfn.CONCAT(_xlfn.XLOOKUP("[S05_ContinuousEmissionsMeasurementDetail][11][FlueGasContainBiomass]",Submission!$O:$O,Submission!$H:$N,""))</f>
        <v/>
      </c>
    </row>
    <row r="1338" spans="1:9" ht="15.9" hidden="1" customHeight="1" outlineLevel="1" x14ac:dyDescent="0.3">
      <c r="A1338" s="13"/>
      <c r="B1338" s="23"/>
      <c r="C1338" s="284" t="str">
        <f>_xlfn.CONCAT(_xlfn.XLOOKUP("[S05_ContinuousEmissionsMeasurementDetail][12][InstallationIDCO2]",Submission!$O:$O,Submission!$H:$N,""))</f>
        <v/>
      </c>
      <c r="D1338" s="285"/>
      <c r="E1338" s="284" t="str">
        <f>_xlfn.CONCAT(_xlfn.XLOOKUP("[S05_ContinuousEmissionsMeasurementDetail][12][InstallationIDN2O]",Submission!$O:$O,Submission!$H:$N,""))</f>
        <v/>
      </c>
      <c r="F1338" s="285"/>
      <c r="G1338" s="127" t="str">
        <f>_xlfn.CONCAT(_xlfn.XLOOKUP("[S05_ContinuousEmissionsMeasurementDetail][12][TotalEmissionsCO2E]",Submission!$O:$O,Submission!$H:$N,""))</f>
        <v/>
      </c>
      <c r="H1338" s="127" t="str">
        <f>_xlfn.CONCAT(_xlfn.XLOOKUP("[S05_ContinuousEmissionsMeasurementDetail][12][ContinuousMeasurementTotalEmissions]",Submission!$O:$O,Submission!$H:$N,""))</f>
        <v/>
      </c>
      <c r="I1338" s="72" t="str">
        <f>_xlfn.CONCAT(_xlfn.XLOOKUP("[S05_ContinuousEmissionsMeasurementDetail][12][FlueGasContainBiomass]",Submission!$O:$O,Submission!$H:$N,""))</f>
        <v/>
      </c>
    </row>
    <row r="1339" spans="1:9" ht="15.9" hidden="1" customHeight="1" outlineLevel="1" x14ac:dyDescent="0.3">
      <c r="A1339" s="13"/>
      <c r="B1339" s="23"/>
      <c r="C1339" s="284" t="str">
        <f>_xlfn.CONCAT(_xlfn.XLOOKUP("[S05_ContinuousEmissionsMeasurementDetail][13][InstallationIDCO2]",Submission!$O:$O,Submission!$H:$N,""))</f>
        <v/>
      </c>
      <c r="D1339" s="285"/>
      <c r="E1339" s="284" t="str">
        <f>_xlfn.CONCAT(_xlfn.XLOOKUP("[S05_ContinuousEmissionsMeasurementDetail][13][InstallationIDN2O]",Submission!$O:$O,Submission!$H:$N,""))</f>
        <v/>
      </c>
      <c r="F1339" s="285"/>
      <c r="G1339" s="127" t="str">
        <f>_xlfn.CONCAT(_xlfn.XLOOKUP("[S05_ContinuousEmissionsMeasurementDetail][13][TotalEmissionsCO2E]",Submission!$O:$O,Submission!$H:$N,""))</f>
        <v/>
      </c>
      <c r="H1339" s="127" t="str">
        <f>_xlfn.CONCAT(_xlfn.XLOOKUP("[S05_ContinuousEmissionsMeasurementDetail][13][ContinuousMeasurementTotalEmissions]",Submission!$O:$O,Submission!$H:$N,""))</f>
        <v/>
      </c>
      <c r="I1339" s="72" t="str">
        <f>_xlfn.CONCAT(_xlfn.XLOOKUP("[S05_ContinuousEmissionsMeasurementDetail][13][FlueGasContainBiomass]",Submission!$O:$O,Submission!$H:$N,""))</f>
        <v/>
      </c>
    </row>
    <row r="1340" spans="1:9" ht="15.9" hidden="1" customHeight="1" outlineLevel="1" x14ac:dyDescent="0.3">
      <c r="A1340" s="13"/>
      <c r="B1340" s="23"/>
      <c r="C1340" s="284" t="str">
        <f>_xlfn.CONCAT(_xlfn.XLOOKUP("[S05_ContinuousEmissionsMeasurementDetail][14][InstallationIDCO2]",Submission!$O:$O,Submission!$H:$N,""))</f>
        <v/>
      </c>
      <c r="D1340" s="285"/>
      <c r="E1340" s="284" t="str">
        <f>_xlfn.CONCAT(_xlfn.XLOOKUP("[S05_ContinuousEmissionsMeasurementDetail][14][InstallationIDN2O]",Submission!$O:$O,Submission!$H:$N,""))</f>
        <v/>
      </c>
      <c r="F1340" s="285"/>
      <c r="G1340" s="127" t="str">
        <f>_xlfn.CONCAT(_xlfn.XLOOKUP("[S05_ContinuousEmissionsMeasurementDetail][14][TotalEmissionsCO2E]",Submission!$O:$O,Submission!$H:$N,""))</f>
        <v/>
      </c>
      <c r="H1340" s="127" t="str">
        <f>_xlfn.CONCAT(_xlfn.XLOOKUP("[S05_ContinuousEmissionsMeasurementDetail][14][ContinuousMeasurementTotalEmissions]",Submission!$O:$O,Submission!$H:$N,""))</f>
        <v/>
      </c>
      <c r="I1340" s="72" t="str">
        <f>_xlfn.CONCAT(_xlfn.XLOOKUP("[S05_ContinuousEmissionsMeasurementDetail][14][FlueGasContainBiomass]",Submission!$O:$O,Submission!$H:$N,""))</f>
        <v/>
      </c>
    </row>
    <row r="1341" spans="1:9" ht="15.9" hidden="1" customHeight="1" outlineLevel="1" x14ac:dyDescent="0.3">
      <c r="A1341" s="13"/>
      <c r="B1341" s="23"/>
      <c r="C1341" s="284" t="str">
        <f>_xlfn.CONCAT(_xlfn.XLOOKUP("[S05_ContinuousEmissionsMeasurementDetail][15][InstallationIDCO2]",Submission!$O:$O,Submission!$H:$N,""))</f>
        <v/>
      </c>
      <c r="D1341" s="285"/>
      <c r="E1341" s="284" t="str">
        <f>_xlfn.CONCAT(_xlfn.XLOOKUP("[S05_ContinuousEmissionsMeasurementDetail][15][InstallationIDN2O]",Submission!$O:$O,Submission!$H:$N,""))</f>
        <v/>
      </c>
      <c r="F1341" s="285"/>
      <c r="G1341" s="127" t="str">
        <f>_xlfn.CONCAT(_xlfn.XLOOKUP("[S05_ContinuousEmissionsMeasurementDetail][15][TotalEmissionsCO2E]",Submission!$O:$O,Submission!$H:$N,""))</f>
        <v/>
      </c>
      <c r="H1341" s="127" t="str">
        <f>_xlfn.CONCAT(_xlfn.XLOOKUP("[S05_ContinuousEmissionsMeasurementDetail][15][ContinuousMeasurementTotalEmissions]",Submission!$O:$O,Submission!$H:$N,""))</f>
        <v/>
      </c>
      <c r="I1341" s="72" t="str">
        <f>_xlfn.CONCAT(_xlfn.XLOOKUP("[S05_ContinuousEmissionsMeasurementDetail][15][FlueGasContainBiomass]",Submission!$O:$O,Submission!$H:$N,""))</f>
        <v/>
      </c>
    </row>
    <row r="1342" spans="1:9" ht="15.9" hidden="1" customHeight="1" outlineLevel="1" x14ac:dyDescent="0.3">
      <c r="A1342" s="13"/>
      <c r="B1342" s="23"/>
      <c r="C1342" s="284" t="str">
        <f>_xlfn.CONCAT(_xlfn.XLOOKUP("[S05_ContinuousEmissionsMeasurementDetail][16][InstallationIDCO2]",Submission!$O:$O,Submission!$H:$N,""))</f>
        <v/>
      </c>
      <c r="D1342" s="285"/>
      <c r="E1342" s="284" t="str">
        <f>_xlfn.CONCAT(_xlfn.XLOOKUP("[S05_ContinuousEmissionsMeasurementDetail][16][InstallationIDN2O]",Submission!$O:$O,Submission!$H:$N,""))</f>
        <v/>
      </c>
      <c r="F1342" s="285"/>
      <c r="G1342" s="127" t="str">
        <f>_xlfn.CONCAT(_xlfn.XLOOKUP("[S05_ContinuousEmissionsMeasurementDetail][16][TotalEmissionsCO2E]",Submission!$O:$O,Submission!$H:$N,""))</f>
        <v/>
      </c>
      <c r="H1342" s="127" t="str">
        <f>_xlfn.CONCAT(_xlfn.XLOOKUP("[S05_ContinuousEmissionsMeasurementDetail][16][ContinuousMeasurementTotalEmissions]",Submission!$O:$O,Submission!$H:$N,""))</f>
        <v/>
      </c>
      <c r="I1342" s="72" t="str">
        <f>_xlfn.CONCAT(_xlfn.XLOOKUP("[S05_ContinuousEmissionsMeasurementDetail][16][FlueGasContainBiomass]",Submission!$O:$O,Submission!$H:$N,""))</f>
        <v/>
      </c>
    </row>
    <row r="1343" spans="1:9" ht="15.9" hidden="1" customHeight="1" outlineLevel="1" x14ac:dyDescent="0.3">
      <c r="A1343" s="13"/>
      <c r="B1343" s="23"/>
      <c r="C1343" s="284" t="str">
        <f>_xlfn.CONCAT(_xlfn.XLOOKUP("[S05_ContinuousEmissionsMeasurementDetail][17][InstallationIDCO2]",Submission!$O:$O,Submission!$H:$N,""))</f>
        <v/>
      </c>
      <c r="D1343" s="285"/>
      <c r="E1343" s="284" t="str">
        <f>_xlfn.CONCAT(_xlfn.XLOOKUP("[S05_ContinuousEmissionsMeasurementDetail][17][InstallationIDN2O]",Submission!$O:$O,Submission!$H:$N,""))</f>
        <v/>
      </c>
      <c r="F1343" s="285"/>
      <c r="G1343" s="127" t="str">
        <f>_xlfn.CONCAT(_xlfn.XLOOKUP("[S05_ContinuousEmissionsMeasurementDetail][17][TotalEmissionsCO2E]",Submission!$O:$O,Submission!$H:$N,""))</f>
        <v/>
      </c>
      <c r="H1343" s="127" t="str">
        <f>_xlfn.CONCAT(_xlfn.XLOOKUP("[S05_ContinuousEmissionsMeasurementDetail][17][ContinuousMeasurementTotalEmissions]",Submission!$O:$O,Submission!$H:$N,""))</f>
        <v/>
      </c>
      <c r="I1343" s="72" t="str">
        <f>_xlfn.CONCAT(_xlfn.XLOOKUP("[S05_ContinuousEmissionsMeasurementDetail][17][FlueGasContainBiomass]",Submission!$O:$O,Submission!$H:$N,""))</f>
        <v/>
      </c>
    </row>
    <row r="1344" spans="1:9" ht="15.9" hidden="1" customHeight="1" outlineLevel="1" x14ac:dyDescent="0.3">
      <c r="A1344" s="13"/>
      <c r="B1344" s="23"/>
      <c r="C1344" s="284" t="str">
        <f>_xlfn.CONCAT(_xlfn.XLOOKUP("[S05_ContinuousEmissionsMeasurementDetail][18][InstallationIDCO2]",Submission!$O:$O,Submission!$H:$N,""))</f>
        <v/>
      </c>
      <c r="D1344" s="285"/>
      <c r="E1344" s="284" t="str">
        <f>_xlfn.CONCAT(_xlfn.XLOOKUP("[S05_ContinuousEmissionsMeasurementDetail][18][InstallationIDN2O]",Submission!$O:$O,Submission!$H:$N,""))</f>
        <v/>
      </c>
      <c r="F1344" s="285"/>
      <c r="G1344" s="127" t="str">
        <f>_xlfn.CONCAT(_xlfn.XLOOKUP("[S05_ContinuousEmissionsMeasurementDetail][18][TotalEmissionsCO2E]",Submission!$O:$O,Submission!$H:$N,""))</f>
        <v/>
      </c>
      <c r="H1344" s="127" t="str">
        <f>_xlfn.CONCAT(_xlfn.XLOOKUP("[S05_ContinuousEmissionsMeasurementDetail][18][ContinuousMeasurementTotalEmissions]",Submission!$O:$O,Submission!$H:$N,""))</f>
        <v/>
      </c>
      <c r="I1344" s="72" t="str">
        <f>_xlfn.CONCAT(_xlfn.XLOOKUP("[S05_ContinuousEmissionsMeasurementDetail][18][FlueGasContainBiomass]",Submission!$O:$O,Submission!$H:$N,""))</f>
        <v/>
      </c>
    </row>
    <row r="1345" spans="1:9" ht="15.9" hidden="1" customHeight="1" outlineLevel="1" x14ac:dyDescent="0.3">
      <c r="A1345" s="13"/>
      <c r="B1345" s="23"/>
      <c r="C1345" s="284" t="str">
        <f>_xlfn.CONCAT(_xlfn.XLOOKUP("[S05_ContinuousEmissionsMeasurementDetail][19][InstallationIDCO2]",Submission!$O:$O,Submission!$H:$N,""))</f>
        <v/>
      </c>
      <c r="D1345" s="285"/>
      <c r="E1345" s="284" t="str">
        <f>_xlfn.CONCAT(_xlfn.XLOOKUP("[S05_ContinuousEmissionsMeasurementDetail][19][InstallationIDN2O]",Submission!$O:$O,Submission!$H:$N,""))</f>
        <v/>
      </c>
      <c r="F1345" s="285"/>
      <c r="G1345" s="127" t="str">
        <f>_xlfn.CONCAT(_xlfn.XLOOKUP("[S05_ContinuousEmissionsMeasurementDetail][19][TotalEmissionsCO2E]",Submission!$O:$O,Submission!$H:$N,""))</f>
        <v/>
      </c>
      <c r="H1345" s="127" t="str">
        <f>_xlfn.CONCAT(_xlfn.XLOOKUP("[S05_ContinuousEmissionsMeasurementDetail][19][ContinuousMeasurementTotalEmissions]",Submission!$O:$O,Submission!$H:$N,""))</f>
        <v/>
      </c>
      <c r="I1345" s="72" t="str">
        <f>_xlfn.CONCAT(_xlfn.XLOOKUP("[S05_ContinuousEmissionsMeasurementDetail][19][FlueGasContainBiomass]",Submission!$O:$O,Submission!$H:$N,""))</f>
        <v/>
      </c>
    </row>
    <row r="1346" spans="1:9" ht="15.9" hidden="1" customHeight="1" outlineLevel="1" x14ac:dyDescent="0.3">
      <c r="A1346" s="13"/>
      <c r="B1346" s="23"/>
      <c r="C1346" s="284" t="str">
        <f>_xlfn.CONCAT(_xlfn.XLOOKUP("[S05_ContinuousEmissionsMeasurementDetail][20][InstallationIDCO2]",Submission!$O:$O,Submission!$H:$N,""))</f>
        <v/>
      </c>
      <c r="D1346" s="285"/>
      <c r="E1346" s="284" t="str">
        <f>_xlfn.CONCAT(_xlfn.XLOOKUP("[S05_ContinuousEmissionsMeasurementDetail][20][InstallationIDN2O]",Submission!$O:$O,Submission!$H:$N,""))</f>
        <v/>
      </c>
      <c r="F1346" s="285"/>
      <c r="G1346" s="127" t="str">
        <f>_xlfn.CONCAT(_xlfn.XLOOKUP("[S05_ContinuousEmissionsMeasurementDetail][20][TotalEmissionsCO2E]",Submission!$O:$O,Submission!$H:$N,""))</f>
        <v/>
      </c>
      <c r="H1346" s="127" t="str">
        <f>_xlfn.CONCAT(_xlfn.XLOOKUP("[S05_ContinuousEmissionsMeasurementDetail][20][ContinuousMeasurementTotalEmissions]",Submission!$O:$O,Submission!$H:$N,""))</f>
        <v/>
      </c>
      <c r="I1346" s="72" t="str">
        <f>_xlfn.CONCAT(_xlfn.XLOOKUP("[S05_ContinuousEmissionsMeasurementDetail][20][FlueGasContainBiomass]",Submission!$O:$O,Submission!$H:$N,""))</f>
        <v/>
      </c>
    </row>
    <row r="1347" spans="1:9" ht="15.9" hidden="1" customHeight="1" outlineLevel="1" x14ac:dyDescent="0.3">
      <c r="A1347" s="13"/>
      <c r="B1347" s="23"/>
      <c r="C1347" s="284" t="str">
        <f>_xlfn.CONCAT(_xlfn.XLOOKUP("[S05_ContinuousEmissionsMeasurementDetail][21][InstallationIDCO2]",Submission!$O:$O,Submission!$H:$N,""))</f>
        <v/>
      </c>
      <c r="D1347" s="285"/>
      <c r="E1347" s="284" t="str">
        <f>_xlfn.CONCAT(_xlfn.XLOOKUP("[S05_ContinuousEmissionsMeasurementDetail][21][InstallationIDN2O]",Submission!$O:$O,Submission!$H:$N,""))</f>
        <v/>
      </c>
      <c r="F1347" s="285"/>
      <c r="G1347" s="127" t="str">
        <f>_xlfn.CONCAT(_xlfn.XLOOKUP("[S05_ContinuousEmissionsMeasurementDetail][21][TotalEmissionsCO2E]",Submission!$O:$O,Submission!$H:$N,""))</f>
        <v/>
      </c>
      <c r="H1347" s="127" t="str">
        <f>_xlfn.CONCAT(_xlfn.XLOOKUP("[S05_ContinuousEmissionsMeasurementDetail][21][ContinuousMeasurementTotalEmissions]",Submission!$O:$O,Submission!$H:$N,""))</f>
        <v/>
      </c>
      <c r="I1347" s="72" t="str">
        <f>_xlfn.CONCAT(_xlfn.XLOOKUP("[S05_ContinuousEmissionsMeasurementDetail][21][FlueGasContainBiomass]",Submission!$O:$O,Submission!$H:$N,""))</f>
        <v/>
      </c>
    </row>
    <row r="1348" spans="1:9" ht="15.9" hidden="1" customHeight="1" outlineLevel="1" x14ac:dyDescent="0.3">
      <c r="A1348" s="13"/>
      <c r="B1348" s="23"/>
      <c r="C1348" s="284" t="str">
        <f>_xlfn.CONCAT(_xlfn.XLOOKUP("[S05_ContinuousEmissionsMeasurementDetail][22][InstallationIDCO2]",Submission!$O:$O,Submission!$H:$N,""))</f>
        <v/>
      </c>
      <c r="D1348" s="285"/>
      <c r="E1348" s="284" t="str">
        <f>_xlfn.CONCAT(_xlfn.XLOOKUP("[S05_ContinuousEmissionsMeasurementDetail][22][InstallationIDN2O]",Submission!$O:$O,Submission!$H:$N,""))</f>
        <v/>
      </c>
      <c r="F1348" s="285"/>
      <c r="G1348" s="127" t="str">
        <f>_xlfn.CONCAT(_xlfn.XLOOKUP("[S05_ContinuousEmissionsMeasurementDetail][22][TotalEmissionsCO2E]",Submission!$O:$O,Submission!$H:$N,""))</f>
        <v/>
      </c>
      <c r="H1348" s="127" t="str">
        <f>_xlfn.CONCAT(_xlfn.XLOOKUP("[S05_ContinuousEmissionsMeasurementDetail][22][ContinuousMeasurementTotalEmissions]",Submission!$O:$O,Submission!$H:$N,""))</f>
        <v/>
      </c>
      <c r="I1348" s="72" t="str">
        <f>_xlfn.CONCAT(_xlfn.XLOOKUP("[S05_ContinuousEmissionsMeasurementDetail][22][FlueGasContainBiomass]",Submission!$O:$O,Submission!$H:$N,""))</f>
        <v/>
      </c>
    </row>
    <row r="1349" spans="1:9" ht="15.9" hidden="1" customHeight="1" outlineLevel="1" x14ac:dyDescent="0.3">
      <c r="A1349" s="13"/>
      <c r="B1349" s="23"/>
      <c r="C1349" s="284" t="str">
        <f>_xlfn.CONCAT(_xlfn.XLOOKUP("[S05_ContinuousEmissionsMeasurementDetail][23][InstallationIDCO2]",Submission!$O:$O,Submission!$H:$N,""))</f>
        <v/>
      </c>
      <c r="D1349" s="285"/>
      <c r="E1349" s="284" t="str">
        <f>_xlfn.CONCAT(_xlfn.XLOOKUP("[S05_ContinuousEmissionsMeasurementDetail][23][InstallationIDN2O]",Submission!$O:$O,Submission!$H:$N,""))</f>
        <v/>
      </c>
      <c r="F1349" s="285"/>
      <c r="G1349" s="127" t="str">
        <f>_xlfn.CONCAT(_xlfn.XLOOKUP("[S05_ContinuousEmissionsMeasurementDetail][23][TotalEmissionsCO2E]",Submission!$O:$O,Submission!$H:$N,""))</f>
        <v/>
      </c>
      <c r="H1349" s="127" t="str">
        <f>_xlfn.CONCAT(_xlfn.XLOOKUP("[S05_ContinuousEmissionsMeasurementDetail][23][ContinuousMeasurementTotalEmissions]",Submission!$O:$O,Submission!$H:$N,""))</f>
        <v/>
      </c>
      <c r="I1349" s="72" t="str">
        <f>_xlfn.CONCAT(_xlfn.XLOOKUP("[S05_ContinuousEmissionsMeasurementDetail][23][FlueGasContainBiomass]",Submission!$O:$O,Submission!$H:$N,""))</f>
        <v/>
      </c>
    </row>
    <row r="1350" spans="1:9" ht="15.9" hidden="1" customHeight="1" outlineLevel="1" x14ac:dyDescent="0.3">
      <c r="A1350" s="13"/>
      <c r="B1350" s="23"/>
      <c r="C1350" s="284" t="str">
        <f>_xlfn.CONCAT(_xlfn.XLOOKUP("[S05_ContinuousEmissionsMeasurementDetail][24][InstallationIDCO2]",Submission!$O:$O,Submission!$H:$N,""))</f>
        <v/>
      </c>
      <c r="D1350" s="285"/>
      <c r="E1350" s="284" t="str">
        <f>_xlfn.CONCAT(_xlfn.XLOOKUP("[S05_ContinuousEmissionsMeasurementDetail][24][InstallationIDN2O]",Submission!$O:$O,Submission!$H:$N,""))</f>
        <v/>
      </c>
      <c r="F1350" s="285"/>
      <c r="G1350" s="127" t="str">
        <f>_xlfn.CONCAT(_xlfn.XLOOKUP("[S05_ContinuousEmissionsMeasurementDetail][24][TotalEmissionsCO2E]",Submission!$O:$O,Submission!$H:$N,""))</f>
        <v/>
      </c>
      <c r="H1350" s="127" t="str">
        <f>_xlfn.CONCAT(_xlfn.XLOOKUP("[S05_ContinuousEmissionsMeasurementDetail][24][ContinuousMeasurementTotalEmissions]",Submission!$O:$O,Submission!$H:$N,""))</f>
        <v/>
      </c>
      <c r="I1350" s="72" t="str">
        <f>_xlfn.CONCAT(_xlfn.XLOOKUP("[S05_ContinuousEmissionsMeasurementDetail][24][FlueGasContainBiomass]",Submission!$O:$O,Submission!$H:$N,""))</f>
        <v/>
      </c>
    </row>
    <row r="1351" spans="1:9" ht="15.9" hidden="1" customHeight="1" outlineLevel="1" x14ac:dyDescent="0.3">
      <c r="A1351" s="13"/>
      <c r="B1351" s="23"/>
      <c r="C1351" s="284" t="str">
        <f>_xlfn.CONCAT(_xlfn.XLOOKUP("[S05_ContinuousEmissionsMeasurementDetail][25][InstallationIDCO2]",Submission!$O:$O,Submission!$H:$N,""))</f>
        <v/>
      </c>
      <c r="D1351" s="285"/>
      <c r="E1351" s="284" t="str">
        <f>_xlfn.CONCAT(_xlfn.XLOOKUP("[S05_ContinuousEmissionsMeasurementDetail][25][InstallationIDN2O]",Submission!$O:$O,Submission!$H:$N,""))</f>
        <v/>
      </c>
      <c r="F1351" s="285"/>
      <c r="G1351" s="127" t="str">
        <f>_xlfn.CONCAT(_xlfn.XLOOKUP("[S05_ContinuousEmissionsMeasurementDetail][25][TotalEmissionsCO2E]",Submission!$O:$O,Submission!$H:$N,""))</f>
        <v/>
      </c>
      <c r="H1351" s="127" t="str">
        <f>_xlfn.CONCAT(_xlfn.XLOOKUP("[S05_ContinuousEmissionsMeasurementDetail][25][ContinuousMeasurementTotalEmissions]",Submission!$O:$O,Submission!$H:$N,""))</f>
        <v/>
      </c>
      <c r="I1351" s="72" t="str">
        <f>_xlfn.CONCAT(_xlfn.XLOOKUP("[S05_ContinuousEmissionsMeasurementDetail][25][FlueGasContainBiomass]",Submission!$O:$O,Submission!$H:$N,""))</f>
        <v/>
      </c>
    </row>
    <row r="1352" spans="1:9" ht="15.9" hidden="1" customHeight="1" outlineLevel="1" x14ac:dyDescent="0.3">
      <c r="A1352" s="13"/>
      <c r="B1352" s="23"/>
      <c r="C1352" s="284" t="str">
        <f>_xlfn.CONCAT(_xlfn.XLOOKUP("[S05_ContinuousEmissionsMeasurementDetail][26][InstallationIDCO2]",Submission!$O:$O,Submission!$H:$N,""))</f>
        <v/>
      </c>
      <c r="D1352" s="285"/>
      <c r="E1352" s="284" t="str">
        <f>_xlfn.CONCAT(_xlfn.XLOOKUP("[S05_ContinuousEmissionsMeasurementDetail][26][InstallationIDN2O]",Submission!$O:$O,Submission!$H:$N,""))</f>
        <v/>
      </c>
      <c r="F1352" s="285"/>
      <c r="G1352" s="127" t="str">
        <f>_xlfn.CONCAT(_xlfn.XLOOKUP("[S05_ContinuousEmissionsMeasurementDetail][26][TotalEmissionsCO2E]",Submission!$O:$O,Submission!$H:$N,""))</f>
        <v/>
      </c>
      <c r="H1352" s="127" t="str">
        <f>_xlfn.CONCAT(_xlfn.XLOOKUP("[S05_ContinuousEmissionsMeasurementDetail][26][ContinuousMeasurementTotalEmissions]",Submission!$O:$O,Submission!$H:$N,""))</f>
        <v/>
      </c>
      <c r="I1352" s="72" t="str">
        <f>_xlfn.CONCAT(_xlfn.XLOOKUP("[S05_ContinuousEmissionsMeasurementDetail][26][FlueGasContainBiomass]",Submission!$O:$O,Submission!$H:$N,""))</f>
        <v/>
      </c>
    </row>
    <row r="1353" spans="1:9" ht="15.9" hidden="1" customHeight="1" outlineLevel="1" x14ac:dyDescent="0.3">
      <c r="A1353" s="13"/>
      <c r="B1353" s="23"/>
      <c r="C1353" s="284" t="str">
        <f>_xlfn.CONCAT(_xlfn.XLOOKUP("[S05_ContinuousEmissionsMeasurementDetail][27][InstallationIDCO2]",Submission!$O:$O,Submission!$H:$N,""))</f>
        <v/>
      </c>
      <c r="D1353" s="285"/>
      <c r="E1353" s="284" t="str">
        <f>_xlfn.CONCAT(_xlfn.XLOOKUP("[S05_ContinuousEmissionsMeasurementDetail][27][InstallationIDN2O]",Submission!$O:$O,Submission!$H:$N,""))</f>
        <v/>
      </c>
      <c r="F1353" s="285"/>
      <c r="G1353" s="127" t="str">
        <f>_xlfn.CONCAT(_xlfn.XLOOKUP("[S05_ContinuousEmissionsMeasurementDetail][27][TotalEmissionsCO2E]",Submission!$O:$O,Submission!$H:$N,""))</f>
        <v/>
      </c>
      <c r="H1353" s="127" t="str">
        <f>_xlfn.CONCAT(_xlfn.XLOOKUP("[S05_ContinuousEmissionsMeasurementDetail][27][ContinuousMeasurementTotalEmissions]",Submission!$O:$O,Submission!$H:$N,""))</f>
        <v/>
      </c>
      <c r="I1353" s="72" t="str">
        <f>_xlfn.CONCAT(_xlfn.XLOOKUP("[S05_ContinuousEmissionsMeasurementDetail][27][FlueGasContainBiomass]",Submission!$O:$O,Submission!$H:$N,""))</f>
        <v/>
      </c>
    </row>
    <row r="1354" spans="1:9" ht="15.9" hidden="1" customHeight="1" outlineLevel="1" x14ac:dyDescent="0.3">
      <c r="A1354" s="13"/>
      <c r="B1354" s="23"/>
      <c r="C1354" s="284" t="str">
        <f>_xlfn.CONCAT(_xlfn.XLOOKUP("[S05_ContinuousEmissionsMeasurementDetail][28][InstallationIDCO2]",Submission!$O:$O,Submission!$H:$N,""))</f>
        <v/>
      </c>
      <c r="D1354" s="285"/>
      <c r="E1354" s="284" t="str">
        <f>_xlfn.CONCAT(_xlfn.XLOOKUP("[S05_ContinuousEmissionsMeasurementDetail][28][InstallationIDN2O]",Submission!$O:$O,Submission!$H:$N,""))</f>
        <v/>
      </c>
      <c r="F1354" s="285"/>
      <c r="G1354" s="127" t="str">
        <f>_xlfn.CONCAT(_xlfn.XLOOKUP("[S05_ContinuousEmissionsMeasurementDetail][28][TotalEmissionsCO2E]",Submission!$O:$O,Submission!$H:$N,""))</f>
        <v/>
      </c>
      <c r="H1354" s="127" t="str">
        <f>_xlfn.CONCAT(_xlfn.XLOOKUP("[S05_ContinuousEmissionsMeasurementDetail][28][ContinuousMeasurementTotalEmissions]",Submission!$O:$O,Submission!$H:$N,""))</f>
        <v/>
      </c>
      <c r="I1354" s="72" t="str">
        <f>_xlfn.CONCAT(_xlfn.XLOOKUP("[S05_ContinuousEmissionsMeasurementDetail][28][FlueGasContainBiomass]",Submission!$O:$O,Submission!$H:$N,""))</f>
        <v/>
      </c>
    </row>
    <row r="1355" spans="1:9" ht="15.9" hidden="1" customHeight="1" outlineLevel="1" x14ac:dyDescent="0.3">
      <c r="A1355" s="13"/>
      <c r="B1355" s="23"/>
      <c r="C1355" s="284" t="str">
        <f>_xlfn.CONCAT(_xlfn.XLOOKUP("[S05_ContinuousEmissionsMeasurementDetail][29][InstallationIDCO2]",Submission!$O:$O,Submission!$H:$N,""))</f>
        <v/>
      </c>
      <c r="D1355" s="285"/>
      <c r="E1355" s="284" t="str">
        <f>_xlfn.CONCAT(_xlfn.XLOOKUP("[S05_ContinuousEmissionsMeasurementDetail][29][InstallationIDN2O]",Submission!$O:$O,Submission!$H:$N,""))</f>
        <v/>
      </c>
      <c r="F1355" s="285"/>
      <c r="G1355" s="127" t="str">
        <f>_xlfn.CONCAT(_xlfn.XLOOKUP("[S05_ContinuousEmissionsMeasurementDetail][29][TotalEmissionsCO2E]",Submission!$O:$O,Submission!$H:$N,""))</f>
        <v/>
      </c>
      <c r="H1355" s="127" t="str">
        <f>_xlfn.CONCAT(_xlfn.XLOOKUP("[S05_ContinuousEmissionsMeasurementDetail][29][ContinuousMeasurementTotalEmissions]",Submission!$O:$O,Submission!$H:$N,""))</f>
        <v/>
      </c>
      <c r="I1355" s="72" t="str">
        <f>_xlfn.CONCAT(_xlfn.XLOOKUP("[S05_ContinuousEmissionsMeasurementDetail][29][FlueGasContainBiomass]",Submission!$O:$O,Submission!$H:$N,""))</f>
        <v/>
      </c>
    </row>
    <row r="1356" spans="1:9" ht="15.9" hidden="1" customHeight="1" outlineLevel="1" x14ac:dyDescent="0.3">
      <c r="A1356" s="13"/>
      <c r="B1356" s="23"/>
      <c r="C1356" s="284" t="str">
        <f>_xlfn.CONCAT(_xlfn.XLOOKUP("[S05_ContinuousEmissionsMeasurementDetail][30][InstallationIDCO2]",Submission!$O:$O,Submission!$H:$N,""))</f>
        <v/>
      </c>
      <c r="D1356" s="285"/>
      <c r="E1356" s="284" t="str">
        <f>_xlfn.CONCAT(_xlfn.XLOOKUP("[S05_ContinuousEmissionsMeasurementDetail][30][InstallationIDN2O]",Submission!$O:$O,Submission!$H:$N,""))</f>
        <v/>
      </c>
      <c r="F1356" s="285"/>
      <c r="G1356" s="127" t="str">
        <f>_xlfn.CONCAT(_xlfn.XLOOKUP("[S05_ContinuousEmissionsMeasurementDetail][30][TotalEmissionsCO2E]",Submission!$O:$O,Submission!$H:$N,""))</f>
        <v/>
      </c>
      <c r="H1356" s="127" t="str">
        <f>_xlfn.CONCAT(_xlfn.XLOOKUP("[S05_ContinuousEmissionsMeasurementDetail][30][ContinuousMeasurementTotalEmissions]",Submission!$O:$O,Submission!$H:$N,""))</f>
        <v/>
      </c>
      <c r="I1356" s="72" t="str">
        <f>_xlfn.CONCAT(_xlfn.XLOOKUP("[S05_ContinuousEmissionsMeasurementDetail][30][FlueGasContainBiomass]",Submission!$O:$O,Submission!$H:$N,""))</f>
        <v/>
      </c>
    </row>
    <row r="1357" spans="1:9" ht="15.9" hidden="1" customHeight="1" outlineLevel="1" x14ac:dyDescent="0.3">
      <c r="A1357" s="13"/>
      <c r="B1357" s="23"/>
      <c r="C1357" s="284" t="str">
        <f>_xlfn.CONCAT(_xlfn.XLOOKUP("[S05_ContinuousEmissionsMeasurementDetail][31][InstallationIDCO2]",Submission!$O:$O,Submission!$H:$N,""))</f>
        <v/>
      </c>
      <c r="D1357" s="285"/>
      <c r="E1357" s="284" t="str">
        <f>_xlfn.CONCAT(_xlfn.XLOOKUP("[S05_ContinuousEmissionsMeasurementDetail][31][InstallationIDN2O]",Submission!$O:$O,Submission!$H:$N,""))</f>
        <v/>
      </c>
      <c r="F1357" s="285"/>
      <c r="G1357" s="127" t="str">
        <f>_xlfn.CONCAT(_xlfn.XLOOKUP("[S05_ContinuousEmissionsMeasurementDetail][31][TotalEmissionsCO2E]",Submission!$O:$O,Submission!$H:$N,""))</f>
        <v/>
      </c>
      <c r="H1357" s="127" t="str">
        <f>_xlfn.CONCAT(_xlfn.XLOOKUP("[S05_ContinuousEmissionsMeasurementDetail][31][ContinuousMeasurementTotalEmissions]",Submission!$O:$O,Submission!$H:$N,""))</f>
        <v/>
      </c>
      <c r="I1357" s="72" t="str">
        <f>_xlfn.CONCAT(_xlfn.XLOOKUP("[S05_ContinuousEmissionsMeasurementDetail][31][FlueGasContainBiomass]",Submission!$O:$O,Submission!$H:$N,""))</f>
        <v/>
      </c>
    </row>
    <row r="1358" spans="1:9" ht="15.9" hidden="1" customHeight="1" outlineLevel="1" x14ac:dyDescent="0.3">
      <c r="A1358" s="13"/>
      <c r="B1358" s="23"/>
      <c r="C1358" s="284" t="str">
        <f>_xlfn.CONCAT(_xlfn.XLOOKUP("[S05_ContinuousEmissionsMeasurementDetail][32][InstallationIDCO2]",Submission!$O:$O,Submission!$H:$N,""))</f>
        <v/>
      </c>
      <c r="D1358" s="285"/>
      <c r="E1358" s="284" t="str">
        <f>_xlfn.CONCAT(_xlfn.XLOOKUP("[S05_ContinuousEmissionsMeasurementDetail][32][InstallationIDN2O]",Submission!$O:$O,Submission!$H:$N,""))</f>
        <v/>
      </c>
      <c r="F1358" s="285"/>
      <c r="G1358" s="127" t="str">
        <f>_xlfn.CONCAT(_xlfn.XLOOKUP("[S05_ContinuousEmissionsMeasurementDetail][32][TotalEmissionsCO2E]",Submission!$O:$O,Submission!$H:$N,""))</f>
        <v/>
      </c>
      <c r="H1358" s="127" t="str">
        <f>_xlfn.CONCAT(_xlfn.XLOOKUP("[S05_ContinuousEmissionsMeasurementDetail][32][ContinuousMeasurementTotalEmissions]",Submission!$O:$O,Submission!$H:$N,""))</f>
        <v/>
      </c>
      <c r="I1358" s="72" t="str">
        <f>_xlfn.CONCAT(_xlfn.XLOOKUP("[S05_ContinuousEmissionsMeasurementDetail][32][FlueGasContainBiomass]",Submission!$O:$O,Submission!$H:$N,""))</f>
        <v/>
      </c>
    </row>
    <row r="1359" spans="1:9" ht="15.9" hidden="1" customHeight="1" outlineLevel="1" x14ac:dyDescent="0.3">
      <c r="A1359" s="13"/>
      <c r="B1359" s="23"/>
      <c r="C1359" s="284" t="str">
        <f>_xlfn.CONCAT(_xlfn.XLOOKUP("[S05_ContinuousEmissionsMeasurementDetail][33][InstallationIDCO2]",Submission!$O:$O,Submission!$H:$N,""))</f>
        <v/>
      </c>
      <c r="D1359" s="285"/>
      <c r="E1359" s="284" t="str">
        <f>_xlfn.CONCAT(_xlfn.XLOOKUP("[S05_ContinuousEmissionsMeasurementDetail][33][InstallationIDN2O]",Submission!$O:$O,Submission!$H:$N,""))</f>
        <v/>
      </c>
      <c r="F1359" s="285"/>
      <c r="G1359" s="127" t="str">
        <f>_xlfn.CONCAT(_xlfn.XLOOKUP("[S05_ContinuousEmissionsMeasurementDetail][33][TotalEmissionsCO2E]",Submission!$O:$O,Submission!$H:$N,""))</f>
        <v/>
      </c>
      <c r="H1359" s="127" t="str">
        <f>_xlfn.CONCAT(_xlfn.XLOOKUP("[S05_ContinuousEmissionsMeasurementDetail][33][ContinuousMeasurementTotalEmissions]",Submission!$O:$O,Submission!$H:$N,""))</f>
        <v/>
      </c>
      <c r="I1359" s="72" t="str">
        <f>_xlfn.CONCAT(_xlfn.XLOOKUP("[S05_ContinuousEmissionsMeasurementDetail][33][FlueGasContainBiomass]",Submission!$O:$O,Submission!$H:$N,""))</f>
        <v/>
      </c>
    </row>
    <row r="1360" spans="1:9" ht="15.9" hidden="1" customHeight="1" outlineLevel="1" x14ac:dyDescent="0.3">
      <c r="A1360" s="13"/>
      <c r="B1360" s="23"/>
      <c r="C1360" s="284" t="str">
        <f>_xlfn.CONCAT(_xlfn.XLOOKUP("[S05_ContinuousEmissionsMeasurementDetail][34][InstallationIDCO2]",Submission!$O:$O,Submission!$H:$N,""))</f>
        <v/>
      </c>
      <c r="D1360" s="285"/>
      <c r="E1360" s="284" t="str">
        <f>_xlfn.CONCAT(_xlfn.XLOOKUP("[S05_ContinuousEmissionsMeasurementDetail][34][InstallationIDN2O]",Submission!$O:$O,Submission!$H:$N,""))</f>
        <v/>
      </c>
      <c r="F1360" s="285"/>
      <c r="G1360" s="127" t="str">
        <f>_xlfn.CONCAT(_xlfn.XLOOKUP("[S05_ContinuousEmissionsMeasurementDetail][34][TotalEmissionsCO2E]",Submission!$O:$O,Submission!$H:$N,""))</f>
        <v/>
      </c>
      <c r="H1360" s="127" t="str">
        <f>_xlfn.CONCAT(_xlfn.XLOOKUP("[S05_ContinuousEmissionsMeasurementDetail][34][ContinuousMeasurementTotalEmissions]",Submission!$O:$O,Submission!$H:$N,""))</f>
        <v/>
      </c>
      <c r="I1360" s="72" t="str">
        <f>_xlfn.CONCAT(_xlfn.XLOOKUP("[S05_ContinuousEmissionsMeasurementDetail][34][FlueGasContainBiomass]",Submission!$O:$O,Submission!$H:$N,""))</f>
        <v/>
      </c>
    </row>
    <row r="1361" spans="1:9" ht="15.9" hidden="1" customHeight="1" outlineLevel="1" x14ac:dyDescent="0.3">
      <c r="A1361" s="13"/>
      <c r="B1361" s="23"/>
      <c r="C1361" s="284" t="str">
        <f>_xlfn.CONCAT(_xlfn.XLOOKUP("[S05_ContinuousEmissionsMeasurementDetail][35][InstallationIDCO2]",Submission!$O:$O,Submission!$H:$N,""))</f>
        <v/>
      </c>
      <c r="D1361" s="285"/>
      <c r="E1361" s="284" t="str">
        <f>_xlfn.CONCAT(_xlfn.XLOOKUP("[S05_ContinuousEmissionsMeasurementDetail][35][InstallationIDN2O]",Submission!$O:$O,Submission!$H:$N,""))</f>
        <v/>
      </c>
      <c r="F1361" s="285"/>
      <c r="G1361" s="127" t="str">
        <f>_xlfn.CONCAT(_xlfn.XLOOKUP("[S05_ContinuousEmissionsMeasurementDetail][35][TotalEmissionsCO2E]",Submission!$O:$O,Submission!$H:$N,""))</f>
        <v/>
      </c>
      <c r="H1361" s="127" t="str">
        <f>_xlfn.CONCAT(_xlfn.XLOOKUP("[S05_ContinuousEmissionsMeasurementDetail][35][ContinuousMeasurementTotalEmissions]",Submission!$O:$O,Submission!$H:$N,""))</f>
        <v/>
      </c>
      <c r="I1361" s="72" t="str">
        <f>_xlfn.CONCAT(_xlfn.XLOOKUP("[S05_ContinuousEmissionsMeasurementDetail][35][FlueGasContainBiomass]",Submission!$O:$O,Submission!$H:$N,""))</f>
        <v/>
      </c>
    </row>
    <row r="1362" spans="1:9" ht="15.9" hidden="1" customHeight="1" outlineLevel="1" x14ac:dyDescent="0.3">
      <c r="A1362" s="13"/>
      <c r="B1362" s="23"/>
      <c r="C1362" s="284" t="str">
        <f>_xlfn.CONCAT(_xlfn.XLOOKUP("[S05_ContinuousEmissionsMeasurementDetail][36][InstallationIDCO2]",Submission!$O:$O,Submission!$H:$N,""))</f>
        <v/>
      </c>
      <c r="D1362" s="285"/>
      <c r="E1362" s="284" t="str">
        <f>_xlfn.CONCAT(_xlfn.XLOOKUP("[S05_ContinuousEmissionsMeasurementDetail][36][InstallationIDN2O]",Submission!$O:$O,Submission!$H:$N,""))</f>
        <v/>
      </c>
      <c r="F1362" s="285"/>
      <c r="G1362" s="127" t="str">
        <f>_xlfn.CONCAT(_xlfn.XLOOKUP("[S05_ContinuousEmissionsMeasurementDetail][36][TotalEmissionsCO2E]",Submission!$O:$O,Submission!$H:$N,""))</f>
        <v/>
      </c>
      <c r="H1362" s="127" t="str">
        <f>_xlfn.CONCAT(_xlfn.XLOOKUP("[S05_ContinuousEmissionsMeasurementDetail][36][ContinuousMeasurementTotalEmissions]",Submission!$O:$O,Submission!$H:$N,""))</f>
        <v/>
      </c>
      <c r="I1362" s="72" t="str">
        <f>_xlfn.CONCAT(_xlfn.XLOOKUP("[S05_ContinuousEmissionsMeasurementDetail][36][FlueGasContainBiomass]",Submission!$O:$O,Submission!$H:$N,""))</f>
        <v/>
      </c>
    </row>
    <row r="1363" spans="1:9" ht="15.9" hidden="1" customHeight="1" outlineLevel="1" x14ac:dyDescent="0.3">
      <c r="A1363" s="13"/>
      <c r="B1363" s="23"/>
      <c r="C1363" s="284" t="str">
        <f>_xlfn.CONCAT(_xlfn.XLOOKUP("[S05_ContinuousEmissionsMeasurementDetail][37][InstallationIDCO2]",Submission!$O:$O,Submission!$H:$N,""))</f>
        <v/>
      </c>
      <c r="D1363" s="285"/>
      <c r="E1363" s="284" t="str">
        <f>_xlfn.CONCAT(_xlfn.XLOOKUP("[S05_ContinuousEmissionsMeasurementDetail][37][InstallationIDN2O]",Submission!$O:$O,Submission!$H:$N,""))</f>
        <v/>
      </c>
      <c r="F1363" s="285"/>
      <c r="G1363" s="127" t="str">
        <f>_xlfn.CONCAT(_xlfn.XLOOKUP("[S05_ContinuousEmissionsMeasurementDetail][37][TotalEmissionsCO2E]",Submission!$O:$O,Submission!$H:$N,""))</f>
        <v/>
      </c>
      <c r="H1363" s="127" t="str">
        <f>_xlfn.CONCAT(_xlfn.XLOOKUP("[S05_ContinuousEmissionsMeasurementDetail][37][ContinuousMeasurementTotalEmissions]",Submission!$O:$O,Submission!$H:$N,""))</f>
        <v/>
      </c>
      <c r="I1363" s="72" t="str">
        <f>_xlfn.CONCAT(_xlfn.XLOOKUP("[S05_ContinuousEmissionsMeasurementDetail][37][FlueGasContainBiomass]",Submission!$O:$O,Submission!$H:$N,""))</f>
        <v/>
      </c>
    </row>
    <row r="1364" spans="1:9" ht="15.9" hidden="1" customHeight="1" outlineLevel="1" x14ac:dyDescent="0.3">
      <c r="A1364" s="13"/>
      <c r="B1364" s="23"/>
      <c r="C1364" s="284" t="str">
        <f>_xlfn.CONCAT(_xlfn.XLOOKUP("[S05_ContinuousEmissionsMeasurementDetail][38][InstallationIDCO2]",Submission!$O:$O,Submission!$H:$N,""))</f>
        <v/>
      </c>
      <c r="D1364" s="285"/>
      <c r="E1364" s="284" t="str">
        <f>_xlfn.CONCAT(_xlfn.XLOOKUP("[S05_ContinuousEmissionsMeasurementDetail][38][InstallationIDN2O]",Submission!$O:$O,Submission!$H:$N,""))</f>
        <v/>
      </c>
      <c r="F1364" s="285"/>
      <c r="G1364" s="127" t="str">
        <f>_xlfn.CONCAT(_xlfn.XLOOKUP("[S05_ContinuousEmissionsMeasurementDetail][38][TotalEmissionsCO2E]",Submission!$O:$O,Submission!$H:$N,""))</f>
        <v/>
      </c>
      <c r="H1364" s="127" t="str">
        <f>_xlfn.CONCAT(_xlfn.XLOOKUP("[S05_ContinuousEmissionsMeasurementDetail][38][ContinuousMeasurementTotalEmissions]",Submission!$O:$O,Submission!$H:$N,""))</f>
        <v/>
      </c>
      <c r="I1364" s="72" t="str">
        <f>_xlfn.CONCAT(_xlfn.XLOOKUP("[S05_ContinuousEmissionsMeasurementDetail][38][FlueGasContainBiomass]",Submission!$O:$O,Submission!$H:$N,""))</f>
        <v/>
      </c>
    </row>
    <row r="1365" spans="1:9" ht="15.9" hidden="1" customHeight="1" outlineLevel="1" x14ac:dyDescent="0.3">
      <c r="A1365" s="13"/>
      <c r="B1365" s="23"/>
      <c r="C1365" s="284" t="str">
        <f>_xlfn.CONCAT(_xlfn.XLOOKUP("[S05_ContinuousEmissionsMeasurementDetail][39][InstallationIDCO2]",Submission!$O:$O,Submission!$H:$N,""))</f>
        <v/>
      </c>
      <c r="D1365" s="285"/>
      <c r="E1365" s="284" t="str">
        <f>_xlfn.CONCAT(_xlfn.XLOOKUP("[S05_ContinuousEmissionsMeasurementDetail][39][InstallationIDN2O]",Submission!$O:$O,Submission!$H:$N,""))</f>
        <v/>
      </c>
      <c r="F1365" s="285"/>
      <c r="G1365" s="127" t="str">
        <f>_xlfn.CONCAT(_xlfn.XLOOKUP("[S05_ContinuousEmissionsMeasurementDetail][39][TotalEmissionsCO2E]",Submission!$O:$O,Submission!$H:$N,""))</f>
        <v/>
      </c>
      <c r="H1365" s="127" t="str">
        <f>_xlfn.CONCAT(_xlfn.XLOOKUP("[S05_ContinuousEmissionsMeasurementDetail][39][ContinuousMeasurementTotalEmissions]",Submission!$O:$O,Submission!$H:$N,""))</f>
        <v/>
      </c>
      <c r="I1365" s="72" t="str">
        <f>_xlfn.CONCAT(_xlfn.XLOOKUP("[S05_ContinuousEmissionsMeasurementDetail][39][FlueGasContainBiomass]",Submission!$O:$O,Submission!$H:$N,""))</f>
        <v/>
      </c>
    </row>
    <row r="1366" spans="1:9" ht="15.9" hidden="1" customHeight="1" outlineLevel="1" x14ac:dyDescent="0.3">
      <c r="A1366" s="13"/>
      <c r="B1366" s="23"/>
      <c r="C1366" s="284" t="str">
        <f>_xlfn.CONCAT(_xlfn.XLOOKUP("[S05_ContinuousEmissionsMeasurementDetail][40][InstallationIDCO2]",Submission!$O:$O,Submission!$H:$N,""))</f>
        <v/>
      </c>
      <c r="D1366" s="285"/>
      <c r="E1366" s="284" t="str">
        <f>_xlfn.CONCAT(_xlfn.XLOOKUP("[S05_ContinuousEmissionsMeasurementDetail][40][InstallationIDN2O]",Submission!$O:$O,Submission!$H:$N,""))</f>
        <v/>
      </c>
      <c r="F1366" s="285"/>
      <c r="G1366" s="127" t="str">
        <f>_xlfn.CONCAT(_xlfn.XLOOKUP("[S05_ContinuousEmissionsMeasurementDetail][40][TotalEmissionsCO2E]",Submission!$O:$O,Submission!$H:$N,""))</f>
        <v/>
      </c>
      <c r="H1366" s="127" t="str">
        <f>_xlfn.CONCAT(_xlfn.XLOOKUP("[S05_ContinuousEmissionsMeasurementDetail][40][ContinuousMeasurementTotalEmissions]",Submission!$O:$O,Submission!$H:$N,""))</f>
        <v/>
      </c>
      <c r="I1366" s="72" t="str">
        <f>_xlfn.CONCAT(_xlfn.XLOOKUP("[S05_ContinuousEmissionsMeasurementDetail][40][FlueGasContainBiomass]",Submission!$O:$O,Submission!$H:$N,""))</f>
        <v/>
      </c>
    </row>
    <row r="1367" spans="1:9" ht="15.9" hidden="1" customHeight="1" outlineLevel="1" x14ac:dyDescent="0.3">
      <c r="A1367" s="13"/>
      <c r="B1367" s="23"/>
      <c r="C1367" s="284" t="str">
        <f>_xlfn.CONCAT(_xlfn.XLOOKUP("[S05_ContinuousEmissionsMeasurementDetail][41][InstallationIDCO2]",Submission!$O:$O,Submission!$H:$N,""))</f>
        <v/>
      </c>
      <c r="D1367" s="285"/>
      <c r="E1367" s="284" t="str">
        <f>_xlfn.CONCAT(_xlfn.XLOOKUP("[S05_ContinuousEmissionsMeasurementDetail][41][InstallationIDN2O]",Submission!$O:$O,Submission!$H:$N,""))</f>
        <v/>
      </c>
      <c r="F1367" s="285"/>
      <c r="G1367" s="127" t="str">
        <f>_xlfn.CONCAT(_xlfn.XLOOKUP("[S05_ContinuousEmissionsMeasurementDetail][41][TotalEmissionsCO2E]",Submission!$O:$O,Submission!$H:$N,""))</f>
        <v/>
      </c>
      <c r="H1367" s="127" t="str">
        <f>_xlfn.CONCAT(_xlfn.XLOOKUP("[S05_ContinuousEmissionsMeasurementDetail][41][ContinuousMeasurementTotalEmissions]",Submission!$O:$O,Submission!$H:$N,""))</f>
        <v/>
      </c>
      <c r="I1367" s="72" t="str">
        <f>_xlfn.CONCAT(_xlfn.XLOOKUP("[S05_ContinuousEmissionsMeasurementDetail][41][FlueGasContainBiomass]",Submission!$O:$O,Submission!$H:$N,""))</f>
        <v/>
      </c>
    </row>
    <row r="1368" spans="1:9" ht="15.9" hidden="1" customHeight="1" outlineLevel="1" x14ac:dyDescent="0.3">
      <c r="A1368" s="13"/>
      <c r="B1368" s="23"/>
      <c r="C1368" s="284" t="str">
        <f>_xlfn.CONCAT(_xlfn.XLOOKUP("[S05_ContinuousEmissionsMeasurementDetail][42][InstallationIDCO2]",Submission!$O:$O,Submission!$H:$N,""))</f>
        <v/>
      </c>
      <c r="D1368" s="285"/>
      <c r="E1368" s="284" t="str">
        <f>_xlfn.CONCAT(_xlfn.XLOOKUP("[S05_ContinuousEmissionsMeasurementDetail][42][InstallationIDN2O]",Submission!$O:$O,Submission!$H:$N,""))</f>
        <v/>
      </c>
      <c r="F1368" s="285"/>
      <c r="G1368" s="127" t="str">
        <f>_xlfn.CONCAT(_xlfn.XLOOKUP("[S05_ContinuousEmissionsMeasurementDetail][42][TotalEmissionsCO2E]",Submission!$O:$O,Submission!$H:$N,""))</f>
        <v/>
      </c>
      <c r="H1368" s="127" t="str">
        <f>_xlfn.CONCAT(_xlfn.XLOOKUP("[S05_ContinuousEmissionsMeasurementDetail][42][ContinuousMeasurementTotalEmissions]",Submission!$O:$O,Submission!$H:$N,""))</f>
        <v/>
      </c>
      <c r="I1368" s="72" t="str">
        <f>_xlfn.CONCAT(_xlfn.XLOOKUP("[S05_ContinuousEmissionsMeasurementDetail][42][FlueGasContainBiomass]",Submission!$O:$O,Submission!$H:$N,""))</f>
        <v/>
      </c>
    </row>
    <row r="1369" spans="1:9" ht="15.9" hidden="1" customHeight="1" outlineLevel="1" x14ac:dyDescent="0.3">
      <c r="A1369" s="13"/>
      <c r="B1369" s="23"/>
      <c r="C1369" s="284" t="str">
        <f>_xlfn.CONCAT(_xlfn.XLOOKUP("[S05_ContinuousEmissionsMeasurementDetail][43][InstallationIDCO2]",Submission!$O:$O,Submission!$H:$N,""))</f>
        <v/>
      </c>
      <c r="D1369" s="285"/>
      <c r="E1369" s="284" t="str">
        <f>_xlfn.CONCAT(_xlfn.XLOOKUP("[S05_ContinuousEmissionsMeasurementDetail][43][InstallationIDN2O]",Submission!$O:$O,Submission!$H:$N,""))</f>
        <v/>
      </c>
      <c r="F1369" s="285"/>
      <c r="G1369" s="127" t="str">
        <f>_xlfn.CONCAT(_xlfn.XLOOKUP("[S05_ContinuousEmissionsMeasurementDetail][43][TotalEmissionsCO2E]",Submission!$O:$O,Submission!$H:$N,""))</f>
        <v/>
      </c>
      <c r="H1369" s="127" t="str">
        <f>_xlfn.CONCAT(_xlfn.XLOOKUP("[S05_ContinuousEmissionsMeasurementDetail][43][ContinuousMeasurementTotalEmissions]",Submission!$O:$O,Submission!$H:$N,""))</f>
        <v/>
      </c>
      <c r="I1369" s="72" t="str">
        <f>_xlfn.CONCAT(_xlfn.XLOOKUP("[S05_ContinuousEmissionsMeasurementDetail][43][FlueGasContainBiomass]",Submission!$O:$O,Submission!$H:$N,""))</f>
        <v/>
      </c>
    </row>
    <row r="1370" spans="1:9" ht="15.9" hidden="1" customHeight="1" outlineLevel="1" x14ac:dyDescent="0.3">
      <c r="A1370" s="13"/>
      <c r="B1370" s="23"/>
      <c r="C1370" s="284" t="str">
        <f>_xlfn.CONCAT(_xlfn.XLOOKUP("[S05_ContinuousEmissionsMeasurementDetail][44][InstallationIDCO2]",Submission!$O:$O,Submission!$H:$N,""))</f>
        <v/>
      </c>
      <c r="D1370" s="285"/>
      <c r="E1370" s="284" t="str">
        <f>_xlfn.CONCAT(_xlfn.XLOOKUP("[S05_ContinuousEmissionsMeasurementDetail][44][InstallationIDN2O]",Submission!$O:$O,Submission!$H:$N,""))</f>
        <v/>
      </c>
      <c r="F1370" s="285"/>
      <c r="G1370" s="127" t="str">
        <f>_xlfn.CONCAT(_xlfn.XLOOKUP("[S05_ContinuousEmissionsMeasurementDetail][44][TotalEmissionsCO2E]",Submission!$O:$O,Submission!$H:$N,""))</f>
        <v/>
      </c>
      <c r="H1370" s="127" t="str">
        <f>_xlfn.CONCAT(_xlfn.XLOOKUP("[S05_ContinuousEmissionsMeasurementDetail][44][ContinuousMeasurementTotalEmissions]",Submission!$O:$O,Submission!$H:$N,""))</f>
        <v/>
      </c>
      <c r="I1370" s="72" t="str">
        <f>_xlfn.CONCAT(_xlfn.XLOOKUP("[S05_ContinuousEmissionsMeasurementDetail][44][FlueGasContainBiomass]",Submission!$O:$O,Submission!$H:$N,""))</f>
        <v/>
      </c>
    </row>
    <row r="1371" spans="1:9" ht="15.9" hidden="1" customHeight="1" outlineLevel="1" x14ac:dyDescent="0.3">
      <c r="A1371" s="13"/>
      <c r="B1371" s="23"/>
      <c r="C1371" s="284" t="str">
        <f>_xlfn.CONCAT(_xlfn.XLOOKUP("[S05_ContinuousEmissionsMeasurementDetail][45][InstallationIDCO2]",Submission!$O:$O,Submission!$H:$N,""))</f>
        <v/>
      </c>
      <c r="D1371" s="285"/>
      <c r="E1371" s="284" t="str">
        <f>_xlfn.CONCAT(_xlfn.XLOOKUP("[S05_ContinuousEmissionsMeasurementDetail][45][InstallationIDN2O]",Submission!$O:$O,Submission!$H:$N,""))</f>
        <v/>
      </c>
      <c r="F1371" s="285"/>
      <c r="G1371" s="127" t="str">
        <f>_xlfn.CONCAT(_xlfn.XLOOKUP("[S05_ContinuousEmissionsMeasurementDetail][45][TotalEmissionsCO2E]",Submission!$O:$O,Submission!$H:$N,""))</f>
        <v/>
      </c>
      <c r="H1371" s="127" t="str">
        <f>_xlfn.CONCAT(_xlfn.XLOOKUP("[S05_ContinuousEmissionsMeasurementDetail][45][ContinuousMeasurementTotalEmissions]",Submission!$O:$O,Submission!$H:$N,""))</f>
        <v/>
      </c>
      <c r="I1371" s="72" t="str">
        <f>_xlfn.CONCAT(_xlfn.XLOOKUP("[S05_ContinuousEmissionsMeasurementDetail][45][FlueGasContainBiomass]",Submission!$O:$O,Submission!$H:$N,""))</f>
        <v/>
      </c>
    </row>
    <row r="1372" spans="1:9" ht="15.9" hidden="1" customHeight="1" outlineLevel="1" x14ac:dyDescent="0.3">
      <c r="A1372" s="13"/>
      <c r="B1372" s="23"/>
      <c r="C1372" s="284" t="str">
        <f>_xlfn.CONCAT(_xlfn.XLOOKUP("[S05_ContinuousEmissionsMeasurementDetail][46][InstallationIDCO2]",Submission!$O:$O,Submission!$H:$N,""))</f>
        <v/>
      </c>
      <c r="D1372" s="285"/>
      <c r="E1372" s="284" t="str">
        <f>_xlfn.CONCAT(_xlfn.XLOOKUP("[S05_ContinuousEmissionsMeasurementDetail][46][InstallationIDN2O]",Submission!$O:$O,Submission!$H:$N,""))</f>
        <v/>
      </c>
      <c r="F1372" s="285"/>
      <c r="G1372" s="127" t="str">
        <f>_xlfn.CONCAT(_xlfn.XLOOKUP("[S05_ContinuousEmissionsMeasurementDetail][46][TotalEmissionsCO2E]",Submission!$O:$O,Submission!$H:$N,""))</f>
        <v/>
      </c>
      <c r="H1372" s="127" t="str">
        <f>_xlfn.CONCAT(_xlfn.XLOOKUP("[S05_ContinuousEmissionsMeasurementDetail][46][ContinuousMeasurementTotalEmissions]",Submission!$O:$O,Submission!$H:$N,""))</f>
        <v/>
      </c>
      <c r="I1372" s="72" t="str">
        <f>_xlfn.CONCAT(_xlfn.XLOOKUP("[S05_ContinuousEmissionsMeasurementDetail][46][FlueGasContainBiomass]",Submission!$O:$O,Submission!$H:$N,""))</f>
        <v/>
      </c>
    </row>
    <row r="1373" spans="1:9" ht="15.9" hidden="1" customHeight="1" outlineLevel="1" x14ac:dyDescent="0.3">
      <c r="A1373" s="13"/>
      <c r="B1373" s="23"/>
      <c r="C1373" s="284" t="str">
        <f>_xlfn.CONCAT(_xlfn.XLOOKUP("[S05_ContinuousEmissionsMeasurementDetail][47][InstallationIDCO2]",Submission!$O:$O,Submission!$H:$N,""))</f>
        <v/>
      </c>
      <c r="D1373" s="285"/>
      <c r="E1373" s="284" t="str">
        <f>_xlfn.CONCAT(_xlfn.XLOOKUP("[S05_ContinuousEmissionsMeasurementDetail][47][InstallationIDN2O]",Submission!$O:$O,Submission!$H:$N,""))</f>
        <v/>
      </c>
      <c r="F1373" s="285"/>
      <c r="G1373" s="127" t="str">
        <f>_xlfn.CONCAT(_xlfn.XLOOKUP("[S05_ContinuousEmissionsMeasurementDetail][47][TotalEmissionsCO2E]",Submission!$O:$O,Submission!$H:$N,""))</f>
        <v/>
      </c>
      <c r="H1373" s="127" t="str">
        <f>_xlfn.CONCAT(_xlfn.XLOOKUP("[S05_ContinuousEmissionsMeasurementDetail][47][ContinuousMeasurementTotalEmissions]",Submission!$O:$O,Submission!$H:$N,""))</f>
        <v/>
      </c>
      <c r="I1373" s="72" t="str">
        <f>_xlfn.CONCAT(_xlfn.XLOOKUP("[S05_ContinuousEmissionsMeasurementDetail][47][FlueGasContainBiomass]",Submission!$O:$O,Submission!$H:$N,""))</f>
        <v/>
      </c>
    </row>
    <row r="1374" spans="1:9" ht="15.9" hidden="1" customHeight="1" outlineLevel="1" x14ac:dyDescent="0.3">
      <c r="A1374" s="13"/>
      <c r="B1374" s="23"/>
      <c r="C1374" s="284" t="str">
        <f>_xlfn.CONCAT(_xlfn.XLOOKUP("[S05_ContinuousEmissionsMeasurementDetail][48][InstallationIDCO2]",Submission!$O:$O,Submission!$H:$N,""))</f>
        <v/>
      </c>
      <c r="D1374" s="285"/>
      <c r="E1374" s="284" t="str">
        <f>_xlfn.CONCAT(_xlfn.XLOOKUP("[S05_ContinuousEmissionsMeasurementDetail][48][InstallationIDN2O]",Submission!$O:$O,Submission!$H:$N,""))</f>
        <v/>
      </c>
      <c r="F1374" s="285"/>
      <c r="G1374" s="127" t="str">
        <f>_xlfn.CONCAT(_xlfn.XLOOKUP("[S05_ContinuousEmissionsMeasurementDetail][48][TotalEmissionsCO2E]",Submission!$O:$O,Submission!$H:$N,""))</f>
        <v/>
      </c>
      <c r="H1374" s="127" t="str">
        <f>_xlfn.CONCAT(_xlfn.XLOOKUP("[S05_ContinuousEmissionsMeasurementDetail][48][ContinuousMeasurementTotalEmissions]",Submission!$O:$O,Submission!$H:$N,""))</f>
        <v/>
      </c>
      <c r="I1374" s="72" t="str">
        <f>_xlfn.CONCAT(_xlfn.XLOOKUP("[S05_ContinuousEmissionsMeasurementDetail][48][FlueGasContainBiomass]",Submission!$O:$O,Submission!$H:$N,""))</f>
        <v/>
      </c>
    </row>
    <row r="1375" spans="1:9" ht="15.9" hidden="1" customHeight="1" outlineLevel="1" x14ac:dyDescent="0.3">
      <c r="A1375" s="13"/>
      <c r="B1375" s="23"/>
      <c r="C1375" s="284" t="str">
        <f>_xlfn.CONCAT(_xlfn.XLOOKUP("[S05_ContinuousEmissionsMeasurementDetail][49][InstallationIDCO2]",Submission!$O:$O,Submission!$H:$N,""))</f>
        <v/>
      </c>
      <c r="D1375" s="285"/>
      <c r="E1375" s="284" t="str">
        <f>_xlfn.CONCAT(_xlfn.XLOOKUP("[S05_ContinuousEmissionsMeasurementDetail][49][InstallationIDN2O]",Submission!$O:$O,Submission!$H:$N,""))</f>
        <v/>
      </c>
      <c r="F1375" s="285"/>
      <c r="G1375" s="127" t="str">
        <f>_xlfn.CONCAT(_xlfn.XLOOKUP("[S05_ContinuousEmissionsMeasurementDetail][49][TotalEmissionsCO2E]",Submission!$O:$O,Submission!$H:$N,""))</f>
        <v/>
      </c>
      <c r="H1375" s="127" t="str">
        <f>_xlfn.CONCAT(_xlfn.XLOOKUP("[S05_ContinuousEmissionsMeasurementDetail][49][ContinuousMeasurementTotalEmissions]",Submission!$O:$O,Submission!$H:$N,""))</f>
        <v/>
      </c>
      <c r="I1375" s="72" t="str">
        <f>_xlfn.CONCAT(_xlfn.XLOOKUP("[S05_ContinuousEmissionsMeasurementDetail][49][FlueGasContainBiomass]",Submission!$O:$O,Submission!$H:$N,""))</f>
        <v/>
      </c>
    </row>
    <row r="1376" spans="1:9" ht="15.9" hidden="1" customHeight="1" outlineLevel="1" x14ac:dyDescent="0.3">
      <c r="A1376" s="13"/>
      <c r="B1376" s="23"/>
      <c r="C1376" s="284" t="str">
        <f>_xlfn.CONCAT(_xlfn.XLOOKUP("[S05_ContinuousEmissionsMeasurementDetail][50][InstallationIDCO2]",Submission!$O:$O,Submission!$H:$N,""))</f>
        <v/>
      </c>
      <c r="D1376" s="285"/>
      <c r="E1376" s="284" t="str">
        <f>_xlfn.CONCAT(_xlfn.XLOOKUP("[S05_ContinuousEmissionsMeasurementDetail][50][InstallationIDN2O]",Submission!$O:$O,Submission!$H:$N,""))</f>
        <v/>
      </c>
      <c r="F1376" s="285"/>
      <c r="G1376" s="127" t="str">
        <f>_xlfn.CONCAT(_xlfn.XLOOKUP("[S05_ContinuousEmissionsMeasurementDetail][50][TotalEmissionsCO2E]",Submission!$O:$O,Submission!$H:$N,""))</f>
        <v/>
      </c>
      <c r="H1376" s="127" t="str">
        <f>_xlfn.CONCAT(_xlfn.XLOOKUP("[S05_ContinuousEmissionsMeasurementDetail][50][ContinuousMeasurementTotalEmissions]",Submission!$O:$O,Submission!$H:$N,""))</f>
        <v/>
      </c>
      <c r="I1376" s="72" t="str">
        <f>_xlfn.CONCAT(_xlfn.XLOOKUP("[S05_ContinuousEmissionsMeasurementDetail][50][FlueGasContainBiomass]",Submission!$O:$O,Submission!$H:$N,""))</f>
        <v/>
      </c>
    </row>
    <row r="1377" spans="1:11" ht="15.9" customHeight="1" collapsed="1" x14ac:dyDescent="0.3">
      <c r="A1377" s="12"/>
      <c r="B1377" s="26" t="s">
        <v>2</v>
      </c>
      <c r="C1377" s="19"/>
    </row>
    <row r="1378" spans="1:11" ht="15.9" customHeight="1" x14ac:dyDescent="0.3">
      <c r="A1378" s="12"/>
      <c r="B1378" s="16"/>
      <c r="C1378" s="367" t="s">
        <v>916</v>
      </c>
      <c r="D1378" s="380"/>
      <c r="E1378" s="380"/>
      <c r="F1378" s="380"/>
      <c r="G1378" s="380"/>
      <c r="H1378" s="380"/>
      <c r="I1378" s="380"/>
    </row>
    <row r="1379" spans="1:11" ht="15.9" customHeight="1" x14ac:dyDescent="0.3">
      <c r="C1379" s="385"/>
      <c r="D1379" s="378"/>
      <c r="E1379" s="378"/>
      <c r="F1379" s="378"/>
      <c r="G1379" s="378"/>
      <c r="H1379" s="378"/>
      <c r="I1379" s="378"/>
      <c r="J1379" s="378"/>
    </row>
    <row r="1380" spans="1:11" ht="15.9" customHeight="1" x14ac:dyDescent="0.3">
      <c r="A1380" s="12" t="s">
        <v>287</v>
      </c>
      <c r="B1380" s="271" t="s">
        <v>917</v>
      </c>
      <c r="C1380" s="272"/>
      <c r="D1380" s="272"/>
      <c r="E1380" s="272"/>
      <c r="F1380" s="272"/>
      <c r="G1380" s="272"/>
      <c r="H1380" s="272"/>
      <c r="I1380" s="272"/>
    </row>
    <row r="1381" spans="1:11" ht="15.9" customHeight="1" x14ac:dyDescent="0.3">
      <c r="A1381" s="12"/>
      <c r="B1381" s="59" t="s">
        <v>8</v>
      </c>
      <c r="C1381" s="29" t="s">
        <v>918</v>
      </c>
      <c r="D1381" s="10"/>
      <c r="E1381" s="10"/>
      <c r="F1381" s="10"/>
      <c r="G1381" s="10"/>
      <c r="H1381" s="10"/>
      <c r="I1381" s="10"/>
    </row>
    <row r="1382" spans="1:11" ht="28.2" customHeight="1" x14ac:dyDescent="0.3">
      <c r="A1382" s="12"/>
      <c r="B1382" s="59" t="s">
        <v>8</v>
      </c>
      <c r="C1382" s="310" t="s">
        <v>919</v>
      </c>
      <c r="D1382" s="310"/>
      <c r="E1382" s="310"/>
      <c r="F1382" s="310"/>
      <c r="G1382" s="310"/>
      <c r="H1382" s="310"/>
      <c r="I1382" s="310"/>
    </row>
    <row r="1383" spans="1:11" ht="15.9" customHeight="1" x14ac:dyDescent="0.3">
      <c r="A1383" s="12"/>
      <c r="B1383" s="59" t="s">
        <v>8</v>
      </c>
      <c r="C1383" s="29" t="s">
        <v>920</v>
      </c>
      <c r="D1383" s="90"/>
      <c r="E1383" s="90"/>
      <c r="F1383" s="90"/>
      <c r="G1383" s="90"/>
      <c r="H1383" s="10"/>
      <c r="I1383" s="10"/>
    </row>
    <row r="1384" spans="1:11" ht="15.9" customHeight="1" x14ac:dyDescent="0.3">
      <c r="A1384" s="12"/>
      <c r="B1384" s="59" t="s">
        <v>8</v>
      </c>
      <c r="C1384" s="29" t="s">
        <v>921</v>
      </c>
      <c r="D1384" s="90"/>
      <c r="E1384" s="90"/>
      <c r="F1384" s="90"/>
      <c r="G1384" s="90"/>
      <c r="H1384" s="10"/>
      <c r="I1384" s="10"/>
    </row>
    <row r="1385" spans="1:11" ht="15.9" customHeight="1" x14ac:dyDescent="0.3">
      <c r="A1385" s="12"/>
      <c r="B1385" s="59" t="s">
        <v>8</v>
      </c>
      <c r="C1385" s="29" t="s">
        <v>922</v>
      </c>
      <c r="D1385" s="90"/>
      <c r="E1385" s="90"/>
      <c r="F1385" s="90"/>
      <c r="G1385" s="90"/>
      <c r="H1385" s="90"/>
      <c r="I1385" s="10"/>
    </row>
    <row r="1386" spans="1:11" ht="15.9" customHeight="1" x14ac:dyDescent="0.3">
      <c r="A1386" s="12"/>
      <c r="B1386" s="59" t="s">
        <v>8</v>
      </c>
      <c r="C1386" s="29" t="s">
        <v>923</v>
      </c>
      <c r="D1386" s="90"/>
      <c r="E1386" s="90"/>
      <c r="F1386" s="90"/>
      <c r="G1386" s="90"/>
      <c r="H1386" s="90"/>
      <c r="I1386" s="10"/>
    </row>
    <row r="1387" spans="1:11" s="156" customFormat="1" ht="15" customHeight="1" x14ac:dyDescent="0.3">
      <c r="A1387" s="145"/>
      <c r="B1387" s="59" t="s">
        <v>8</v>
      </c>
      <c r="C1387" s="29" t="s">
        <v>924</v>
      </c>
      <c r="D1387" s="90"/>
      <c r="E1387" s="90"/>
      <c r="F1387" s="90"/>
      <c r="G1387" s="90"/>
      <c r="H1387" s="90"/>
      <c r="I1387" s="155"/>
    </row>
    <row r="1388" spans="1:11" ht="111.6" x14ac:dyDescent="0.3">
      <c r="A1388" s="12"/>
      <c r="C1388" s="45" t="s">
        <v>879</v>
      </c>
      <c r="D1388" s="46" t="s">
        <v>891</v>
      </c>
      <c r="E1388" s="46" t="s">
        <v>925</v>
      </c>
      <c r="F1388" s="46" t="s">
        <v>926</v>
      </c>
      <c r="G1388" s="46" t="s">
        <v>927</v>
      </c>
      <c r="H1388" s="46" t="s">
        <v>928</v>
      </c>
      <c r="I1388" s="46" t="s">
        <v>929</v>
      </c>
      <c r="J1388" s="46" t="s">
        <v>930</v>
      </c>
      <c r="K1388" s="46" t="s">
        <v>931</v>
      </c>
    </row>
    <row r="1389" spans="1:11" ht="44.4" customHeight="1" x14ac:dyDescent="0.3">
      <c r="A1389" s="12"/>
      <c r="C1389" s="125" t="str">
        <f>_xlfn.CONCAT(_xlfn.XLOOKUP("[S05_BiomassInstallations][1][Annex1Activity]",Submission!$O:$O,Submission!$H:$N,""))</f>
        <v>20 - Combustion of fuels as specified in Annex I of Directive 2003/87/EC</v>
      </c>
      <c r="D1389" s="128" t="str">
        <f>_xlfn.CONCAT(_xlfn.XLOOKUP("[S05_BiomassInstallations][1][BiomassInstallationCategory]",Submission!$O:$O,Submission!$H:$N,""))</f>
        <v>Category A</v>
      </c>
      <c r="E1389" s="126" t="str">
        <f>_xlfn.CONCAT(_xlfn.XLOOKUP("[S05_BiomassInstallations][1][NumberUsingBiomass]",Submission!$O:$O,Submission!$H:$N,""))</f>
        <v>4</v>
      </c>
      <c r="F1389" s="126" t="str">
        <f>_xlfn.CONCAT(_xlfn.XLOOKUP("[S05_BiomassInstallations][1][EmissionsBiomassSustainabilitySatisfied]",Submission!$O:$O,Submission!$H:$N,""))</f>
        <v>62936.03</v>
      </c>
      <c r="G1389" s="126" t="str">
        <f>_xlfn.CONCAT(_xlfn.XLOOKUP("[S05_BiomassInstallations][1][EmissionsBiomassSustainabilityNotSatisfied]",Submission!$O:$O,Submission!$H:$N,""))</f>
        <v>0</v>
      </c>
      <c r="H1389" s="126" t="str">
        <f>_xlfn.CONCAT(_xlfn.XLOOKUP("[S05_BiomassInstallations][1][EmissionsFossil]",Submission!$O:$O,Submission!$H:$N,""))</f>
        <v>14714.85</v>
      </c>
      <c r="I1389" s="126" t="str">
        <f>_xlfn.CONCAT(_xlfn.XLOOKUP("[S05_BiomassInstallations][1][EnergyZeroRatedBiomass]",Submission!$O:$O,Submission!$H:$N,""))</f>
        <v>571.06</v>
      </c>
      <c r="J1389" s="126" t="str">
        <f>_xlfn.CONCAT(_xlfn.XLOOKUP("[S05_BiomassInstallations][1][EnergyNonZeroRatedBiomass]",Submission!$O:$O,Submission!$H:$N,""))</f>
        <v>0</v>
      </c>
      <c r="K1389" s="126" t="str">
        <f>_xlfn.CONCAT(_xlfn.XLOOKUP("[S05_BiomassInstallations][1][EnergyFossil]",Submission!$O:$O,Submission!$H:$N,""))</f>
        <v>250.57</v>
      </c>
    </row>
    <row r="1390" spans="1:11" ht="44.4" customHeight="1" x14ac:dyDescent="0.3">
      <c r="A1390" s="12"/>
      <c r="C1390" s="125" t="str">
        <f>_xlfn.CONCAT(_xlfn.XLOOKUP("[S05_BiomassInstallations][2][Annex1Activity]",Submission!$O:$O,Submission!$H:$N,""))</f>
        <v>20 - Combustion of fuels as specified in Annex I of Directive 2003/87/EC</v>
      </c>
      <c r="D1390" s="128" t="str">
        <f>_xlfn.CONCAT(_xlfn.XLOOKUP("[S05_BiomassInstallations][2][BiomassInstallationCategory]",Submission!$O:$O,Submission!$H:$N,""))</f>
        <v>Category B</v>
      </c>
      <c r="E1390" s="126" t="str">
        <f>_xlfn.CONCAT(_xlfn.XLOOKUP("[S05_BiomassInstallations][2][NumberUsingBiomass]",Submission!$O:$O,Submission!$H:$N,""))</f>
        <v>2</v>
      </c>
      <c r="F1390" s="126" t="str">
        <f>_xlfn.CONCAT(_xlfn.XLOOKUP("[S05_BiomassInstallations][2][EmissionsBiomassSustainabilitySatisfied]",Submission!$O:$O,Submission!$H:$N,""))</f>
        <v>58339.75</v>
      </c>
      <c r="G1390" s="126" t="str">
        <f>_xlfn.CONCAT(_xlfn.XLOOKUP("[S05_BiomassInstallations][2][EmissionsBiomassSustainabilityNotSatisfied]",Submission!$O:$O,Submission!$H:$N,""))</f>
        <v>0</v>
      </c>
      <c r="H1390" s="126" t="str">
        <f>_xlfn.CONCAT(_xlfn.XLOOKUP("[S05_BiomassInstallations][2][EmissionsFossil]",Submission!$O:$O,Submission!$H:$N,""))</f>
        <v>479158.76</v>
      </c>
      <c r="I1390" s="126" t="str">
        <f>_xlfn.CONCAT(_xlfn.XLOOKUP("[S05_BiomassInstallations][2][EnergyZeroRatedBiomass]",Submission!$O:$O,Submission!$H:$N,""))</f>
        <v>544.44</v>
      </c>
      <c r="J1390" s="126" t="str">
        <f>_xlfn.CONCAT(_xlfn.XLOOKUP("[S05_BiomassInstallations][2][EnergyNonZeroRatedBiomass]",Submission!$O:$O,Submission!$H:$N,""))</f>
        <v>0</v>
      </c>
      <c r="K1390" s="126" t="str">
        <f>_xlfn.CONCAT(_xlfn.XLOOKUP("[S05_BiomassInstallations][2][EnergyFossil]",Submission!$O:$O,Submission!$H:$N,""))</f>
        <v>8583.99</v>
      </c>
    </row>
    <row r="1391" spans="1:11" ht="44.4" customHeight="1" x14ac:dyDescent="0.3">
      <c r="A1391" s="12"/>
      <c r="C1391" s="125" t="str">
        <f>_xlfn.CONCAT(_xlfn.XLOOKUP("[S05_BiomassInstallations][3][Annex1Activity]",Submission!$O:$O,Submission!$H:$N,""))</f>
        <v>29 - Production of cement clinker in rotary kilns as specified in Annex I of Directive 2003/87/ EC</v>
      </c>
      <c r="D1391" s="128" t="str">
        <f>_xlfn.CONCAT(_xlfn.XLOOKUP("[S05_BiomassInstallations][3][BiomassInstallationCategory]",Submission!$O:$O,Submission!$H:$N,""))</f>
        <v>Category B</v>
      </c>
      <c r="E1391" s="126" t="str">
        <f>_xlfn.CONCAT(_xlfn.XLOOKUP("[S05_BiomassInstallations][3][NumberUsingBiomass]",Submission!$O:$O,Submission!$H:$N,""))</f>
        <v>1</v>
      </c>
      <c r="F1391" s="126" t="str">
        <f>_xlfn.CONCAT(_xlfn.XLOOKUP("[S05_BiomassInstallations][3][EmissionsBiomassSustainabilitySatisfied]",Submission!$O:$O,Submission!$H:$N,""))</f>
        <v>20920.22</v>
      </c>
      <c r="G1391" s="126" t="str">
        <f>_xlfn.CONCAT(_xlfn.XLOOKUP("[S05_BiomassInstallations][3][EmissionsBiomassSustainabilityNotSatisfied]",Submission!$O:$O,Submission!$H:$N,""))</f>
        <v>0</v>
      </c>
      <c r="H1391" s="126" t="str">
        <f>_xlfn.CONCAT(_xlfn.XLOOKUP("[S05_BiomassInstallations][3][EmissionsFossil]",Submission!$O:$O,Submission!$H:$N,""))</f>
        <v>346154.88</v>
      </c>
      <c r="I1391" s="126" t="str">
        <f>_xlfn.CONCAT(_xlfn.XLOOKUP("[S05_BiomassInstallations][3][EnergyZeroRatedBiomass]",Submission!$O:$O,Submission!$H:$N,""))</f>
        <v>249.41</v>
      </c>
      <c r="J1391" s="126" t="str">
        <f>_xlfn.CONCAT(_xlfn.XLOOKUP("[S05_BiomassInstallations][3][EnergyNonZeroRatedBiomass]",Submission!$O:$O,Submission!$H:$N,""))</f>
        <v>0</v>
      </c>
      <c r="K1391" s="126" t="str">
        <f>_xlfn.CONCAT(_xlfn.XLOOKUP("[S05_BiomassInstallations][3][EnergyFossil]",Submission!$O:$O,Submission!$H:$N,""))</f>
        <v>1448.65</v>
      </c>
    </row>
    <row r="1392" spans="1:11" ht="44.4" customHeight="1" x14ac:dyDescent="0.3">
      <c r="A1392" s="12"/>
      <c r="C1392" s="125" t="str">
        <f>_xlfn.CONCAT(_xlfn.XLOOKUP("[S05_BiomassInstallations][4][Annex1Activity]",Submission!$O:$O,Submission!$H:$N,""))</f>
        <v>29 - Production of cement clinker in rotary kilns as specified in Annex I of Directive 2003/87/ EC</v>
      </c>
      <c r="D1392" s="128" t="str">
        <f>_xlfn.CONCAT(_xlfn.XLOOKUP("[S05_BiomassInstallations][4][BiomassInstallationCategory]",Submission!$O:$O,Submission!$H:$N,""))</f>
        <v>Category C</v>
      </c>
      <c r="E1392" s="126" t="str">
        <f>_xlfn.CONCAT(_xlfn.XLOOKUP("[S05_BiomassInstallations][4][NumberUsingBiomass]",Submission!$O:$O,Submission!$H:$N,""))</f>
        <v>2</v>
      </c>
      <c r="F1392" s="126" t="str">
        <f>_xlfn.CONCAT(_xlfn.XLOOKUP("[S05_BiomassInstallations][4][EmissionsBiomassSustainabilitySatisfied]",Submission!$O:$O,Submission!$H:$N,""))</f>
        <v>40716.93</v>
      </c>
      <c r="G1392" s="126" t="str">
        <f>_xlfn.CONCAT(_xlfn.XLOOKUP("[S05_BiomassInstallations][4][EmissionsBiomassSustainabilityNotSatisfied]",Submission!$O:$O,Submission!$H:$N,""))</f>
        <v>0</v>
      </c>
      <c r="H1392" s="126" t="str">
        <f>_xlfn.CONCAT(_xlfn.XLOOKUP("[S05_BiomassInstallations][4][EmissionsFossil]",Submission!$O:$O,Submission!$H:$N,""))</f>
        <v>1479110.66</v>
      </c>
      <c r="I1392" s="126" t="str">
        <f>_xlfn.CONCAT(_xlfn.XLOOKUP("[S05_BiomassInstallations][4][EnergyZeroRatedBiomass]",Submission!$O:$O,Submission!$H:$N,""))</f>
        <v>439.59</v>
      </c>
      <c r="J1392" s="126" t="str">
        <f>_xlfn.CONCAT(_xlfn.XLOOKUP("[S05_BiomassInstallations][4][EnergyNonZeroRatedBiomass]",Submission!$O:$O,Submission!$H:$N,""))</f>
        <v>0</v>
      </c>
      <c r="K1392" s="126" t="str">
        <f>_xlfn.CONCAT(_xlfn.XLOOKUP("[S05_BiomassInstallations][4][EnergyFossil]",Submission!$O:$O,Submission!$H:$N,""))</f>
        <v>5862.25</v>
      </c>
    </row>
    <row r="1393" spans="1:11" ht="44.4" customHeight="1" x14ac:dyDescent="0.3">
      <c r="A1393" s="12"/>
      <c r="C1393" s="125" t="str">
        <f>_xlfn.CONCAT(_xlfn.XLOOKUP("[S05_BiomassInstallations][5][Annex1Activity]",Submission!$O:$O,Submission!$H:$N,""))</f>
        <v>30 - Production of lime or calcination of dolomite or magnesite as specified in Annex I of Directive 2003/87/ EC</v>
      </c>
      <c r="D1393" s="128" t="str">
        <f>_xlfn.CONCAT(_xlfn.XLOOKUP("[S05_BiomassInstallations][5][BiomassInstallationCategory]",Submission!$O:$O,Submission!$H:$N,""))</f>
        <v>Category B</v>
      </c>
      <c r="E1393" s="126" t="str">
        <f>_xlfn.CONCAT(_xlfn.XLOOKUP("[S05_BiomassInstallations][5][NumberUsingBiomass]",Submission!$O:$O,Submission!$H:$N,""))</f>
        <v>1</v>
      </c>
      <c r="F1393" s="126" t="str">
        <f>_xlfn.CONCAT(_xlfn.XLOOKUP("[S05_BiomassInstallations][5][EmissionsBiomassSustainabilitySatisfied]",Submission!$O:$O,Submission!$H:$N,""))</f>
        <v>17239.48</v>
      </c>
      <c r="G1393" s="126" t="str">
        <f>_xlfn.CONCAT(_xlfn.XLOOKUP("[S05_BiomassInstallations][5][EmissionsBiomassSustainabilityNotSatisfied]",Submission!$O:$O,Submission!$H:$N,""))</f>
        <v>0</v>
      </c>
      <c r="H1393" s="126" t="str">
        <f>_xlfn.CONCAT(_xlfn.XLOOKUP("[S05_BiomassInstallations][5][EmissionsFossil]",Submission!$O:$O,Submission!$H:$N,""))</f>
        <v>29278.26</v>
      </c>
      <c r="I1393" s="126" t="str">
        <f>_xlfn.CONCAT(_xlfn.XLOOKUP("[S05_BiomassInstallations][5][EnergyZeroRatedBiomass]",Submission!$O:$O,Submission!$H:$N,""))</f>
        <v>153.58</v>
      </c>
      <c r="J1393" s="126" t="str">
        <f>_xlfn.CONCAT(_xlfn.XLOOKUP("[S05_BiomassInstallations][5][EnergyNonZeroRatedBiomass]",Submission!$O:$O,Submission!$H:$N,""))</f>
        <v>0</v>
      </c>
      <c r="K1393" s="126" t="str">
        <f>_xlfn.CONCAT(_xlfn.XLOOKUP("[S05_BiomassInstallations][5][EnergyFossil]",Submission!$O:$O,Submission!$H:$N,""))</f>
        <v>55.15</v>
      </c>
    </row>
    <row r="1394" spans="1:11" ht="44.4" customHeight="1" x14ac:dyDescent="0.3">
      <c r="A1394" s="12"/>
      <c r="C1394" s="125" t="str">
        <f>_xlfn.CONCAT(_xlfn.XLOOKUP("[S05_BiomassInstallations][6][Annex1Activity]",Submission!$O:$O,Submission!$H:$N,""))</f>
        <v>32 - Manufacture of ceramic products as specified in Annex I of Directive 2003/87/EC</v>
      </c>
      <c r="D1394" s="128" t="str">
        <f>_xlfn.CONCAT(_xlfn.XLOOKUP("[S05_BiomassInstallations][6][BiomassInstallationCategory]",Submission!$O:$O,Submission!$H:$N,""))</f>
        <v>Category A</v>
      </c>
      <c r="E1394" s="126" t="str">
        <f>_xlfn.CONCAT(_xlfn.XLOOKUP("[S05_BiomassInstallations][6][NumberUsingBiomass]",Submission!$O:$O,Submission!$H:$N,""))</f>
        <v>3</v>
      </c>
      <c r="F1394" s="126" t="str">
        <f>_xlfn.CONCAT(_xlfn.XLOOKUP("[S05_BiomassInstallations][6][EmissionsBiomassSustainabilitySatisfied]",Submission!$O:$O,Submission!$H:$N,""))</f>
        <v>27127.64</v>
      </c>
      <c r="G1394" s="126" t="str">
        <f>_xlfn.CONCAT(_xlfn.XLOOKUP("[S05_BiomassInstallations][6][EmissionsBiomassSustainabilityNotSatisfied]",Submission!$O:$O,Submission!$H:$N,""))</f>
        <v>0</v>
      </c>
      <c r="H1394" s="126" t="str">
        <f>_xlfn.CONCAT(_xlfn.XLOOKUP("[S05_BiomassInstallations][6][EmissionsFossil]",Submission!$O:$O,Submission!$H:$N,""))</f>
        <v>15819.93</v>
      </c>
      <c r="I1394" s="126" t="str">
        <f>_xlfn.CONCAT(_xlfn.XLOOKUP("[S05_BiomassInstallations][6][EnergyZeroRatedBiomass]",Submission!$O:$O,Submission!$H:$N,""))</f>
        <v>242.21</v>
      </c>
      <c r="J1394" s="126" t="str">
        <f>_xlfn.CONCAT(_xlfn.XLOOKUP("[S05_BiomassInstallations][6][EnergyNonZeroRatedBiomass]",Submission!$O:$O,Submission!$H:$N,""))</f>
        <v>0</v>
      </c>
      <c r="K1394" s="126" t="str">
        <f>_xlfn.CONCAT(_xlfn.XLOOKUP("[S05_BiomassInstallations][6][EnergyFossil]",Submission!$O:$O,Submission!$H:$N,""))</f>
        <v>230.42</v>
      </c>
    </row>
    <row r="1395" spans="1:11" ht="44.4" customHeight="1" x14ac:dyDescent="0.3">
      <c r="A1395" s="12"/>
      <c r="C1395" s="125" t="str">
        <f>_xlfn.CONCAT(_xlfn.XLOOKUP("[S05_BiomassInstallations][7][Annex1Activity]",Submission!$O:$O,Submission!$H:$N,""))</f>
        <v/>
      </c>
      <c r="D1395" s="128" t="str">
        <f>_xlfn.CONCAT(_xlfn.XLOOKUP("[S05_BiomassInstallations][7][BiomassInstallationCategory]",Submission!$O:$O,Submission!$H:$N,""))</f>
        <v/>
      </c>
      <c r="E1395" s="126" t="str">
        <f>_xlfn.CONCAT(_xlfn.XLOOKUP("[S05_BiomassInstallations][7][NumberUsingBiomass]",Submission!$O:$O,Submission!$H:$N,""))</f>
        <v/>
      </c>
      <c r="F1395" s="126" t="str">
        <f>_xlfn.CONCAT(_xlfn.XLOOKUP("[S05_BiomassInstallations][7][EmissionsBiomassSustainabilitySatisfied]",Submission!$O:$O,Submission!$H:$N,""))</f>
        <v/>
      </c>
      <c r="G1395" s="126" t="str">
        <f>_xlfn.CONCAT(_xlfn.XLOOKUP("[S05_BiomassInstallations][7][EmissionsBiomassSustainabilityNotSatisfied]",Submission!$O:$O,Submission!$H:$N,""))</f>
        <v/>
      </c>
      <c r="H1395" s="126" t="str">
        <f>_xlfn.CONCAT(_xlfn.XLOOKUP("[S05_BiomassInstallations][7][EmissionsFossil]",Submission!$O:$O,Submission!$H:$N,""))</f>
        <v/>
      </c>
      <c r="I1395" s="126" t="str">
        <f>_xlfn.CONCAT(_xlfn.XLOOKUP("[S05_BiomassInstallations][7][EnergyZeroRatedBiomass]",Submission!$O:$O,Submission!$H:$N,""))</f>
        <v/>
      </c>
      <c r="J1395" s="126" t="str">
        <f>_xlfn.CONCAT(_xlfn.XLOOKUP("[S05_BiomassInstallations][7][EnergyNonZeroRatedBiomass]",Submission!$O:$O,Submission!$H:$N,""))</f>
        <v/>
      </c>
      <c r="K1395" s="126" t="str">
        <f>_xlfn.CONCAT(_xlfn.XLOOKUP("[S05_BiomassInstallations][7][EnergyFossil]",Submission!$O:$O,Submission!$H:$N,""))</f>
        <v/>
      </c>
    </row>
    <row r="1396" spans="1:11" ht="44.4" customHeight="1" x14ac:dyDescent="0.3">
      <c r="A1396" s="12"/>
      <c r="C1396" s="125" t="str">
        <f>_xlfn.CONCAT(_xlfn.XLOOKUP("[S05_BiomassInstallations][8][Annex1Activity]",Submission!$O:$O,Submission!$H:$N,""))</f>
        <v/>
      </c>
      <c r="D1396" s="128" t="str">
        <f>_xlfn.CONCAT(_xlfn.XLOOKUP("[S05_BiomassInstallations][8][BiomassInstallationCategory]",Submission!$O:$O,Submission!$H:$N,""))</f>
        <v/>
      </c>
      <c r="E1396" s="126" t="str">
        <f>_xlfn.CONCAT(_xlfn.XLOOKUP("[S05_BiomassInstallations][8][NumberUsingBiomass]",Submission!$O:$O,Submission!$H:$N,""))</f>
        <v/>
      </c>
      <c r="F1396" s="126" t="str">
        <f>_xlfn.CONCAT(_xlfn.XLOOKUP("[S05_BiomassInstallations][8][EmissionsBiomassSustainabilitySatisfied]",Submission!$O:$O,Submission!$H:$N,""))</f>
        <v/>
      </c>
      <c r="G1396" s="126" t="str">
        <f>_xlfn.CONCAT(_xlfn.XLOOKUP("[S05_BiomassInstallations][8][EmissionsBiomassSustainabilityNotSatisfied]",Submission!$O:$O,Submission!$H:$N,""))</f>
        <v/>
      </c>
      <c r="H1396" s="126" t="str">
        <f>_xlfn.CONCAT(_xlfn.XLOOKUP("[S05_BiomassInstallations][8][EmissionsFossil]",Submission!$O:$O,Submission!$H:$N,""))</f>
        <v/>
      </c>
      <c r="I1396" s="126" t="str">
        <f>_xlfn.CONCAT(_xlfn.XLOOKUP("[S05_BiomassInstallations][8][EnergyZeroRatedBiomass]",Submission!$O:$O,Submission!$H:$N,""))</f>
        <v/>
      </c>
      <c r="J1396" s="126" t="str">
        <f>_xlfn.CONCAT(_xlfn.XLOOKUP("[S05_BiomassInstallations][8][EnergyNonZeroRatedBiomass]",Submission!$O:$O,Submission!$H:$N,""))</f>
        <v/>
      </c>
      <c r="K1396" s="126" t="str">
        <f>_xlfn.CONCAT(_xlfn.XLOOKUP("[S05_BiomassInstallations][8][EnergyFossil]",Submission!$O:$O,Submission!$H:$N,""))</f>
        <v/>
      </c>
    </row>
    <row r="1397" spans="1:11" ht="44.4" customHeight="1" x14ac:dyDescent="0.3">
      <c r="A1397" s="12"/>
      <c r="C1397" s="125" t="str">
        <f>_xlfn.CONCAT(_xlfn.XLOOKUP("[S05_BiomassInstallations][9][Annex1Activity]",Submission!$O:$O,Submission!$H:$N,""))</f>
        <v/>
      </c>
      <c r="D1397" s="128" t="str">
        <f>_xlfn.CONCAT(_xlfn.XLOOKUP("[S05_BiomassInstallations][9][BiomassInstallationCategory]",Submission!$O:$O,Submission!$H:$N,""))</f>
        <v/>
      </c>
      <c r="E1397" s="126" t="str">
        <f>_xlfn.CONCAT(_xlfn.XLOOKUP("[S05_BiomassInstallations][9][NumberUsingBiomass]",Submission!$O:$O,Submission!$H:$N,""))</f>
        <v/>
      </c>
      <c r="F1397" s="126" t="str">
        <f>_xlfn.CONCAT(_xlfn.XLOOKUP("[S05_BiomassInstallations][9][EmissionsBiomassSustainabilitySatisfied]",Submission!$O:$O,Submission!$H:$N,""))</f>
        <v/>
      </c>
      <c r="G1397" s="126" t="str">
        <f>_xlfn.CONCAT(_xlfn.XLOOKUP("[S05_BiomassInstallations][9][EmissionsBiomassSustainabilityNotSatisfied]",Submission!$O:$O,Submission!$H:$N,""))</f>
        <v/>
      </c>
      <c r="H1397" s="126" t="str">
        <f>_xlfn.CONCAT(_xlfn.XLOOKUP("[S05_BiomassInstallations][9][EmissionsFossil]",Submission!$O:$O,Submission!$H:$N,""))</f>
        <v/>
      </c>
      <c r="I1397" s="126" t="str">
        <f>_xlfn.CONCAT(_xlfn.XLOOKUP("[S05_BiomassInstallations][9][EnergyZeroRatedBiomass]",Submission!$O:$O,Submission!$H:$N,""))</f>
        <v/>
      </c>
      <c r="J1397" s="126" t="str">
        <f>_xlfn.CONCAT(_xlfn.XLOOKUP("[S05_BiomassInstallations][9][EnergyNonZeroRatedBiomass]",Submission!$O:$O,Submission!$H:$N,""))</f>
        <v/>
      </c>
      <c r="K1397" s="126" t="str">
        <f>_xlfn.CONCAT(_xlfn.XLOOKUP("[S05_BiomassInstallations][9][EnergyFossil]",Submission!$O:$O,Submission!$H:$N,""))</f>
        <v/>
      </c>
    </row>
    <row r="1398" spans="1:11" ht="44.4" customHeight="1" x14ac:dyDescent="0.3">
      <c r="A1398" s="12"/>
      <c r="C1398" s="125" t="str">
        <f>_xlfn.CONCAT(_xlfn.XLOOKUP("[S05_BiomassInstallations][10][Annex1Activity]",Submission!$O:$O,Submission!$H:$N,""))</f>
        <v/>
      </c>
      <c r="D1398" s="128" t="str">
        <f>_xlfn.CONCAT(_xlfn.XLOOKUP("[S05_BiomassInstallations][10][BiomassInstallationCategory]",Submission!$O:$O,Submission!$H:$N,""))</f>
        <v/>
      </c>
      <c r="E1398" s="126" t="str">
        <f>_xlfn.CONCAT(_xlfn.XLOOKUP("[S05_BiomassInstallations][10][NumberUsingBiomass]",Submission!$O:$O,Submission!$H:$N,""))</f>
        <v/>
      </c>
      <c r="F1398" s="126" t="str">
        <f>_xlfn.CONCAT(_xlfn.XLOOKUP("[S05_BiomassInstallations][10][EmissionsBiomassSustainabilitySatisfied]",Submission!$O:$O,Submission!$H:$N,""))</f>
        <v/>
      </c>
      <c r="G1398" s="126" t="str">
        <f>_xlfn.CONCAT(_xlfn.XLOOKUP("[S05_BiomassInstallations][10][EmissionsBiomassSustainabilityNotSatisfied]",Submission!$O:$O,Submission!$H:$N,""))</f>
        <v/>
      </c>
      <c r="H1398" s="126" t="str">
        <f>_xlfn.CONCAT(_xlfn.XLOOKUP("[S05_BiomassInstallations][10][EmissionsFossil]",Submission!$O:$O,Submission!$H:$N,""))</f>
        <v/>
      </c>
      <c r="I1398" s="126" t="str">
        <f>_xlfn.CONCAT(_xlfn.XLOOKUP("[S05_BiomassInstallations][10][EnergyZeroRatedBiomass]",Submission!$O:$O,Submission!$H:$N,""))</f>
        <v/>
      </c>
      <c r="J1398" s="126" t="str">
        <f>_xlfn.CONCAT(_xlfn.XLOOKUP("[S05_BiomassInstallations][10][EnergyNonZeroRatedBiomass]",Submission!$O:$O,Submission!$H:$N,""))</f>
        <v/>
      </c>
      <c r="K1398" s="126" t="str">
        <f>_xlfn.CONCAT(_xlfn.XLOOKUP("[S05_BiomassInstallations][10][EnergyFossil]",Submission!$O:$O,Submission!$H:$N,""))</f>
        <v/>
      </c>
    </row>
    <row r="1399" spans="1:11" ht="44.4" customHeight="1" x14ac:dyDescent="0.3">
      <c r="A1399" s="12"/>
      <c r="C1399" s="125" t="str">
        <f>_xlfn.CONCAT(_xlfn.XLOOKUP("[S05_BiomassInstallations][11][Annex1Activity]",Submission!$O:$O,Submission!$H:$N,""))</f>
        <v/>
      </c>
      <c r="D1399" s="128" t="str">
        <f>_xlfn.CONCAT(_xlfn.XLOOKUP("[S05_BiomassInstallations][11][BiomassInstallationCategory]",Submission!$O:$O,Submission!$H:$N,""))</f>
        <v/>
      </c>
      <c r="E1399" s="126" t="str">
        <f>_xlfn.CONCAT(_xlfn.XLOOKUP("[S05_BiomassInstallations][11][NumberUsingBiomass]",Submission!$O:$O,Submission!$H:$N,""))</f>
        <v/>
      </c>
      <c r="F1399" s="126" t="str">
        <f>_xlfn.CONCAT(_xlfn.XLOOKUP("[S05_BiomassInstallations][11][EmissionsBiomassSustainabilitySatisfied]",Submission!$O:$O,Submission!$H:$N,""))</f>
        <v/>
      </c>
      <c r="G1399" s="126" t="str">
        <f>_xlfn.CONCAT(_xlfn.XLOOKUP("[S05_BiomassInstallations][11][EmissionsBiomassSustainabilityNotSatisfied]",Submission!$O:$O,Submission!$H:$N,""))</f>
        <v/>
      </c>
      <c r="H1399" s="126" t="str">
        <f>_xlfn.CONCAT(_xlfn.XLOOKUP("[S05_BiomassInstallations][11][EmissionsFossil]",Submission!$O:$O,Submission!$H:$N,""))</f>
        <v/>
      </c>
      <c r="I1399" s="126" t="str">
        <f>_xlfn.CONCAT(_xlfn.XLOOKUP("[S05_BiomassInstallations][11][EnergyZeroRatedBiomass]",Submission!$O:$O,Submission!$H:$N,""))</f>
        <v/>
      </c>
      <c r="J1399" s="126" t="str">
        <f>_xlfn.CONCAT(_xlfn.XLOOKUP("[S05_BiomassInstallations][11][EnergyNonZeroRatedBiomass]",Submission!$O:$O,Submission!$H:$N,""))</f>
        <v/>
      </c>
      <c r="K1399" s="126" t="str">
        <f>_xlfn.CONCAT(_xlfn.XLOOKUP("[S05_BiomassInstallations][11][EnergyFossil]",Submission!$O:$O,Submission!$H:$N,""))</f>
        <v/>
      </c>
    </row>
    <row r="1400" spans="1:11" ht="44.4" customHeight="1" x14ac:dyDescent="0.3">
      <c r="A1400" s="12"/>
      <c r="C1400" s="125" t="str">
        <f>_xlfn.CONCAT(_xlfn.XLOOKUP("[S05_BiomassInstallations][12][Annex1Activity]",Submission!$O:$O,Submission!$H:$N,""))</f>
        <v/>
      </c>
      <c r="D1400" s="128" t="str">
        <f>_xlfn.CONCAT(_xlfn.XLOOKUP("[S05_BiomassInstallations][12][BiomassInstallationCategory]",Submission!$O:$O,Submission!$H:$N,""))</f>
        <v/>
      </c>
      <c r="E1400" s="126" t="str">
        <f>_xlfn.CONCAT(_xlfn.XLOOKUP("[S05_BiomassInstallations][12][NumberUsingBiomass]",Submission!$O:$O,Submission!$H:$N,""))</f>
        <v/>
      </c>
      <c r="F1400" s="126" t="str">
        <f>_xlfn.CONCAT(_xlfn.XLOOKUP("[S05_BiomassInstallations][12][EmissionsBiomassSustainabilitySatisfied]",Submission!$O:$O,Submission!$H:$N,""))</f>
        <v/>
      </c>
      <c r="G1400" s="126" t="str">
        <f>_xlfn.CONCAT(_xlfn.XLOOKUP("[S05_BiomassInstallations][12][EmissionsBiomassSustainabilityNotSatisfied]",Submission!$O:$O,Submission!$H:$N,""))</f>
        <v/>
      </c>
      <c r="H1400" s="126" t="str">
        <f>_xlfn.CONCAT(_xlfn.XLOOKUP("[S05_BiomassInstallations][12][EmissionsFossil]",Submission!$O:$O,Submission!$H:$N,""))</f>
        <v/>
      </c>
      <c r="I1400" s="126" t="str">
        <f>_xlfn.CONCAT(_xlfn.XLOOKUP("[S05_BiomassInstallations][12][EnergyZeroRatedBiomass]",Submission!$O:$O,Submission!$H:$N,""))</f>
        <v/>
      </c>
      <c r="J1400" s="126" t="str">
        <f>_xlfn.CONCAT(_xlfn.XLOOKUP("[S05_BiomassInstallations][12][EnergyNonZeroRatedBiomass]",Submission!$O:$O,Submission!$H:$N,""))</f>
        <v/>
      </c>
      <c r="K1400" s="126" t="str">
        <f>_xlfn.CONCAT(_xlfn.XLOOKUP("[S05_BiomassInstallations][12][EnergyFossil]",Submission!$O:$O,Submission!$H:$N,""))</f>
        <v/>
      </c>
    </row>
    <row r="1401" spans="1:11" ht="44.4" hidden="1" customHeight="1" outlineLevel="1" x14ac:dyDescent="0.3">
      <c r="A1401" s="12"/>
      <c r="C1401" s="125" t="str">
        <f>_xlfn.CONCAT(_xlfn.XLOOKUP("[S05_BiomassInstallations][13][Annex1Activity]",Submission!$O:$O,Submission!$H:$N,""))</f>
        <v/>
      </c>
      <c r="D1401" s="128" t="str">
        <f>_xlfn.CONCAT(_xlfn.XLOOKUP("[S05_BiomassInstallations][13][BiomassInstallationCategory]",Submission!$O:$O,Submission!$H:$N,""))</f>
        <v/>
      </c>
      <c r="E1401" s="126" t="str">
        <f>_xlfn.CONCAT(_xlfn.XLOOKUP("[S05_BiomassInstallations][13][NumberUsingBiomass]",Submission!$O:$O,Submission!$H:$N,""))</f>
        <v/>
      </c>
      <c r="F1401" s="126" t="str">
        <f>_xlfn.CONCAT(_xlfn.XLOOKUP("[S05_BiomassInstallations][13][EmissionsBiomassSustainabilitySatisfied]",Submission!$O:$O,Submission!$H:$N,""))</f>
        <v/>
      </c>
      <c r="G1401" s="126" t="str">
        <f>_xlfn.CONCAT(_xlfn.XLOOKUP("[S05_BiomassInstallations][13][EmissionsBiomassSustainabilityNotSatisfied]",Submission!$O:$O,Submission!$H:$N,""))</f>
        <v/>
      </c>
      <c r="H1401" s="126" t="str">
        <f>_xlfn.CONCAT(_xlfn.XLOOKUP("[S05_BiomassInstallations][13][EmissionsFossil]",Submission!$O:$O,Submission!$H:$N,""))</f>
        <v/>
      </c>
      <c r="I1401" s="126" t="str">
        <f>_xlfn.CONCAT(_xlfn.XLOOKUP("[S05_BiomassInstallations][13][EnergyZeroRatedBiomass]",Submission!$O:$O,Submission!$H:$N,""))</f>
        <v/>
      </c>
      <c r="J1401" s="126" t="str">
        <f>_xlfn.CONCAT(_xlfn.XLOOKUP("[S05_BiomassInstallations][13][EnergyNonZeroRatedBiomass]",Submission!$O:$O,Submission!$H:$N,""))</f>
        <v/>
      </c>
      <c r="K1401" s="126" t="str">
        <f>_xlfn.CONCAT(_xlfn.XLOOKUP("[S05_BiomassInstallations][13][EnergyFossil]",Submission!$O:$O,Submission!$H:$N,""))</f>
        <v/>
      </c>
    </row>
    <row r="1402" spans="1:11" ht="44.4" hidden="1" customHeight="1" outlineLevel="1" x14ac:dyDescent="0.3">
      <c r="A1402" s="12"/>
      <c r="C1402" s="125" t="str">
        <f>_xlfn.CONCAT(_xlfn.XLOOKUP("[S05_BiomassInstallations][14][Annex1Activity]",Submission!$O:$O,Submission!$H:$N,""))</f>
        <v/>
      </c>
      <c r="D1402" s="128" t="str">
        <f>_xlfn.CONCAT(_xlfn.XLOOKUP("[S05_BiomassInstallations][14][BiomassInstallationCategory]",Submission!$O:$O,Submission!$H:$N,""))</f>
        <v/>
      </c>
      <c r="E1402" s="126" t="str">
        <f>_xlfn.CONCAT(_xlfn.XLOOKUP("[S05_BiomassInstallations][14][NumberUsingBiomass]",Submission!$O:$O,Submission!$H:$N,""))</f>
        <v/>
      </c>
      <c r="F1402" s="126" t="str">
        <f>_xlfn.CONCAT(_xlfn.XLOOKUP("[S05_BiomassInstallations][14][EmissionsBiomassSustainabilitySatisfied]",Submission!$O:$O,Submission!$H:$N,""))</f>
        <v/>
      </c>
      <c r="G1402" s="126" t="str">
        <f>_xlfn.CONCAT(_xlfn.XLOOKUP("[S05_BiomassInstallations][14][EmissionsBiomassSustainabilityNotSatisfied]",Submission!$O:$O,Submission!$H:$N,""))</f>
        <v/>
      </c>
      <c r="H1402" s="126" t="str">
        <f>_xlfn.CONCAT(_xlfn.XLOOKUP("[S05_BiomassInstallations][14][EmissionsFossil]",Submission!$O:$O,Submission!$H:$N,""))</f>
        <v/>
      </c>
      <c r="I1402" s="126" t="str">
        <f>_xlfn.CONCAT(_xlfn.XLOOKUP("[S05_BiomassInstallations][14][EnergyZeroRatedBiomass]",Submission!$O:$O,Submission!$H:$N,""))</f>
        <v/>
      </c>
      <c r="J1402" s="126" t="str">
        <f>_xlfn.CONCAT(_xlfn.XLOOKUP("[S05_BiomassInstallations][14][EnergyNonZeroRatedBiomass]",Submission!$O:$O,Submission!$H:$N,""))</f>
        <v/>
      </c>
      <c r="K1402" s="126" t="str">
        <f>_xlfn.CONCAT(_xlfn.XLOOKUP("[S05_BiomassInstallations][14][EnergyFossil]",Submission!$O:$O,Submission!$H:$N,""))</f>
        <v/>
      </c>
    </row>
    <row r="1403" spans="1:11" ht="44.4" hidden="1" customHeight="1" outlineLevel="1" x14ac:dyDescent="0.3">
      <c r="A1403" s="12"/>
      <c r="C1403" s="125" t="str">
        <f>_xlfn.CONCAT(_xlfn.XLOOKUP("[S05_BiomassInstallations][15][Annex1Activity]",Submission!$O:$O,Submission!$H:$N,""))</f>
        <v/>
      </c>
      <c r="D1403" s="128" t="str">
        <f>_xlfn.CONCAT(_xlfn.XLOOKUP("[S05_BiomassInstallations][15][BiomassInstallationCategory]",Submission!$O:$O,Submission!$H:$N,""))</f>
        <v/>
      </c>
      <c r="E1403" s="126" t="str">
        <f>_xlfn.CONCAT(_xlfn.XLOOKUP("[S05_BiomassInstallations][15][NumberUsingBiomass]",Submission!$O:$O,Submission!$H:$N,""))</f>
        <v/>
      </c>
      <c r="F1403" s="126" t="str">
        <f>_xlfn.CONCAT(_xlfn.XLOOKUP("[S05_BiomassInstallations][15][EmissionsBiomassSustainabilitySatisfied]",Submission!$O:$O,Submission!$H:$N,""))</f>
        <v/>
      </c>
      <c r="G1403" s="126" t="str">
        <f>_xlfn.CONCAT(_xlfn.XLOOKUP("[S05_BiomassInstallations][15][EmissionsBiomassSustainabilityNotSatisfied]",Submission!$O:$O,Submission!$H:$N,""))</f>
        <v/>
      </c>
      <c r="H1403" s="126" t="str">
        <f>_xlfn.CONCAT(_xlfn.XLOOKUP("[S05_BiomassInstallations][15][EmissionsFossil]",Submission!$O:$O,Submission!$H:$N,""))</f>
        <v/>
      </c>
      <c r="I1403" s="126" t="str">
        <f>_xlfn.CONCAT(_xlfn.XLOOKUP("[S05_BiomassInstallations][15][EnergyZeroRatedBiomass]",Submission!$O:$O,Submission!$H:$N,""))</f>
        <v/>
      </c>
      <c r="J1403" s="126" t="str">
        <f>_xlfn.CONCAT(_xlfn.XLOOKUP("[S05_BiomassInstallations][15][EnergyNonZeroRatedBiomass]",Submission!$O:$O,Submission!$H:$N,""))</f>
        <v/>
      </c>
      <c r="K1403" s="126" t="str">
        <f>_xlfn.CONCAT(_xlfn.XLOOKUP("[S05_BiomassInstallations][15][EnergyFossil]",Submission!$O:$O,Submission!$H:$N,""))</f>
        <v/>
      </c>
    </row>
    <row r="1404" spans="1:11" ht="44.4" hidden="1" customHeight="1" outlineLevel="1" x14ac:dyDescent="0.3">
      <c r="A1404" s="12"/>
      <c r="C1404" s="125" t="str">
        <f>_xlfn.CONCAT(_xlfn.XLOOKUP("[S05_BiomassInstallations][16][Annex1Activity]",Submission!$O:$O,Submission!$H:$N,""))</f>
        <v/>
      </c>
      <c r="D1404" s="128" t="str">
        <f>_xlfn.CONCAT(_xlfn.XLOOKUP("[S05_BiomassInstallations][16][BiomassInstallationCategory]",Submission!$O:$O,Submission!$H:$N,""))</f>
        <v/>
      </c>
      <c r="E1404" s="126" t="str">
        <f>_xlfn.CONCAT(_xlfn.XLOOKUP("[S05_BiomassInstallations][16][NumberUsingBiomass]",Submission!$O:$O,Submission!$H:$N,""))</f>
        <v/>
      </c>
      <c r="F1404" s="126" t="str">
        <f>_xlfn.CONCAT(_xlfn.XLOOKUP("[S05_BiomassInstallations][16][EmissionsBiomassSustainabilitySatisfied]",Submission!$O:$O,Submission!$H:$N,""))</f>
        <v/>
      </c>
      <c r="G1404" s="126" t="str">
        <f>_xlfn.CONCAT(_xlfn.XLOOKUP("[S05_BiomassInstallations][16][EmissionsBiomassSustainabilityNotSatisfied]",Submission!$O:$O,Submission!$H:$N,""))</f>
        <v/>
      </c>
      <c r="H1404" s="126" t="str">
        <f>_xlfn.CONCAT(_xlfn.XLOOKUP("[S05_BiomassInstallations][16][EmissionsFossil]",Submission!$O:$O,Submission!$H:$N,""))</f>
        <v/>
      </c>
      <c r="I1404" s="126" t="str">
        <f>_xlfn.CONCAT(_xlfn.XLOOKUP("[S05_BiomassInstallations][16][EnergyZeroRatedBiomass]",Submission!$O:$O,Submission!$H:$N,""))</f>
        <v/>
      </c>
      <c r="J1404" s="126" t="str">
        <f>_xlfn.CONCAT(_xlfn.XLOOKUP("[S05_BiomassInstallations][16][EnergyNonZeroRatedBiomass]",Submission!$O:$O,Submission!$H:$N,""))</f>
        <v/>
      </c>
      <c r="K1404" s="126" t="str">
        <f>_xlfn.CONCAT(_xlfn.XLOOKUP("[S05_BiomassInstallations][16][EnergyFossil]",Submission!$O:$O,Submission!$H:$N,""))</f>
        <v/>
      </c>
    </row>
    <row r="1405" spans="1:11" ht="44.4" hidden="1" customHeight="1" outlineLevel="1" x14ac:dyDescent="0.3">
      <c r="A1405" s="12"/>
      <c r="C1405" s="125" t="str">
        <f>_xlfn.CONCAT(_xlfn.XLOOKUP("[S05_BiomassInstallations][17][Annex1Activity]",Submission!$O:$O,Submission!$H:$N,""))</f>
        <v/>
      </c>
      <c r="D1405" s="128" t="str">
        <f>_xlfn.CONCAT(_xlfn.XLOOKUP("[S05_BiomassInstallations][17][BiomassInstallationCategory]",Submission!$O:$O,Submission!$H:$N,""))</f>
        <v/>
      </c>
      <c r="E1405" s="126" t="str">
        <f>_xlfn.CONCAT(_xlfn.XLOOKUP("[S05_BiomassInstallations][17][NumberUsingBiomass]",Submission!$O:$O,Submission!$H:$N,""))</f>
        <v/>
      </c>
      <c r="F1405" s="126" t="str">
        <f>_xlfn.CONCAT(_xlfn.XLOOKUP("[S05_BiomassInstallations][17][EmissionsBiomassSustainabilitySatisfied]",Submission!$O:$O,Submission!$H:$N,""))</f>
        <v/>
      </c>
      <c r="G1405" s="126" t="str">
        <f>_xlfn.CONCAT(_xlfn.XLOOKUP("[S05_BiomassInstallations][17][EmissionsBiomassSustainabilityNotSatisfied]",Submission!$O:$O,Submission!$H:$N,""))</f>
        <v/>
      </c>
      <c r="H1405" s="126" t="str">
        <f>_xlfn.CONCAT(_xlfn.XLOOKUP("[S05_BiomassInstallations][17][EmissionsFossil]",Submission!$O:$O,Submission!$H:$N,""))</f>
        <v/>
      </c>
      <c r="I1405" s="126" t="str">
        <f>_xlfn.CONCAT(_xlfn.XLOOKUP("[S05_BiomassInstallations][17][EnergyZeroRatedBiomass]",Submission!$O:$O,Submission!$H:$N,""))</f>
        <v/>
      </c>
      <c r="J1405" s="126" t="str">
        <f>_xlfn.CONCAT(_xlfn.XLOOKUP("[S05_BiomassInstallations][17][EnergyNonZeroRatedBiomass]",Submission!$O:$O,Submission!$H:$N,""))</f>
        <v/>
      </c>
      <c r="K1405" s="126" t="str">
        <f>_xlfn.CONCAT(_xlfn.XLOOKUP("[S05_BiomassInstallations][17][EnergyFossil]",Submission!$O:$O,Submission!$H:$N,""))</f>
        <v/>
      </c>
    </row>
    <row r="1406" spans="1:11" ht="44.4" hidden="1" customHeight="1" outlineLevel="1" x14ac:dyDescent="0.3">
      <c r="A1406" s="12"/>
      <c r="C1406" s="125" t="str">
        <f>_xlfn.CONCAT(_xlfn.XLOOKUP("[S05_BiomassInstallations][18][Annex1Activity]",Submission!$O:$O,Submission!$H:$N,""))</f>
        <v/>
      </c>
      <c r="D1406" s="128" t="str">
        <f>_xlfn.CONCAT(_xlfn.XLOOKUP("[S05_BiomassInstallations][18][BiomassInstallationCategory]",Submission!$O:$O,Submission!$H:$N,""))</f>
        <v/>
      </c>
      <c r="E1406" s="126" t="str">
        <f>_xlfn.CONCAT(_xlfn.XLOOKUP("[S05_BiomassInstallations][18][NumberUsingBiomass]",Submission!$O:$O,Submission!$H:$N,""))</f>
        <v/>
      </c>
      <c r="F1406" s="126" t="str">
        <f>_xlfn.CONCAT(_xlfn.XLOOKUP("[S05_BiomassInstallations][18][EmissionsBiomassSustainabilitySatisfied]",Submission!$O:$O,Submission!$H:$N,""))</f>
        <v/>
      </c>
      <c r="G1406" s="126" t="str">
        <f>_xlfn.CONCAT(_xlfn.XLOOKUP("[S05_BiomassInstallations][18][EmissionsBiomassSustainabilityNotSatisfied]",Submission!$O:$O,Submission!$H:$N,""))</f>
        <v/>
      </c>
      <c r="H1406" s="126" t="str">
        <f>_xlfn.CONCAT(_xlfn.XLOOKUP("[S05_BiomassInstallations][18][EmissionsFossil]",Submission!$O:$O,Submission!$H:$N,""))</f>
        <v/>
      </c>
      <c r="I1406" s="126" t="str">
        <f>_xlfn.CONCAT(_xlfn.XLOOKUP("[S05_BiomassInstallations][18][EnergyZeroRatedBiomass]",Submission!$O:$O,Submission!$H:$N,""))</f>
        <v/>
      </c>
      <c r="J1406" s="126" t="str">
        <f>_xlfn.CONCAT(_xlfn.XLOOKUP("[S05_BiomassInstallations][18][EnergyNonZeroRatedBiomass]",Submission!$O:$O,Submission!$H:$N,""))</f>
        <v/>
      </c>
      <c r="K1406" s="126" t="str">
        <f>_xlfn.CONCAT(_xlfn.XLOOKUP("[S05_BiomassInstallations][18][EnergyFossil]",Submission!$O:$O,Submission!$H:$N,""))</f>
        <v/>
      </c>
    </row>
    <row r="1407" spans="1:11" ht="44.4" hidden="1" customHeight="1" outlineLevel="1" x14ac:dyDescent="0.3">
      <c r="A1407" s="12"/>
      <c r="C1407" s="125" t="str">
        <f>_xlfn.CONCAT(_xlfn.XLOOKUP("[S05_BiomassInstallations][19][Annex1Activity]",Submission!$O:$O,Submission!$H:$N,""))</f>
        <v/>
      </c>
      <c r="D1407" s="128" t="str">
        <f>_xlfn.CONCAT(_xlfn.XLOOKUP("[S05_BiomassInstallations][19][BiomassInstallationCategory]",Submission!$O:$O,Submission!$H:$N,""))</f>
        <v/>
      </c>
      <c r="E1407" s="126" t="str">
        <f>_xlfn.CONCAT(_xlfn.XLOOKUP("[S05_BiomassInstallations][19][NumberUsingBiomass]",Submission!$O:$O,Submission!$H:$N,""))</f>
        <v/>
      </c>
      <c r="F1407" s="126" t="str">
        <f>_xlfn.CONCAT(_xlfn.XLOOKUP("[S05_BiomassInstallations][19][EmissionsBiomassSustainabilitySatisfied]",Submission!$O:$O,Submission!$H:$N,""))</f>
        <v/>
      </c>
      <c r="G1407" s="126" t="str">
        <f>_xlfn.CONCAT(_xlfn.XLOOKUP("[S05_BiomassInstallations][19][EmissionsBiomassSustainabilityNotSatisfied]",Submission!$O:$O,Submission!$H:$N,""))</f>
        <v/>
      </c>
      <c r="H1407" s="126" t="str">
        <f>_xlfn.CONCAT(_xlfn.XLOOKUP("[S05_BiomassInstallations][19][EmissionsFossil]",Submission!$O:$O,Submission!$H:$N,""))</f>
        <v/>
      </c>
      <c r="I1407" s="126" t="str">
        <f>_xlfn.CONCAT(_xlfn.XLOOKUP("[S05_BiomassInstallations][19][EnergyZeroRatedBiomass]",Submission!$O:$O,Submission!$H:$N,""))</f>
        <v/>
      </c>
      <c r="J1407" s="126" t="str">
        <f>_xlfn.CONCAT(_xlfn.XLOOKUP("[S05_BiomassInstallations][19][EnergyNonZeroRatedBiomass]",Submission!$O:$O,Submission!$H:$N,""))</f>
        <v/>
      </c>
      <c r="K1407" s="126" t="str">
        <f>_xlfn.CONCAT(_xlfn.XLOOKUP("[S05_BiomassInstallations][19][EnergyFossil]",Submission!$O:$O,Submission!$H:$N,""))</f>
        <v/>
      </c>
    </row>
    <row r="1408" spans="1:11" ht="44.4" hidden="1" customHeight="1" outlineLevel="1" x14ac:dyDescent="0.3">
      <c r="A1408" s="12"/>
      <c r="C1408" s="125" t="str">
        <f>_xlfn.CONCAT(_xlfn.XLOOKUP("[S05_BiomassInstallations][20][Annex1Activity]",Submission!$O:$O,Submission!$H:$N,""))</f>
        <v/>
      </c>
      <c r="D1408" s="128" t="str">
        <f>_xlfn.CONCAT(_xlfn.XLOOKUP("[S05_BiomassInstallations][20][BiomassInstallationCategory]",Submission!$O:$O,Submission!$H:$N,""))</f>
        <v/>
      </c>
      <c r="E1408" s="126" t="str">
        <f>_xlfn.CONCAT(_xlfn.XLOOKUP("[S05_BiomassInstallations][20][NumberUsingBiomass]",Submission!$O:$O,Submission!$H:$N,""))</f>
        <v/>
      </c>
      <c r="F1408" s="126" t="str">
        <f>_xlfn.CONCAT(_xlfn.XLOOKUP("[S05_BiomassInstallations][20][EmissionsBiomassSustainabilitySatisfied]",Submission!$O:$O,Submission!$H:$N,""))</f>
        <v/>
      </c>
      <c r="G1408" s="126" t="str">
        <f>_xlfn.CONCAT(_xlfn.XLOOKUP("[S05_BiomassInstallations][20][EmissionsBiomassSustainabilityNotSatisfied]",Submission!$O:$O,Submission!$H:$N,""))</f>
        <v/>
      </c>
      <c r="H1408" s="126" t="str">
        <f>_xlfn.CONCAT(_xlfn.XLOOKUP("[S05_BiomassInstallations][20][EmissionsFossil]",Submission!$O:$O,Submission!$H:$N,""))</f>
        <v/>
      </c>
      <c r="I1408" s="126" t="str">
        <f>_xlfn.CONCAT(_xlfn.XLOOKUP("[S05_BiomassInstallations][20][EnergyZeroRatedBiomass]",Submission!$O:$O,Submission!$H:$N,""))</f>
        <v/>
      </c>
      <c r="J1408" s="126" t="str">
        <f>_xlfn.CONCAT(_xlfn.XLOOKUP("[S05_BiomassInstallations][20][EnergyNonZeroRatedBiomass]",Submission!$O:$O,Submission!$H:$N,""))</f>
        <v/>
      </c>
      <c r="K1408" s="126" t="str">
        <f>_xlfn.CONCAT(_xlfn.XLOOKUP("[S05_BiomassInstallations][20][EnergyFossil]",Submission!$O:$O,Submission!$H:$N,""))</f>
        <v/>
      </c>
    </row>
    <row r="1409" spans="1:11" ht="44.4" hidden="1" customHeight="1" outlineLevel="1" x14ac:dyDescent="0.3">
      <c r="A1409" s="12"/>
      <c r="C1409" s="125" t="str">
        <f>_xlfn.CONCAT(_xlfn.XLOOKUP("[S05_BiomassInstallations][21][Annex1Activity]",Submission!$O:$O,Submission!$H:$N,""))</f>
        <v/>
      </c>
      <c r="D1409" s="128" t="str">
        <f>_xlfn.CONCAT(_xlfn.XLOOKUP("[S05_BiomassInstallations][21][BiomassInstallationCategory]",Submission!$O:$O,Submission!$H:$N,""))</f>
        <v/>
      </c>
      <c r="E1409" s="126" t="str">
        <f>_xlfn.CONCAT(_xlfn.XLOOKUP("[S05_BiomassInstallations][21][NumberUsingBiomass]",Submission!$O:$O,Submission!$H:$N,""))</f>
        <v/>
      </c>
      <c r="F1409" s="126" t="str">
        <f>_xlfn.CONCAT(_xlfn.XLOOKUP("[S05_BiomassInstallations][21][EmissionsBiomassSustainabilitySatisfied]",Submission!$O:$O,Submission!$H:$N,""))</f>
        <v/>
      </c>
      <c r="G1409" s="126" t="str">
        <f>_xlfn.CONCAT(_xlfn.XLOOKUP("[S05_BiomassInstallations][21][EmissionsBiomassSustainabilityNotSatisfied]",Submission!$O:$O,Submission!$H:$N,""))</f>
        <v/>
      </c>
      <c r="H1409" s="126" t="str">
        <f>_xlfn.CONCAT(_xlfn.XLOOKUP("[S05_BiomassInstallations][21][EmissionsFossil]",Submission!$O:$O,Submission!$H:$N,""))</f>
        <v/>
      </c>
      <c r="I1409" s="126" t="str">
        <f>_xlfn.CONCAT(_xlfn.XLOOKUP("[S05_BiomassInstallations][21][EnergyZeroRatedBiomass]",Submission!$O:$O,Submission!$H:$N,""))</f>
        <v/>
      </c>
      <c r="J1409" s="126" t="str">
        <f>_xlfn.CONCAT(_xlfn.XLOOKUP("[S05_BiomassInstallations][21][EnergyNonZeroRatedBiomass]",Submission!$O:$O,Submission!$H:$N,""))</f>
        <v/>
      </c>
      <c r="K1409" s="126" t="str">
        <f>_xlfn.CONCAT(_xlfn.XLOOKUP("[S05_BiomassInstallations][21][EnergyFossil]",Submission!$O:$O,Submission!$H:$N,""))</f>
        <v/>
      </c>
    </row>
    <row r="1410" spans="1:11" ht="44.4" hidden="1" customHeight="1" outlineLevel="1" x14ac:dyDescent="0.3">
      <c r="A1410" s="12"/>
      <c r="C1410" s="125" t="str">
        <f>_xlfn.CONCAT(_xlfn.XLOOKUP("[S05_BiomassInstallations][22][Annex1Activity]",Submission!$O:$O,Submission!$H:$N,""))</f>
        <v/>
      </c>
      <c r="D1410" s="128" t="str">
        <f>_xlfn.CONCAT(_xlfn.XLOOKUP("[S05_BiomassInstallations][22][BiomassInstallationCategory]",Submission!$O:$O,Submission!$H:$N,""))</f>
        <v/>
      </c>
      <c r="E1410" s="126" t="str">
        <f>_xlfn.CONCAT(_xlfn.XLOOKUP("[S05_BiomassInstallations][22][NumberUsingBiomass]",Submission!$O:$O,Submission!$H:$N,""))</f>
        <v/>
      </c>
      <c r="F1410" s="126" t="str">
        <f>_xlfn.CONCAT(_xlfn.XLOOKUP("[S05_BiomassInstallations][22][EmissionsBiomassSustainabilitySatisfied]",Submission!$O:$O,Submission!$H:$N,""))</f>
        <v/>
      </c>
      <c r="G1410" s="126" t="str">
        <f>_xlfn.CONCAT(_xlfn.XLOOKUP("[S05_BiomassInstallations][22][EmissionsBiomassSustainabilityNotSatisfied]",Submission!$O:$O,Submission!$H:$N,""))</f>
        <v/>
      </c>
      <c r="H1410" s="126" t="str">
        <f>_xlfn.CONCAT(_xlfn.XLOOKUP("[S05_BiomassInstallations][22][EmissionsFossil]",Submission!$O:$O,Submission!$H:$N,""))</f>
        <v/>
      </c>
      <c r="I1410" s="126" t="str">
        <f>_xlfn.CONCAT(_xlfn.XLOOKUP("[S05_BiomassInstallations][22][EnergyZeroRatedBiomass]",Submission!$O:$O,Submission!$H:$N,""))</f>
        <v/>
      </c>
      <c r="J1410" s="126" t="str">
        <f>_xlfn.CONCAT(_xlfn.XLOOKUP("[S05_BiomassInstallations][22][EnergyNonZeroRatedBiomass]",Submission!$O:$O,Submission!$H:$N,""))</f>
        <v/>
      </c>
      <c r="K1410" s="126" t="str">
        <f>_xlfn.CONCAT(_xlfn.XLOOKUP("[S05_BiomassInstallations][22][EnergyFossil]",Submission!$O:$O,Submission!$H:$N,""))</f>
        <v/>
      </c>
    </row>
    <row r="1411" spans="1:11" ht="44.4" hidden="1" customHeight="1" outlineLevel="1" x14ac:dyDescent="0.3">
      <c r="A1411" s="12"/>
      <c r="C1411" s="125" t="str">
        <f>_xlfn.CONCAT(_xlfn.XLOOKUP("[S05_BiomassInstallations][23][Annex1Activity]",Submission!$O:$O,Submission!$H:$N,""))</f>
        <v/>
      </c>
      <c r="D1411" s="128" t="str">
        <f>_xlfn.CONCAT(_xlfn.XLOOKUP("[S05_BiomassInstallations][23][BiomassInstallationCategory]",Submission!$O:$O,Submission!$H:$N,""))</f>
        <v/>
      </c>
      <c r="E1411" s="126" t="str">
        <f>_xlfn.CONCAT(_xlfn.XLOOKUP("[S05_BiomassInstallations][23][NumberUsingBiomass]",Submission!$O:$O,Submission!$H:$N,""))</f>
        <v/>
      </c>
      <c r="F1411" s="126" t="str">
        <f>_xlfn.CONCAT(_xlfn.XLOOKUP("[S05_BiomassInstallations][23][EmissionsBiomassSustainabilitySatisfied]",Submission!$O:$O,Submission!$H:$N,""))</f>
        <v/>
      </c>
      <c r="G1411" s="126" t="str">
        <f>_xlfn.CONCAT(_xlfn.XLOOKUP("[S05_BiomassInstallations][23][EmissionsBiomassSustainabilityNotSatisfied]",Submission!$O:$O,Submission!$H:$N,""))</f>
        <v/>
      </c>
      <c r="H1411" s="126" t="str">
        <f>_xlfn.CONCAT(_xlfn.XLOOKUP("[S05_BiomassInstallations][23][EmissionsFossil]",Submission!$O:$O,Submission!$H:$N,""))</f>
        <v/>
      </c>
      <c r="I1411" s="126" t="str">
        <f>_xlfn.CONCAT(_xlfn.XLOOKUP("[S05_BiomassInstallations][23][EnergyZeroRatedBiomass]",Submission!$O:$O,Submission!$H:$N,""))</f>
        <v/>
      </c>
      <c r="J1411" s="126" t="str">
        <f>_xlfn.CONCAT(_xlfn.XLOOKUP("[S05_BiomassInstallations][23][EnergyNonZeroRatedBiomass]",Submission!$O:$O,Submission!$H:$N,""))</f>
        <v/>
      </c>
      <c r="K1411" s="126" t="str">
        <f>_xlfn.CONCAT(_xlfn.XLOOKUP("[S05_BiomassInstallations][23][EnergyFossil]",Submission!$O:$O,Submission!$H:$N,""))</f>
        <v/>
      </c>
    </row>
    <row r="1412" spans="1:11" ht="44.4" hidden="1" customHeight="1" outlineLevel="1" x14ac:dyDescent="0.3">
      <c r="A1412" s="12"/>
      <c r="C1412" s="125" t="str">
        <f>_xlfn.CONCAT(_xlfn.XLOOKUP("[S05_BiomassInstallations][24][Annex1Activity]",Submission!$O:$O,Submission!$H:$N,""))</f>
        <v/>
      </c>
      <c r="D1412" s="128" t="str">
        <f>_xlfn.CONCAT(_xlfn.XLOOKUP("[S05_BiomassInstallations][24][BiomassInstallationCategory]",Submission!$O:$O,Submission!$H:$N,""))</f>
        <v/>
      </c>
      <c r="E1412" s="126" t="str">
        <f>_xlfn.CONCAT(_xlfn.XLOOKUP("[S05_BiomassInstallations][24][NumberUsingBiomass]",Submission!$O:$O,Submission!$H:$N,""))</f>
        <v/>
      </c>
      <c r="F1412" s="126" t="str">
        <f>_xlfn.CONCAT(_xlfn.XLOOKUP("[S05_BiomassInstallations][24][EmissionsBiomassSustainabilitySatisfied]",Submission!$O:$O,Submission!$H:$N,""))</f>
        <v/>
      </c>
      <c r="G1412" s="126" t="str">
        <f>_xlfn.CONCAT(_xlfn.XLOOKUP("[S05_BiomassInstallations][24][EmissionsBiomassSustainabilityNotSatisfied]",Submission!$O:$O,Submission!$H:$N,""))</f>
        <v/>
      </c>
      <c r="H1412" s="126" t="str">
        <f>_xlfn.CONCAT(_xlfn.XLOOKUP("[S05_BiomassInstallations][24][EmissionsFossil]",Submission!$O:$O,Submission!$H:$N,""))</f>
        <v/>
      </c>
      <c r="I1412" s="126" t="str">
        <f>_xlfn.CONCAT(_xlfn.XLOOKUP("[S05_BiomassInstallations][24][EnergyZeroRatedBiomass]",Submission!$O:$O,Submission!$H:$N,""))</f>
        <v/>
      </c>
      <c r="J1412" s="126" t="str">
        <f>_xlfn.CONCAT(_xlfn.XLOOKUP("[S05_BiomassInstallations][24][EnergyNonZeroRatedBiomass]",Submission!$O:$O,Submission!$H:$N,""))</f>
        <v/>
      </c>
      <c r="K1412" s="126" t="str">
        <f>_xlfn.CONCAT(_xlfn.XLOOKUP("[S05_BiomassInstallations][24][EnergyFossil]",Submission!$O:$O,Submission!$H:$N,""))</f>
        <v/>
      </c>
    </row>
    <row r="1413" spans="1:11" ht="44.4" hidden="1" customHeight="1" outlineLevel="1" x14ac:dyDescent="0.3">
      <c r="A1413" s="12"/>
      <c r="C1413" s="125" t="str">
        <f>_xlfn.CONCAT(_xlfn.XLOOKUP("[S05_BiomassInstallations][25][Annex1Activity]",Submission!$O:$O,Submission!$H:$N,""))</f>
        <v/>
      </c>
      <c r="D1413" s="128" t="str">
        <f>_xlfn.CONCAT(_xlfn.XLOOKUP("[S05_BiomassInstallations][25][BiomassInstallationCategory]",Submission!$O:$O,Submission!$H:$N,""))</f>
        <v/>
      </c>
      <c r="E1413" s="126" t="str">
        <f>_xlfn.CONCAT(_xlfn.XLOOKUP("[S05_BiomassInstallations][25][NumberUsingBiomass]",Submission!$O:$O,Submission!$H:$N,""))</f>
        <v/>
      </c>
      <c r="F1413" s="126" t="str">
        <f>_xlfn.CONCAT(_xlfn.XLOOKUP("[S05_BiomassInstallations][25][EmissionsBiomassSustainabilitySatisfied]",Submission!$O:$O,Submission!$H:$N,""))</f>
        <v/>
      </c>
      <c r="G1413" s="126" t="str">
        <f>_xlfn.CONCAT(_xlfn.XLOOKUP("[S05_BiomassInstallations][25][EmissionsBiomassSustainabilityNotSatisfied]",Submission!$O:$O,Submission!$H:$N,""))</f>
        <v/>
      </c>
      <c r="H1413" s="126" t="str">
        <f>_xlfn.CONCAT(_xlfn.XLOOKUP("[S05_BiomassInstallations][25][EmissionsFossil]",Submission!$O:$O,Submission!$H:$N,""))</f>
        <v/>
      </c>
      <c r="I1413" s="126" t="str">
        <f>_xlfn.CONCAT(_xlfn.XLOOKUP("[S05_BiomassInstallations][25][EnergyZeroRatedBiomass]",Submission!$O:$O,Submission!$H:$N,""))</f>
        <v/>
      </c>
      <c r="J1413" s="126" t="str">
        <f>_xlfn.CONCAT(_xlfn.XLOOKUP("[S05_BiomassInstallations][25][EnergyNonZeroRatedBiomass]",Submission!$O:$O,Submission!$H:$N,""))</f>
        <v/>
      </c>
      <c r="K1413" s="126" t="str">
        <f>_xlfn.CONCAT(_xlfn.XLOOKUP("[S05_BiomassInstallations][25][EnergyFossil]",Submission!$O:$O,Submission!$H:$N,""))</f>
        <v/>
      </c>
    </row>
    <row r="1414" spans="1:11" ht="44.4" hidden="1" customHeight="1" outlineLevel="1" x14ac:dyDescent="0.3">
      <c r="A1414" s="12"/>
      <c r="C1414" s="125" t="str">
        <f>_xlfn.CONCAT(_xlfn.XLOOKUP("[S05_BiomassInstallations][26][Annex1Activity]",Submission!$O:$O,Submission!$H:$N,""))</f>
        <v/>
      </c>
      <c r="D1414" s="128" t="str">
        <f>_xlfn.CONCAT(_xlfn.XLOOKUP("[S05_BiomassInstallations][26][BiomassInstallationCategory]",Submission!$O:$O,Submission!$H:$N,""))</f>
        <v/>
      </c>
      <c r="E1414" s="126" t="str">
        <f>_xlfn.CONCAT(_xlfn.XLOOKUP("[S05_BiomassInstallations][26][NumberUsingBiomass]",Submission!$O:$O,Submission!$H:$N,""))</f>
        <v/>
      </c>
      <c r="F1414" s="126" t="str">
        <f>_xlfn.CONCAT(_xlfn.XLOOKUP("[S05_BiomassInstallations][26][EmissionsBiomassSustainabilitySatisfied]",Submission!$O:$O,Submission!$H:$N,""))</f>
        <v/>
      </c>
      <c r="G1414" s="126" t="str">
        <f>_xlfn.CONCAT(_xlfn.XLOOKUP("[S05_BiomassInstallations][26][EmissionsBiomassSustainabilityNotSatisfied]",Submission!$O:$O,Submission!$H:$N,""))</f>
        <v/>
      </c>
      <c r="H1414" s="126" t="str">
        <f>_xlfn.CONCAT(_xlfn.XLOOKUP("[S05_BiomassInstallations][26][EmissionsFossil]",Submission!$O:$O,Submission!$H:$N,""))</f>
        <v/>
      </c>
      <c r="I1414" s="126" t="str">
        <f>_xlfn.CONCAT(_xlfn.XLOOKUP("[S05_BiomassInstallations][26][EnergyZeroRatedBiomass]",Submission!$O:$O,Submission!$H:$N,""))</f>
        <v/>
      </c>
      <c r="J1414" s="126" t="str">
        <f>_xlfn.CONCAT(_xlfn.XLOOKUP("[S05_BiomassInstallations][26][EnergyNonZeroRatedBiomass]",Submission!$O:$O,Submission!$H:$N,""))</f>
        <v/>
      </c>
      <c r="K1414" s="126" t="str">
        <f>_xlfn.CONCAT(_xlfn.XLOOKUP("[S05_BiomassInstallations][26][EnergyFossil]",Submission!$O:$O,Submission!$H:$N,""))</f>
        <v/>
      </c>
    </row>
    <row r="1415" spans="1:11" ht="44.4" hidden="1" customHeight="1" outlineLevel="1" x14ac:dyDescent="0.3">
      <c r="A1415" s="12"/>
      <c r="C1415" s="125" t="str">
        <f>_xlfn.CONCAT(_xlfn.XLOOKUP("[S05_BiomassInstallations][27][Annex1Activity]",Submission!$O:$O,Submission!$H:$N,""))</f>
        <v/>
      </c>
      <c r="D1415" s="128" t="str">
        <f>_xlfn.CONCAT(_xlfn.XLOOKUP("[S05_BiomassInstallations][27][BiomassInstallationCategory]",Submission!$O:$O,Submission!$H:$N,""))</f>
        <v/>
      </c>
      <c r="E1415" s="126" t="str">
        <f>_xlfn.CONCAT(_xlfn.XLOOKUP("[S05_BiomassInstallations][27][NumberUsingBiomass]",Submission!$O:$O,Submission!$H:$N,""))</f>
        <v/>
      </c>
      <c r="F1415" s="126" t="str">
        <f>_xlfn.CONCAT(_xlfn.XLOOKUP("[S05_BiomassInstallations][27][EmissionsBiomassSustainabilitySatisfied]",Submission!$O:$O,Submission!$H:$N,""))</f>
        <v/>
      </c>
      <c r="G1415" s="126" t="str">
        <f>_xlfn.CONCAT(_xlfn.XLOOKUP("[S05_BiomassInstallations][27][EmissionsBiomassSustainabilityNotSatisfied]",Submission!$O:$O,Submission!$H:$N,""))</f>
        <v/>
      </c>
      <c r="H1415" s="126" t="str">
        <f>_xlfn.CONCAT(_xlfn.XLOOKUP("[S05_BiomassInstallations][27][EmissionsFossil]",Submission!$O:$O,Submission!$H:$N,""))</f>
        <v/>
      </c>
      <c r="I1415" s="126" t="str">
        <f>_xlfn.CONCAT(_xlfn.XLOOKUP("[S05_BiomassInstallations][27][EnergyZeroRatedBiomass]",Submission!$O:$O,Submission!$H:$N,""))</f>
        <v/>
      </c>
      <c r="J1415" s="126" t="str">
        <f>_xlfn.CONCAT(_xlfn.XLOOKUP("[S05_BiomassInstallations][27][EnergyNonZeroRatedBiomass]",Submission!$O:$O,Submission!$H:$N,""))</f>
        <v/>
      </c>
      <c r="K1415" s="126" t="str">
        <f>_xlfn.CONCAT(_xlfn.XLOOKUP("[S05_BiomassInstallations][27][EnergyFossil]",Submission!$O:$O,Submission!$H:$N,""))</f>
        <v/>
      </c>
    </row>
    <row r="1416" spans="1:11" ht="44.4" hidden="1" customHeight="1" outlineLevel="1" x14ac:dyDescent="0.3">
      <c r="A1416" s="12"/>
      <c r="C1416" s="125" t="str">
        <f>_xlfn.CONCAT(_xlfn.XLOOKUP("[S05_BiomassInstallations][28][Annex1Activity]",Submission!$O:$O,Submission!$H:$N,""))</f>
        <v/>
      </c>
      <c r="D1416" s="128" t="str">
        <f>_xlfn.CONCAT(_xlfn.XLOOKUP("[S05_BiomassInstallations][28][BiomassInstallationCategory]",Submission!$O:$O,Submission!$H:$N,""))</f>
        <v/>
      </c>
      <c r="E1416" s="126" t="str">
        <f>_xlfn.CONCAT(_xlfn.XLOOKUP("[S05_BiomassInstallations][28][NumberUsingBiomass]",Submission!$O:$O,Submission!$H:$N,""))</f>
        <v/>
      </c>
      <c r="F1416" s="126" t="str">
        <f>_xlfn.CONCAT(_xlfn.XLOOKUP("[S05_BiomassInstallations][28][EmissionsBiomassSustainabilitySatisfied]",Submission!$O:$O,Submission!$H:$N,""))</f>
        <v/>
      </c>
      <c r="G1416" s="126" t="str">
        <f>_xlfn.CONCAT(_xlfn.XLOOKUP("[S05_BiomassInstallations][28][EmissionsBiomassSustainabilityNotSatisfied]",Submission!$O:$O,Submission!$H:$N,""))</f>
        <v/>
      </c>
      <c r="H1416" s="126" t="str">
        <f>_xlfn.CONCAT(_xlfn.XLOOKUP("[S05_BiomassInstallations][28][EmissionsFossil]",Submission!$O:$O,Submission!$H:$N,""))</f>
        <v/>
      </c>
      <c r="I1416" s="126" t="str">
        <f>_xlfn.CONCAT(_xlfn.XLOOKUP("[S05_BiomassInstallations][28][EnergyZeroRatedBiomass]",Submission!$O:$O,Submission!$H:$N,""))</f>
        <v/>
      </c>
      <c r="J1416" s="126" t="str">
        <f>_xlfn.CONCAT(_xlfn.XLOOKUP("[S05_BiomassInstallations][28][EnergyNonZeroRatedBiomass]",Submission!$O:$O,Submission!$H:$N,""))</f>
        <v/>
      </c>
      <c r="K1416" s="126" t="str">
        <f>_xlfn.CONCAT(_xlfn.XLOOKUP("[S05_BiomassInstallations][28][EnergyFossil]",Submission!$O:$O,Submission!$H:$N,""))</f>
        <v/>
      </c>
    </row>
    <row r="1417" spans="1:11" ht="44.4" hidden="1" customHeight="1" outlineLevel="1" x14ac:dyDescent="0.3">
      <c r="A1417" s="12"/>
      <c r="C1417" s="125" t="str">
        <f>_xlfn.CONCAT(_xlfn.XLOOKUP("[S05_BiomassInstallations][29][Annex1Activity]",Submission!$O:$O,Submission!$H:$N,""))</f>
        <v/>
      </c>
      <c r="D1417" s="128" t="str">
        <f>_xlfn.CONCAT(_xlfn.XLOOKUP("[S05_BiomassInstallations][29][BiomassInstallationCategory]",Submission!$O:$O,Submission!$H:$N,""))</f>
        <v/>
      </c>
      <c r="E1417" s="126" t="str">
        <f>_xlfn.CONCAT(_xlfn.XLOOKUP("[S05_BiomassInstallations][29][NumberUsingBiomass]",Submission!$O:$O,Submission!$H:$N,""))</f>
        <v/>
      </c>
      <c r="F1417" s="126" t="str">
        <f>_xlfn.CONCAT(_xlfn.XLOOKUP("[S05_BiomassInstallations][29][EmissionsBiomassSustainabilitySatisfied]",Submission!$O:$O,Submission!$H:$N,""))</f>
        <v/>
      </c>
      <c r="G1417" s="126" t="str">
        <f>_xlfn.CONCAT(_xlfn.XLOOKUP("[S05_BiomassInstallations][29][EmissionsBiomassSustainabilityNotSatisfied]",Submission!$O:$O,Submission!$H:$N,""))</f>
        <v/>
      </c>
      <c r="H1417" s="126" t="str">
        <f>_xlfn.CONCAT(_xlfn.XLOOKUP("[S05_BiomassInstallations][29][EmissionsFossil]",Submission!$O:$O,Submission!$H:$N,""))</f>
        <v/>
      </c>
      <c r="I1417" s="126" t="str">
        <f>_xlfn.CONCAT(_xlfn.XLOOKUP("[S05_BiomassInstallations][29][EnergyZeroRatedBiomass]",Submission!$O:$O,Submission!$H:$N,""))</f>
        <v/>
      </c>
      <c r="J1417" s="126" t="str">
        <f>_xlfn.CONCAT(_xlfn.XLOOKUP("[S05_BiomassInstallations][29][EnergyNonZeroRatedBiomass]",Submission!$O:$O,Submission!$H:$N,""))</f>
        <v/>
      </c>
      <c r="K1417" s="126" t="str">
        <f>_xlfn.CONCAT(_xlfn.XLOOKUP("[S05_BiomassInstallations][29][EnergyFossil]",Submission!$O:$O,Submission!$H:$N,""))</f>
        <v/>
      </c>
    </row>
    <row r="1418" spans="1:11" ht="44.4" hidden="1" customHeight="1" outlineLevel="1" x14ac:dyDescent="0.3">
      <c r="A1418" s="12"/>
      <c r="C1418" s="125" t="str">
        <f>_xlfn.CONCAT(_xlfn.XLOOKUP("[S05_BiomassInstallations][30][Annex1Activity]",Submission!$O:$O,Submission!$H:$N,""))</f>
        <v/>
      </c>
      <c r="D1418" s="128" t="str">
        <f>_xlfn.CONCAT(_xlfn.XLOOKUP("[S05_BiomassInstallations][30][BiomassInstallationCategory]",Submission!$O:$O,Submission!$H:$N,""))</f>
        <v/>
      </c>
      <c r="E1418" s="126" t="str">
        <f>_xlfn.CONCAT(_xlfn.XLOOKUP("[S05_BiomassInstallations][30][NumberUsingBiomass]",Submission!$O:$O,Submission!$H:$N,""))</f>
        <v/>
      </c>
      <c r="F1418" s="126" t="str">
        <f>_xlfn.CONCAT(_xlfn.XLOOKUP("[S05_BiomassInstallations][30][EmissionsBiomassSustainabilitySatisfied]",Submission!$O:$O,Submission!$H:$N,""))</f>
        <v/>
      </c>
      <c r="G1418" s="126" t="str">
        <f>_xlfn.CONCAT(_xlfn.XLOOKUP("[S05_BiomassInstallations][30][EmissionsBiomassSustainabilityNotSatisfied]",Submission!$O:$O,Submission!$H:$N,""))</f>
        <v/>
      </c>
      <c r="H1418" s="126" t="str">
        <f>_xlfn.CONCAT(_xlfn.XLOOKUP("[S05_BiomassInstallations][30][EmissionsFossil]",Submission!$O:$O,Submission!$H:$N,""))</f>
        <v/>
      </c>
      <c r="I1418" s="126" t="str">
        <f>_xlfn.CONCAT(_xlfn.XLOOKUP("[S05_BiomassInstallations][30][EnergyZeroRatedBiomass]",Submission!$O:$O,Submission!$H:$N,""))</f>
        <v/>
      </c>
      <c r="J1418" s="126" t="str">
        <f>_xlfn.CONCAT(_xlfn.XLOOKUP("[S05_BiomassInstallations][30][EnergyNonZeroRatedBiomass]",Submission!$O:$O,Submission!$H:$N,""))</f>
        <v/>
      </c>
      <c r="K1418" s="126" t="str">
        <f>_xlfn.CONCAT(_xlfn.XLOOKUP("[S05_BiomassInstallations][30][EnergyFossil]",Submission!$O:$O,Submission!$H:$N,""))</f>
        <v/>
      </c>
    </row>
    <row r="1419" spans="1:11" ht="44.4" hidden="1" customHeight="1" outlineLevel="1" x14ac:dyDescent="0.3">
      <c r="A1419" s="12"/>
      <c r="C1419" s="125" t="str">
        <f>_xlfn.CONCAT(_xlfn.XLOOKUP("[S05_BiomassInstallations][31][Annex1Activity]",Submission!$O:$O,Submission!$H:$N,""))</f>
        <v/>
      </c>
      <c r="D1419" s="128" t="str">
        <f>_xlfn.CONCAT(_xlfn.XLOOKUP("[S05_BiomassInstallations][31][BiomassInstallationCategory]",Submission!$O:$O,Submission!$H:$N,""))</f>
        <v/>
      </c>
      <c r="E1419" s="126" t="str">
        <f>_xlfn.CONCAT(_xlfn.XLOOKUP("[S05_BiomassInstallations][31][NumberUsingBiomass]",Submission!$O:$O,Submission!$H:$N,""))</f>
        <v/>
      </c>
      <c r="F1419" s="126" t="str">
        <f>_xlfn.CONCAT(_xlfn.XLOOKUP("[S05_BiomassInstallations][31][EmissionsBiomassSustainabilitySatisfied]",Submission!$O:$O,Submission!$H:$N,""))</f>
        <v/>
      </c>
      <c r="G1419" s="126" t="str">
        <f>_xlfn.CONCAT(_xlfn.XLOOKUP("[S05_BiomassInstallations][31][EmissionsBiomassSustainabilityNotSatisfied]",Submission!$O:$O,Submission!$H:$N,""))</f>
        <v/>
      </c>
      <c r="H1419" s="126" t="str">
        <f>_xlfn.CONCAT(_xlfn.XLOOKUP("[S05_BiomassInstallations][31][EmissionsFossil]",Submission!$O:$O,Submission!$H:$N,""))</f>
        <v/>
      </c>
      <c r="I1419" s="126" t="str">
        <f>_xlfn.CONCAT(_xlfn.XLOOKUP("[S05_BiomassInstallations][31][EnergyZeroRatedBiomass]",Submission!$O:$O,Submission!$H:$N,""))</f>
        <v/>
      </c>
      <c r="J1419" s="126" t="str">
        <f>_xlfn.CONCAT(_xlfn.XLOOKUP("[S05_BiomassInstallations][31][EnergyNonZeroRatedBiomass]",Submission!$O:$O,Submission!$H:$N,""))</f>
        <v/>
      </c>
      <c r="K1419" s="126" t="str">
        <f>_xlfn.CONCAT(_xlfn.XLOOKUP("[S05_BiomassInstallations][31][EnergyFossil]",Submission!$O:$O,Submission!$H:$N,""))</f>
        <v/>
      </c>
    </row>
    <row r="1420" spans="1:11" ht="44.4" hidden="1" customHeight="1" outlineLevel="1" x14ac:dyDescent="0.3">
      <c r="A1420" s="12"/>
      <c r="C1420" s="125" t="str">
        <f>_xlfn.CONCAT(_xlfn.XLOOKUP("[S05_BiomassInstallations][32][Annex1Activity]",Submission!$O:$O,Submission!$H:$N,""))</f>
        <v/>
      </c>
      <c r="D1420" s="128" t="str">
        <f>_xlfn.CONCAT(_xlfn.XLOOKUP("[S05_BiomassInstallations][32][BiomassInstallationCategory]",Submission!$O:$O,Submission!$H:$N,""))</f>
        <v/>
      </c>
      <c r="E1420" s="126" t="str">
        <f>_xlfn.CONCAT(_xlfn.XLOOKUP("[S05_BiomassInstallations][32][NumberUsingBiomass]",Submission!$O:$O,Submission!$H:$N,""))</f>
        <v/>
      </c>
      <c r="F1420" s="126" t="str">
        <f>_xlfn.CONCAT(_xlfn.XLOOKUP("[S05_BiomassInstallations][32][EmissionsBiomassSustainabilitySatisfied]",Submission!$O:$O,Submission!$H:$N,""))</f>
        <v/>
      </c>
      <c r="G1420" s="126" t="str">
        <f>_xlfn.CONCAT(_xlfn.XLOOKUP("[S05_BiomassInstallations][32][EmissionsBiomassSustainabilityNotSatisfied]",Submission!$O:$O,Submission!$H:$N,""))</f>
        <v/>
      </c>
      <c r="H1420" s="126" t="str">
        <f>_xlfn.CONCAT(_xlfn.XLOOKUP("[S05_BiomassInstallations][32][EmissionsFossil]",Submission!$O:$O,Submission!$H:$N,""))</f>
        <v/>
      </c>
      <c r="I1420" s="126" t="str">
        <f>_xlfn.CONCAT(_xlfn.XLOOKUP("[S05_BiomassInstallations][32][EnergyZeroRatedBiomass]",Submission!$O:$O,Submission!$H:$N,""))</f>
        <v/>
      </c>
      <c r="J1420" s="126" t="str">
        <f>_xlfn.CONCAT(_xlfn.XLOOKUP("[S05_BiomassInstallations][32][EnergyNonZeroRatedBiomass]",Submission!$O:$O,Submission!$H:$N,""))</f>
        <v/>
      </c>
      <c r="K1420" s="126" t="str">
        <f>_xlfn.CONCAT(_xlfn.XLOOKUP("[S05_BiomassInstallations][32][EnergyFossil]",Submission!$O:$O,Submission!$H:$N,""))</f>
        <v/>
      </c>
    </row>
    <row r="1421" spans="1:11" ht="44.4" hidden="1" customHeight="1" outlineLevel="1" x14ac:dyDescent="0.3">
      <c r="A1421" s="12"/>
      <c r="C1421" s="125" t="str">
        <f>_xlfn.CONCAT(_xlfn.XLOOKUP("[S05_BiomassInstallations][33][Annex1Activity]",Submission!$O:$O,Submission!$H:$N,""))</f>
        <v/>
      </c>
      <c r="D1421" s="128" t="str">
        <f>_xlfn.CONCAT(_xlfn.XLOOKUP("[S05_BiomassInstallations][33][BiomassInstallationCategory]",Submission!$O:$O,Submission!$H:$N,""))</f>
        <v/>
      </c>
      <c r="E1421" s="126" t="str">
        <f>_xlfn.CONCAT(_xlfn.XLOOKUP("[S05_BiomassInstallations][33][NumberUsingBiomass]",Submission!$O:$O,Submission!$H:$N,""))</f>
        <v/>
      </c>
      <c r="F1421" s="126" t="str">
        <f>_xlfn.CONCAT(_xlfn.XLOOKUP("[S05_BiomassInstallations][33][EmissionsBiomassSustainabilitySatisfied]",Submission!$O:$O,Submission!$H:$N,""))</f>
        <v/>
      </c>
      <c r="G1421" s="126" t="str">
        <f>_xlfn.CONCAT(_xlfn.XLOOKUP("[S05_BiomassInstallations][33][EmissionsBiomassSustainabilityNotSatisfied]",Submission!$O:$O,Submission!$H:$N,""))</f>
        <v/>
      </c>
      <c r="H1421" s="126" t="str">
        <f>_xlfn.CONCAT(_xlfn.XLOOKUP("[S05_BiomassInstallations][33][EmissionsFossil]",Submission!$O:$O,Submission!$H:$N,""))</f>
        <v/>
      </c>
      <c r="I1421" s="126" t="str">
        <f>_xlfn.CONCAT(_xlfn.XLOOKUP("[S05_BiomassInstallations][33][EnergyZeroRatedBiomass]",Submission!$O:$O,Submission!$H:$N,""))</f>
        <v/>
      </c>
      <c r="J1421" s="126" t="str">
        <f>_xlfn.CONCAT(_xlfn.XLOOKUP("[S05_BiomassInstallations][33][EnergyNonZeroRatedBiomass]",Submission!$O:$O,Submission!$H:$N,""))</f>
        <v/>
      </c>
      <c r="K1421" s="126" t="str">
        <f>_xlfn.CONCAT(_xlfn.XLOOKUP("[S05_BiomassInstallations][33][EnergyFossil]",Submission!$O:$O,Submission!$H:$N,""))</f>
        <v/>
      </c>
    </row>
    <row r="1422" spans="1:11" ht="44.4" hidden="1" customHeight="1" outlineLevel="1" x14ac:dyDescent="0.3">
      <c r="A1422" s="12"/>
      <c r="C1422" s="125" t="str">
        <f>_xlfn.CONCAT(_xlfn.XLOOKUP("[S05_BiomassInstallations][34][Annex1Activity]",Submission!$O:$O,Submission!$H:$N,""))</f>
        <v/>
      </c>
      <c r="D1422" s="128" t="str">
        <f>_xlfn.CONCAT(_xlfn.XLOOKUP("[S05_BiomassInstallations][34][BiomassInstallationCategory]",Submission!$O:$O,Submission!$H:$N,""))</f>
        <v/>
      </c>
      <c r="E1422" s="126" t="str">
        <f>_xlfn.CONCAT(_xlfn.XLOOKUP("[S05_BiomassInstallations][34][NumberUsingBiomass]",Submission!$O:$O,Submission!$H:$N,""))</f>
        <v/>
      </c>
      <c r="F1422" s="126" t="str">
        <f>_xlfn.CONCAT(_xlfn.XLOOKUP("[S05_BiomassInstallations][34][EmissionsBiomassSustainabilitySatisfied]",Submission!$O:$O,Submission!$H:$N,""))</f>
        <v/>
      </c>
      <c r="G1422" s="126" t="str">
        <f>_xlfn.CONCAT(_xlfn.XLOOKUP("[S05_BiomassInstallations][34][EmissionsBiomassSustainabilityNotSatisfied]",Submission!$O:$O,Submission!$H:$N,""))</f>
        <v/>
      </c>
      <c r="H1422" s="126" t="str">
        <f>_xlfn.CONCAT(_xlfn.XLOOKUP("[S05_BiomassInstallations][34][EmissionsFossil]",Submission!$O:$O,Submission!$H:$N,""))</f>
        <v/>
      </c>
      <c r="I1422" s="126" t="str">
        <f>_xlfn.CONCAT(_xlfn.XLOOKUP("[S05_BiomassInstallations][34][EnergyZeroRatedBiomass]",Submission!$O:$O,Submission!$H:$N,""))</f>
        <v/>
      </c>
      <c r="J1422" s="126" t="str">
        <f>_xlfn.CONCAT(_xlfn.XLOOKUP("[S05_BiomassInstallations][34][EnergyNonZeroRatedBiomass]",Submission!$O:$O,Submission!$H:$N,""))</f>
        <v/>
      </c>
      <c r="K1422" s="126" t="str">
        <f>_xlfn.CONCAT(_xlfn.XLOOKUP("[S05_BiomassInstallations][34][EnergyFossil]",Submission!$O:$O,Submission!$H:$N,""))</f>
        <v/>
      </c>
    </row>
    <row r="1423" spans="1:11" ht="44.4" hidden="1" customHeight="1" outlineLevel="1" x14ac:dyDescent="0.3">
      <c r="A1423" s="12"/>
      <c r="C1423" s="125" t="str">
        <f>_xlfn.CONCAT(_xlfn.XLOOKUP("[S05_BiomassInstallations][35][Annex1Activity]",Submission!$O:$O,Submission!$H:$N,""))</f>
        <v/>
      </c>
      <c r="D1423" s="128" t="str">
        <f>_xlfn.CONCAT(_xlfn.XLOOKUP("[S05_BiomassInstallations][35][BiomassInstallationCategory]",Submission!$O:$O,Submission!$H:$N,""))</f>
        <v/>
      </c>
      <c r="E1423" s="126" t="str">
        <f>_xlfn.CONCAT(_xlfn.XLOOKUP("[S05_BiomassInstallations][35][NumberUsingBiomass]",Submission!$O:$O,Submission!$H:$N,""))</f>
        <v/>
      </c>
      <c r="F1423" s="126" t="str">
        <f>_xlfn.CONCAT(_xlfn.XLOOKUP("[S05_BiomassInstallations][35][EmissionsBiomassSustainabilitySatisfied]",Submission!$O:$O,Submission!$H:$N,""))</f>
        <v/>
      </c>
      <c r="G1423" s="126" t="str">
        <f>_xlfn.CONCAT(_xlfn.XLOOKUP("[S05_BiomassInstallations][35][EmissionsBiomassSustainabilityNotSatisfied]",Submission!$O:$O,Submission!$H:$N,""))</f>
        <v/>
      </c>
      <c r="H1423" s="126" t="str">
        <f>_xlfn.CONCAT(_xlfn.XLOOKUP("[S05_BiomassInstallations][35][EmissionsFossil]",Submission!$O:$O,Submission!$H:$N,""))</f>
        <v/>
      </c>
      <c r="I1423" s="126" t="str">
        <f>_xlfn.CONCAT(_xlfn.XLOOKUP("[S05_BiomassInstallations][35][EnergyZeroRatedBiomass]",Submission!$O:$O,Submission!$H:$N,""))</f>
        <v/>
      </c>
      <c r="J1423" s="126" t="str">
        <f>_xlfn.CONCAT(_xlfn.XLOOKUP("[S05_BiomassInstallations][35][EnergyNonZeroRatedBiomass]",Submission!$O:$O,Submission!$H:$N,""))</f>
        <v/>
      </c>
      <c r="K1423" s="126" t="str">
        <f>_xlfn.CONCAT(_xlfn.XLOOKUP("[S05_BiomassInstallations][35][EnergyFossil]",Submission!$O:$O,Submission!$H:$N,""))</f>
        <v/>
      </c>
    </row>
    <row r="1424" spans="1:11" ht="44.4" hidden="1" customHeight="1" outlineLevel="1" x14ac:dyDescent="0.3">
      <c r="A1424" s="12"/>
      <c r="C1424" s="125" t="str">
        <f>_xlfn.CONCAT(_xlfn.XLOOKUP("[S05_BiomassInstallations][36][Annex1Activity]",Submission!$O:$O,Submission!$H:$N,""))</f>
        <v/>
      </c>
      <c r="D1424" s="128" t="str">
        <f>_xlfn.CONCAT(_xlfn.XLOOKUP("[S05_BiomassInstallations][36][BiomassInstallationCategory]",Submission!$O:$O,Submission!$H:$N,""))</f>
        <v/>
      </c>
      <c r="E1424" s="126" t="str">
        <f>_xlfn.CONCAT(_xlfn.XLOOKUP("[S05_BiomassInstallations][36][NumberUsingBiomass]",Submission!$O:$O,Submission!$H:$N,""))</f>
        <v/>
      </c>
      <c r="F1424" s="126" t="str">
        <f>_xlfn.CONCAT(_xlfn.XLOOKUP("[S05_BiomassInstallations][36][EmissionsBiomassSustainabilitySatisfied]",Submission!$O:$O,Submission!$H:$N,""))</f>
        <v/>
      </c>
      <c r="G1424" s="126" t="str">
        <f>_xlfn.CONCAT(_xlfn.XLOOKUP("[S05_BiomassInstallations][36][EmissionsBiomassSustainabilityNotSatisfied]",Submission!$O:$O,Submission!$H:$N,""))</f>
        <v/>
      </c>
      <c r="H1424" s="126" t="str">
        <f>_xlfn.CONCAT(_xlfn.XLOOKUP("[S05_BiomassInstallations][36][EmissionsFossil]",Submission!$O:$O,Submission!$H:$N,""))</f>
        <v/>
      </c>
      <c r="I1424" s="126" t="str">
        <f>_xlfn.CONCAT(_xlfn.XLOOKUP("[S05_BiomassInstallations][36][EnergyZeroRatedBiomass]",Submission!$O:$O,Submission!$H:$N,""))</f>
        <v/>
      </c>
      <c r="J1424" s="126" t="str">
        <f>_xlfn.CONCAT(_xlfn.XLOOKUP("[S05_BiomassInstallations][36][EnergyNonZeroRatedBiomass]",Submission!$O:$O,Submission!$H:$N,""))</f>
        <v/>
      </c>
      <c r="K1424" s="126" t="str">
        <f>_xlfn.CONCAT(_xlfn.XLOOKUP("[S05_BiomassInstallations][36][EnergyFossil]",Submission!$O:$O,Submission!$H:$N,""))</f>
        <v/>
      </c>
    </row>
    <row r="1425" spans="1:11" ht="44.4" hidden="1" customHeight="1" outlineLevel="1" x14ac:dyDescent="0.3">
      <c r="A1425" s="12"/>
      <c r="C1425" s="125" t="str">
        <f>_xlfn.CONCAT(_xlfn.XLOOKUP("[S05_BiomassInstallations][37][Annex1Activity]",Submission!$O:$O,Submission!$H:$N,""))</f>
        <v/>
      </c>
      <c r="D1425" s="128" t="str">
        <f>_xlfn.CONCAT(_xlfn.XLOOKUP("[S05_BiomassInstallations][37][BiomassInstallationCategory]",Submission!$O:$O,Submission!$H:$N,""))</f>
        <v/>
      </c>
      <c r="E1425" s="126" t="str">
        <f>_xlfn.CONCAT(_xlfn.XLOOKUP("[S05_BiomassInstallations][37][NumberUsingBiomass]",Submission!$O:$O,Submission!$H:$N,""))</f>
        <v/>
      </c>
      <c r="F1425" s="126" t="str">
        <f>_xlfn.CONCAT(_xlfn.XLOOKUP("[S05_BiomassInstallations][37][EmissionsBiomassSustainabilitySatisfied]",Submission!$O:$O,Submission!$H:$N,""))</f>
        <v/>
      </c>
      <c r="G1425" s="126" t="str">
        <f>_xlfn.CONCAT(_xlfn.XLOOKUP("[S05_BiomassInstallations][37][EmissionsBiomassSustainabilityNotSatisfied]",Submission!$O:$O,Submission!$H:$N,""))</f>
        <v/>
      </c>
      <c r="H1425" s="126" t="str">
        <f>_xlfn.CONCAT(_xlfn.XLOOKUP("[S05_BiomassInstallations][37][EmissionsFossil]",Submission!$O:$O,Submission!$H:$N,""))</f>
        <v/>
      </c>
      <c r="I1425" s="126" t="str">
        <f>_xlfn.CONCAT(_xlfn.XLOOKUP("[S05_BiomassInstallations][37][EnergyZeroRatedBiomass]",Submission!$O:$O,Submission!$H:$N,""))</f>
        <v/>
      </c>
      <c r="J1425" s="126" t="str">
        <f>_xlfn.CONCAT(_xlfn.XLOOKUP("[S05_BiomassInstallations][37][EnergyNonZeroRatedBiomass]",Submission!$O:$O,Submission!$H:$N,""))</f>
        <v/>
      </c>
      <c r="K1425" s="126" t="str">
        <f>_xlfn.CONCAT(_xlfn.XLOOKUP("[S05_BiomassInstallations][37][EnergyFossil]",Submission!$O:$O,Submission!$H:$N,""))</f>
        <v/>
      </c>
    </row>
    <row r="1426" spans="1:11" ht="44.4" hidden="1" customHeight="1" outlineLevel="1" x14ac:dyDescent="0.3">
      <c r="A1426" s="12"/>
      <c r="C1426" s="125" t="str">
        <f>_xlfn.CONCAT(_xlfn.XLOOKUP("[S05_BiomassInstallations][38][Annex1Activity]",Submission!$O:$O,Submission!$H:$N,""))</f>
        <v/>
      </c>
      <c r="D1426" s="128" t="str">
        <f>_xlfn.CONCAT(_xlfn.XLOOKUP("[S05_BiomassInstallations][38][BiomassInstallationCategory]",Submission!$O:$O,Submission!$H:$N,""))</f>
        <v/>
      </c>
      <c r="E1426" s="126" t="str">
        <f>_xlfn.CONCAT(_xlfn.XLOOKUP("[S05_BiomassInstallations][38][NumberUsingBiomass]",Submission!$O:$O,Submission!$H:$N,""))</f>
        <v/>
      </c>
      <c r="F1426" s="126" t="str">
        <f>_xlfn.CONCAT(_xlfn.XLOOKUP("[S05_BiomassInstallations][38][EmissionsBiomassSustainabilitySatisfied]",Submission!$O:$O,Submission!$H:$N,""))</f>
        <v/>
      </c>
      <c r="G1426" s="126" t="str">
        <f>_xlfn.CONCAT(_xlfn.XLOOKUP("[S05_BiomassInstallations][38][EmissionsBiomassSustainabilityNotSatisfied]",Submission!$O:$O,Submission!$H:$N,""))</f>
        <v/>
      </c>
      <c r="H1426" s="126" t="str">
        <f>_xlfn.CONCAT(_xlfn.XLOOKUP("[S05_BiomassInstallations][38][EmissionsFossil]",Submission!$O:$O,Submission!$H:$N,""))</f>
        <v/>
      </c>
      <c r="I1426" s="126" t="str">
        <f>_xlfn.CONCAT(_xlfn.XLOOKUP("[S05_BiomassInstallations][38][EnergyZeroRatedBiomass]",Submission!$O:$O,Submission!$H:$N,""))</f>
        <v/>
      </c>
      <c r="J1426" s="126" t="str">
        <f>_xlfn.CONCAT(_xlfn.XLOOKUP("[S05_BiomassInstallations][38][EnergyNonZeroRatedBiomass]",Submission!$O:$O,Submission!$H:$N,""))</f>
        <v/>
      </c>
      <c r="K1426" s="126" t="str">
        <f>_xlfn.CONCAT(_xlfn.XLOOKUP("[S05_BiomassInstallations][38][EnergyFossil]",Submission!$O:$O,Submission!$H:$N,""))</f>
        <v/>
      </c>
    </row>
    <row r="1427" spans="1:11" ht="44.4" hidden="1" customHeight="1" outlineLevel="1" x14ac:dyDescent="0.3">
      <c r="A1427" s="12"/>
      <c r="C1427" s="125" t="str">
        <f>_xlfn.CONCAT(_xlfn.XLOOKUP("[S05_BiomassInstallations][39][Annex1Activity]",Submission!$O:$O,Submission!$H:$N,""))</f>
        <v/>
      </c>
      <c r="D1427" s="128" t="str">
        <f>_xlfn.CONCAT(_xlfn.XLOOKUP("[S05_BiomassInstallations][39][BiomassInstallationCategory]",Submission!$O:$O,Submission!$H:$N,""))</f>
        <v/>
      </c>
      <c r="E1427" s="126" t="str">
        <f>_xlfn.CONCAT(_xlfn.XLOOKUP("[S05_BiomassInstallations][39][NumberUsingBiomass]",Submission!$O:$O,Submission!$H:$N,""))</f>
        <v/>
      </c>
      <c r="F1427" s="126" t="str">
        <f>_xlfn.CONCAT(_xlfn.XLOOKUP("[S05_BiomassInstallations][39][EmissionsBiomassSustainabilitySatisfied]",Submission!$O:$O,Submission!$H:$N,""))</f>
        <v/>
      </c>
      <c r="G1427" s="126" t="str">
        <f>_xlfn.CONCAT(_xlfn.XLOOKUP("[S05_BiomassInstallations][39][EmissionsBiomassSustainabilityNotSatisfied]",Submission!$O:$O,Submission!$H:$N,""))</f>
        <v/>
      </c>
      <c r="H1427" s="126" t="str">
        <f>_xlfn.CONCAT(_xlfn.XLOOKUP("[S05_BiomassInstallations][39][EmissionsFossil]",Submission!$O:$O,Submission!$H:$N,""))</f>
        <v/>
      </c>
      <c r="I1427" s="126" t="str">
        <f>_xlfn.CONCAT(_xlfn.XLOOKUP("[S05_BiomassInstallations][39][EnergyZeroRatedBiomass]",Submission!$O:$O,Submission!$H:$N,""))</f>
        <v/>
      </c>
      <c r="J1427" s="126" t="str">
        <f>_xlfn.CONCAT(_xlfn.XLOOKUP("[S05_BiomassInstallations][39][EnergyNonZeroRatedBiomass]",Submission!$O:$O,Submission!$H:$N,""))</f>
        <v/>
      </c>
      <c r="K1427" s="126" t="str">
        <f>_xlfn.CONCAT(_xlfn.XLOOKUP("[S05_BiomassInstallations][39][EnergyFossil]",Submission!$O:$O,Submission!$H:$N,""))</f>
        <v/>
      </c>
    </row>
    <row r="1428" spans="1:11" ht="44.4" hidden="1" customHeight="1" outlineLevel="1" x14ac:dyDescent="0.3">
      <c r="A1428" s="12"/>
      <c r="C1428" s="125" t="str">
        <f>_xlfn.CONCAT(_xlfn.XLOOKUP("[S05_BiomassInstallations][40][Annex1Activity]",Submission!$O:$O,Submission!$H:$N,""))</f>
        <v/>
      </c>
      <c r="D1428" s="128" t="str">
        <f>_xlfn.CONCAT(_xlfn.XLOOKUP("[S05_BiomassInstallations][40][BiomassInstallationCategory]",Submission!$O:$O,Submission!$H:$N,""))</f>
        <v/>
      </c>
      <c r="E1428" s="126" t="str">
        <f>_xlfn.CONCAT(_xlfn.XLOOKUP("[S05_BiomassInstallations][40][NumberUsingBiomass]",Submission!$O:$O,Submission!$H:$N,""))</f>
        <v/>
      </c>
      <c r="F1428" s="126" t="str">
        <f>_xlfn.CONCAT(_xlfn.XLOOKUP("[S05_BiomassInstallations][40][EmissionsBiomassSustainabilitySatisfied]",Submission!$O:$O,Submission!$H:$N,""))</f>
        <v/>
      </c>
      <c r="G1428" s="126" t="str">
        <f>_xlfn.CONCAT(_xlfn.XLOOKUP("[S05_BiomassInstallations][40][EmissionsBiomassSustainabilityNotSatisfied]",Submission!$O:$O,Submission!$H:$N,""))</f>
        <v/>
      </c>
      <c r="H1428" s="126" t="str">
        <f>_xlfn.CONCAT(_xlfn.XLOOKUP("[S05_BiomassInstallations][40][EmissionsFossil]",Submission!$O:$O,Submission!$H:$N,""))</f>
        <v/>
      </c>
      <c r="I1428" s="126" t="str">
        <f>_xlfn.CONCAT(_xlfn.XLOOKUP("[S05_BiomassInstallations][40][EnergyZeroRatedBiomass]",Submission!$O:$O,Submission!$H:$N,""))</f>
        <v/>
      </c>
      <c r="J1428" s="126" t="str">
        <f>_xlfn.CONCAT(_xlfn.XLOOKUP("[S05_BiomassInstallations][40][EnergyNonZeroRatedBiomass]",Submission!$O:$O,Submission!$H:$N,""))</f>
        <v/>
      </c>
      <c r="K1428" s="126" t="str">
        <f>_xlfn.CONCAT(_xlfn.XLOOKUP("[S05_BiomassInstallations][40][EnergyFossil]",Submission!$O:$O,Submission!$H:$N,""))</f>
        <v/>
      </c>
    </row>
    <row r="1429" spans="1:11" ht="44.4" hidden="1" customHeight="1" outlineLevel="1" x14ac:dyDescent="0.3">
      <c r="A1429" s="12"/>
      <c r="C1429" s="125" t="str">
        <f>_xlfn.CONCAT(_xlfn.XLOOKUP("[S05_BiomassInstallations][41][Annex1Activity]",Submission!$O:$O,Submission!$H:$N,""))</f>
        <v/>
      </c>
      <c r="D1429" s="128" t="str">
        <f>_xlfn.CONCAT(_xlfn.XLOOKUP("[S05_BiomassInstallations][41][BiomassInstallationCategory]",Submission!$O:$O,Submission!$H:$N,""))</f>
        <v/>
      </c>
      <c r="E1429" s="126" t="str">
        <f>_xlfn.CONCAT(_xlfn.XLOOKUP("[S05_BiomassInstallations][41][NumberUsingBiomass]",Submission!$O:$O,Submission!$H:$N,""))</f>
        <v/>
      </c>
      <c r="F1429" s="126" t="str">
        <f>_xlfn.CONCAT(_xlfn.XLOOKUP("[S05_BiomassInstallations][41][EmissionsBiomassSustainabilitySatisfied]",Submission!$O:$O,Submission!$H:$N,""))</f>
        <v/>
      </c>
      <c r="G1429" s="126" t="str">
        <f>_xlfn.CONCAT(_xlfn.XLOOKUP("[S05_BiomassInstallations][41][EmissionsBiomassSustainabilityNotSatisfied]",Submission!$O:$O,Submission!$H:$N,""))</f>
        <v/>
      </c>
      <c r="H1429" s="126" t="str">
        <f>_xlfn.CONCAT(_xlfn.XLOOKUP("[S05_BiomassInstallations][41][EmissionsFossil]",Submission!$O:$O,Submission!$H:$N,""))</f>
        <v/>
      </c>
      <c r="I1429" s="126" t="str">
        <f>_xlfn.CONCAT(_xlfn.XLOOKUP("[S05_BiomassInstallations][41][EnergyZeroRatedBiomass]",Submission!$O:$O,Submission!$H:$N,""))</f>
        <v/>
      </c>
      <c r="J1429" s="126" t="str">
        <f>_xlfn.CONCAT(_xlfn.XLOOKUP("[S05_BiomassInstallations][41][EnergyNonZeroRatedBiomass]",Submission!$O:$O,Submission!$H:$N,""))</f>
        <v/>
      </c>
      <c r="K1429" s="126" t="str">
        <f>_xlfn.CONCAT(_xlfn.XLOOKUP("[S05_BiomassInstallations][41][EnergyFossil]",Submission!$O:$O,Submission!$H:$N,""))</f>
        <v/>
      </c>
    </row>
    <row r="1430" spans="1:11" ht="44.4" hidden="1" customHeight="1" outlineLevel="1" x14ac:dyDescent="0.3">
      <c r="A1430" s="12"/>
      <c r="C1430" s="125" t="str">
        <f>_xlfn.CONCAT(_xlfn.XLOOKUP("[S05_BiomassInstallations][42][Annex1Activity]",Submission!$O:$O,Submission!$H:$N,""))</f>
        <v/>
      </c>
      <c r="D1430" s="128" t="str">
        <f>_xlfn.CONCAT(_xlfn.XLOOKUP("[S05_BiomassInstallations][42][BiomassInstallationCategory]",Submission!$O:$O,Submission!$H:$N,""))</f>
        <v/>
      </c>
      <c r="E1430" s="126" t="str">
        <f>_xlfn.CONCAT(_xlfn.XLOOKUP("[S05_BiomassInstallations][42][NumberUsingBiomass]",Submission!$O:$O,Submission!$H:$N,""))</f>
        <v/>
      </c>
      <c r="F1430" s="126" t="str">
        <f>_xlfn.CONCAT(_xlfn.XLOOKUP("[S05_BiomassInstallations][42][EmissionsBiomassSustainabilitySatisfied]",Submission!$O:$O,Submission!$H:$N,""))</f>
        <v/>
      </c>
      <c r="G1430" s="126" t="str">
        <f>_xlfn.CONCAT(_xlfn.XLOOKUP("[S05_BiomassInstallations][42][EmissionsBiomassSustainabilityNotSatisfied]",Submission!$O:$O,Submission!$H:$N,""))</f>
        <v/>
      </c>
      <c r="H1430" s="126" t="str">
        <f>_xlfn.CONCAT(_xlfn.XLOOKUP("[S05_BiomassInstallations][42][EmissionsFossil]",Submission!$O:$O,Submission!$H:$N,""))</f>
        <v/>
      </c>
      <c r="I1430" s="126" t="str">
        <f>_xlfn.CONCAT(_xlfn.XLOOKUP("[S05_BiomassInstallations][42][EnergyZeroRatedBiomass]",Submission!$O:$O,Submission!$H:$N,""))</f>
        <v/>
      </c>
      <c r="J1430" s="126" t="str">
        <f>_xlfn.CONCAT(_xlfn.XLOOKUP("[S05_BiomassInstallations][42][EnergyNonZeroRatedBiomass]",Submission!$O:$O,Submission!$H:$N,""))</f>
        <v/>
      </c>
      <c r="K1430" s="126" t="str">
        <f>_xlfn.CONCAT(_xlfn.XLOOKUP("[S05_BiomassInstallations][42][EnergyFossil]",Submission!$O:$O,Submission!$H:$N,""))</f>
        <v/>
      </c>
    </row>
    <row r="1431" spans="1:11" ht="44.4" hidden="1" customHeight="1" outlineLevel="1" x14ac:dyDescent="0.3">
      <c r="A1431" s="12"/>
      <c r="C1431" s="125" t="str">
        <f>_xlfn.CONCAT(_xlfn.XLOOKUP("[S05_BiomassInstallations][43][Annex1Activity]",Submission!$O:$O,Submission!$H:$N,""))</f>
        <v/>
      </c>
      <c r="D1431" s="128" t="str">
        <f>_xlfn.CONCAT(_xlfn.XLOOKUP("[S05_BiomassInstallations][43][BiomassInstallationCategory]",Submission!$O:$O,Submission!$H:$N,""))</f>
        <v/>
      </c>
      <c r="E1431" s="126" t="str">
        <f>_xlfn.CONCAT(_xlfn.XLOOKUP("[S05_BiomassInstallations][43][NumberUsingBiomass]",Submission!$O:$O,Submission!$H:$N,""))</f>
        <v/>
      </c>
      <c r="F1431" s="126" t="str">
        <f>_xlfn.CONCAT(_xlfn.XLOOKUP("[S05_BiomassInstallations][43][EmissionsBiomassSustainabilitySatisfied]",Submission!$O:$O,Submission!$H:$N,""))</f>
        <v/>
      </c>
      <c r="G1431" s="126" t="str">
        <f>_xlfn.CONCAT(_xlfn.XLOOKUP("[S05_BiomassInstallations][43][EmissionsBiomassSustainabilityNotSatisfied]",Submission!$O:$O,Submission!$H:$N,""))</f>
        <v/>
      </c>
      <c r="H1431" s="126" t="str">
        <f>_xlfn.CONCAT(_xlfn.XLOOKUP("[S05_BiomassInstallations][43][EmissionsFossil]",Submission!$O:$O,Submission!$H:$N,""))</f>
        <v/>
      </c>
      <c r="I1431" s="126" t="str">
        <f>_xlfn.CONCAT(_xlfn.XLOOKUP("[S05_BiomassInstallations][43][EnergyZeroRatedBiomass]",Submission!$O:$O,Submission!$H:$N,""))</f>
        <v/>
      </c>
      <c r="J1431" s="126" t="str">
        <f>_xlfn.CONCAT(_xlfn.XLOOKUP("[S05_BiomassInstallations][43][EnergyNonZeroRatedBiomass]",Submission!$O:$O,Submission!$H:$N,""))</f>
        <v/>
      </c>
      <c r="K1431" s="126" t="str">
        <f>_xlfn.CONCAT(_xlfn.XLOOKUP("[S05_BiomassInstallations][43][EnergyFossil]",Submission!$O:$O,Submission!$H:$N,""))</f>
        <v/>
      </c>
    </row>
    <row r="1432" spans="1:11" ht="44.4" hidden="1" customHeight="1" outlineLevel="1" x14ac:dyDescent="0.3">
      <c r="A1432" s="12"/>
      <c r="C1432" s="125" t="str">
        <f>_xlfn.CONCAT(_xlfn.XLOOKUP("[S05_BiomassInstallations][44][Annex1Activity]",Submission!$O:$O,Submission!$H:$N,""))</f>
        <v/>
      </c>
      <c r="D1432" s="128" t="str">
        <f>_xlfn.CONCAT(_xlfn.XLOOKUP("[S05_BiomassInstallations][44][BiomassInstallationCategory]",Submission!$O:$O,Submission!$H:$N,""))</f>
        <v/>
      </c>
      <c r="E1432" s="126" t="str">
        <f>_xlfn.CONCAT(_xlfn.XLOOKUP("[S05_BiomassInstallations][44][NumberUsingBiomass]",Submission!$O:$O,Submission!$H:$N,""))</f>
        <v/>
      </c>
      <c r="F1432" s="126" t="str">
        <f>_xlfn.CONCAT(_xlfn.XLOOKUP("[S05_BiomassInstallations][44][EmissionsBiomassSustainabilitySatisfied]",Submission!$O:$O,Submission!$H:$N,""))</f>
        <v/>
      </c>
      <c r="G1432" s="126" t="str">
        <f>_xlfn.CONCAT(_xlfn.XLOOKUP("[S05_BiomassInstallations][44][EmissionsBiomassSustainabilityNotSatisfied]",Submission!$O:$O,Submission!$H:$N,""))</f>
        <v/>
      </c>
      <c r="H1432" s="126" t="str">
        <f>_xlfn.CONCAT(_xlfn.XLOOKUP("[S05_BiomassInstallations][44][EmissionsFossil]",Submission!$O:$O,Submission!$H:$N,""))</f>
        <v/>
      </c>
      <c r="I1432" s="126" t="str">
        <f>_xlfn.CONCAT(_xlfn.XLOOKUP("[S05_BiomassInstallations][44][EnergyZeroRatedBiomass]",Submission!$O:$O,Submission!$H:$N,""))</f>
        <v/>
      </c>
      <c r="J1432" s="126" t="str">
        <f>_xlfn.CONCAT(_xlfn.XLOOKUP("[S05_BiomassInstallations][44][EnergyNonZeroRatedBiomass]",Submission!$O:$O,Submission!$H:$N,""))</f>
        <v/>
      </c>
      <c r="K1432" s="126" t="str">
        <f>_xlfn.CONCAT(_xlfn.XLOOKUP("[S05_BiomassInstallations][44][EnergyFossil]",Submission!$O:$O,Submission!$H:$N,""))</f>
        <v/>
      </c>
    </row>
    <row r="1433" spans="1:11" ht="44.4" hidden="1" customHeight="1" outlineLevel="1" x14ac:dyDescent="0.3">
      <c r="A1433" s="12"/>
      <c r="C1433" s="125" t="str">
        <f>_xlfn.CONCAT(_xlfn.XLOOKUP("[S05_BiomassInstallations][45][Annex1Activity]",Submission!$O:$O,Submission!$H:$N,""))</f>
        <v/>
      </c>
      <c r="D1433" s="128" t="str">
        <f>_xlfn.CONCAT(_xlfn.XLOOKUP("[S05_BiomassInstallations][45][BiomassInstallationCategory]",Submission!$O:$O,Submission!$H:$N,""))</f>
        <v/>
      </c>
      <c r="E1433" s="126" t="str">
        <f>_xlfn.CONCAT(_xlfn.XLOOKUP("[S05_BiomassInstallations][45][NumberUsingBiomass]",Submission!$O:$O,Submission!$H:$N,""))</f>
        <v/>
      </c>
      <c r="F1433" s="126" t="str">
        <f>_xlfn.CONCAT(_xlfn.XLOOKUP("[S05_BiomassInstallations][45][EmissionsBiomassSustainabilitySatisfied]",Submission!$O:$O,Submission!$H:$N,""))</f>
        <v/>
      </c>
      <c r="G1433" s="126" t="str">
        <f>_xlfn.CONCAT(_xlfn.XLOOKUP("[S05_BiomassInstallations][45][EmissionsBiomassSustainabilityNotSatisfied]",Submission!$O:$O,Submission!$H:$N,""))</f>
        <v/>
      </c>
      <c r="H1433" s="126" t="str">
        <f>_xlfn.CONCAT(_xlfn.XLOOKUP("[S05_BiomassInstallations][45][EmissionsFossil]",Submission!$O:$O,Submission!$H:$N,""))</f>
        <v/>
      </c>
      <c r="I1433" s="126" t="str">
        <f>_xlfn.CONCAT(_xlfn.XLOOKUP("[S05_BiomassInstallations][45][EnergyZeroRatedBiomass]",Submission!$O:$O,Submission!$H:$N,""))</f>
        <v/>
      </c>
      <c r="J1433" s="126" t="str">
        <f>_xlfn.CONCAT(_xlfn.XLOOKUP("[S05_BiomassInstallations][45][EnergyNonZeroRatedBiomass]",Submission!$O:$O,Submission!$H:$N,""))</f>
        <v/>
      </c>
      <c r="K1433" s="126" t="str">
        <f>_xlfn.CONCAT(_xlfn.XLOOKUP("[S05_BiomassInstallations][45][EnergyFossil]",Submission!$O:$O,Submission!$H:$N,""))</f>
        <v/>
      </c>
    </row>
    <row r="1434" spans="1:11" ht="44.4" hidden="1" customHeight="1" outlineLevel="1" x14ac:dyDescent="0.3">
      <c r="A1434" s="12"/>
      <c r="C1434" s="125" t="str">
        <f>_xlfn.CONCAT(_xlfn.XLOOKUP("[S05_BiomassInstallations][46][Annex1Activity]",Submission!$O:$O,Submission!$H:$N,""))</f>
        <v/>
      </c>
      <c r="D1434" s="128" t="str">
        <f>_xlfn.CONCAT(_xlfn.XLOOKUP("[S05_BiomassInstallations][46][BiomassInstallationCategory]",Submission!$O:$O,Submission!$H:$N,""))</f>
        <v/>
      </c>
      <c r="E1434" s="126" t="str">
        <f>_xlfn.CONCAT(_xlfn.XLOOKUP("[S05_BiomassInstallations][46][NumberUsingBiomass]",Submission!$O:$O,Submission!$H:$N,""))</f>
        <v/>
      </c>
      <c r="F1434" s="126" t="str">
        <f>_xlfn.CONCAT(_xlfn.XLOOKUP("[S05_BiomassInstallations][46][EmissionsBiomassSustainabilitySatisfied]",Submission!$O:$O,Submission!$H:$N,""))</f>
        <v/>
      </c>
      <c r="G1434" s="126" t="str">
        <f>_xlfn.CONCAT(_xlfn.XLOOKUP("[S05_BiomassInstallations][46][EmissionsBiomassSustainabilityNotSatisfied]",Submission!$O:$O,Submission!$H:$N,""))</f>
        <v/>
      </c>
      <c r="H1434" s="126" t="str">
        <f>_xlfn.CONCAT(_xlfn.XLOOKUP("[S05_BiomassInstallations][46][EmissionsFossil]",Submission!$O:$O,Submission!$H:$N,""))</f>
        <v/>
      </c>
      <c r="I1434" s="126" t="str">
        <f>_xlfn.CONCAT(_xlfn.XLOOKUP("[S05_BiomassInstallations][46][EnergyZeroRatedBiomass]",Submission!$O:$O,Submission!$H:$N,""))</f>
        <v/>
      </c>
      <c r="J1434" s="126" t="str">
        <f>_xlfn.CONCAT(_xlfn.XLOOKUP("[S05_BiomassInstallations][46][EnergyNonZeroRatedBiomass]",Submission!$O:$O,Submission!$H:$N,""))</f>
        <v/>
      </c>
      <c r="K1434" s="126" t="str">
        <f>_xlfn.CONCAT(_xlfn.XLOOKUP("[S05_BiomassInstallations][46][EnergyFossil]",Submission!$O:$O,Submission!$H:$N,""))</f>
        <v/>
      </c>
    </row>
    <row r="1435" spans="1:11" ht="44.4" hidden="1" customHeight="1" outlineLevel="1" x14ac:dyDescent="0.3">
      <c r="A1435" s="12"/>
      <c r="C1435" s="125" t="str">
        <f>_xlfn.CONCAT(_xlfn.XLOOKUP("[S05_BiomassInstallations][47][Annex1Activity]",Submission!$O:$O,Submission!$H:$N,""))</f>
        <v/>
      </c>
      <c r="D1435" s="128" t="str">
        <f>_xlfn.CONCAT(_xlfn.XLOOKUP("[S05_BiomassInstallations][47][BiomassInstallationCategory]",Submission!$O:$O,Submission!$H:$N,""))</f>
        <v/>
      </c>
      <c r="E1435" s="126" t="str">
        <f>_xlfn.CONCAT(_xlfn.XLOOKUP("[S05_BiomassInstallations][47][NumberUsingBiomass]",Submission!$O:$O,Submission!$H:$N,""))</f>
        <v/>
      </c>
      <c r="F1435" s="126" t="str">
        <f>_xlfn.CONCAT(_xlfn.XLOOKUP("[S05_BiomassInstallations][47][EmissionsBiomassSustainabilitySatisfied]",Submission!$O:$O,Submission!$H:$N,""))</f>
        <v/>
      </c>
      <c r="G1435" s="126" t="str">
        <f>_xlfn.CONCAT(_xlfn.XLOOKUP("[S05_BiomassInstallations][47][EmissionsBiomassSustainabilityNotSatisfied]",Submission!$O:$O,Submission!$H:$N,""))</f>
        <v/>
      </c>
      <c r="H1435" s="126" t="str">
        <f>_xlfn.CONCAT(_xlfn.XLOOKUP("[S05_BiomassInstallations][47][EmissionsFossil]",Submission!$O:$O,Submission!$H:$N,""))</f>
        <v/>
      </c>
      <c r="I1435" s="126" t="str">
        <f>_xlfn.CONCAT(_xlfn.XLOOKUP("[S05_BiomassInstallations][47][EnergyZeroRatedBiomass]",Submission!$O:$O,Submission!$H:$N,""))</f>
        <v/>
      </c>
      <c r="J1435" s="126" t="str">
        <f>_xlfn.CONCAT(_xlfn.XLOOKUP("[S05_BiomassInstallations][47][EnergyNonZeroRatedBiomass]",Submission!$O:$O,Submission!$H:$N,""))</f>
        <v/>
      </c>
      <c r="K1435" s="126" t="str">
        <f>_xlfn.CONCAT(_xlfn.XLOOKUP("[S05_BiomassInstallations][47][EnergyFossil]",Submission!$O:$O,Submission!$H:$N,""))</f>
        <v/>
      </c>
    </row>
    <row r="1436" spans="1:11" ht="44.4" hidden="1" customHeight="1" outlineLevel="1" x14ac:dyDescent="0.3">
      <c r="A1436" s="12"/>
      <c r="C1436" s="125" t="str">
        <f>_xlfn.CONCAT(_xlfn.XLOOKUP("[S05_BiomassInstallations][48][Annex1Activity]",Submission!$O:$O,Submission!$H:$N,""))</f>
        <v/>
      </c>
      <c r="D1436" s="128" t="str">
        <f>_xlfn.CONCAT(_xlfn.XLOOKUP("[S05_BiomassInstallations][48][BiomassInstallationCategory]",Submission!$O:$O,Submission!$H:$N,""))</f>
        <v/>
      </c>
      <c r="E1436" s="126" t="str">
        <f>_xlfn.CONCAT(_xlfn.XLOOKUP("[S05_BiomassInstallations][48][NumberUsingBiomass]",Submission!$O:$O,Submission!$H:$N,""))</f>
        <v/>
      </c>
      <c r="F1436" s="126" t="str">
        <f>_xlfn.CONCAT(_xlfn.XLOOKUP("[S05_BiomassInstallations][48][EmissionsBiomassSustainabilitySatisfied]",Submission!$O:$O,Submission!$H:$N,""))</f>
        <v/>
      </c>
      <c r="G1436" s="126" t="str">
        <f>_xlfn.CONCAT(_xlfn.XLOOKUP("[S05_BiomassInstallations][48][EmissionsBiomassSustainabilityNotSatisfied]",Submission!$O:$O,Submission!$H:$N,""))</f>
        <v/>
      </c>
      <c r="H1436" s="126" t="str">
        <f>_xlfn.CONCAT(_xlfn.XLOOKUP("[S05_BiomassInstallations][48][EmissionsFossil]",Submission!$O:$O,Submission!$H:$N,""))</f>
        <v/>
      </c>
      <c r="I1436" s="126" t="str">
        <f>_xlfn.CONCAT(_xlfn.XLOOKUP("[S05_BiomassInstallations][48][EnergyZeroRatedBiomass]",Submission!$O:$O,Submission!$H:$N,""))</f>
        <v/>
      </c>
      <c r="J1436" s="126" t="str">
        <f>_xlfn.CONCAT(_xlfn.XLOOKUP("[S05_BiomassInstallations][48][EnergyNonZeroRatedBiomass]",Submission!$O:$O,Submission!$H:$N,""))</f>
        <v/>
      </c>
      <c r="K1436" s="126" t="str">
        <f>_xlfn.CONCAT(_xlfn.XLOOKUP("[S05_BiomassInstallations][48][EnergyFossil]",Submission!$O:$O,Submission!$H:$N,""))</f>
        <v/>
      </c>
    </row>
    <row r="1437" spans="1:11" ht="44.4" hidden="1" customHeight="1" outlineLevel="1" x14ac:dyDescent="0.3">
      <c r="A1437" s="12"/>
      <c r="C1437" s="125" t="str">
        <f>_xlfn.CONCAT(_xlfn.XLOOKUP("[S05_BiomassInstallations][49][Annex1Activity]",Submission!$O:$O,Submission!$H:$N,""))</f>
        <v/>
      </c>
      <c r="D1437" s="128" t="str">
        <f>_xlfn.CONCAT(_xlfn.XLOOKUP("[S05_BiomassInstallations][49][BiomassInstallationCategory]",Submission!$O:$O,Submission!$H:$N,""))</f>
        <v/>
      </c>
      <c r="E1437" s="126" t="str">
        <f>_xlfn.CONCAT(_xlfn.XLOOKUP("[S05_BiomassInstallations][49][NumberUsingBiomass]",Submission!$O:$O,Submission!$H:$N,""))</f>
        <v/>
      </c>
      <c r="F1437" s="126" t="str">
        <f>_xlfn.CONCAT(_xlfn.XLOOKUP("[S05_BiomassInstallations][49][EmissionsBiomassSustainabilitySatisfied]",Submission!$O:$O,Submission!$H:$N,""))</f>
        <v/>
      </c>
      <c r="G1437" s="126" t="str">
        <f>_xlfn.CONCAT(_xlfn.XLOOKUP("[S05_BiomassInstallations][49][EmissionsBiomassSustainabilityNotSatisfied]",Submission!$O:$O,Submission!$H:$N,""))</f>
        <v/>
      </c>
      <c r="H1437" s="126" t="str">
        <f>_xlfn.CONCAT(_xlfn.XLOOKUP("[S05_BiomassInstallations][49][EmissionsFossil]",Submission!$O:$O,Submission!$H:$N,""))</f>
        <v/>
      </c>
      <c r="I1437" s="126" t="str">
        <f>_xlfn.CONCAT(_xlfn.XLOOKUP("[S05_BiomassInstallations][49][EnergyZeroRatedBiomass]",Submission!$O:$O,Submission!$H:$N,""))</f>
        <v/>
      </c>
      <c r="J1437" s="126" t="str">
        <f>_xlfn.CONCAT(_xlfn.XLOOKUP("[S05_BiomassInstallations][49][EnergyNonZeroRatedBiomass]",Submission!$O:$O,Submission!$H:$N,""))</f>
        <v/>
      </c>
      <c r="K1437" s="126" t="str">
        <f>_xlfn.CONCAT(_xlfn.XLOOKUP("[S05_BiomassInstallations][49][EnergyFossil]",Submission!$O:$O,Submission!$H:$N,""))</f>
        <v/>
      </c>
    </row>
    <row r="1438" spans="1:11" ht="44.4" hidden="1" customHeight="1" outlineLevel="1" x14ac:dyDescent="0.3">
      <c r="A1438" s="12"/>
      <c r="C1438" s="125" t="str">
        <f>_xlfn.CONCAT(_xlfn.XLOOKUP("[S05_BiomassInstallations][50][Annex1Activity]",Submission!$O:$O,Submission!$H:$N,""))</f>
        <v/>
      </c>
      <c r="D1438" s="128" t="str">
        <f>_xlfn.CONCAT(_xlfn.XLOOKUP("[S05_BiomassInstallations][50][BiomassInstallationCategory]",Submission!$O:$O,Submission!$H:$N,""))</f>
        <v/>
      </c>
      <c r="E1438" s="126" t="str">
        <f>_xlfn.CONCAT(_xlfn.XLOOKUP("[S05_BiomassInstallations][50][NumberUsingBiomass]",Submission!$O:$O,Submission!$H:$N,""))</f>
        <v/>
      </c>
      <c r="F1438" s="126" t="str">
        <f>_xlfn.CONCAT(_xlfn.XLOOKUP("[S05_BiomassInstallations][50][EmissionsBiomassSustainabilitySatisfied]",Submission!$O:$O,Submission!$H:$N,""))</f>
        <v/>
      </c>
      <c r="G1438" s="126" t="str">
        <f>_xlfn.CONCAT(_xlfn.XLOOKUP("[S05_BiomassInstallations][50][EmissionsBiomassSustainabilityNotSatisfied]",Submission!$O:$O,Submission!$H:$N,""))</f>
        <v/>
      </c>
      <c r="H1438" s="126" t="str">
        <f>_xlfn.CONCAT(_xlfn.XLOOKUP("[S05_BiomassInstallations][50][EmissionsFossil]",Submission!$O:$O,Submission!$H:$N,""))</f>
        <v/>
      </c>
      <c r="I1438" s="126" t="str">
        <f>_xlfn.CONCAT(_xlfn.XLOOKUP("[S05_BiomassInstallations][50][EnergyZeroRatedBiomass]",Submission!$O:$O,Submission!$H:$N,""))</f>
        <v/>
      </c>
      <c r="J1438" s="126" t="str">
        <f>_xlfn.CONCAT(_xlfn.XLOOKUP("[S05_BiomassInstallations][50][EnergyNonZeroRatedBiomass]",Submission!$O:$O,Submission!$H:$N,""))</f>
        <v/>
      </c>
      <c r="K1438" s="126" t="str">
        <f>_xlfn.CONCAT(_xlfn.XLOOKUP("[S05_BiomassInstallations][50][EnergyFossil]",Submission!$O:$O,Submission!$H:$N,""))</f>
        <v/>
      </c>
    </row>
    <row r="1439" spans="1:11" ht="15.9" customHeight="1" collapsed="1" x14ac:dyDescent="0.3">
      <c r="A1439" s="12"/>
      <c r="B1439" s="26" t="s">
        <v>2</v>
      </c>
      <c r="C1439" s="11"/>
      <c r="D1439" s="11"/>
      <c r="E1439" s="11"/>
      <c r="F1439" s="11"/>
      <c r="G1439" s="11"/>
      <c r="H1439" s="11"/>
      <c r="I1439" s="11"/>
    </row>
    <row r="1440" spans="1:11" ht="15.9" customHeight="1" x14ac:dyDescent="0.3">
      <c r="A1440" s="12"/>
      <c r="B1440" s="16"/>
      <c r="C1440" s="11"/>
      <c r="D1440" s="11"/>
      <c r="E1440" s="11"/>
      <c r="F1440" s="11"/>
      <c r="G1440" s="11"/>
      <c r="H1440" s="11"/>
      <c r="I1440" s="11"/>
    </row>
    <row r="1441" spans="1:9" ht="32.1" customHeight="1" x14ac:dyDescent="0.3">
      <c r="A1441" s="12"/>
      <c r="B1441" s="340" t="s">
        <v>932</v>
      </c>
      <c r="C1441" s="294"/>
      <c r="D1441" s="294"/>
      <c r="E1441" s="294"/>
      <c r="F1441" s="294"/>
      <c r="G1441" s="294"/>
      <c r="H1441" s="294"/>
      <c r="I1441" s="294"/>
    </row>
    <row r="1442" spans="1:9" ht="32.4" customHeight="1" x14ac:dyDescent="0.3">
      <c r="B1442" s="23"/>
      <c r="C1442" s="284" t="str">
        <f>_xlfn.CONCAT(_xlfn.XLOOKUP("[SustainabilityComplianceDemonstrate][0][SustainabilityComplianceDemonstrate]",Submission!$O:$O,Submission!$H:$N,""))</f>
        <v>Methods to demonstrate compliance with sustainability criteria and GHG emission savings criteria are not applied.</v>
      </c>
      <c r="D1442" s="349"/>
      <c r="E1442" s="349"/>
      <c r="F1442" s="349"/>
      <c r="G1442" s="349"/>
      <c r="H1442" s="349"/>
      <c r="I1442" s="282"/>
    </row>
    <row r="1443" spans="1:9" ht="15.9" customHeight="1" x14ac:dyDescent="0.3">
      <c r="B1443" s="23"/>
      <c r="D1443" s="11"/>
      <c r="E1443" s="11"/>
      <c r="F1443" s="11"/>
      <c r="G1443" s="11"/>
    </row>
    <row r="1444" spans="1:9" ht="33" customHeight="1" x14ac:dyDescent="0.3">
      <c r="A1444" s="12" t="s">
        <v>299</v>
      </c>
      <c r="B1444" s="271" t="s">
        <v>933</v>
      </c>
      <c r="C1444" s="272"/>
      <c r="D1444" s="272"/>
      <c r="E1444" s="272"/>
      <c r="F1444" s="272"/>
      <c r="G1444" s="272"/>
      <c r="H1444" s="272"/>
      <c r="I1444" s="272"/>
    </row>
    <row r="1445" spans="1:9" ht="15.9" customHeight="1" x14ac:dyDescent="0.3">
      <c r="A1445" s="13"/>
      <c r="C1445" s="384"/>
      <c r="D1445" s="384"/>
      <c r="E1445" s="384"/>
      <c r="F1445" s="384"/>
      <c r="G1445" s="365" t="s">
        <v>934</v>
      </c>
      <c r="H1445" s="365"/>
      <c r="I1445" s="365"/>
    </row>
    <row r="1446" spans="1:9" ht="15.9" customHeight="1" x14ac:dyDescent="0.3">
      <c r="A1446" s="13"/>
      <c r="C1446" s="381" t="s">
        <v>935</v>
      </c>
      <c r="D1446" s="382"/>
      <c r="E1446" s="382"/>
      <c r="F1446" s="382"/>
      <c r="G1446" s="383" t="str">
        <f>_xlfn.CONCAT(_xlfn.XLOOKUP("[WasteFuelFossilCO2][0][WasteFuelFossilCO2]",Submission!$O:$O,Submission!$H:$N,""))</f>
        <v>122164</v>
      </c>
      <c r="H1446" s="383"/>
      <c r="I1446" s="383"/>
    </row>
    <row r="1447" spans="1:9" ht="15.9" customHeight="1" x14ac:dyDescent="0.3">
      <c r="B1447" s="14"/>
      <c r="C1447" s="19"/>
      <c r="E1447" s="11"/>
      <c r="F1447" s="11"/>
      <c r="G1447" s="11"/>
      <c r="H1447" s="11"/>
    </row>
    <row r="1448" spans="1:9" ht="15.9" customHeight="1" x14ac:dyDescent="0.3">
      <c r="A1448" s="12" t="s">
        <v>308</v>
      </c>
      <c r="B1448" s="385" t="s">
        <v>936</v>
      </c>
      <c r="C1448" s="378"/>
      <c r="D1448" s="378"/>
      <c r="E1448" s="378"/>
      <c r="F1448" s="378"/>
      <c r="G1448" s="378"/>
      <c r="H1448" s="378"/>
      <c r="I1448" s="378"/>
    </row>
    <row r="1449" spans="1:9" ht="32.1" customHeight="1" x14ac:dyDescent="0.3">
      <c r="A1449" s="12"/>
      <c r="B1449" s="293" t="s">
        <v>937</v>
      </c>
      <c r="C1449" s="294"/>
      <c r="D1449" s="294"/>
      <c r="E1449" s="294"/>
      <c r="F1449" s="294"/>
      <c r="G1449" s="294"/>
      <c r="H1449" s="295"/>
      <c r="I1449" s="41" t="str">
        <f>_xlfn.CONCAT(_xlfn.XLOOKUP("[SimplifiedMonitoringArt13][0][SimplifiedMonitoringArt13]",Submission!$O:$O,Submission!$H:$N,""))</f>
        <v>Yes</v>
      </c>
    </row>
    <row r="1450" spans="1:9" ht="15.9" customHeight="1" x14ac:dyDescent="0.3">
      <c r="B1450" s="271" t="s">
        <v>938</v>
      </c>
      <c r="C1450" s="272"/>
      <c r="D1450" s="272"/>
      <c r="E1450" s="272"/>
      <c r="F1450" s="272"/>
      <c r="G1450" s="272"/>
      <c r="H1450" s="272"/>
      <c r="I1450" s="272"/>
    </row>
    <row r="1451" spans="1:9" ht="15.9" customHeight="1" x14ac:dyDescent="0.3">
      <c r="A1451" s="13"/>
      <c r="C1451" s="365" t="s">
        <v>939</v>
      </c>
      <c r="D1451" s="365"/>
      <c r="E1451" s="365"/>
      <c r="F1451" s="365"/>
      <c r="G1451" s="365" t="s">
        <v>940</v>
      </c>
      <c r="H1451" s="365"/>
      <c r="I1451" s="365"/>
    </row>
    <row r="1452" spans="1:9" ht="26.4" customHeight="1" x14ac:dyDescent="0.3">
      <c r="A1452" s="13"/>
      <c r="C1452" s="281" t="str">
        <f>_xlfn.CONCAT(_xlfn.XLOOKUP("[S05_SimplifiedMonitoringArt13Detail][1][Art13RiskAssessmentType]",Submission!$O:$O,Submission!$H:$N,""))</f>
        <v>Risk assessment carried out by the operator</v>
      </c>
      <c r="D1452" s="348"/>
      <c r="E1452" s="348"/>
      <c r="F1452" s="285"/>
      <c r="G1452" s="376" t="str">
        <f>_xlfn.CONCAT(_xlfn.XLOOKUP("[S05_SimplifiedMonitoringArt13Detail][1][Art13RiskAssessmentPrinciples]",Submission!$O:$O,Submission!$H:$N,""))</f>
        <v>The guidelines and instructions of the European Commission are used</v>
      </c>
      <c r="H1452" s="376"/>
      <c r="I1452" s="376"/>
    </row>
    <row r="1453" spans="1:9" ht="26.4" customHeight="1" x14ac:dyDescent="0.3">
      <c r="A1453" s="13"/>
      <c r="C1453" s="281" t="str">
        <f>_xlfn.CONCAT(_xlfn.XLOOKUP("[S05_SimplifiedMonitoringArt13Detail][2][Art13RiskAssessmentType]",Submission!$O:$O,Submission!$H:$N,""))</f>
        <v/>
      </c>
      <c r="D1453" s="348"/>
      <c r="E1453" s="348"/>
      <c r="F1453" s="285"/>
      <c r="G1453" s="376" t="str">
        <f>_xlfn.CONCAT(_xlfn.XLOOKUP("[S05_SimplifiedMonitoringArt13Detail][2][Art13RiskAssessmentPrinciples]",Submission!$O:$O,Submission!$H:$N,""))</f>
        <v/>
      </c>
      <c r="H1453" s="376"/>
      <c r="I1453" s="376"/>
    </row>
    <row r="1454" spans="1:9" ht="26.4" hidden="1" customHeight="1" outlineLevel="1" x14ac:dyDescent="0.3">
      <c r="A1454" s="13"/>
      <c r="C1454" s="281" t="str">
        <f>_xlfn.CONCAT(_xlfn.XLOOKUP("[S05_SimplifiedMonitoringArt13Detail][3][Art13RiskAssessmentType]",Submission!$O:$O,Submission!$H:$N,""))</f>
        <v/>
      </c>
      <c r="D1454" s="348"/>
      <c r="E1454" s="348"/>
      <c r="F1454" s="285"/>
      <c r="G1454" s="376" t="str">
        <f>_xlfn.CONCAT(_xlfn.XLOOKUP("[S05_SimplifiedMonitoringArt13Detail][3][Art13RiskAssessmentPrinciples]",Submission!$O:$O,Submission!$H:$N,""))</f>
        <v/>
      </c>
      <c r="H1454" s="376"/>
      <c r="I1454" s="376"/>
    </row>
    <row r="1455" spans="1:9" ht="26.4" hidden="1" customHeight="1" outlineLevel="1" x14ac:dyDescent="0.3">
      <c r="A1455" s="13"/>
      <c r="C1455" s="281" t="str">
        <f>_xlfn.CONCAT(_xlfn.XLOOKUP("[S05_SimplifiedMonitoringArt13Detail][4][Art13RiskAssessmentType]",Submission!$O:$O,Submission!$H:$N,""))</f>
        <v/>
      </c>
      <c r="D1455" s="348"/>
      <c r="E1455" s="348"/>
      <c r="F1455" s="285"/>
      <c r="G1455" s="376" t="str">
        <f>_xlfn.CONCAT(_xlfn.XLOOKUP("[S05_SimplifiedMonitoringArt13Detail][4][Art13RiskAssessmentPrinciples]",Submission!$O:$O,Submission!$H:$N,""))</f>
        <v/>
      </c>
      <c r="H1455" s="376"/>
      <c r="I1455" s="376"/>
    </row>
    <row r="1456" spans="1:9" ht="26.4" hidden="1" customHeight="1" outlineLevel="1" x14ac:dyDescent="0.3">
      <c r="A1456" s="13"/>
      <c r="C1456" s="281" t="str">
        <f>_xlfn.CONCAT(_xlfn.XLOOKUP("[S05_SimplifiedMonitoringArt13Detail][5][Art13RiskAssessmentType]",Submission!$O:$O,Submission!$H:$N,""))</f>
        <v/>
      </c>
      <c r="D1456" s="348"/>
      <c r="E1456" s="348"/>
      <c r="F1456" s="285"/>
      <c r="G1456" s="376" t="str">
        <f>_xlfn.CONCAT(_xlfn.XLOOKUP("[S05_SimplifiedMonitoringArt13Detail][5][Art13RiskAssessmentPrinciples]",Submission!$O:$O,Submission!$H:$N,""))</f>
        <v/>
      </c>
      <c r="H1456" s="376"/>
      <c r="I1456" s="376"/>
    </row>
    <row r="1457" spans="1:9" ht="15.9" customHeight="1" collapsed="1" x14ac:dyDescent="0.3">
      <c r="C1457" s="360" t="s">
        <v>941</v>
      </c>
      <c r="D1457" s="361"/>
      <c r="E1457" s="361"/>
      <c r="F1457" s="361"/>
      <c r="G1457" s="361"/>
      <c r="H1457" s="361"/>
      <c r="I1457" s="361"/>
    </row>
    <row r="1458" spans="1:9" ht="15.9" customHeight="1" x14ac:dyDescent="0.3"/>
    <row r="1459" spans="1:9" ht="18.899999999999999" customHeight="1" x14ac:dyDescent="0.35">
      <c r="A1459" s="48" t="s">
        <v>942</v>
      </c>
      <c r="B1459" s="325" t="s">
        <v>97</v>
      </c>
      <c r="C1459" s="325"/>
      <c r="D1459" s="325"/>
      <c r="E1459" s="325"/>
      <c r="F1459" s="325"/>
      <c r="G1459" s="325"/>
      <c r="H1459" s="325"/>
      <c r="I1459" s="326"/>
    </row>
    <row r="1460" spans="1:9" ht="15.9" customHeight="1" x14ac:dyDescent="0.3">
      <c r="A1460" s="12" t="s">
        <v>313</v>
      </c>
      <c r="B1460" s="328" t="s">
        <v>943</v>
      </c>
      <c r="C1460" s="329"/>
      <c r="D1460" s="329"/>
      <c r="E1460" s="329"/>
      <c r="F1460" s="329"/>
      <c r="G1460" s="329"/>
      <c r="H1460" s="329"/>
      <c r="I1460" s="329"/>
    </row>
    <row r="1461" spans="1:9" ht="26.1" customHeight="1" x14ac:dyDescent="0.3">
      <c r="C1461" s="365" t="s">
        <v>944</v>
      </c>
      <c r="D1461" s="365"/>
      <c r="E1461" s="365" t="s">
        <v>945</v>
      </c>
      <c r="F1461" s="365"/>
      <c r="G1461" s="315" t="s">
        <v>946</v>
      </c>
      <c r="H1461" s="379"/>
      <c r="I1461" s="336"/>
    </row>
    <row r="1462" spans="1:9" ht="15.9" customHeight="1" x14ac:dyDescent="0.3">
      <c r="C1462" s="366" t="s">
        <v>947</v>
      </c>
      <c r="D1462" s="366"/>
      <c r="E1462" s="359" t="str">
        <f>_xlfn.CONCAT(_xlfn.XLOOKUP("[S05_AircraftMethodFuelConsumption][1][CountAircraftOperators]",Submission!$O:$O,Submission!$H:$N,""))</f>
        <v>1</v>
      </c>
      <c r="F1462" s="359"/>
      <c r="G1462" s="364" t="str">
        <f>_xlfn.CONCAT(_xlfn.XLOOKUP("[S05_AircraftMethodFuelConsumption][1][SmallEmittersShare]",Submission!$O:$O,Submission!$H:$N,""))</f>
        <v>0</v>
      </c>
      <c r="H1462" s="364"/>
      <c r="I1462" s="364"/>
    </row>
    <row r="1463" spans="1:9" ht="15.9" customHeight="1" x14ac:dyDescent="0.3">
      <c r="A1463" s="13"/>
      <c r="C1463" s="366" t="s">
        <v>948</v>
      </c>
      <c r="D1463" s="366"/>
      <c r="E1463" s="359" t="str">
        <f>_xlfn.CONCAT(_xlfn.XLOOKUP("[S05_AircraftMethodFuelConsumption][2][CountAircraftOperators]",Submission!$O:$O,Submission!$H:$N,""))</f>
        <v>1</v>
      </c>
      <c r="F1463" s="359"/>
      <c r="G1463" s="364" t="str">
        <f>_xlfn.CONCAT(_xlfn.XLOOKUP("[S05_AircraftMethodFuelConsumption][2][SmallEmittersShare]",Submission!$O:$O,Submission!$H:$N,""))</f>
        <v>0</v>
      </c>
      <c r="H1463" s="364"/>
      <c r="I1463" s="364"/>
    </row>
    <row r="1464" spans="1:9" ht="15.9" customHeight="1" x14ac:dyDescent="0.3">
      <c r="A1464" s="13"/>
      <c r="C1464" s="366" t="s">
        <v>949</v>
      </c>
      <c r="D1464" s="366"/>
      <c r="E1464" s="359" t="str">
        <f>_xlfn.CONCAT(_xlfn.XLOOKUP("[S05_AircraftMethodFuelConsumption][3][CountAircraftOperators]",Submission!$O:$O,Submission!$H:$N,""))</f>
        <v>0</v>
      </c>
      <c r="F1464" s="359"/>
      <c r="G1464" s="364" t="str">
        <f>_xlfn.CONCAT(_xlfn.XLOOKUP("[S05_AircraftMethodFuelConsumption][3][SmallEmittersShare]",Submission!$O:$O,Submission!$H:$N,""))</f>
        <v>0</v>
      </c>
      <c r="H1464" s="364"/>
      <c r="I1464" s="364"/>
    </row>
    <row r="1465" spans="1:9" ht="15.9" customHeight="1" x14ac:dyDescent="0.3"/>
    <row r="1466" spans="1:9" ht="19.2" customHeight="1" x14ac:dyDescent="0.3">
      <c r="A1466" s="12" t="s">
        <v>318</v>
      </c>
      <c r="B1466" s="271" t="s">
        <v>950</v>
      </c>
      <c r="C1466" s="272"/>
      <c r="D1466" s="272"/>
      <c r="E1466" s="272"/>
      <c r="F1466" s="272"/>
      <c r="G1466" s="272"/>
      <c r="H1466" s="272"/>
      <c r="I1466" s="272"/>
    </row>
    <row r="1467" spans="1:9" ht="15" customHeight="1" x14ac:dyDescent="0.3">
      <c r="A1467" s="12"/>
      <c r="B1467" s="36" t="s">
        <v>8</v>
      </c>
      <c r="C1467" s="362" t="s">
        <v>951</v>
      </c>
      <c r="D1467" s="362"/>
      <c r="E1467" s="362"/>
      <c r="F1467" s="362"/>
      <c r="G1467" s="362"/>
      <c r="H1467" s="362"/>
      <c r="I1467" s="362"/>
    </row>
    <row r="1468" spans="1:9" ht="14.4" customHeight="1" x14ac:dyDescent="0.3">
      <c r="A1468" s="12"/>
      <c r="B1468" s="36" t="s">
        <v>8</v>
      </c>
      <c r="C1468" s="362" t="s">
        <v>952</v>
      </c>
      <c r="D1468" s="362"/>
      <c r="E1468" s="362"/>
      <c r="F1468" s="362"/>
      <c r="G1468" s="362"/>
      <c r="H1468" s="362"/>
      <c r="I1468" s="362"/>
    </row>
    <row r="1469" spans="1:9" ht="14.4" customHeight="1" x14ac:dyDescent="0.3">
      <c r="A1469" s="12"/>
      <c r="B1469" s="36" t="s">
        <v>8</v>
      </c>
      <c r="C1469" s="362" t="s">
        <v>953</v>
      </c>
      <c r="D1469" s="362"/>
      <c r="E1469" s="362"/>
      <c r="F1469" s="362"/>
      <c r="G1469" s="362"/>
      <c r="H1469" s="362"/>
      <c r="I1469" s="362"/>
    </row>
    <row r="1470" spans="1:9" ht="16.2" customHeight="1" x14ac:dyDescent="0.3">
      <c r="A1470" s="12"/>
      <c r="B1470" s="36" t="s">
        <v>8</v>
      </c>
      <c r="C1470" s="363" t="s">
        <v>954</v>
      </c>
      <c r="D1470" s="363"/>
      <c r="E1470" s="363"/>
      <c r="F1470" s="363"/>
      <c r="G1470" s="363"/>
      <c r="H1470" s="363"/>
      <c r="I1470" s="363"/>
    </row>
    <row r="1471" spans="1:9" ht="15.6" customHeight="1" x14ac:dyDescent="0.3">
      <c r="C1471" s="408"/>
      <c r="D1471" s="409"/>
      <c r="E1471" s="409"/>
      <c r="F1471" s="409"/>
      <c r="G1471" s="371" t="s">
        <v>955</v>
      </c>
      <c r="H1471" s="374"/>
      <c r="I1471" s="374"/>
    </row>
    <row r="1472" spans="1:9" ht="28.5" customHeight="1" x14ac:dyDescent="0.3">
      <c r="C1472" s="354" t="s">
        <v>956</v>
      </c>
      <c r="D1472" s="366"/>
      <c r="E1472" s="366"/>
      <c r="F1472" s="366"/>
      <c r="G1472" s="357" t="str">
        <f>_xlfn.CONCAT(_xlfn.XLOOKUP("[S05_TotalFlightEmissions][1][TotalFlightEmissions]",Submission!$O:$O,Submission!$H:$N,""))</f>
        <v>106437</v>
      </c>
      <c r="H1472" s="357"/>
      <c r="I1472" s="357"/>
    </row>
    <row r="1473" spans="1:10" ht="28.95" customHeight="1" x14ac:dyDescent="0.3">
      <c r="C1473" s="354" t="s">
        <v>957</v>
      </c>
      <c r="D1473" s="354"/>
      <c r="E1473" s="354"/>
      <c r="F1473" s="354"/>
      <c r="G1473" s="357" t="str">
        <f>_xlfn.CONCAT(_xlfn.XLOOKUP("[S05_TotalFlightEmissions][2][TotalFlightEmissions]",Submission!$O:$O,Submission!$H:$N,""))</f>
        <v>20276</v>
      </c>
      <c r="H1473" s="357"/>
      <c r="I1473" s="357"/>
    </row>
    <row r="1474" spans="1:10" ht="28.95" customHeight="1" x14ac:dyDescent="0.3">
      <c r="C1474" s="354" t="s">
        <v>958</v>
      </c>
      <c r="D1474" s="354"/>
      <c r="E1474" s="354"/>
      <c r="F1474" s="354"/>
      <c r="G1474" s="357" t="str">
        <f>_xlfn.CONCAT(_xlfn.XLOOKUP("[S05_TotalFlightEmissions][3][TotalFlightEmissions]",Submission!$O:$O,Submission!$H:$N,""))</f>
        <v>80117</v>
      </c>
      <c r="H1474" s="357"/>
      <c r="I1474" s="357"/>
    </row>
    <row r="1475" spans="1:10" ht="28.95" customHeight="1" x14ac:dyDescent="0.3">
      <c r="C1475" s="354" t="s">
        <v>959</v>
      </c>
      <c r="D1475" s="354"/>
      <c r="E1475" s="354"/>
      <c r="F1475" s="354"/>
      <c r="G1475" s="357" t="str">
        <f>_xlfn.CONCAT(_xlfn.XLOOKUP("[S05_TotalFlightEmissions][4][TotalFlightEmissions]",Submission!$O:$O,Submission!$H:$N,""))</f>
        <v>79713</v>
      </c>
      <c r="H1475" s="357"/>
      <c r="I1475" s="357"/>
    </row>
    <row r="1476" spans="1:10" ht="28.95" customHeight="1" x14ac:dyDescent="0.3">
      <c r="C1476" s="354" t="s">
        <v>960</v>
      </c>
      <c r="D1476" s="354"/>
      <c r="E1476" s="354"/>
      <c r="F1476" s="354"/>
      <c r="G1476" s="357" t="str">
        <f>_xlfn.CONCAT(_xlfn.XLOOKUP("[S05_TotalFlightEmissions][5][TotalFlightEmissions]",Submission!$O:$O,Submission!$H:$N,""))</f>
        <v>2351</v>
      </c>
      <c r="H1476" s="357"/>
      <c r="I1476" s="357"/>
    </row>
    <row r="1477" spans="1:10" ht="17.399999999999999" customHeight="1" x14ac:dyDescent="0.3">
      <c r="C1477" s="37"/>
      <c r="D1477" s="37"/>
      <c r="E1477" s="37"/>
      <c r="F1477" s="37"/>
      <c r="G1477" s="11"/>
      <c r="H1477" s="11"/>
      <c r="I1477" s="11"/>
    </row>
    <row r="1478" spans="1:10" ht="28.2" customHeight="1" x14ac:dyDescent="0.3">
      <c r="C1478" s="358" t="s">
        <v>961</v>
      </c>
      <c r="D1478" s="358"/>
      <c r="E1478" s="358"/>
      <c r="F1478" s="358"/>
      <c r="G1478" s="358"/>
      <c r="H1478" s="358"/>
      <c r="I1478" s="358"/>
    </row>
    <row r="1479" spans="1:10" ht="15.9" customHeight="1" x14ac:dyDescent="0.3">
      <c r="C1479" s="368" t="s">
        <v>962</v>
      </c>
      <c r="D1479" s="369"/>
      <c r="E1479" s="369"/>
      <c r="F1479" s="369"/>
      <c r="G1479" s="370" t="str">
        <f>_xlfn.CONCAT(_xlfn.XLOOKUP("[CountOperatorsThirdCountries][0][CountOperatorsThirdCountries]",Submission!$O:$O,Submission!$H:$N,""))</f>
        <v>3</v>
      </c>
      <c r="H1479" s="370"/>
      <c r="I1479" s="370"/>
    </row>
    <row r="1480" spans="1:10" ht="15.9" customHeight="1" x14ac:dyDescent="0.3">
      <c r="C1480" s="37"/>
      <c r="D1480" s="11"/>
      <c r="E1480" s="11"/>
      <c r="F1480" s="11"/>
      <c r="G1480" s="11"/>
      <c r="H1480" s="11"/>
      <c r="I1480" s="11"/>
      <c r="J1480" s="11"/>
    </row>
    <row r="1481" spans="1:10" ht="15.9" customHeight="1" x14ac:dyDescent="0.3">
      <c r="A1481" s="12" t="s">
        <v>326</v>
      </c>
      <c r="B1481" s="271" t="s">
        <v>963</v>
      </c>
      <c r="C1481" s="272"/>
      <c r="D1481" s="272"/>
      <c r="E1481" s="272"/>
      <c r="F1481" s="272"/>
      <c r="G1481" s="272"/>
      <c r="H1481" s="272"/>
      <c r="I1481" s="272"/>
    </row>
    <row r="1482" spans="1:10" ht="15.9" customHeight="1" x14ac:dyDescent="0.3">
      <c r="B1482" s="15" t="s">
        <v>8</v>
      </c>
      <c r="C1482" s="310" t="s">
        <v>964</v>
      </c>
      <c r="D1482" s="410"/>
      <c r="E1482" s="410"/>
      <c r="F1482" s="410"/>
      <c r="G1482" s="410"/>
      <c r="H1482" s="410"/>
      <c r="I1482" s="410"/>
    </row>
    <row r="1483" spans="1:10" ht="15.9" customHeight="1" x14ac:dyDescent="0.3">
      <c r="B1483" s="15" t="s">
        <v>8</v>
      </c>
      <c r="C1483" s="310" t="s">
        <v>965</v>
      </c>
      <c r="D1483" s="410"/>
      <c r="E1483" s="410"/>
      <c r="F1483" s="410"/>
      <c r="G1483" s="410"/>
      <c r="H1483" s="410"/>
      <c r="I1483" s="410"/>
    </row>
    <row r="1484" spans="1:10" ht="16.5" customHeight="1" x14ac:dyDescent="0.3">
      <c r="B1484" s="15" t="s">
        <v>8</v>
      </c>
      <c r="C1484" s="310" t="s">
        <v>966</v>
      </c>
      <c r="D1484" s="410"/>
      <c r="E1484" s="410"/>
      <c r="F1484" s="410"/>
      <c r="G1484" s="410"/>
      <c r="H1484" s="410"/>
      <c r="I1484" s="410"/>
    </row>
    <row r="1485" spans="1:10" ht="42.6" customHeight="1" x14ac:dyDescent="0.3">
      <c r="C1485" s="371" t="s">
        <v>967</v>
      </c>
      <c r="D1485" s="371"/>
      <c r="E1485" s="371" t="s">
        <v>968</v>
      </c>
      <c r="F1485" s="374"/>
      <c r="G1485" s="371" t="s">
        <v>969</v>
      </c>
      <c r="H1485" s="371"/>
      <c r="I1485" s="371"/>
    </row>
    <row r="1486" spans="1:10" ht="15.9" customHeight="1" x14ac:dyDescent="0.3">
      <c r="C1486" s="372" t="str">
        <f>_xlfn.CONCAT(_xlfn.XLOOKUP("[CountOperatorsUsingBiofuels][0][CountOperatorsUsingBiofuels]",Submission!$O:$O,Submission!$H:$N,""))</f>
        <v>0</v>
      </c>
      <c r="D1486" s="372"/>
      <c r="E1486" s="373" t="str">
        <f>_xlfn.CONCAT(_xlfn.XLOOKUP("[EmissionsBiofuelsSustainabilitySatisfied][0][EmissionsBiofuelsSustainabilitySatisfied]",Submission!$O:$O,Submission!$H:$N,""))</f>
        <v>0</v>
      </c>
      <c r="F1486" s="373"/>
      <c r="G1486" s="375" t="str">
        <f>_xlfn.CONCAT(_xlfn.XLOOKUP("[EmissionsBiofuelsSustainabilityNotSatisfied][0][EmissionsBiofuelsSustainabilityNotSatisfied]",Submission!$O:$O,Submission!$H:$N,""))</f>
        <v>0</v>
      </c>
      <c r="H1486" s="375"/>
      <c r="I1486" s="375"/>
    </row>
    <row r="1487" spans="1:10" ht="15.9" customHeight="1" x14ac:dyDescent="0.3">
      <c r="D1487" s="11"/>
      <c r="E1487" s="11"/>
      <c r="F1487" s="11"/>
      <c r="G1487" s="11"/>
    </row>
    <row r="1488" spans="1:10" ht="17.25" customHeight="1" x14ac:dyDescent="0.3">
      <c r="A1488" s="12" t="s">
        <v>332</v>
      </c>
      <c r="B1488" s="271" t="s">
        <v>963</v>
      </c>
      <c r="C1488" s="272"/>
      <c r="D1488" s="272"/>
      <c r="E1488" s="272"/>
      <c r="F1488" s="272"/>
      <c r="G1488" s="272"/>
      <c r="H1488" s="272"/>
      <c r="I1488" s="272"/>
    </row>
    <row r="1489" spans="1:9" ht="16.5" customHeight="1" x14ac:dyDescent="0.3">
      <c r="A1489" s="12"/>
      <c r="B1489" s="15" t="s">
        <v>8</v>
      </c>
      <c r="C1489" s="310" t="s">
        <v>970</v>
      </c>
      <c r="D1489" s="410"/>
      <c r="E1489" s="410"/>
      <c r="F1489" s="410"/>
      <c r="G1489" s="410"/>
      <c r="H1489" s="410"/>
      <c r="I1489" s="410"/>
    </row>
    <row r="1490" spans="1:9" ht="30" customHeight="1" x14ac:dyDescent="0.3">
      <c r="A1490" s="12"/>
      <c r="B1490" s="15" t="s">
        <v>8</v>
      </c>
      <c r="C1490" s="310" t="s">
        <v>971</v>
      </c>
      <c r="D1490" s="410"/>
      <c r="E1490" s="410"/>
      <c r="F1490" s="410"/>
      <c r="G1490" s="410"/>
      <c r="H1490" s="410"/>
      <c r="I1490" s="410"/>
    </row>
    <row r="1491" spans="1:9" ht="15" customHeight="1" x14ac:dyDescent="0.3">
      <c r="A1491" s="12"/>
      <c r="B1491" s="15" t="s">
        <v>8</v>
      </c>
      <c r="C1491" s="310" t="s">
        <v>972</v>
      </c>
      <c r="D1491" s="410"/>
      <c r="E1491" s="410"/>
      <c r="F1491" s="410"/>
      <c r="G1491" s="410"/>
      <c r="H1491" s="410"/>
      <c r="I1491" s="410"/>
    </row>
    <row r="1492" spans="1:9" ht="16.5" customHeight="1" x14ac:dyDescent="0.3">
      <c r="A1492" s="12"/>
      <c r="B1492" s="15" t="s">
        <v>8</v>
      </c>
      <c r="C1492" s="314" t="s">
        <v>973</v>
      </c>
      <c r="D1492" s="411"/>
      <c r="E1492" s="411"/>
      <c r="F1492" s="411"/>
      <c r="G1492" s="411"/>
      <c r="H1492" s="411"/>
      <c r="I1492" s="411"/>
    </row>
    <row r="1493" spans="1:9" s="58" customFormat="1" ht="32.25" customHeight="1" x14ac:dyDescent="0.3">
      <c r="A1493" s="75"/>
      <c r="C1493" s="260" t="s">
        <v>974</v>
      </c>
      <c r="D1493" s="261"/>
      <c r="E1493" s="261"/>
      <c r="F1493" s="261"/>
      <c r="G1493" s="262"/>
      <c r="H1493" s="341" t="str">
        <f>_xlfn.CONCAT(_xlfn.XLOOKUP("[S05_SmallEmittersTool][1][CountSmallEmitters]",Submission!$O:$O,Submission!$H:$N,""))</f>
        <v>1</v>
      </c>
      <c r="I1493" s="356"/>
    </row>
    <row r="1494" spans="1:9" s="58" customFormat="1" ht="32.25" customHeight="1" x14ac:dyDescent="0.3">
      <c r="A1494" s="75"/>
      <c r="C1494" s="260" t="s">
        <v>975</v>
      </c>
      <c r="D1494" s="261"/>
      <c r="E1494" s="261"/>
      <c r="F1494" s="261"/>
      <c r="G1494" s="262"/>
      <c r="H1494" s="341" t="str">
        <f>_xlfn.CONCAT(_xlfn.XLOOKUP("[S05_SmallEmittersTool][2][CountSmallEmitters]",Submission!$O:$O,Submission!$H:$N,""))</f>
        <v>1</v>
      </c>
      <c r="I1494" s="356"/>
    </row>
    <row r="1495" spans="1:9" s="58" customFormat="1" ht="32.25" customHeight="1" x14ac:dyDescent="0.3">
      <c r="A1495" s="75"/>
      <c r="C1495" s="260" t="s">
        <v>976</v>
      </c>
      <c r="D1495" s="261"/>
      <c r="E1495" s="261"/>
      <c r="F1495" s="261"/>
      <c r="G1495" s="262"/>
      <c r="H1495" s="341" t="str">
        <f>_xlfn.CONCAT(_xlfn.XLOOKUP("[S05_SmallEmittersTool][3][CountSmallEmitters]",Submission!$O:$O,Submission!$H:$N,""))</f>
        <v>0</v>
      </c>
      <c r="I1495" s="356"/>
    </row>
    <row r="1496" spans="1:9" s="58" customFormat="1" ht="32.25" customHeight="1" x14ac:dyDescent="0.3">
      <c r="A1496" s="75"/>
      <c r="C1496" s="260" t="s">
        <v>977</v>
      </c>
      <c r="D1496" s="261"/>
      <c r="E1496" s="261"/>
      <c r="F1496" s="261"/>
      <c r="G1496" s="262"/>
      <c r="H1496" s="341" t="str">
        <f>_xlfn.CONCAT(_xlfn.XLOOKUP("[S05_SmallEmittersTool][4][CountSmallEmitters]",Submission!$O:$O,Submission!$H:$N,""))</f>
        <v>2</v>
      </c>
      <c r="I1496" s="356"/>
    </row>
    <row r="1497" spans="1:9" ht="15.9" customHeight="1" x14ac:dyDescent="0.3">
      <c r="D1497" s="11"/>
      <c r="E1497" s="11"/>
      <c r="F1497" s="11"/>
      <c r="G1497" s="11"/>
    </row>
    <row r="1498" spans="1:9" ht="32.1" customHeight="1" x14ac:dyDescent="0.3">
      <c r="A1498" s="12" t="s">
        <v>337</v>
      </c>
      <c r="B1498" s="271" t="s">
        <v>978</v>
      </c>
      <c r="C1498" s="272"/>
      <c r="D1498" s="272"/>
      <c r="E1498" s="272"/>
      <c r="F1498" s="272"/>
      <c r="G1498" s="272"/>
      <c r="H1498" s="272"/>
      <c r="I1498" s="272"/>
    </row>
    <row r="1499" spans="1:9" ht="15.9" customHeight="1" x14ac:dyDescent="0.3">
      <c r="A1499" s="13"/>
      <c r="C1499" s="303" t="s">
        <v>979</v>
      </c>
      <c r="D1499" s="330"/>
      <c r="E1499" s="330"/>
      <c r="F1499" s="309"/>
      <c r="G1499" s="303" t="s">
        <v>980</v>
      </c>
      <c r="H1499" s="330"/>
      <c r="I1499" s="309"/>
    </row>
    <row r="1500" spans="1:9" ht="15.9" customHeight="1" x14ac:dyDescent="0.3">
      <c r="A1500" s="13"/>
      <c r="C1500" s="341" t="str">
        <f>_xlfn.CONCAT(_xlfn.XLOOKUP("[AircraftImprovementReportRequired][0][AircraftImprovementReportRequired]",Submission!$O:$O,Submission!$H:$N,""))</f>
        <v/>
      </c>
      <c r="D1500" s="355"/>
      <c r="E1500" s="355"/>
      <c r="F1500" s="356"/>
      <c r="G1500" s="341" t="str">
        <f>_xlfn.CONCAT(_xlfn.XLOOKUP("[AircraftImprovementReportSubmitted][0][AircraftImprovementReportSubmitted]",Submission!$O:$O,Submission!$H:$N,""))</f>
        <v/>
      </c>
      <c r="H1500" s="355"/>
      <c r="I1500" s="356"/>
    </row>
    <row r="1501" spans="1:9" ht="15.9" customHeight="1" x14ac:dyDescent="0.3">
      <c r="A1501" s="13"/>
      <c r="C1501" s="29"/>
      <c r="D1501" s="29"/>
    </row>
    <row r="1502" spans="1:9" ht="15.9" customHeight="1" x14ac:dyDescent="0.3">
      <c r="A1502" s="12" t="s">
        <v>343</v>
      </c>
      <c r="B1502" s="377" t="s">
        <v>981</v>
      </c>
      <c r="C1502" s="378"/>
      <c r="D1502" s="378"/>
      <c r="E1502" s="378"/>
      <c r="F1502" s="378"/>
      <c r="G1502" s="378"/>
      <c r="H1502" s="378"/>
      <c r="I1502" s="378"/>
    </row>
    <row r="1503" spans="1:9" ht="32.1" customHeight="1" x14ac:dyDescent="0.3">
      <c r="A1503" s="13"/>
      <c r="B1503" s="293" t="s">
        <v>937</v>
      </c>
      <c r="C1503" s="294"/>
      <c r="D1503" s="294"/>
      <c r="E1503" s="294"/>
      <c r="F1503" s="294"/>
      <c r="G1503" s="294"/>
      <c r="H1503" s="295"/>
      <c r="I1503" s="41" t="str">
        <f>_xlfn.CONCAT(_xlfn.XLOOKUP("[AircraftSimplifiedMonitoringArt13][0][AircraftSimplifiedMonitoringArt13]",Submission!$O:$O,Submission!$H:$N,""))</f>
        <v>No</v>
      </c>
    </row>
    <row r="1504" spans="1:9" ht="15.9" customHeight="1" x14ac:dyDescent="0.3">
      <c r="A1504" s="12"/>
      <c r="B1504" s="271" t="s">
        <v>982</v>
      </c>
      <c r="C1504" s="272"/>
      <c r="D1504" s="272"/>
      <c r="E1504" s="272"/>
      <c r="F1504" s="272"/>
      <c r="G1504" s="272"/>
      <c r="H1504" s="272"/>
      <c r="I1504" s="272"/>
    </row>
    <row r="1505" spans="1:9" ht="15.9" customHeight="1" x14ac:dyDescent="0.3">
      <c r="A1505" s="13"/>
      <c r="C1505" s="365" t="s">
        <v>939</v>
      </c>
      <c r="D1505" s="365"/>
      <c r="E1505" s="365"/>
      <c r="F1505" s="365"/>
      <c r="G1505" s="365" t="s">
        <v>940</v>
      </c>
      <c r="H1505" s="365"/>
      <c r="I1505" s="365"/>
    </row>
    <row r="1506" spans="1:9" ht="26.4" customHeight="1" x14ac:dyDescent="0.3">
      <c r="A1506" s="13"/>
      <c r="C1506" s="281" t="str">
        <f>_xlfn.CONCAT(_xlfn.XLOOKUP("[S05_AircraftSimplifiedMonitoringArt13Detail][1][AircraftRiskAssessmentType]",Submission!$O:$O,Submission!$H:$N,""))</f>
        <v/>
      </c>
      <c r="D1506" s="348"/>
      <c r="E1506" s="348"/>
      <c r="F1506" s="285"/>
      <c r="G1506" s="376" t="str">
        <f>_xlfn.CONCAT(_xlfn.XLOOKUP("[S05_AircraftSimplifiedMonitoringArt13Detail][1][AircraftGeneralRiskAssessmentPrinciples]",Submission!$O:$O,Submission!$H:$N,""))</f>
        <v/>
      </c>
      <c r="H1506" s="376"/>
      <c r="I1506" s="376"/>
    </row>
    <row r="1507" spans="1:9" ht="26.4" customHeight="1" x14ac:dyDescent="0.3">
      <c r="A1507" s="13"/>
      <c r="C1507" s="281" t="str">
        <f>_xlfn.CONCAT(_xlfn.XLOOKUP("[S05_AircraftSimplifiedMonitoringArt13Detail][2][AircraftRiskAssessmentType]",Submission!$O:$O,Submission!$H:$N,""))</f>
        <v/>
      </c>
      <c r="D1507" s="348"/>
      <c r="E1507" s="348"/>
      <c r="F1507" s="285"/>
      <c r="G1507" s="376" t="str">
        <f>_xlfn.CONCAT(_xlfn.XLOOKUP("[S05_AircraftSimplifiedMonitoringArt13Detail][2][AircraftGeneralRiskAssessmentPrinciples]",Submission!$O:$O,Submission!$H:$N,""))</f>
        <v/>
      </c>
      <c r="H1507" s="376"/>
      <c r="I1507" s="376"/>
    </row>
    <row r="1508" spans="1:9" ht="26.4" hidden="1" customHeight="1" outlineLevel="1" x14ac:dyDescent="0.3">
      <c r="A1508" s="13"/>
      <c r="C1508" s="281" t="str">
        <f>_xlfn.CONCAT(_xlfn.XLOOKUP("[S05_AircraftSimplifiedMonitoringArt13Detail][3][AircraftRiskAssessmentType]",Submission!$O:$O,Submission!$H:$N,""))</f>
        <v/>
      </c>
      <c r="D1508" s="348"/>
      <c r="E1508" s="348"/>
      <c r="F1508" s="285"/>
      <c r="G1508" s="376" t="str">
        <f>_xlfn.CONCAT(_xlfn.XLOOKUP("[S05_AircraftSimplifiedMonitoringArt13Detail][3][AircraftGeneralRiskAssessmentPrinciples]",Submission!$O:$O,Submission!$H:$N,""))</f>
        <v/>
      </c>
      <c r="H1508" s="376"/>
      <c r="I1508" s="376"/>
    </row>
    <row r="1509" spans="1:9" ht="26.4" hidden="1" customHeight="1" outlineLevel="1" x14ac:dyDescent="0.3">
      <c r="A1509" s="13"/>
      <c r="C1509" s="281" t="str">
        <f>_xlfn.CONCAT(_xlfn.XLOOKUP("[S05_AircraftSimplifiedMonitoringArt13Detail][4][AircraftRiskAssessmentType]",Submission!$O:$O,Submission!$H:$N,""))</f>
        <v/>
      </c>
      <c r="D1509" s="348"/>
      <c r="E1509" s="348"/>
      <c r="F1509" s="285"/>
      <c r="G1509" s="376" t="str">
        <f>_xlfn.CONCAT(_xlfn.XLOOKUP("[S05_AircraftSimplifiedMonitoringArt13Detail][4][AircraftGeneralRiskAssessmentPrinciples]",Submission!$O:$O,Submission!$H:$N,""))</f>
        <v/>
      </c>
      <c r="H1509" s="376"/>
      <c r="I1509" s="376"/>
    </row>
    <row r="1510" spans="1:9" ht="26.4" hidden="1" customHeight="1" outlineLevel="1" x14ac:dyDescent="0.3">
      <c r="A1510" s="13"/>
      <c r="C1510" s="281" t="str">
        <f>_xlfn.CONCAT(_xlfn.XLOOKUP("[S05_AircraftSimplifiedMonitoringArt13Detail][5][AircraftRiskAssessmentType]",Submission!$O:$O,Submission!$H:$N,""))</f>
        <v/>
      </c>
      <c r="D1510" s="348"/>
      <c r="E1510" s="348"/>
      <c r="F1510" s="285"/>
      <c r="G1510" s="376" t="str">
        <f>_xlfn.CONCAT(_xlfn.XLOOKUP("[S05_AircraftSimplifiedMonitoringArt13Detail][5][AircraftGeneralRiskAssessmentPrinciples]",Submission!$O:$O,Submission!$H:$N,""))</f>
        <v/>
      </c>
      <c r="H1510" s="376"/>
      <c r="I1510" s="376"/>
    </row>
    <row r="1511" spans="1:9" ht="15.9" customHeight="1" collapsed="1" x14ac:dyDescent="0.3">
      <c r="C1511" s="360" t="s">
        <v>941</v>
      </c>
      <c r="D1511" s="361"/>
      <c r="E1511" s="361"/>
      <c r="F1511" s="361"/>
      <c r="G1511" s="361"/>
      <c r="H1511" s="361"/>
      <c r="I1511" s="361"/>
    </row>
  </sheetData>
  <mergeCells count="1737">
    <mergeCell ref="C1454:F1454"/>
    <mergeCell ref="G1454:I1454"/>
    <mergeCell ref="C1455:F1455"/>
    <mergeCell ref="G1455:I1455"/>
    <mergeCell ref="C1452:F1452"/>
    <mergeCell ref="G1452:I1452"/>
    <mergeCell ref="C1453:F1453"/>
    <mergeCell ref="G1453:I1453"/>
    <mergeCell ref="C1508:F1508"/>
    <mergeCell ref="G1508:I1508"/>
    <mergeCell ref="C1509:F1509"/>
    <mergeCell ref="G1509:I1509"/>
    <mergeCell ref="C1510:F1510"/>
    <mergeCell ref="G1510:I1510"/>
    <mergeCell ref="C1511:I1511"/>
    <mergeCell ref="C1346:D1346"/>
    <mergeCell ref="E1346:F1346"/>
    <mergeCell ref="G1451:I1451"/>
    <mergeCell ref="C1378:I1378"/>
    <mergeCell ref="C1482:I1482"/>
    <mergeCell ref="C1483:I1483"/>
    <mergeCell ref="B1504:I1504"/>
    <mergeCell ref="C1489:I1489"/>
    <mergeCell ref="C1490:I1490"/>
    <mergeCell ref="H1496:I1496"/>
    <mergeCell ref="C1496:G1496"/>
    <mergeCell ref="H1494:I1494"/>
    <mergeCell ref="C1484:I1484"/>
    <mergeCell ref="C1492:I1492"/>
    <mergeCell ref="B1503:H1503"/>
    <mergeCell ref="C1491:I1491"/>
    <mergeCell ref="G1500:I1500"/>
    <mergeCell ref="C1327:D1327"/>
    <mergeCell ref="E1327:F1327"/>
    <mergeCell ref="C1328:D1328"/>
    <mergeCell ref="E1328:F1328"/>
    <mergeCell ref="C1329:D1329"/>
    <mergeCell ref="E1329:F1329"/>
    <mergeCell ref="C1330:D1330"/>
    <mergeCell ref="E1330:F1330"/>
    <mergeCell ref="C1331:D1331"/>
    <mergeCell ref="E1331:F1331"/>
    <mergeCell ref="C1332:D1332"/>
    <mergeCell ref="E1332:F1332"/>
    <mergeCell ref="C1333:D1333"/>
    <mergeCell ref="E1333:F1333"/>
    <mergeCell ref="C1334:D1334"/>
    <mergeCell ref="E1334:F1334"/>
    <mergeCell ref="C1335:D1335"/>
    <mergeCell ref="E1335:F1335"/>
    <mergeCell ref="C1336:D1336"/>
    <mergeCell ref="E1336:F1336"/>
    <mergeCell ref="C1337:D1337"/>
    <mergeCell ref="E1337:F1337"/>
    <mergeCell ref="C1338:D1338"/>
    <mergeCell ref="E1338:F1338"/>
    <mergeCell ref="C1339:D1339"/>
    <mergeCell ref="E1339:F1339"/>
    <mergeCell ref="C1340:D1340"/>
    <mergeCell ref="E1340:F1340"/>
    <mergeCell ref="C1341:D1341"/>
    <mergeCell ref="E1341:F1341"/>
    <mergeCell ref="C1342:D1342"/>
    <mergeCell ref="E1342:F1342"/>
    <mergeCell ref="C1343:D1343"/>
    <mergeCell ref="E1343:F1343"/>
    <mergeCell ref="C1344:D1344"/>
    <mergeCell ref="E1344:F1344"/>
    <mergeCell ref="C1365:D1365"/>
    <mergeCell ref="E1365:F1365"/>
    <mergeCell ref="C1366:D1366"/>
    <mergeCell ref="E1366:F1366"/>
    <mergeCell ref="C1347:D1347"/>
    <mergeCell ref="E1347:F1347"/>
    <mergeCell ref="C1348:D1348"/>
    <mergeCell ref="E1348:F1348"/>
    <mergeCell ref="C1349:D1349"/>
    <mergeCell ref="E1349:F1349"/>
    <mergeCell ref="C1350:D1350"/>
    <mergeCell ref="E1350:F1350"/>
    <mergeCell ref="C1351:D1351"/>
    <mergeCell ref="E1351:F1351"/>
    <mergeCell ref="C1352:D1352"/>
    <mergeCell ref="E1352:F1352"/>
    <mergeCell ref="C1353:D1353"/>
    <mergeCell ref="E1353:F1353"/>
    <mergeCell ref="C1354:D1354"/>
    <mergeCell ref="E1354:F1354"/>
    <mergeCell ref="C1355:D1355"/>
    <mergeCell ref="E1355:F1355"/>
    <mergeCell ref="C1356:D1356"/>
    <mergeCell ref="E1356:F1356"/>
    <mergeCell ref="E1357:F1357"/>
    <mergeCell ref="C1358:D1358"/>
    <mergeCell ref="E1358:F1358"/>
    <mergeCell ref="C1359:D1359"/>
    <mergeCell ref="E1359:F1359"/>
    <mergeCell ref="C1360:D1360"/>
    <mergeCell ref="E1360:F1360"/>
    <mergeCell ref="C1361:D1361"/>
    <mergeCell ref="E1361:F1361"/>
    <mergeCell ref="C1362:D1362"/>
    <mergeCell ref="E1362:F1362"/>
    <mergeCell ref="C1345:D1345"/>
    <mergeCell ref="E1345:F1345"/>
    <mergeCell ref="C1363:D1363"/>
    <mergeCell ref="E1363:F1363"/>
    <mergeCell ref="C1364:D1364"/>
    <mergeCell ref="E1364:F1364"/>
    <mergeCell ref="F1157:G1157"/>
    <mergeCell ref="D1158:E1158"/>
    <mergeCell ref="F1158:G1158"/>
    <mergeCell ref="D1159:E1159"/>
    <mergeCell ref="F1159:G1159"/>
    <mergeCell ref="D1160:E1160"/>
    <mergeCell ref="F1160:G1160"/>
    <mergeCell ref="D1161:E1161"/>
    <mergeCell ref="F1161:G1161"/>
    <mergeCell ref="D1162:E1162"/>
    <mergeCell ref="F1162:G1162"/>
    <mergeCell ref="D1163:E1163"/>
    <mergeCell ref="F1163:G1163"/>
    <mergeCell ref="C1357:D1357"/>
    <mergeCell ref="F1181:G1181"/>
    <mergeCell ref="D1182:E1182"/>
    <mergeCell ref="F1182:G1182"/>
    <mergeCell ref="D1183:E1183"/>
    <mergeCell ref="F1183:G1183"/>
    <mergeCell ref="D1174:E1174"/>
    <mergeCell ref="F1174:G1174"/>
    <mergeCell ref="D1175:E1175"/>
    <mergeCell ref="F1175:G1175"/>
    <mergeCell ref="C1375:D1375"/>
    <mergeCell ref="E1375:F1375"/>
    <mergeCell ref="C1373:D1373"/>
    <mergeCell ref="E1373:F1373"/>
    <mergeCell ref="C1374:D1374"/>
    <mergeCell ref="E1374:F1374"/>
    <mergeCell ref="C1369:D1369"/>
    <mergeCell ref="E1369:F1369"/>
    <mergeCell ref="C1370:D1370"/>
    <mergeCell ref="E1370:F1370"/>
    <mergeCell ref="C1371:D1371"/>
    <mergeCell ref="E1371:F1371"/>
    <mergeCell ref="C1372:D1372"/>
    <mergeCell ref="E1372:F1372"/>
    <mergeCell ref="C1367:D1367"/>
    <mergeCell ref="E1367:F1367"/>
    <mergeCell ref="C1368:D1368"/>
    <mergeCell ref="E1368:F1368"/>
    <mergeCell ref="D1144:E1144"/>
    <mergeCell ref="F1144:G1144"/>
    <mergeCell ref="D1145:E1145"/>
    <mergeCell ref="F1145:G1145"/>
    <mergeCell ref="D1146:E1146"/>
    <mergeCell ref="F1146:G1146"/>
    <mergeCell ref="D1147:E1147"/>
    <mergeCell ref="F1147:G1147"/>
    <mergeCell ref="D1148:E1148"/>
    <mergeCell ref="F1148:G1148"/>
    <mergeCell ref="D1149:E1149"/>
    <mergeCell ref="F1149:G1149"/>
    <mergeCell ref="D1150:E1150"/>
    <mergeCell ref="F1150:G1150"/>
    <mergeCell ref="D1151:E1151"/>
    <mergeCell ref="F1151:G1151"/>
    <mergeCell ref="D1152:E1152"/>
    <mergeCell ref="F1152:G1152"/>
    <mergeCell ref="D1153:E1153"/>
    <mergeCell ref="F1153:G1153"/>
    <mergeCell ref="D1154:E1154"/>
    <mergeCell ref="F1154:G1154"/>
    <mergeCell ref="D1155:E1155"/>
    <mergeCell ref="F1155:G1155"/>
    <mergeCell ref="D1156:E1156"/>
    <mergeCell ref="F1156:G1156"/>
    <mergeCell ref="D1157:E1157"/>
    <mergeCell ref="F1198:G1198"/>
    <mergeCell ref="D1199:E1199"/>
    <mergeCell ref="F1199:G1199"/>
    <mergeCell ref="D1164:E1164"/>
    <mergeCell ref="F1164:G1164"/>
    <mergeCell ref="D1165:E1165"/>
    <mergeCell ref="F1165:G1165"/>
    <mergeCell ref="D1166:E1166"/>
    <mergeCell ref="F1166:G1166"/>
    <mergeCell ref="D1167:E1167"/>
    <mergeCell ref="F1167:G1167"/>
    <mergeCell ref="D1168:E1168"/>
    <mergeCell ref="F1168:G1168"/>
    <mergeCell ref="D1169:E1169"/>
    <mergeCell ref="F1169:G1169"/>
    <mergeCell ref="D1170:E1170"/>
    <mergeCell ref="F1170:G1170"/>
    <mergeCell ref="D1171:E1171"/>
    <mergeCell ref="F1171:G1171"/>
    <mergeCell ref="D1172:E1172"/>
    <mergeCell ref="F1172:G1172"/>
    <mergeCell ref="D1173:E1173"/>
    <mergeCell ref="F1173:G1173"/>
    <mergeCell ref="D1176:E1176"/>
    <mergeCell ref="F1176:G1176"/>
    <mergeCell ref="D1177:E1177"/>
    <mergeCell ref="F1177:G1177"/>
    <mergeCell ref="D1178:E1178"/>
    <mergeCell ref="C97:D97"/>
    <mergeCell ref="E97:F97"/>
    <mergeCell ref="C98:D98"/>
    <mergeCell ref="E98:F98"/>
    <mergeCell ref="D1192:E1192"/>
    <mergeCell ref="F1192:G1192"/>
    <mergeCell ref="D1193:E1193"/>
    <mergeCell ref="F1193:G1193"/>
    <mergeCell ref="D1194:E1194"/>
    <mergeCell ref="F1194:G1194"/>
    <mergeCell ref="D1195:E1195"/>
    <mergeCell ref="F1195:G1195"/>
    <mergeCell ref="D1184:E1184"/>
    <mergeCell ref="F1184:G1184"/>
    <mergeCell ref="D1185:E1185"/>
    <mergeCell ref="F1185:G1185"/>
    <mergeCell ref="D1186:E1186"/>
    <mergeCell ref="F1186:G1186"/>
    <mergeCell ref="D1187:E1187"/>
    <mergeCell ref="F1187:G1187"/>
    <mergeCell ref="D1188:E1188"/>
    <mergeCell ref="F1188:G1188"/>
    <mergeCell ref="D1189:E1189"/>
    <mergeCell ref="F1189:G1189"/>
    <mergeCell ref="D1190:E1190"/>
    <mergeCell ref="F1190:G1190"/>
    <mergeCell ref="F1178:G1178"/>
    <mergeCell ref="D1179:E1179"/>
    <mergeCell ref="F1179:G1179"/>
    <mergeCell ref="D1180:E1180"/>
    <mergeCell ref="F1180:G1180"/>
    <mergeCell ref="D1181:E1181"/>
    <mergeCell ref="C88:D88"/>
    <mergeCell ref="E88:F88"/>
    <mergeCell ref="C89:D89"/>
    <mergeCell ref="E89:F89"/>
    <mergeCell ref="C90:D90"/>
    <mergeCell ref="E90:F90"/>
    <mergeCell ref="C91:D91"/>
    <mergeCell ref="E91:F91"/>
    <mergeCell ref="C92:D92"/>
    <mergeCell ref="E92:F92"/>
    <mergeCell ref="C93:D93"/>
    <mergeCell ref="E93:F93"/>
    <mergeCell ref="C94:D94"/>
    <mergeCell ref="E94:F94"/>
    <mergeCell ref="C95:D95"/>
    <mergeCell ref="E95:F95"/>
    <mergeCell ref="C96:D96"/>
    <mergeCell ref="E96:F96"/>
    <mergeCell ref="C110:D110"/>
    <mergeCell ref="E110:F110"/>
    <mergeCell ref="C111:D111"/>
    <mergeCell ref="E111:F111"/>
    <mergeCell ref="C112:D112"/>
    <mergeCell ref="E112:F112"/>
    <mergeCell ref="C113:D113"/>
    <mergeCell ref="E113:F113"/>
    <mergeCell ref="C114:D114"/>
    <mergeCell ref="E118:F118"/>
    <mergeCell ref="C134:D134"/>
    <mergeCell ref="E134:F134"/>
    <mergeCell ref="C135:D135"/>
    <mergeCell ref="E135:F135"/>
    <mergeCell ref="C136:D136"/>
    <mergeCell ref="E136:F136"/>
    <mergeCell ref="C137:D137"/>
    <mergeCell ref="E137:F137"/>
    <mergeCell ref="C79:D79"/>
    <mergeCell ref="E79:F79"/>
    <mergeCell ref="C80:D80"/>
    <mergeCell ref="E80:F80"/>
    <mergeCell ref="C81:D81"/>
    <mergeCell ref="E81:F81"/>
    <mergeCell ref="C82:D82"/>
    <mergeCell ref="E82:F82"/>
    <mergeCell ref="C83:D83"/>
    <mergeCell ref="E83:F83"/>
    <mergeCell ref="C84:D84"/>
    <mergeCell ref="E84:F84"/>
    <mergeCell ref="C85:D85"/>
    <mergeCell ref="E85:F85"/>
    <mergeCell ref="C86:D86"/>
    <mergeCell ref="E86:F86"/>
    <mergeCell ref="C87:D87"/>
    <mergeCell ref="E87:F87"/>
    <mergeCell ref="C138:D138"/>
    <mergeCell ref="E138:F138"/>
    <mergeCell ref="C99:D99"/>
    <mergeCell ref="E99:F99"/>
    <mergeCell ref="C100:D100"/>
    <mergeCell ref="E100:F100"/>
    <mergeCell ref="C101:D101"/>
    <mergeCell ref="E101:F101"/>
    <mergeCell ref="C102:D102"/>
    <mergeCell ref="E102:F102"/>
    <mergeCell ref="C103:D103"/>
    <mergeCell ref="E103:F103"/>
    <mergeCell ref="C104:D104"/>
    <mergeCell ref="E104:F104"/>
    <mergeCell ref="C105:D105"/>
    <mergeCell ref="E105:F105"/>
    <mergeCell ref="C106:D106"/>
    <mergeCell ref="E106:F106"/>
    <mergeCell ref="C107:D107"/>
    <mergeCell ref="E107:F107"/>
    <mergeCell ref="C108:D108"/>
    <mergeCell ref="E108:F108"/>
    <mergeCell ref="C109:D109"/>
    <mergeCell ref="E109:F109"/>
    <mergeCell ref="E114:F114"/>
    <mergeCell ref="C115:D115"/>
    <mergeCell ref="E115:F115"/>
    <mergeCell ref="C116:D116"/>
    <mergeCell ref="E116:F116"/>
    <mergeCell ref="C117:D117"/>
    <mergeCell ref="E117:F117"/>
    <mergeCell ref="C118:D118"/>
    <mergeCell ref="C158:D158"/>
    <mergeCell ref="E158:F158"/>
    <mergeCell ref="C119:D119"/>
    <mergeCell ref="E119:F119"/>
    <mergeCell ref="C120:D120"/>
    <mergeCell ref="E120:F120"/>
    <mergeCell ref="C121:D121"/>
    <mergeCell ref="E121:F121"/>
    <mergeCell ref="C122:D122"/>
    <mergeCell ref="E122:F122"/>
    <mergeCell ref="C123:D123"/>
    <mergeCell ref="E123:F123"/>
    <mergeCell ref="C124:D124"/>
    <mergeCell ref="E124:F124"/>
    <mergeCell ref="C125:D125"/>
    <mergeCell ref="E125:F125"/>
    <mergeCell ref="C126:D126"/>
    <mergeCell ref="E126:F126"/>
    <mergeCell ref="C127:D127"/>
    <mergeCell ref="E127:F127"/>
    <mergeCell ref="C128:D128"/>
    <mergeCell ref="E128:F128"/>
    <mergeCell ref="C129:D129"/>
    <mergeCell ref="E129:F129"/>
    <mergeCell ref="C130:D130"/>
    <mergeCell ref="E130:F130"/>
    <mergeCell ref="C131:D131"/>
    <mergeCell ref="E131:F131"/>
    <mergeCell ref="C132:D132"/>
    <mergeCell ref="E132:F132"/>
    <mergeCell ref="C133:D133"/>
    <mergeCell ref="E133:F133"/>
    <mergeCell ref="C149:D149"/>
    <mergeCell ref="E149:F149"/>
    <mergeCell ref="C150:D150"/>
    <mergeCell ref="E150:F150"/>
    <mergeCell ref="C151:D151"/>
    <mergeCell ref="E151:F151"/>
    <mergeCell ref="C152:D152"/>
    <mergeCell ref="E152:F152"/>
    <mergeCell ref="C153:D153"/>
    <mergeCell ref="E153:F153"/>
    <mergeCell ref="C154:D154"/>
    <mergeCell ref="E154:F154"/>
    <mergeCell ref="C155:D155"/>
    <mergeCell ref="E155:F155"/>
    <mergeCell ref="C156:D156"/>
    <mergeCell ref="E156:F156"/>
    <mergeCell ref="C157:D157"/>
    <mergeCell ref="E157:F157"/>
    <mergeCell ref="C173:D173"/>
    <mergeCell ref="E173:F173"/>
    <mergeCell ref="C174:D174"/>
    <mergeCell ref="E174:F174"/>
    <mergeCell ref="C175:D175"/>
    <mergeCell ref="E175:F175"/>
    <mergeCell ref="C176:D176"/>
    <mergeCell ref="E176:F176"/>
    <mergeCell ref="C177:D177"/>
    <mergeCell ref="E177:F177"/>
    <mergeCell ref="C178:D178"/>
    <mergeCell ref="E178:F178"/>
    <mergeCell ref="C139:D139"/>
    <mergeCell ref="E139:F139"/>
    <mergeCell ref="C140:D140"/>
    <mergeCell ref="E140:F140"/>
    <mergeCell ref="C141:D141"/>
    <mergeCell ref="E141:F141"/>
    <mergeCell ref="C142:D142"/>
    <mergeCell ref="E142:F142"/>
    <mergeCell ref="C143:D143"/>
    <mergeCell ref="E143:F143"/>
    <mergeCell ref="C144:D144"/>
    <mergeCell ref="E144:F144"/>
    <mergeCell ref="C145:D145"/>
    <mergeCell ref="E145:F145"/>
    <mergeCell ref="C146:D146"/>
    <mergeCell ref="E146:F146"/>
    <mergeCell ref="C147:D147"/>
    <mergeCell ref="E147:F147"/>
    <mergeCell ref="C148:D148"/>
    <mergeCell ref="E148:F148"/>
    <mergeCell ref="E75:F75"/>
    <mergeCell ref="C76:D76"/>
    <mergeCell ref="E76:F76"/>
    <mergeCell ref="C180:D180"/>
    <mergeCell ref="E180:F180"/>
    <mergeCell ref="C73:D73"/>
    <mergeCell ref="E73:F73"/>
    <mergeCell ref="H1036:I1036"/>
    <mergeCell ref="H1091:I1091"/>
    <mergeCell ref="C1118:D1118"/>
    <mergeCell ref="H1098:I1098"/>
    <mergeCell ref="E1117:G1117"/>
    <mergeCell ref="H1077:I1077"/>
    <mergeCell ref="C1093:I1093"/>
    <mergeCell ref="B1096:I1096"/>
    <mergeCell ref="H1073:I1073"/>
    <mergeCell ref="C196:D196"/>
    <mergeCell ref="E196:F196"/>
    <mergeCell ref="C195:D195"/>
    <mergeCell ref="E195:F195"/>
    <mergeCell ref="H1117:I1117"/>
    <mergeCell ref="E1097:G1097"/>
    <mergeCell ref="E1098:G1098"/>
    <mergeCell ref="B1035:I1035"/>
    <mergeCell ref="C1117:D1117"/>
    <mergeCell ref="B1006:I1006"/>
    <mergeCell ref="E191:F191"/>
    <mergeCell ref="E190:F190"/>
    <mergeCell ref="E189:F189"/>
    <mergeCell ref="E188:F188"/>
    <mergeCell ref="C172:D172"/>
    <mergeCell ref="E172:F172"/>
    <mergeCell ref="G1471:I1471"/>
    <mergeCell ref="E74:F74"/>
    <mergeCell ref="F34:G34"/>
    <mergeCell ref="H34:I34"/>
    <mergeCell ref="B1448:I1448"/>
    <mergeCell ref="B67:I67"/>
    <mergeCell ref="C68:D68"/>
    <mergeCell ref="E68:F68"/>
    <mergeCell ref="C184:D184"/>
    <mergeCell ref="E184:F184"/>
    <mergeCell ref="C77:D77"/>
    <mergeCell ref="H1088:I1088"/>
    <mergeCell ref="H1078:I1078"/>
    <mergeCell ref="C1139:I1139"/>
    <mergeCell ref="E182:F182"/>
    <mergeCell ref="C183:D183"/>
    <mergeCell ref="C1119:D1119"/>
    <mergeCell ref="E1119:G1119"/>
    <mergeCell ref="H1119:I1119"/>
    <mergeCell ref="H54:I54"/>
    <mergeCell ref="C55:E55"/>
    <mergeCell ref="F55:G55"/>
    <mergeCell ref="H55:I55"/>
    <mergeCell ref="C61:E61"/>
    <mergeCell ref="F61:G61"/>
    <mergeCell ref="H61:I61"/>
    <mergeCell ref="C57:E57"/>
    <mergeCell ref="F57:G57"/>
    <mergeCell ref="H57:I57"/>
    <mergeCell ref="C58:E58"/>
    <mergeCell ref="C56:E56"/>
    <mergeCell ref="H1076:I1076"/>
    <mergeCell ref="D1203:E1203"/>
    <mergeCell ref="G1472:I1472"/>
    <mergeCell ref="C1471:F1471"/>
    <mergeCell ref="C1472:F1472"/>
    <mergeCell ref="H1032:I1032"/>
    <mergeCell ref="G1007:I1007"/>
    <mergeCell ref="C198:D198"/>
    <mergeCell ref="E198:F198"/>
    <mergeCell ref="C185:D185"/>
    <mergeCell ref="E185:F185"/>
    <mergeCell ref="C186:D186"/>
    <mergeCell ref="E186:F186"/>
    <mergeCell ref="C192:D192"/>
    <mergeCell ref="E192:F192"/>
    <mergeCell ref="C197:D197"/>
    <mergeCell ref="E197:F197"/>
    <mergeCell ref="B201:I201"/>
    <mergeCell ref="C1004:I1004"/>
    <mergeCell ref="C1451:F1451"/>
    <mergeCell ref="C1320:I1320"/>
    <mergeCell ref="B1444:I1444"/>
    <mergeCell ref="E1376:F1376"/>
    <mergeCell ref="C1376:D1376"/>
    <mergeCell ref="B1217:H1217"/>
    <mergeCell ref="C1318:I1318"/>
    <mergeCell ref="D1191:E1191"/>
    <mergeCell ref="F1191:G1191"/>
    <mergeCell ref="D1196:E1196"/>
    <mergeCell ref="F1196:G1196"/>
    <mergeCell ref="D1197:E1197"/>
    <mergeCell ref="F1197:G1197"/>
    <mergeCell ref="D1198:E1198"/>
    <mergeCell ref="B3:I3"/>
    <mergeCell ref="B4:I4"/>
    <mergeCell ref="C12:I12"/>
    <mergeCell ref="C62:E62"/>
    <mergeCell ref="H62:I62"/>
    <mergeCell ref="F62:G62"/>
    <mergeCell ref="B46:I46"/>
    <mergeCell ref="C27:E27"/>
    <mergeCell ref="F27:G27"/>
    <mergeCell ref="H27:I27"/>
    <mergeCell ref="C31:E31"/>
    <mergeCell ref="F31:G31"/>
    <mergeCell ref="H31:I31"/>
    <mergeCell ref="C28:E28"/>
    <mergeCell ref="F28:G28"/>
    <mergeCell ref="H28:I28"/>
    <mergeCell ref="C29:E29"/>
    <mergeCell ref="F29:G29"/>
    <mergeCell ref="H29:I29"/>
    <mergeCell ref="B7:I7"/>
    <mergeCell ref="B10:H10"/>
    <mergeCell ref="B11:I11"/>
    <mergeCell ref="B13:I13"/>
    <mergeCell ref="H15:I15"/>
    <mergeCell ref="H16:I16"/>
    <mergeCell ref="H17:I17"/>
    <mergeCell ref="H18:I18"/>
    <mergeCell ref="H19:I19"/>
    <mergeCell ref="H20:I20"/>
    <mergeCell ref="H21:I21"/>
    <mergeCell ref="H22:I22"/>
    <mergeCell ref="B44:I44"/>
    <mergeCell ref="C1121:I1121"/>
    <mergeCell ref="H1072:I1072"/>
    <mergeCell ref="E1118:G1118"/>
    <mergeCell ref="C1097:D1097"/>
    <mergeCell ref="C72:D72"/>
    <mergeCell ref="E72:F72"/>
    <mergeCell ref="C182:D182"/>
    <mergeCell ref="E77:F77"/>
    <mergeCell ref="C78:D78"/>
    <mergeCell ref="E78:F78"/>
    <mergeCell ref="C179:D179"/>
    <mergeCell ref="E179:F179"/>
    <mergeCell ref="C181:D181"/>
    <mergeCell ref="E181:F181"/>
    <mergeCell ref="C74:D74"/>
    <mergeCell ref="C1007:D1007"/>
    <mergeCell ref="C1032:D1032"/>
    <mergeCell ref="H1118:I1118"/>
    <mergeCell ref="H1097:I1097"/>
    <mergeCell ref="E183:F183"/>
    <mergeCell ref="C1098:D1098"/>
    <mergeCell ref="C159:D159"/>
    <mergeCell ref="E159:F159"/>
    <mergeCell ref="C160:D160"/>
    <mergeCell ref="E160:F160"/>
    <mergeCell ref="C161:D161"/>
    <mergeCell ref="E161:F161"/>
    <mergeCell ref="C162:D162"/>
    <mergeCell ref="E162:F162"/>
    <mergeCell ref="C163:D163"/>
    <mergeCell ref="E163:F163"/>
    <mergeCell ref="C164:D164"/>
    <mergeCell ref="F52:G52"/>
    <mergeCell ref="B5:I5"/>
    <mergeCell ref="B6:H6"/>
    <mergeCell ref="C35:E35"/>
    <mergeCell ref="F35:G35"/>
    <mergeCell ref="H35:I35"/>
    <mergeCell ref="C36:E36"/>
    <mergeCell ref="F36:G36"/>
    <mergeCell ref="H36:I36"/>
    <mergeCell ref="H30:I30"/>
    <mergeCell ref="C15:F15"/>
    <mergeCell ref="C16:F16"/>
    <mergeCell ref="C17:F17"/>
    <mergeCell ref="C18:F18"/>
    <mergeCell ref="C19:F19"/>
    <mergeCell ref="C20:F20"/>
    <mergeCell ref="C21:F21"/>
    <mergeCell ref="C32:I32"/>
    <mergeCell ref="B14:I14"/>
    <mergeCell ref="B24:I24"/>
    <mergeCell ref="C8:I8"/>
    <mergeCell ref="B26:I26"/>
    <mergeCell ref="B25:H25"/>
    <mergeCell ref="C34:E34"/>
    <mergeCell ref="C30:E30"/>
    <mergeCell ref="F30:G30"/>
    <mergeCell ref="C38:E38"/>
    <mergeCell ref="F38:G38"/>
    <mergeCell ref="H52:I52"/>
    <mergeCell ref="C47:I47"/>
    <mergeCell ref="B50:I50"/>
    <mergeCell ref="C63:E63"/>
    <mergeCell ref="F63:G63"/>
    <mergeCell ref="H63:I63"/>
    <mergeCell ref="C65:I65"/>
    <mergeCell ref="H53:I53"/>
    <mergeCell ref="C54:E54"/>
    <mergeCell ref="C64:E64"/>
    <mergeCell ref="F64:G64"/>
    <mergeCell ref="H64:I64"/>
    <mergeCell ref="F58:G58"/>
    <mergeCell ref="B41:I41"/>
    <mergeCell ref="B45:H45"/>
    <mergeCell ref="F37:G37"/>
    <mergeCell ref="H37:I37"/>
    <mergeCell ref="H58:I58"/>
    <mergeCell ref="C59:E59"/>
    <mergeCell ref="H59:I59"/>
    <mergeCell ref="C60:E60"/>
    <mergeCell ref="F60:G60"/>
    <mergeCell ref="H60:I60"/>
    <mergeCell ref="F53:G53"/>
    <mergeCell ref="F59:G59"/>
    <mergeCell ref="C39:I39"/>
    <mergeCell ref="H38:I38"/>
    <mergeCell ref="F54:G54"/>
    <mergeCell ref="F56:G56"/>
    <mergeCell ref="H56:I56"/>
    <mergeCell ref="C53:E53"/>
    <mergeCell ref="C37:E37"/>
    <mergeCell ref="C42:I42"/>
    <mergeCell ref="B51:I51"/>
    <mergeCell ref="C52:E52"/>
    <mergeCell ref="C69:D69"/>
    <mergeCell ref="C75:D75"/>
    <mergeCell ref="C194:D194"/>
    <mergeCell ref="E194:F194"/>
    <mergeCell ref="C193:D193"/>
    <mergeCell ref="E193:F193"/>
    <mergeCell ref="C187:D187"/>
    <mergeCell ref="E187:F187"/>
    <mergeCell ref="C188:D188"/>
    <mergeCell ref="C189:D189"/>
    <mergeCell ref="C190:D190"/>
    <mergeCell ref="C191:D191"/>
    <mergeCell ref="E69:F69"/>
    <mergeCell ref="C70:D70"/>
    <mergeCell ref="E70:F70"/>
    <mergeCell ref="C71:D71"/>
    <mergeCell ref="E71:F71"/>
    <mergeCell ref="E164:F164"/>
    <mergeCell ref="C165:D165"/>
    <mergeCell ref="E165:F165"/>
    <mergeCell ref="C166:D166"/>
    <mergeCell ref="E166:F166"/>
    <mergeCell ref="C167:D167"/>
    <mergeCell ref="E167:F167"/>
    <mergeCell ref="C168:D168"/>
    <mergeCell ref="E168:F168"/>
    <mergeCell ref="C169:D169"/>
    <mergeCell ref="E169:F169"/>
    <mergeCell ref="C170:D170"/>
    <mergeCell ref="E170:F170"/>
    <mergeCell ref="C171:D171"/>
    <mergeCell ref="E171:F171"/>
    <mergeCell ref="C1140:I1140"/>
    <mergeCell ref="B1142:I1142"/>
    <mergeCell ref="F1202:G1202"/>
    <mergeCell ref="B1124:H1124"/>
    <mergeCell ref="F1143:G1143"/>
    <mergeCell ref="B1218:I1218"/>
    <mergeCell ref="F1200:G1200"/>
    <mergeCell ref="F1201:G1201"/>
    <mergeCell ref="F1203:G1203"/>
    <mergeCell ref="D1200:E1200"/>
    <mergeCell ref="C1215:I1215"/>
    <mergeCell ref="D1202:E1202"/>
    <mergeCell ref="C1138:I1138"/>
    <mergeCell ref="D1126:G1126"/>
    <mergeCell ref="C1122:I1122"/>
    <mergeCell ref="D1143:E1143"/>
    <mergeCell ref="C1446:F1446"/>
    <mergeCell ref="G1446:I1446"/>
    <mergeCell ref="D1201:E1201"/>
    <mergeCell ref="C1445:F1445"/>
    <mergeCell ref="G1445:I1445"/>
    <mergeCell ref="B1324:H1324"/>
    <mergeCell ref="B1325:I1325"/>
    <mergeCell ref="C1319:I1319"/>
    <mergeCell ref="C1326:D1326"/>
    <mergeCell ref="B1441:I1441"/>
    <mergeCell ref="C1442:I1442"/>
    <mergeCell ref="E1326:F1326"/>
    <mergeCell ref="C1379:J1379"/>
    <mergeCell ref="C1382:I1382"/>
    <mergeCell ref="B1380:I1380"/>
    <mergeCell ref="C1321:I1321"/>
    <mergeCell ref="C1322:I1322"/>
    <mergeCell ref="B1125:I1125"/>
    <mergeCell ref="C1094:I1094"/>
    <mergeCell ref="H1075:I1075"/>
    <mergeCell ref="H1074:I1074"/>
    <mergeCell ref="H1089:I1089"/>
    <mergeCell ref="C1479:F1479"/>
    <mergeCell ref="G1479:I1479"/>
    <mergeCell ref="C1485:D1485"/>
    <mergeCell ref="C1486:D1486"/>
    <mergeCell ref="E1486:F1486"/>
    <mergeCell ref="E1485:F1485"/>
    <mergeCell ref="G1485:I1485"/>
    <mergeCell ref="G1486:I1486"/>
    <mergeCell ref="C1507:F1507"/>
    <mergeCell ref="G1507:I1507"/>
    <mergeCell ref="C1505:F1505"/>
    <mergeCell ref="G1505:I1505"/>
    <mergeCell ref="B1502:I1502"/>
    <mergeCell ref="C1493:G1493"/>
    <mergeCell ref="B1488:I1488"/>
    <mergeCell ref="B1449:H1449"/>
    <mergeCell ref="B1450:I1450"/>
    <mergeCell ref="G1461:I1461"/>
    <mergeCell ref="C1461:D1461"/>
    <mergeCell ref="C1456:F1456"/>
    <mergeCell ref="G1456:I1456"/>
    <mergeCell ref="B1481:I1481"/>
    <mergeCell ref="G1499:I1499"/>
    <mergeCell ref="H1493:I1493"/>
    <mergeCell ref="C1506:F1506"/>
    <mergeCell ref="G1506:I1506"/>
    <mergeCell ref="C1499:F1499"/>
    <mergeCell ref="C1500:F1500"/>
    <mergeCell ref="B1498:I1498"/>
    <mergeCell ref="C1495:G1495"/>
    <mergeCell ref="H1495:I1495"/>
    <mergeCell ref="C1494:G1494"/>
    <mergeCell ref="C1475:F1475"/>
    <mergeCell ref="G1473:I1473"/>
    <mergeCell ref="G1474:I1474"/>
    <mergeCell ref="G1475:I1475"/>
    <mergeCell ref="C1476:F1476"/>
    <mergeCell ref="G1476:I1476"/>
    <mergeCell ref="C1478:I1478"/>
    <mergeCell ref="E1464:F1464"/>
    <mergeCell ref="C1457:I1457"/>
    <mergeCell ref="C1467:I1467"/>
    <mergeCell ref="C1468:I1468"/>
    <mergeCell ref="C1470:I1470"/>
    <mergeCell ref="C1469:I1469"/>
    <mergeCell ref="B1466:I1466"/>
    <mergeCell ref="G1462:I1462"/>
    <mergeCell ref="G1463:I1463"/>
    <mergeCell ref="E1461:F1461"/>
    <mergeCell ref="E1462:F1462"/>
    <mergeCell ref="E1463:F1463"/>
    <mergeCell ref="C1462:D1462"/>
    <mergeCell ref="C1463:D1463"/>
    <mergeCell ref="G1464:I1464"/>
    <mergeCell ref="C1464:D1464"/>
    <mergeCell ref="C1473:F1473"/>
    <mergeCell ref="B1460:I1460"/>
    <mergeCell ref="B1459:I1459"/>
    <mergeCell ref="C1474:F1474"/>
    <mergeCell ref="C945:G945"/>
    <mergeCell ref="C946:G946"/>
    <mergeCell ref="C947:G947"/>
    <mergeCell ref="C603:G603"/>
    <mergeCell ref="C604:G604"/>
    <mergeCell ref="C605:G605"/>
    <mergeCell ref="C606:G606"/>
    <mergeCell ref="C607:G607"/>
    <mergeCell ref="C553:G553"/>
    <mergeCell ref="C554:G554"/>
    <mergeCell ref="C555:G555"/>
    <mergeCell ref="C556:G556"/>
    <mergeCell ref="C557:G557"/>
    <mergeCell ref="C558:G558"/>
    <mergeCell ref="C559:G559"/>
    <mergeCell ref="C560:G560"/>
    <mergeCell ref="C561:G561"/>
    <mergeCell ref="C968:G968"/>
    <mergeCell ref="C969:G969"/>
    <mergeCell ref="C970:G970"/>
    <mergeCell ref="C971:G971"/>
    <mergeCell ref="C972:G972"/>
    <mergeCell ref="C918:G918"/>
    <mergeCell ref="C919:G919"/>
    <mergeCell ref="C920:G920"/>
    <mergeCell ref="C921:G921"/>
    <mergeCell ref="C922:G922"/>
    <mergeCell ref="C923:G923"/>
    <mergeCell ref="C924:G924"/>
    <mergeCell ref="C925:G925"/>
    <mergeCell ref="C926:G926"/>
    <mergeCell ref="C963:G963"/>
    <mergeCell ref="C964:G964"/>
    <mergeCell ref="C965:G965"/>
    <mergeCell ref="C966:G966"/>
    <mergeCell ref="C967:G967"/>
    <mergeCell ref="C927:G927"/>
    <mergeCell ref="C928:G928"/>
    <mergeCell ref="C929:G929"/>
    <mergeCell ref="C930:G930"/>
    <mergeCell ref="C931:G931"/>
    <mergeCell ref="C932:G932"/>
    <mergeCell ref="C933:G933"/>
    <mergeCell ref="C934:G934"/>
    <mergeCell ref="C935:G935"/>
    <mergeCell ref="C961:G961"/>
    <mergeCell ref="C962:G962"/>
    <mergeCell ref="C936:G936"/>
    <mergeCell ref="C937:G937"/>
    <mergeCell ref="C948:G948"/>
    <mergeCell ref="C949:G949"/>
    <mergeCell ref="C950:G950"/>
    <mergeCell ref="C951:G951"/>
    <mergeCell ref="C952:G952"/>
    <mergeCell ref="C973:G973"/>
    <mergeCell ref="C974:G974"/>
    <mergeCell ref="C975:G975"/>
    <mergeCell ref="C976:G976"/>
    <mergeCell ref="C977:G977"/>
    <mergeCell ref="C978:G978"/>
    <mergeCell ref="C979:G979"/>
    <mergeCell ref="C980:G980"/>
    <mergeCell ref="C981:G981"/>
    <mergeCell ref="C202:G202"/>
    <mergeCell ref="C953:G953"/>
    <mergeCell ref="C954:G954"/>
    <mergeCell ref="C955:G955"/>
    <mergeCell ref="C956:G956"/>
    <mergeCell ref="C957:G957"/>
    <mergeCell ref="C958:G958"/>
    <mergeCell ref="C959:G959"/>
    <mergeCell ref="C960:G960"/>
    <mergeCell ref="C903:G903"/>
    <mergeCell ref="C904:G904"/>
    <mergeCell ref="C905:G905"/>
    <mergeCell ref="C906:G906"/>
    <mergeCell ref="C907:G907"/>
    <mergeCell ref="C908:G908"/>
    <mergeCell ref="C909:G909"/>
    <mergeCell ref="C910:G910"/>
    <mergeCell ref="C911:G911"/>
    <mergeCell ref="C912:G912"/>
    <mergeCell ref="C913:G913"/>
    <mergeCell ref="C914:G914"/>
    <mergeCell ref="C915:G915"/>
    <mergeCell ref="C916:G916"/>
    <mergeCell ref="C1001:G1001"/>
    <mergeCell ref="C1002:G1002"/>
    <mergeCell ref="C983:G983"/>
    <mergeCell ref="C984:G984"/>
    <mergeCell ref="C985:G985"/>
    <mergeCell ref="C986:G986"/>
    <mergeCell ref="C987:G987"/>
    <mergeCell ref="C988:G988"/>
    <mergeCell ref="C989:G989"/>
    <mergeCell ref="C990:G990"/>
    <mergeCell ref="C991:G991"/>
    <mergeCell ref="C992:G992"/>
    <mergeCell ref="C982:G982"/>
    <mergeCell ref="C993:G993"/>
    <mergeCell ref="C994:G994"/>
    <mergeCell ref="C995:G995"/>
    <mergeCell ref="C996:G996"/>
    <mergeCell ref="C997:G997"/>
    <mergeCell ref="C998:G998"/>
    <mergeCell ref="C999:G999"/>
    <mergeCell ref="C1000:G1000"/>
    <mergeCell ref="C853:G853"/>
    <mergeCell ref="C854:G854"/>
    <mergeCell ref="C855:G855"/>
    <mergeCell ref="C856:G856"/>
    <mergeCell ref="C857:G857"/>
    <mergeCell ref="C858:G858"/>
    <mergeCell ref="C859:G859"/>
    <mergeCell ref="C860:G860"/>
    <mergeCell ref="C861:G861"/>
    <mergeCell ref="C862:G862"/>
    <mergeCell ref="C863:G863"/>
    <mergeCell ref="C864:G864"/>
    <mergeCell ref="C865:G865"/>
    <mergeCell ref="C866:G866"/>
    <mergeCell ref="C867:G867"/>
    <mergeCell ref="C868:G868"/>
    <mergeCell ref="C869:G869"/>
    <mergeCell ref="C870:G870"/>
    <mergeCell ref="C871:G871"/>
    <mergeCell ref="C917:G917"/>
    <mergeCell ref="C938:G938"/>
    <mergeCell ref="C939:G939"/>
    <mergeCell ref="C940:G940"/>
    <mergeCell ref="C941:G941"/>
    <mergeCell ref="C942:G942"/>
    <mergeCell ref="C943:G943"/>
    <mergeCell ref="C944:G944"/>
    <mergeCell ref="C898:G898"/>
    <mergeCell ref="C881:G881"/>
    <mergeCell ref="C882:G882"/>
    <mergeCell ref="C883:G883"/>
    <mergeCell ref="C884:G884"/>
    <mergeCell ref="C885:G885"/>
    <mergeCell ref="C886:G886"/>
    <mergeCell ref="C887:G887"/>
    <mergeCell ref="C888:G888"/>
    <mergeCell ref="C889:G889"/>
    <mergeCell ref="C872:G872"/>
    <mergeCell ref="C873:G873"/>
    <mergeCell ref="C874:G874"/>
    <mergeCell ref="C875:G875"/>
    <mergeCell ref="C876:G876"/>
    <mergeCell ref="C877:G877"/>
    <mergeCell ref="C878:G878"/>
    <mergeCell ref="C879:G879"/>
    <mergeCell ref="C880:G880"/>
    <mergeCell ref="C899:G899"/>
    <mergeCell ref="C900:G900"/>
    <mergeCell ref="C901:G901"/>
    <mergeCell ref="C902:G902"/>
    <mergeCell ref="C803:G803"/>
    <mergeCell ref="C804:G804"/>
    <mergeCell ref="C805:G805"/>
    <mergeCell ref="C806:G806"/>
    <mergeCell ref="C807:G807"/>
    <mergeCell ref="C808:G808"/>
    <mergeCell ref="C809:G809"/>
    <mergeCell ref="C810:G810"/>
    <mergeCell ref="C811:G811"/>
    <mergeCell ref="C812:G812"/>
    <mergeCell ref="C813:G813"/>
    <mergeCell ref="C814:G814"/>
    <mergeCell ref="C815:G815"/>
    <mergeCell ref="C816:G816"/>
    <mergeCell ref="C817:G817"/>
    <mergeCell ref="C818:G818"/>
    <mergeCell ref="C819:G819"/>
    <mergeCell ref="C820:G820"/>
    <mergeCell ref="C821:G821"/>
    <mergeCell ref="C822:G822"/>
    <mergeCell ref="C890:G890"/>
    <mergeCell ref="C891:G891"/>
    <mergeCell ref="C892:G892"/>
    <mergeCell ref="C893:G893"/>
    <mergeCell ref="C894:G894"/>
    <mergeCell ref="C895:G895"/>
    <mergeCell ref="C896:G896"/>
    <mergeCell ref="C897:G897"/>
    <mergeCell ref="C849:G849"/>
    <mergeCell ref="C832:G832"/>
    <mergeCell ref="C833:G833"/>
    <mergeCell ref="C834:G834"/>
    <mergeCell ref="C835:G835"/>
    <mergeCell ref="C836:G836"/>
    <mergeCell ref="C837:G837"/>
    <mergeCell ref="C838:G838"/>
    <mergeCell ref="C839:G839"/>
    <mergeCell ref="C840:G840"/>
    <mergeCell ref="C823:G823"/>
    <mergeCell ref="C824:G824"/>
    <mergeCell ref="C825:G825"/>
    <mergeCell ref="C826:G826"/>
    <mergeCell ref="C827:G827"/>
    <mergeCell ref="C828:G828"/>
    <mergeCell ref="C829:G829"/>
    <mergeCell ref="C830:G830"/>
    <mergeCell ref="C831:G831"/>
    <mergeCell ref="C850:G850"/>
    <mergeCell ref="C851:G851"/>
    <mergeCell ref="C852:G852"/>
    <mergeCell ref="C753:G753"/>
    <mergeCell ref="C754:G754"/>
    <mergeCell ref="C755:G755"/>
    <mergeCell ref="C756:G756"/>
    <mergeCell ref="C757:G757"/>
    <mergeCell ref="C758:G758"/>
    <mergeCell ref="C759:G759"/>
    <mergeCell ref="C760:G760"/>
    <mergeCell ref="C761:G761"/>
    <mergeCell ref="C762:G762"/>
    <mergeCell ref="C763:G763"/>
    <mergeCell ref="C764:G764"/>
    <mergeCell ref="C765:G765"/>
    <mergeCell ref="C766:G766"/>
    <mergeCell ref="C767:G767"/>
    <mergeCell ref="C768:G768"/>
    <mergeCell ref="C769:G769"/>
    <mergeCell ref="C770:G770"/>
    <mergeCell ref="C771:G771"/>
    <mergeCell ref="C772:G772"/>
    <mergeCell ref="C773:G773"/>
    <mergeCell ref="C841:G841"/>
    <mergeCell ref="C842:G842"/>
    <mergeCell ref="C843:G843"/>
    <mergeCell ref="C844:G844"/>
    <mergeCell ref="C845:G845"/>
    <mergeCell ref="C846:G846"/>
    <mergeCell ref="C847:G847"/>
    <mergeCell ref="C848:G848"/>
    <mergeCell ref="C800:G800"/>
    <mergeCell ref="C783:G783"/>
    <mergeCell ref="C784:G784"/>
    <mergeCell ref="C785:G785"/>
    <mergeCell ref="C786:G786"/>
    <mergeCell ref="C787:G787"/>
    <mergeCell ref="C788:G788"/>
    <mergeCell ref="C789:G789"/>
    <mergeCell ref="C790:G790"/>
    <mergeCell ref="C791:G791"/>
    <mergeCell ref="C774:G774"/>
    <mergeCell ref="C775:G775"/>
    <mergeCell ref="C776:G776"/>
    <mergeCell ref="C777:G777"/>
    <mergeCell ref="C778:G778"/>
    <mergeCell ref="C779:G779"/>
    <mergeCell ref="C780:G780"/>
    <mergeCell ref="C781:G781"/>
    <mergeCell ref="C782:G782"/>
    <mergeCell ref="C801:G801"/>
    <mergeCell ref="C802:G802"/>
    <mergeCell ref="C703:G703"/>
    <mergeCell ref="C704:G704"/>
    <mergeCell ref="C705:G705"/>
    <mergeCell ref="C706:G706"/>
    <mergeCell ref="C707:G707"/>
    <mergeCell ref="C708:G708"/>
    <mergeCell ref="C709:G709"/>
    <mergeCell ref="C710:G710"/>
    <mergeCell ref="C711:G711"/>
    <mergeCell ref="C712:G712"/>
    <mergeCell ref="C713:G713"/>
    <mergeCell ref="C714:G714"/>
    <mergeCell ref="C715:G715"/>
    <mergeCell ref="C716:G716"/>
    <mergeCell ref="C717:G717"/>
    <mergeCell ref="C718:G718"/>
    <mergeCell ref="C719:G719"/>
    <mergeCell ref="C720:G720"/>
    <mergeCell ref="C721:G721"/>
    <mergeCell ref="C722:G722"/>
    <mergeCell ref="C723:G723"/>
    <mergeCell ref="C724:G724"/>
    <mergeCell ref="C792:G792"/>
    <mergeCell ref="C793:G793"/>
    <mergeCell ref="C794:G794"/>
    <mergeCell ref="C795:G795"/>
    <mergeCell ref="C796:G796"/>
    <mergeCell ref="C797:G797"/>
    <mergeCell ref="C798:G798"/>
    <mergeCell ref="C799:G799"/>
    <mergeCell ref="C751:G751"/>
    <mergeCell ref="C734:G734"/>
    <mergeCell ref="C735:G735"/>
    <mergeCell ref="C736:G736"/>
    <mergeCell ref="C737:G737"/>
    <mergeCell ref="C738:G738"/>
    <mergeCell ref="C739:G739"/>
    <mergeCell ref="C740:G740"/>
    <mergeCell ref="C741:G741"/>
    <mergeCell ref="C742:G742"/>
    <mergeCell ref="C725:G725"/>
    <mergeCell ref="C726:G726"/>
    <mergeCell ref="C727:G727"/>
    <mergeCell ref="C728:G728"/>
    <mergeCell ref="C729:G729"/>
    <mergeCell ref="C730:G730"/>
    <mergeCell ref="C731:G731"/>
    <mergeCell ref="C732:G732"/>
    <mergeCell ref="C733:G733"/>
    <mergeCell ref="C752:G752"/>
    <mergeCell ref="C653:G653"/>
    <mergeCell ref="C654:G654"/>
    <mergeCell ref="C655:G655"/>
    <mergeCell ref="C656:G656"/>
    <mergeCell ref="C657:G657"/>
    <mergeCell ref="C658:G658"/>
    <mergeCell ref="C659:G659"/>
    <mergeCell ref="C660:G660"/>
    <mergeCell ref="C661:G661"/>
    <mergeCell ref="C662:G662"/>
    <mergeCell ref="C663:G663"/>
    <mergeCell ref="C664:G664"/>
    <mergeCell ref="C665:G665"/>
    <mergeCell ref="C666:G666"/>
    <mergeCell ref="C667:G667"/>
    <mergeCell ref="C668:G668"/>
    <mergeCell ref="C669:G669"/>
    <mergeCell ref="C670:G670"/>
    <mergeCell ref="C671:G671"/>
    <mergeCell ref="C672:G672"/>
    <mergeCell ref="C673:G673"/>
    <mergeCell ref="C674:G674"/>
    <mergeCell ref="C675:G675"/>
    <mergeCell ref="C743:G743"/>
    <mergeCell ref="C744:G744"/>
    <mergeCell ref="C745:G745"/>
    <mergeCell ref="C746:G746"/>
    <mergeCell ref="C747:G747"/>
    <mergeCell ref="C748:G748"/>
    <mergeCell ref="C749:G749"/>
    <mergeCell ref="C750:G750"/>
    <mergeCell ref="C614:G614"/>
    <mergeCell ref="C615:G615"/>
    <mergeCell ref="C616:G616"/>
    <mergeCell ref="C694:G694"/>
    <mergeCell ref="C695:G695"/>
    <mergeCell ref="C696:G696"/>
    <mergeCell ref="C697:G697"/>
    <mergeCell ref="C698:G698"/>
    <mergeCell ref="C699:G699"/>
    <mergeCell ref="C700:G700"/>
    <mergeCell ref="C701:G701"/>
    <mergeCell ref="C702:G702"/>
    <mergeCell ref="C685:G685"/>
    <mergeCell ref="C686:G686"/>
    <mergeCell ref="C687:G687"/>
    <mergeCell ref="C688:G688"/>
    <mergeCell ref="C689:G689"/>
    <mergeCell ref="C690:G690"/>
    <mergeCell ref="C691:G691"/>
    <mergeCell ref="C692:G692"/>
    <mergeCell ref="C693:G693"/>
    <mergeCell ref="C676:G676"/>
    <mergeCell ref="C677:G677"/>
    <mergeCell ref="C678:G678"/>
    <mergeCell ref="C679:G679"/>
    <mergeCell ref="C680:G680"/>
    <mergeCell ref="C681:G681"/>
    <mergeCell ref="C682:G682"/>
    <mergeCell ref="C683:G683"/>
    <mergeCell ref="C684:G684"/>
    <mergeCell ref="C652:G652"/>
    <mergeCell ref="C635:G635"/>
    <mergeCell ref="C636:G636"/>
    <mergeCell ref="C637:G637"/>
    <mergeCell ref="C638:G638"/>
    <mergeCell ref="C639:G639"/>
    <mergeCell ref="C640:G640"/>
    <mergeCell ref="C641:G641"/>
    <mergeCell ref="C642:G642"/>
    <mergeCell ref="C643:G643"/>
    <mergeCell ref="C626:G626"/>
    <mergeCell ref="C627:G627"/>
    <mergeCell ref="C628:G628"/>
    <mergeCell ref="C629:G629"/>
    <mergeCell ref="C630:G630"/>
    <mergeCell ref="C631:G631"/>
    <mergeCell ref="C632:G632"/>
    <mergeCell ref="C633:G633"/>
    <mergeCell ref="C634:G634"/>
    <mergeCell ref="C562:G562"/>
    <mergeCell ref="C563:G563"/>
    <mergeCell ref="C564:G564"/>
    <mergeCell ref="C565:G565"/>
    <mergeCell ref="C566:G566"/>
    <mergeCell ref="C567:G567"/>
    <mergeCell ref="C568:G568"/>
    <mergeCell ref="C569:G569"/>
    <mergeCell ref="C570:G570"/>
    <mergeCell ref="C644:G644"/>
    <mergeCell ref="C645:G645"/>
    <mergeCell ref="C646:G646"/>
    <mergeCell ref="C647:G647"/>
    <mergeCell ref="C648:G648"/>
    <mergeCell ref="C649:G649"/>
    <mergeCell ref="C650:G650"/>
    <mergeCell ref="C651:G651"/>
    <mergeCell ref="C617:G617"/>
    <mergeCell ref="C618:G618"/>
    <mergeCell ref="C619:G619"/>
    <mergeCell ref="C620:G620"/>
    <mergeCell ref="C621:G621"/>
    <mergeCell ref="C622:G622"/>
    <mergeCell ref="C623:G623"/>
    <mergeCell ref="C624:G624"/>
    <mergeCell ref="C625:G625"/>
    <mergeCell ref="C608:G608"/>
    <mergeCell ref="C609:G609"/>
    <mergeCell ref="C610:G610"/>
    <mergeCell ref="C611:G611"/>
    <mergeCell ref="C612:G612"/>
    <mergeCell ref="C613:G613"/>
    <mergeCell ref="C597:G597"/>
    <mergeCell ref="C580:G580"/>
    <mergeCell ref="C581:G581"/>
    <mergeCell ref="C582:G582"/>
    <mergeCell ref="C583:G583"/>
    <mergeCell ref="C584:G584"/>
    <mergeCell ref="C585:G585"/>
    <mergeCell ref="C586:G586"/>
    <mergeCell ref="C587:G587"/>
    <mergeCell ref="C588:G588"/>
    <mergeCell ref="C571:G571"/>
    <mergeCell ref="C572:G572"/>
    <mergeCell ref="C573:G573"/>
    <mergeCell ref="C574:G574"/>
    <mergeCell ref="C575:G575"/>
    <mergeCell ref="C576:G576"/>
    <mergeCell ref="C577:G577"/>
    <mergeCell ref="C578:G578"/>
    <mergeCell ref="C579:G579"/>
    <mergeCell ref="C598:G598"/>
    <mergeCell ref="C599:G599"/>
    <mergeCell ref="C600:G600"/>
    <mergeCell ref="C601:G601"/>
    <mergeCell ref="C602:G602"/>
    <mergeCell ref="C503:G503"/>
    <mergeCell ref="C504:G504"/>
    <mergeCell ref="C505:G505"/>
    <mergeCell ref="C506:G506"/>
    <mergeCell ref="C507:G507"/>
    <mergeCell ref="C508:G508"/>
    <mergeCell ref="C509:G509"/>
    <mergeCell ref="C510:G510"/>
    <mergeCell ref="C511:G511"/>
    <mergeCell ref="C512:G512"/>
    <mergeCell ref="C513:G513"/>
    <mergeCell ref="C514:G514"/>
    <mergeCell ref="C515:G515"/>
    <mergeCell ref="C516:G516"/>
    <mergeCell ref="C517:G517"/>
    <mergeCell ref="C518:G518"/>
    <mergeCell ref="C519:G519"/>
    <mergeCell ref="C520:G520"/>
    <mergeCell ref="C521:G521"/>
    <mergeCell ref="C589:G589"/>
    <mergeCell ref="C590:G590"/>
    <mergeCell ref="C591:G591"/>
    <mergeCell ref="C592:G592"/>
    <mergeCell ref="C593:G593"/>
    <mergeCell ref="C594:G594"/>
    <mergeCell ref="C595:G595"/>
    <mergeCell ref="C596:G596"/>
    <mergeCell ref="C548:G548"/>
    <mergeCell ref="C531:G531"/>
    <mergeCell ref="C532:G532"/>
    <mergeCell ref="C533:G533"/>
    <mergeCell ref="C534:G534"/>
    <mergeCell ref="C535:G535"/>
    <mergeCell ref="C536:G536"/>
    <mergeCell ref="C537:G537"/>
    <mergeCell ref="C538:G538"/>
    <mergeCell ref="C539:G539"/>
    <mergeCell ref="C522:G522"/>
    <mergeCell ref="C523:G523"/>
    <mergeCell ref="C524:G524"/>
    <mergeCell ref="C525:G525"/>
    <mergeCell ref="C526:G526"/>
    <mergeCell ref="C527:G527"/>
    <mergeCell ref="C528:G528"/>
    <mergeCell ref="C529:G529"/>
    <mergeCell ref="C530:G530"/>
    <mergeCell ref="C549:G549"/>
    <mergeCell ref="C550:G550"/>
    <mergeCell ref="C551:G551"/>
    <mergeCell ref="C552:G552"/>
    <mergeCell ref="C453:G453"/>
    <mergeCell ref="C454:G454"/>
    <mergeCell ref="C455:G455"/>
    <mergeCell ref="C456:G456"/>
    <mergeCell ref="C457:G457"/>
    <mergeCell ref="C458:G458"/>
    <mergeCell ref="C459:G459"/>
    <mergeCell ref="C460:G460"/>
    <mergeCell ref="C461:G461"/>
    <mergeCell ref="C462:G462"/>
    <mergeCell ref="C463:G463"/>
    <mergeCell ref="C464:G464"/>
    <mergeCell ref="C465:G465"/>
    <mergeCell ref="C466:G466"/>
    <mergeCell ref="C467:G467"/>
    <mergeCell ref="C468:G468"/>
    <mergeCell ref="C469:G469"/>
    <mergeCell ref="C470:G470"/>
    <mergeCell ref="C471:G471"/>
    <mergeCell ref="C472:G472"/>
    <mergeCell ref="C540:G540"/>
    <mergeCell ref="C541:G541"/>
    <mergeCell ref="C542:G542"/>
    <mergeCell ref="C543:G543"/>
    <mergeCell ref="C544:G544"/>
    <mergeCell ref="C545:G545"/>
    <mergeCell ref="C546:G546"/>
    <mergeCell ref="C547:G547"/>
    <mergeCell ref="C499:G499"/>
    <mergeCell ref="C482:G482"/>
    <mergeCell ref="C483:G483"/>
    <mergeCell ref="C484:G484"/>
    <mergeCell ref="C485:G485"/>
    <mergeCell ref="C486:G486"/>
    <mergeCell ref="C487:G487"/>
    <mergeCell ref="C488:G488"/>
    <mergeCell ref="C489:G489"/>
    <mergeCell ref="C490:G490"/>
    <mergeCell ref="C473:G473"/>
    <mergeCell ref="C474:G474"/>
    <mergeCell ref="C475:G475"/>
    <mergeCell ref="C476:G476"/>
    <mergeCell ref="C477:G477"/>
    <mergeCell ref="C478:G478"/>
    <mergeCell ref="C479:G479"/>
    <mergeCell ref="C480:G480"/>
    <mergeCell ref="C481:G481"/>
    <mergeCell ref="C500:G500"/>
    <mergeCell ref="C501:G501"/>
    <mergeCell ref="C502:G502"/>
    <mergeCell ref="C403:G403"/>
    <mergeCell ref="C404:G404"/>
    <mergeCell ref="C405:G405"/>
    <mergeCell ref="C406:G406"/>
    <mergeCell ref="C407:G407"/>
    <mergeCell ref="C408:G408"/>
    <mergeCell ref="C409:G409"/>
    <mergeCell ref="C410:G410"/>
    <mergeCell ref="C411:G411"/>
    <mergeCell ref="C412:G412"/>
    <mergeCell ref="C413:G413"/>
    <mergeCell ref="C414:G414"/>
    <mergeCell ref="C415:G415"/>
    <mergeCell ref="C416:G416"/>
    <mergeCell ref="C417:G417"/>
    <mergeCell ref="C418:G418"/>
    <mergeCell ref="C419:G419"/>
    <mergeCell ref="C420:G420"/>
    <mergeCell ref="C421:G421"/>
    <mergeCell ref="C422:G422"/>
    <mergeCell ref="C423:G423"/>
    <mergeCell ref="C491:G491"/>
    <mergeCell ref="C492:G492"/>
    <mergeCell ref="C493:G493"/>
    <mergeCell ref="C494:G494"/>
    <mergeCell ref="C495:G495"/>
    <mergeCell ref="C496:G496"/>
    <mergeCell ref="C497:G497"/>
    <mergeCell ref="C498:G498"/>
    <mergeCell ref="C448:G448"/>
    <mergeCell ref="C449:G449"/>
    <mergeCell ref="C450:G450"/>
    <mergeCell ref="C433:G433"/>
    <mergeCell ref="C434:G434"/>
    <mergeCell ref="C435:G435"/>
    <mergeCell ref="C436:G436"/>
    <mergeCell ref="C437:G437"/>
    <mergeCell ref="C438:G438"/>
    <mergeCell ref="C439:G439"/>
    <mergeCell ref="C440:G440"/>
    <mergeCell ref="C441:G441"/>
    <mergeCell ref="C424:G424"/>
    <mergeCell ref="C425:G425"/>
    <mergeCell ref="C426:G426"/>
    <mergeCell ref="C427:G427"/>
    <mergeCell ref="C428:G428"/>
    <mergeCell ref="C429:G429"/>
    <mergeCell ref="C430:G430"/>
    <mergeCell ref="C431:G431"/>
    <mergeCell ref="C432:G432"/>
    <mergeCell ref="C328:G328"/>
    <mergeCell ref="C329:G329"/>
    <mergeCell ref="C451:G451"/>
    <mergeCell ref="C452:G452"/>
    <mergeCell ref="C353:G353"/>
    <mergeCell ref="C354:G354"/>
    <mergeCell ref="C355:G355"/>
    <mergeCell ref="C356:G356"/>
    <mergeCell ref="C357:G357"/>
    <mergeCell ref="C358:G358"/>
    <mergeCell ref="C359:G359"/>
    <mergeCell ref="C360:G360"/>
    <mergeCell ref="C361:G361"/>
    <mergeCell ref="C362:G362"/>
    <mergeCell ref="C363:G363"/>
    <mergeCell ref="C364:G364"/>
    <mergeCell ref="C365:G365"/>
    <mergeCell ref="C366:G366"/>
    <mergeCell ref="C367:G367"/>
    <mergeCell ref="C368:G368"/>
    <mergeCell ref="C369:G369"/>
    <mergeCell ref="C370:G370"/>
    <mergeCell ref="C371:G371"/>
    <mergeCell ref="C372:G372"/>
    <mergeCell ref="C373:G373"/>
    <mergeCell ref="C374:G374"/>
    <mergeCell ref="C442:G442"/>
    <mergeCell ref="C443:G443"/>
    <mergeCell ref="C444:G444"/>
    <mergeCell ref="C445:G445"/>
    <mergeCell ref="C446:G446"/>
    <mergeCell ref="C447:G447"/>
    <mergeCell ref="C397:G397"/>
    <mergeCell ref="C398:G398"/>
    <mergeCell ref="C399:G399"/>
    <mergeCell ref="C400:G400"/>
    <mergeCell ref="C401:G401"/>
    <mergeCell ref="C384:G384"/>
    <mergeCell ref="C385:G385"/>
    <mergeCell ref="C386:G386"/>
    <mergeCell ref="C387:G387"/>
    <mergeCell ref="C388:G388"/>
    <mergeCell ref="C389:G389"/>
    <mergeCell ref="C390:G390"/>
    <mergeCell ref="C391:G391"/>
    <mergeCell ref="C392:G392"/>
    <mergeCell ref="C375:G375"/>
    <mergeCell ref="C376:G376"/>
    <mergeCell ref="C377:G377"/>
    <mergeCell ref="C378:G378"/>
    <mergeCell ref="C379:G379"/>
    <mergeCell ref="C380:G380"/>
    <mergeCell ref="C381:G381"/>
    <mergeCell ref="C382:G382"/>
    <mergeCell ref="C383:G383"/>
    <mergeCell ref="C402:G402"/>
    <mergeCell ref="C303:G303"/>
    <mergeCell ref="C304:G304"/>
    <mergeCell ref="C305:G305"/>
    <mergeCell ref="C306:G306"/>
    <mergeCell ref="C307:G307"/>
    <mergeCell ref="C308:G308"/>
    <mergeCell ref="C309:G309"/>
    <mergeCell ref="C310:G310"/>
    <mergeCell ref="C311:G311"/>
    <mergeCell ref="C312:G312"/>
    <mergeCell ref="C313:G313"/>
    <mergeCell ref="C314:G314"/>
    <mergeCell ref="C315:G315"/>
    <mergeCell ref="C316:G316"/>
    <mergeCell ref="C317:G317"/>
    <mergeCell ref="C318:G318"/>
    <mergeCell ref="C319:G319"/>
    <mergeCell ref="C320:G320"/>
    <mergeCell ref="C321:G321"/>
    <mergeCell ref="C322:G322"/>
    <mergeCell ref="C323:G323"/>
    <mergeCell ref="C324:G324"/>
    <mergeCell ref="C344:G344"/>
    <mergeCell ref="C345:G345"/>
    <mergeCell ref="C346:G346"/>
    <mergeCell ref="C347:G347"/>
    <mergeCell ref="C325:G325"/>
    <mergeCell ref="C393:G393"/>
    <mergeCell ref="C394:G394"/>
    <mergeCell ref="C395:G395"/>
    <mergeCell ref="C396:G396"/>
    <mergeCell ref="C348:G348"/>
    <mergeCell ref="C349:G349"/>
    <mergeCell ref="C350:G350"/>
    <mergeCell ref="C351:G351"/>
    <mergeCell ref="C352:G352"/>
    <mergeCell ref="C335:G335"/>
    <mergeCell ref="C336:G336"/>
    <mergeCell ref="C337:G337"/>
    <mergeCell ref="C338:G338"/>
    <mergeCell ref="C339:G339"/>
    <mergeCell ref="C340:G340"/>
    <mergeCell ref="C341:G341"/>
    <mergeCell ref="C342:G342"/>
    <mergeCell ref="C343:G343"/>
    <mergeCell ref="C271:G271"/>
    <mergeCell ref="C262:G262"/>
    <mergeCell ref="C263:G263"/>
    <mergeCell ref="C264:G264"/>
    <mergeCell ref="C265:G265"/>
    <mergeCell ref="C266:G266"/>
    <mergeCell ref="C267:G267"/>
    <mergeCell ref="C268:G268"/>
    <mergeCell ref="C269:G269"/>
    <mergeCell ref="C270:G270"/>
    <mergeCell ref="C280:G280"/>
    <mergeCell ref="C330:G330"/>
    <mergeCell ref="C331:G331"/>
    <mergeCell ref="C332:G332"/>
    <mergeCell ref="C333:G333"/>
    <mergeCell ref="C334:G334"/>
    <mergeCell ref="C326:G326"/>
    <mergeCell ref="C327:G327"/>
    <mergeCell ref="C253:G253"/>
    <mergeCell ref="C254:G254"/>
    <mergeCell ref="C255:G255"/>
    <mergeCell ref="C256:G256"/>
    <mergeCell ref="C257:G257"/>
    <mergeCell ref="C258:G258"/>
    <mergeCell ref="C259:G259"/>
    <mergeCell ref="C260:G260"/>
    <mergeCell ref="C261:G261"/>
    <mergeCell ref="C248:G248"/>
    <mergeCell ref="C249:G249"/>
    <mergeCell ref="C250:G250"/>
    <mergeCell ref="C251:G251"/>
    <mergeCell ref="C252:G252"/>
    <mergeCell ref="C239:G239"/>
    <mergeCell ref="C240:G240"/>
    <mergeCell ref="C241:G241"/>
    <mergeCell ref="C242:G242"/>
    <mergeCell ref="C243:G243"/>
    <mergeCell ref="C244:G244"/>
    <mergeCell ref="C245:G245"/>
    <mergeCell ref="C246:G246"/>
    <mergeCell ref="C247:G247"/>
    <mergeCell ref="C230:G230"/>
    <mergeCell ref="C231:G231"/>
    <mergeCell ref="C232:G232"/>
    <mergeCell ref="C233:G233"/>
    <mergeCell ref="C234:G234"/>
    <mergeCell ref="C235:G235"/>
    <mergeCell ref="C236:G236"/>
    <mergeCell ref="C237:G237"/>
    <mergeCell ref="C238:G238"/>
    <mergeCell ref="C293:G293"/>
    <mergeCell ref="C294:G294"/>
    <mergeCell ref="C295:G295"/>
    <mergeCell ref="C296:G296"/>
    <mergeCell ref="C297:G297"/>
    <mergeCell ref="C298:G298"/>
    <mergeCell ref="C281:G281"/>
    <mergeCell ref="C282:G282"/>
    <mergeCell ref="C283:G283"/>
    <mergeCell ref="C284:G284"/>
    <mergeCell ref="C285:G285"/>
    <mergeCell ref="C286:G286"/>
    <mergeCell ref="C287:G287"/>
    <mergeCell ref="C288:G288"/>
    <mergeCell ref="C289:G289"/>
    <mergeCell ref="C272:G272"/>
    <mergeCell ref="C273:G273"/>
    <mergeCell ref="C274:G274"/>
    <mergeCell ref="C275:G275"/>
    <mergeCell ref="C276:G276"/>
    <mergeCell ref="C277:G277"/>
    <mergeCell ref="C278:G278"/>
    <mergeCell ref="C279:G279"/>
    <mergeCell ref="H1027:I1027"/>
    <mergeCell ref="C1018:D1018"/>
    <mergeCell ref="C215:G215"/>
    <mergeCell ref="C214:G214"/>
    <mergeCell ref="C213:G213"/>
    <mergeCell ref="C212:G212"/>
    <mergeCell ref="C211:G211"/>
    <mergeCell ref="C210:G210"/>
    <mergeCell ref="C209:G209"/>
    <mergeCell ref="C208:G208"/>
    <mergeCell ref="C207:G207"/>
    <mergeCell ref="C224:G224"/>
    <mergeCell ref="C223:G223"/>
    <mergeCell ref="C222:G222"/>
    <mergeCell ref="C221:G221"/>
    <mergeCell ref="C220:G220"/>
    <mergeCell ref="C219:G219"/>
    <mergeCell ref="C218:G218"/>
    <mergeCell ref="C217:G217"/>
    <mergeCell ref="C216:G216"/>
    <mergeCell ref="C299:G299"/>
    <mergeCell ref="C300:G300"/>
    <mergeCell ref="C301:G301"/>
    <mergeCell ref="C302:G302"/>
    <mergeCell ref="C229:G229"/>
    <mergeCell ref="C228:G228"/>
    <mergeCell ref="C227:G227"/>
    <mergeCell ref="C226:G226"/>
    <mergeCell ref="C225:G225"/>
    <mergeCell ref="C290:G290"/>
    <mergeCell ref="C291:G291"/>
    <mergeCell ref="C292:G292"/>
    <mergeCell ref="C1017:D1017"/>
    <mergeCell ref="H1017:I1017"/>
    <mergeCell ref="H1018:I1018"/>
    <mergeCell ref="C1019:D1019"/>
    <mergeCell ref="H1019:I1019"/>
    <mergeCell ref="C1020:D1020"/>
    <mergeCell ref="H1020:I1020"/>
    <mergeCell ref="C1021:D1021"/>
    <mergeCell ref="H1021:I1021"/>
    <mergeCell ref="C1022:D1022"/>
    <mergeCell ref="H1022:I1022"/>
    <mergeCell ref="C206:G206"/>
    <mergeCell ref="C205:G205"/>
    <mergeCell ref="C204:G204"/>
    <mergeCell ref="C203:G203"/>
    <mergeCell ref="C1031:D1031"/>
    <mergeCell ref="H1031:I1031"/>
    <mergeCell ref="C1028:D1028"/>
    <mergeCell ref="H1028:I1028"/>
    <mergeCell ref="C1030:D1030"/>
    <mergeCell ref="H1030:I1030"/>
    <mergeCell ref="C1029:D1029"/>
    <mergeCell ref="H1029:I1029"/>
    <mergeCell ref="C1023:D1023"/>
    <mergeCell ref="H1023:I1023"/>
    <mergeCell ref="C1024:D1024"/>
    <mergeCell ref="H1024:I1024"/>
    <mergeCell ref="C1025:D1025"/>
    <mergeCell ref="H1025:I1025"/>
    <mergeCell ref="C1026:D1026"/>
    <mergeCell ref="H1026:I1026"/>
    <mergeCell ref="C1027:D1027"/>
    <mergeCell ref="C1008:D1008"/>
    <mergeCell ref="H1008:I1008"/>
    <mergeCell ref="C1009:D1009"/>
    <mergeCell ref="H1009:I1009"/>
    <mergeCell ref="C1010:D1010"/>
    <mergeCell ref="H1010:I1010"/>
    <mergeCell ref="C1011:D1011"/>
    <mergeCell ref="H1011:I1011"/>
    <mergeCell ref="C1012:D1012"/>
    <mergeCell ref="H1012:I1012"/>
    <mergeCell ref="C1013:D1013"/>
    <mergeCell ref="H1013:I1013"/>
    <mergeCell ref="C1014:D1014"/>
    <mergeCell ref="H1014:I1014"/>
    <mergeCell ref="C1015:D1015"/>
    <mergeCell ref="H1015:I1015"/>
    <mergeCell ref="C1016:D1016"/>
    <mergeCell ref="H1016:I1016"/>
    <mergeCell ref="H1064:I1064"/>
    <mergeCell ref="H1065:I1065"/>
    <mergeCell ref="H1066:I1066"/>
    <mergeCell ref="H1067:I1067"/>
    <mergeCell ref="H1068:I1068"/>
    <mergeCell ref="H1069:I1069"/>
    <mergeCell ref="H1052:I1052"/>
    <mergeCell ref="H1053:I1053"/>
    <mergeCell ref="H1054:I1054"/>
    <mergeCell ref="H1055:I1055"/>
    <mergeCell ref="H1056:I1056"/>
    <mergeCell ref="H1057:I1057"/>
    <mergeCell ref="H1058:I1058"/>
    <mergeCell ref="H1059:I1059"/>
    <mergeCell ref="H1060:I1060"/>
    <mergeCell ref="H1090:I1090"/>
    <mergeCell ref="H1079:I1079"/>
    <mergeCell ref="H1086:I1086"/>
    <mergeCell ref="H1087:I1087"/>
    <mergeCell ref="H1080:I1080"/>
    <mergeCell ref="H1081:I1081"/>
    <mergeCell ref="H1082:I1082"/>
    <mergeCell ref="H1083:I1083"/>
    <mergeCell ref="H1084:I1084"/>
    <mergeCell ref="H1085:I1085"/>
    <mergeCell ref="C1115:D1115"/>
    <mergeCell ref="E1115:G1115"/>
    <mergeCell ref="H1115:I1115"/>
    <mergeCell ref="C1116:D1116"/>
    <mergeCell ref="E1116:G1116"/>
    <mergeCell ref="H1116:I1116"/>
    <mergeCell ref="C1113:D1113"/>
    <mergeCell ref="E1113:G1113"/>
    <mergeCell ref="H1113:I1113"/>
    <mergeCell ref="C1114:D1114"/>
    <mergeCell ref="E1114:G1114"/>
    <mergeCell ref="H1114:I1114"/>
    <mergeCell ref="H1070:I1070"/>
    <mergeCell ref="H1071:I1071"/>
    <mergeCell ref="H1037:I1037"/>
    <mergeCell ref="H1038:I1038"/>
    <mergeCell ref="H1039:I1039"/>
    <mergeCell ref="H1040:I1040"/>
    <mergeCell ref="H1041:I1041"/>
    <mergeCell ref="H1042:I1042"/>
    <mergeCell ref="H1043:I1043"/>
    <mergeCell ref="H1044:I1044"/>
    <mergeCell ref="H1045:I1045"/>
    <mergeCell ref="H1046:I1046"/>
    <mergeCell ref="H1047:I1047"/>
    <mergeCell ref="H1048:I1048"/>
    <mergeCell ref="H1049:I1049"/>
    <mergeCell ref="H1050:I1050"/>
    <mergeCell ref="H1051:I1051"/>
    <mergeCell ref="H1061:I1061"/>
    <mergeCell ref="H1062:I1062"/>
    <mergeCell ref="H1063:I1063"/>
    <mergeCell ref="H1104:I1104"/>
    <mergeCell ref="C1105:D1105"/>
    <mergeCell ref="E1105:G1105"/>
    <mergeCell ref="H1105:I1105"/>
    <mergeCell ref="C1109:D1109"/>
    <mergeCell ref="E1109:G1109"/>
    <mergeCell ref="H1109:I1109"/>
    <mergeCell ref="C1110:D1110"/>
    <mergeCell ref="E1110:G1110"/>
    <mergeCell ref="H1110:I1110"/>
    <mergeCell ref="C1111:D1111"/>
    <mergeCell ref="E1111:G1111"/>
    <mergeCell ref="H1111:I1111"/>
    <mergeCell ref="C1106:D1106"/>
    <mergeCell ref="E1106:G1106"/>
    <mergeCell ref="H1106:I1106"/>
    <mergeCell ref="C1107:D1107"/>
    <mergeCell ref="E1107:G1107"/>
    <mergeCell ref="H1107:I1107"/>
    <mergeCell ref="C1108:D1108"/>
    <mergeCell ref="E1108:G1108"/>
    <mergeCell ref="H1108:I1108"/>
    <mergeCell ref="A1:I1"/>
    <mergeCell ref="C22:F22"/>
    <mergeCell ref="D1136:G1136"/>
    <mergeCell ref="D1127:G1127"/>
    <mergeCell ref="D1128:G1128"/>
    <mergeCell ref="D1129:G1129"/>
    <mergeCell ref="D1130:G1130"/>
    <mergeCell ref="D1131:G1131"/>
    <mergeCell ref="D1132:G1132"/>
    <mergeCell ref="D1133:G1133"/>
    <mergeCell ref="D1134:G1134"/>
    <mergeCell ref="D1135:G1135"/>
    <mergeCell ref="C1112:D1112"/>
    <mergeCell ref="E1112:G1112"/>
    <mergeCell ref="H1112:I1112"/>
    <mergeCell ref="C1099:D1099"/>
    <mergeCell ref="E1099:G1099"/>
    <mergeCell ref="H1099:I1099"/>
    <mergeCell ref="C1100:D1100"/>
    <mergeCell ref="E1100:G1100"/>
    <mergeCell ref="H1100:I1100"/>
    <mergeCell ref="C1101:D1101"/>
    <mergeCell ref="E1101:G1101"/>
    <mergeCell ref="H1101:I1101"/>
    <mergeCell ref="C1102:D1102"/>
    <mergeCell ref="E1102:G1102"/>
    <mergeCell ref="H1102:I1102"/>
    <mergeCell ref="C1103:D1103"/>
    <mergeCell ref="E1103:G1103"/>
    <mergeCell ref="H1103:I1103"/>
    <mergeCell ref="C1104:D1104"/>
    <mergeCell ref="E1104:G1104"/>
    <mergeCell ref="D1204:E1204"/>
    <mergeCell ref="D1205:E1205"/>
    <mergeCell ref="D1206:E1206"/>
    <mergeCell ref="D1207:E1207"/>
    <mergeCell ref="D1208:E1208"/>
    <mergeCell ref="D1209:E1209"/>
    <mergeCell ref="D1210:E1210"/>
    <mergeCell ref="D1211:E1211"/>
    <mergeCell ref="D1212:E1212"/>
    <mergeCell ref="D1213:E1213"/>
    <mergeCell ref="F1204:G1204"/>
    <mergeCell ref="F1205:G1205"/>
    <mergeCell ref="F1206:G1206"/>
    <mergeCell ref="F1207:G1207"/>
    <mergeCell ref="F1208:G1208"/>
    <mergeCell ref="F1209:G1209"/>
    <mergeCell ref="F1210:G1210"/>
    <mergeCell ref="F1211:G1211"/>
    <mergeCell ref="F1212:G1212"/>
    <mergeCell ref="F1213:G1213"/>
  </mergeCells>
  <phoneticPr fontId="56" type="noConversion"/>
  <dataValidations xWindow="136" yWindow="467" count="23">
    <dataValidation type="list" allowBlank="1" showInputMessage="1" showErrorMessage="1" sqref="I1449 I10 I1503 I45 I1324 I25 I1124 I1217 I6 G16:G22 I1327:I1376 G1008:G1032" xr:uid="{00000000-0002-0000-0900-000000000000}">
      <formula1>Yes_No</formula1>
    </dataValidation>
    <dataValidation type="list" allowBlank="1" showInputMessage="1" showErrorMessage="1" sqref="F1005 F1003" xr:uid="{00000000-0002-0000-0900-000001000000}">
      <formula1>_5A.5_col3</formula1>
    </dataValidation>
    <dataValidation type="list" allowBlank="1" showInputMessage="1" showErrorMessage="1" sqref="D1127:D1136" xr:uid="{00000000-0002-0000-0900-000002000000}">
      <formula1>_5.11_col2</formula1>
    </dataValidation>
    <dataValidation type="list" allowBlank="1" showInputMessage="1" showErrorMessage="1" sqref="F1144:F1213" xr:uid="{00000000-0002-0000-0900-000003000000}">
      <formula1>_5.12_col3</formula1>
    </dataValidation>
    <dataValidation type="list" allowBlank="1" showInputMessage="1" showErrorMessage="1" sqref="C1452:C1456 C1506:C1510" xr:uid="{00000000-0002-0000-0900-000004000000}">
      <formula1>_5.17_col1</formula1>
    </dataValidation>
    <dataValidation type="list" allowBlank="1" showInputMessage="1" showErrorMessage="1" sqref="C1098:C1119" xr:uid="{00000000-0002-0000-0900-000005000000}">
      <formula1>_5.10_col1</formula1>
    </dataValidation>
    <dataValidation type="list" allowBlank="1" showInputMessage="1" showErrorMessage="1" sqref="H1127:H1136 F1037:F1091" xr:uid="{00000000-0002-0000-0900-000006000000}">
      <formula1>_5.09_col4</formula1>
    </dataValidation>
    <dataValidation type="list" allowBlank="1" showInputMessage="1" showErrorMessage="1" sqref="E1098:E1119 D1144:D1213 C1389:C1438 H1220:H1316" xr:uid="{00000000-0002-0000-0900-000007000000}">
      <formula1>Annex_I</formula1>
    </dataValidation>
    <dataValidation type="list" allowBlank="1" showInputMessage="1" showErrorMessage="1" sqref="C1220:C1316" xr:uid="{00000000-0002-0000-0900-000008000000}">
      <formula1>_5.13_col1</formula1>
    </dataValidation>
    <dataValidation type="list" allowBlank="1" showInputMessage="1" showErrorMessage="1" sqref="F28:F32 G32 F35:F38" xr:uid="{00000000-0002-0000-0900-000009000000}">
      <formula1>_5.3_col2</formula1>
    </dataValidation>
    <dataValidation type="list" allowBlank="1" showInputMessage="1" showErrorMessage="1" sqref="C203:C1002" xr:uid="{00000000-0002-0000-0900-00000A000000}">
      <formula1>_5.7_col1</formula1>
    </dataValidation>
    <dataValidation allowBlank="1" showErrorMessage="1" promptTitle="Options:" prompt="- Literature value agreed with the competent authority_x000a_- Value specified by the supplier_x000a_- Value based on analyses carried out in the past" sqref="C202" xr:uid="{00000000-0002-0000-0900-00000B000000}"/>
    <dataValidation type="list" allowBlank="1" showInputMessage="1" showErrorMessage="1" sqref="D1389:D1438 C1144:C1213" xr:uid="{00000000-0002-0000-0900-00000C000000}">
      <formula1>_5.12_col1</formula1>
    </dataValidation>
    <dataValidation type="list" allowBlank="1" showInputMessage="1" showErrorMessage="1" sqref="G1037:H1091" xr:uid="{00000000-0002-0000-0900-00000D000000}">
      <formula1>_5.09_col5</formula1>
    </dataValidation>
    <dataValidation type="list" allowBlank="1" showInputMessage="1" showErrorMessage="1" sqref="C69:D198" xr:uid="{00000000-0002-0000-0900-00000E000000}">
      <formula1>_5.6_col1</formula1>
    </dataValidation>
    <dataValidation type="list" allowBlank="1" showInputMessage="1" showErrorMessage="1" sqref="E69:F198" xr:uid="{00000000-0002-0000-0900-00000F000000}">
      <formula1>_5.6_col2</formula1>
    </dataValidation>
    <dataValidation type="decimal" operator="greaterThan" allowBlank="1" showInputMessage="1" showErrorMessage="1" error="Please type a number greater or equal to zero" sqref="G69:I198" xr:uid="{BEE34A69-140D-498A-A638-107190713ACE}">
      <formula1>0</formula1>
    </dataValidation>
    <dataValidation type="decimal" operator="greaterThanOrEqual" allowBlank="1" showInputMessage="1" showErrorMessage="1" error="Please type a number greater or equal to zero" sqref="G1472:I1476 I1127:I1136 G1327:H1376 F1389:K1438 G1446:I1446 G1462:I1464 E1486:I1486" xr:uid="{971879D6-2B4A-4D1C-BB33-713F79B154C8}">
      <formula1>0</formula1>
    </dataValidation>
    <dataValidation type="whole" operator="greaterThanOrEqual" allowBlank="1" showInputMessage="1" showErrorMessage="1" error="Please type a whole number greater or equal to zero" sqref="H1493:I1496 E1008:F1032 H1098:I1119 C1500:I1500 E1389:E1438 E1462:F1464 G1479:I1479 C1486:D1486 I203:I313 I315:I1002" xr:uid="{9339B302-C1BF-4388-A483-4228B4BB54B4}">
      <formula1>0</formula1>
    </dataValidation>
    <dataValidation type="whole" operator="greaterThanOrEqual" allowBlank="1" showInputMessage="1" showErrorMessage="1" error="Oops! I did it again" sqref="I314" xr:uid="{B27C729F-87C0-48F5-92A4-F71906C38B0B}">
      <formula1>0</formula1>
    </dataValidation>
    <dataValidation type="custom" operator="greaterThanOrEqual" allowBlank="1" showInputMessage="1" showErrorMessage="1" error="Please type a number" sqref="F53:I64" xr:uid="{3650A0DB-C4F7-445B-AFA9-AD697A93ABC1}">
      <formula1>ISNUMBER(F53)</formula1>
    </dataValidation>
    <dataValidation type="whole" operator="greaterThanOrEqual" allowBlank="1" showInputMessage="1" showErrorMessage="1" error="Please type a number equal or larger than zero" sqref="H1144:I1213" xr:uid="{C898CDCF-B812-47CB-AFA7-88EA56530AE1}">
      <formula1>0</formula1>
    </dataValidation>
    <dataValidation type="custom" allowBlank="1" showInputMessage="1" showErrorMessage="1" error="Please write a number" sqref="F1220:G1316" xr:uid="{AD5A1157-0F26-43D2-A0BE-3D4DB99B3A45}">
      <formula1>ISNUMBER(F1220)</formula1>
    </dataValidation>
  </dataValidations>
  <pageMargins left="0.7" right="0.7" top="0.75" bottom="0.75" header="0.3" footer="0.3"/>
  <pageSetup paperSize="9" orientation="portrait" horizontalDpi="4294967293" verticalDpi="4294967293"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7"/>
  <dimension ref="A1:K396"/>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7" customFormat="1" ht="18.899999999999999" customHeight="1" x14ac:dyDescent="0.3">
      <c r="A3" s="114">
        <v>6</v>
      </c>
      <c r="B3" s="419" t="s">
        <v>983</v>
      </c>
      <c r="C3" s="419"/>
      <c r="D3" s="419"/>
      <c r="E3" s="419"/>
      <c r="F3" s="419"/>
      <c r="G3" s="419"/>
      <c r="H3" s="419"/>
      <c r="I3" s="419"/>
    </row>
    <row r="4" spans="1:9" s="7" customFormat="1" ht="18.899999999999999" customHeight="1" x14ac:dyDescent="0.3">
      <c r="A4" s="115" t="s">
        <v>984</v>
      </c>
      <c r="B4" s="420" t="s">
        <v>145</v>
      </c>
      <c r="C4" s="420"/>
      <c r="D4" s="420"/>
      <c r="E4" s="420"/>
      <c r="F4" s="420"/>
      <c r="G4" s="420"/>
      <c r="H4" s="420"/>
      <c r="I4" s="421"/>
    </row>
    <row r="5" spans="1:9" ht="34.200000000000003" customHeight="1" x14ac:dyDescent="0.3">
      <c r="A5" s="12" t="s">
        <v>350</v>
      </c>
      <c r="B5" s="328" t="s">
        <v>985</v>
      </c>
      <c r="C5" s="329"/>
      <c r="D5" s="329"/>
      <c r="E5" s="329"/>
      <c r="F5" s="329"/>
      <c r="G5" s="329"/>
      <c r="H5" s="329"/>
      <c r="I5" s="329"/>
    </row>
    <row r="6" spans="1:9" ht="22.95" customHeight="1" x14ac:dyDescent="0.3">
      <c r="C6" s="408"/>
      <c r="D6" s="408"/>
      <c r="E6" s="408"/>
      <c r="F6" s="422" t="s">
        <v>986</v>
      </c>
      <c r="G6" s="423"/>
      <c r="H6" s="424" t="s">
        <v>987</v>
      </c>
      <c r="I6" s="424"/>
    </row>
    <row r="7" spans="1:9" ht="29.4" customHeight="1" x14ac:dyDescent="0.3">
      <c r="C7" s="408"/>
      <c r="D7" s="408"/>
      <c r="E7" s="408"/>
      <c r="F7" s="46" t="s">
        <v>726</v>
      </c>
      <c r="G7" s="46" t="s">
        <v>988</v>
      </c>
      <c r="H7" s="116" t="s">
        <v>726</v>
      </c>
      <c r="I7" s="117" t="s">
        <v>989</v>
      </c>
    </row>
    <row r="8" spans="1:9" s="58" customFormat="1" ht="33.6" customHeight="1" x14ac:dyDescent="0.3">
      <c r="A8" s="75"/>
      <c r="C8" s="415" t="s">
        <v>990</v>
      </c>
      <c r="D8" s="416"/>
      <c r="E8" s="417"/>
      <c r="F8" s="105" t="str">
        <f>_xlfn.CONCAT(_xlfn.XLOOKUP("[S06_TotalVerifiers][1][CountVerifiersInstallations]",Submission!$O:$O,Submission!$H:$N,""))</f>
        <v>2</v>
      </c>
      <c r="G8" s="119"/>
      <c r="H8" s="105" t="str">
        <f>_xlfn.CONCAT(_xlfn.XLOOKUP("[S06_TotalVerifiers][1][CountVerifiersAviation]",Submission!$O:$O,Submission!$H:$N,""))</f>
        <v>0</v>
      </c>
      <c r="I8" s="119"/>
    </row>
    <row r="9" spans="1:9" s="58" customFormat="1" ht="33.6" customHeight="1" x14ac:dyDescent="0.3">
      <c r="A9" s="75"/>
      <c r="C9" s="415" t="s">
        <v>991</v>
      </c>
      <c r="D9" s="416"/>
      <c r="E9" s="417"/>
      <c r="F9" s="105" t="str">
        <f>_xlfn.CONCAT(_xlfn.XLOOKUP("[S06_TotalVerifiers][2][CountVerifiersInstallations]",Submission!$O:$O,Submission!$H:$N,""))</f>
        <v>0</v>
      </c>
      <c r="G9" s="119"/>
      <c r="H9" s="105" t="str">
        <f>_xlfn.CONCAT(_xlfn.XLOOKUP("[S06_TotalVerifiers][2][CountVerifiersAviation]",Submission!$O:$O,Submission!$H:$N,""))</f>
        <v>0</v>
      </c>
      <c r="I9" s="119"/>
    </row>
    <row r="10" spans="1:9" s="58" customFormat="1" ht="33.6" customHeight="1" x14ac:dyDescent="0.3">
      <c r="A10" s="75"/>
      <c r="C10" s="415" t="s">
        <v>992</v>
      </c>
      <c r="D10" s="416"/>
      <c r="E10" s="417"/>
      <c r="F10" s="105" t="str">
        <f>_xlfn.CONCAT(_xlfn.XLOOKUP("[S06_TotalVerifiers][3][CountVerifiersInstallations]",Submission!$O:$O,Submission!$H:$N,""))</f>
        <v>1</v>
      </c>
      <c r="G10" s="72" t="str">
        <f>_xlfn.CONCAT(_xlfn.XLOOKUP("[S06_TotalVerifiers][3][MSVerifiersInstallations]",Submission!$O:$O,Submission!$H:$N,""))</f>
        <v/>
      </c>
      <c r="H10" s="105" t="str">
        <f>_xlfn.CONCAT(_xlfn.XLOOKUP("[S06_TotalVerifiers][3][CountVerifiersAviation]",Submission!$O:$O,Submission!$H:$N,""))</f>
        <v>1</v>
      </c>
      <c r="I10" s="47" t="str">
        <f>_xlfn.CONCAT(_xlfn.XLOOKUP("[S06_TotalVerifiers][3][MSVerifiersAviation]",Submission!$O:$O,Submission!$H:$N,""))</f>
        <v/>
      </c>
    </row>
    <row r="11" spans="1:9" s="58" customFormat="1" ht="33.6" customHeight="1" x14ac:dyDescent="0.3">
      <c r="A11" s="75"/>
      <c r="C11" s="418" t="s">
        <v>993</v>
      </c>
      <c r="D11" s="418"/>
      <c r="E11" s="418"/>
      <c r="F11" s="105" t="str">
        <f>_xlfn.CONCAT(_xlfn.XLOOKUP("[S06_TotalVerifiers][4][CountVerifiersInstallations]",Submission!$O:$O,Submission!$H:$N,""))</f>
        <v>0</v>
      </c>
      <c r="G11" s="72"/>
      <c r="H11" s="105" t="str">
        <f>_xlfn.CONCAT(_xlfn.XLOOKUP("[S06_TotalVerifiers][4][CountVerifiersAviation]",Submission!$O:$O,Submission!$H:$N,""))</f>
        <v>0</v>
      </c>
      <c r="I11" s="47" t="str">
        <f>_xlfn.CONCAT(_xlfn.XLOOKUP("[S06_TotalVerifiers][4][MSVerifiersAviation]",Submission!$O:$O,Submission!$H:$N,""))</f>
        <v/>
      </c>
    </row>
    <row r="12" spans="1:9" ht="15.9" customHeight="1" x14ac:dyDescent="0.3">
      <c r="B12" s="277" t="s">
        <v>994</v>
      </c>
      <c r="C12" s="277"/>
      <c r="D12" s="277"/>
      <c r="E12" s="277"/>
      <c r="F12" s="277"/>
      <c r="G12" s="277"/>
      <c r="H12" s="277"/>
      <c r="I12" s="277"/>
    </row>
    <row r="13" spans="1:9" ht="15.9" customHeight="1" x14ac:dyDescent="0.3">
      <c r="B13" s="277" t="s">
        <v>995</v>
      </c>
      <c r="C13" s="277"/>
      <c r="D13" s="277"/>
      <c r="E13" s="277"/>
      <c r="F13" s="277"/>
      <c r="G13" s="277"/>
      <c r="H13" s="277"/>
      <c r="I13" s="277"/>
    </row>
    <row r="14" spans="1:9" ht="15.9" customHeight="1" x14ac:dyDescent="0.3">
      <c r="B14" s="20"/>
      <c r="C14" s="20"/>
      <c r="D14" s="20"/>
      <c r="E14" s="20"/>
      <c r="F14" s="20"/>
      <c r="G14" s="20"/>
      <c r="H14" s="20"/>
      <c r="I14" s="20"/>
    </row>
    <row r="15" spans="1:9" ht="49.95" customHeight="1" x14ac:dyDescent="0.3">
      <c r="B15" s="271" t="s">
        <v>996</v>
      </c>
      <c r="C15" s="271"/>
      <c r="D15" s="271"/>
      <c r="E15" s="271"/>
      <c r="F15" s="271"/>
      <c r="G15" s="271"/>
      <c r="H15" s="271"/>
      <c r="I15" s="271"/>
    </row>
    <row r="16" spans="1:9" ht="39.75" customHeight="1" x14ac:dyDescent="0.3">
      <c r="B16" s="20"/>
      <c r="C16" s="303" t="s">
        <v>997</v>
      </c>
      <c r="D16" s="304"/>
      <c r="E16" s="304"/>
      <c r="F16" s="304"/>
      <c r="G16" s="305"/>
      <c r="H16" s="45" t="s">
        <v>998</v>
      </c>
      <c r="I16" s="45" t="s">
        <v>999</v>
      </c>
    </row>
    <row r="17" spans="2:9" ht="27.6" customHeight="1" x14ac:dyDescent="0.3">
      <c r="B17" s="20"/>
      <c r="C17" s="412" t="str">
        <f>_xlfn.CONCAT(_xlfn.XLOOKUP("[S06_AccredCertVerifiersAnnexI][1][AccredCertScope]",Submission!$O:$O,Submission!$H:$N,""))</f>
        <v>1a - Combustion of fuels in installations, where only commercial standard fuels as defined in Commission Implementing Regulation (EU) 2018/2066 are used, or where natural gas is used in category A or B installations.</v>
      </c>
      <c r="D17" s="413"/>
      <c r="E17" s="413"/>
      <c r="F17" s="413"/>
      <c r="G17" s="414"/>
      <c r="H17" s="132" t="str">
        <f>_xlfn.CONCAT(_xlfn.XLOOKUP("[S06_AccredCertVerifiersAnnexI][1][NumberAccredited]",Submission!$O:$O,Submission!$H:$N,""))</f>
        <v>2</v>
      </c>
      <c r="I17" s="132" t="str">
        <f>_xlfn.CONCAT(_xlfn.XLOOKUP("[S06_AccredCertVerifiersAnnexI][1][NumberCertified]",Submission!$O:$O,Submission!$H:$N,""))</f>
        <v>0</v>
      </c>
    </row>
    <row r="18" spans="2:9" ht="27.6" customHeight="1" x14ac:dyDescent="0.3">
      <c r="B18" s="20"/>
      <c r="C18" s="412" t="str">
        <f>_xlfn.CONCAT(_xlfn.XLOOKUP("[S06_AccredCertVerifiersAnnexI][2][AccredCertScope]",Submission!$O:$O,Submission!$H:$N,""))</f>
        <v>1b - Combustion of fuels in installations, without restrictions</v>
      </c>
      <c r="D18" s="413"/>
      <c r="E18" s="413"/>
      <c r="F18" s="413"/>
      <c r="G18" s="414"/>
      <c r="H18" s="132" t="str">
        <f>_xlfn.CONCAT(_xlfn.XLOOKUP("[S06_AccredCertVerifiersAnnexI][2][NumberAccredited]",Submission!$O:$O,Submission!$H:$N,""))</f>
        <v>2</v>
      </c>
      <c r="I18" s="132" t="str">
        <f>_xlfn.CONCAT(_xlfn.XLOOKUP("[S06_AccredCertVerifiersAnnexI][2][NumberCertified]",Submission!$O:$O,Submission!$H:$N,""))</f>
        <v>0</v>
      </c>
    </row>
    <row r="19" spans="2:9" ht="27.6" customHeight="1" x14ac:dyDescent="0.3">
      <c r="B19" s="20"/>
      <c r="C19" s="412" t="str">
        <f>_xlfn.CONCAT(_xlfn.XLOOKUP("[S06_AccredCertVerifiersAnnexI][3][AccredCertScope]",Submission!$O:$O,Submission!$H:$N,""))</f>
        <v>2 - Refining of mineral oil</v>
      </c>
      <c r="D19" s="413"/>
      <c r="E19" s="413"/>
      <c r="F19" s="413"/>
      <c r="G19" s="414"/>
      <c r="H19" s="132" t="str">
        <f>_xlfn.CONCAT(_xlfn.XLOOKUP("[S06_AccredCertVerifiersAnnexI][3][NumberAccredited]",Submission!$O:$O,Submission!$H:$N,""))</f>
        <v>1</v>
      </c>
      <c r="I19" s="132" t="str">
        <f>_xlfn.CONCAT(_xlfn.XLOOKUP("[S06_AccredCertVerifiersAnnexI][3][NumberCertified]",Submission!$O:$O,Submission!$H:$N,""))</f>
        <v>0</v>
      </c>
    </row>
    <row r="20" spans="2:9" ht="27.6" customHeight="1" x14ac:dyDescent="0.3">
      <c r="B20" s="20"/>
      <c r="C20" s="412" t="str">
        <f>_xlfn.CONCAT(_xlfn.XLOOKUP("[S06_AccredCertVerifiersAnnexI][4][AccredCertScope]",Submission!$O:$O,Submission!$H:$N,""))</f>
        <v xml:space="preserve">3 - Production of coke </v>
      </c>
      <c r="D20" s="413"/>
      <c r="E20" s="413"/>
      <c r="F20" s="413"/>
      <c r="G20" s="414"/>
      <c r="H20" s="132" t="str">
        <f>_xlfn.CONCAT(_xlfn.XLOOKUP("[S06_AccredCertVerifiersAnnexI][4][NumberAccredited]",Submission!$O:$O,Submission!$H:$N,""))</f>
        <v>1</v>
      </c>
      <c r="I20" s="132" t="str">
        <f>_xlfn.CONCAT(_xlfn.XLOOKUP("[S06_AccredCertVerifiersAnnexI][4][NumberCertified]",Submission!$O:$O,Submission!$H:$N,""))</f>
        <v>0</v>
      </c>
    </row>
    <row r="21" spans="2:9" ht="27.6" customHeight="1" x14ac:dyDescent="0.3">
      <c r="B21" s="20"/>
      <c r="C21" s="412" t="str">
        <f>_xlfn.CONCAT(_xlfn.XLOOKUP("[S06_AccredCertVerifiersAnnexI][5][AccredCertScope]",Submission!$O:$O,Submission!$H:$N,""))</f>
        <v xml:space="preserve">6 - Production of cement clinker </v>
      </c>
      <c r="D21" s="413"/>
      <c r="E21" s="413"/>
      <c r="F21" s="413"/>
      <c r="G21" s="414"/>
      <c r="H21" s="132" t="str">
        <f>_xlfn.CONCAT(_xlfn.XLOOKUP("[S06_AccredCertVerifiersAnnexI][5][NumberAccredited]",Submission!$O:$O,Submission!$H:$N,""))</f>
        <v>1</v>
      </c>
      <c r="I21" s="132" t="str">
        <f>_xlfn.CONCAT(_xlfn.XLOOKUP("[S06_AccredCertVerifiersAnnexI][5][NumberCertified]",Submission!$O:$O,Submission!$H:$N,""))</f>
        <v>0</v>
      </c>
    </row>
    <row r="22" spans="2:9" ht="27.6" customHeight="1" x14ac:dyDescent="0.3">
      <c r="B22" s="20"/>
      <c r="C22" s="412" t="str">
        <f>_xlfn.CONCAT(_xlfn.XLOOKUP("[S06_AccredCertVerifiersAnnexI][6][AccredCertScope]",Submission!$O:$O,Submission!$H:$N,""))</f>
        <v xml:space="preserve">6 - Production of lime or calcination of dolomite or magnesite </v>
      </c>
      <c r="D22" s="413"/>
      <c r="E22" s="413"/>
      <c r="F22" s="413"/>
      <c r="G22" s="414"/>
      <c r="H22" s="132" t="str">
        <f>_xlfn.CONCAT(_xlfn.XLOOKUP("[S06_AccredCertVerifiersAnnexI][6][NumberAccredited]",Submission!$O:$O,Submission!$H:$N,""))</f>
        <v>1</v>
      </c>
      <c r="I22" s="132" t="str">
        <f>_xlfn.CONCAT(_xlfn.XLOOKUP("[S06_AccredCertVerifiersAnnexI][6][NumberCertified]",Submission!$O:$O,Submission!$H:$N,""))</f>
        <v>0</v>
      </c>
    </row>
    <row r="23" spans="2:9" ht="27.6" customHeight="1" x14ac:dyDescent="0.3">
      <c r="B23" s="20"/>
      <c r="C23" s="412" t="str">
        <f>_xlfn.CONCAT(_xlfn.XLOOKUP("[S06_AccredCertVerifiersAnnexI][7][AccredCertScope]",Submission!$O:$O,Submission!$H:$N,""))</f>
        <v xml:space="preserve">6 - Manufacture of glass including glass fibre </v>
      </c>
      <c r="D23" s="413"/>
      <c r="E23" s="413"/>
      <c r="F23" s="413"/>
      <c r="G23" s="414"/>
      <c r="H23" s="132" t="str">
        <f>_xlfn.CONCAT(_xlfn.XLOOKUP("[S06_AccredCertVerifiersAnnexI][7][NumberAccredited]",Submission!$O:$O,Submission!$H:$N,""))</f>
        <v>1</v>
      </c>
      <c r="I23" s="132" t="str">
        <f>_xlfn.CONCAT(_xlfn.XLOOKUP("[S06_AccredCertVerifiersAnnexI][7][NumberCertified]",Submission!$O:$O,Submission!$H:$N,""))</f>
        <v>0</v>
      </c>
    </row>
    <row r="24" spans="2:9" ht="27.6" customHeight="1" x14ac:dyDescent="0.3">
      <c r="B24" s="20"/>
      <c r="C24" s="412" t="str">
        <f>_xlfn.CONCAT(_xlfn.XLOOKUP("[S06_AccredCertVerifiersAnnexI][8][AccredCertScope]",Submission!$O:$O,Submission!$H:$N,""))</f>
        <v xml:space="preserve">6 - Manufacture of ceramic products by firing </v>
      </c>
      <c r="D24" s="413"/>
      <c r="E24" s="413"/>
      <c r="F24" s="413"/>
      <c r="G24" s="414"/>
      <c r="H24" s="132" t="str">
        <f>_xlfn.CONCAT(_xlfn.XLOOKUP("[S06_AccredCertVerifiersAnnexI][8][NumberAccredited]",Submission!$O:$O,Submission!$H:$N,""))</f>
        <v>1</v>
      </c>
      <c r="I24" s="132" t="str">
        <f>_xlfn.CONCAT(_xlfn.XLOOKUP("[S06_AccredCertVerifiersAnnexI][8][NumberCertified]",Submission!$O:$O,Submission!$H:$N,""))</f>
        <v>0</v>
      </c>
    </row>
    <row r="25" spans="2:9" ht="27.6" customHeight="1" x14ac:dyDescent="0.3">
      <c r="B25" s="20"/>
      <c r="C25" s="412" t="str">
        <f>_xlfn.CONCAT(_xlfn.XLOOKUP("[S06_AccredCertVerifiersAnnexI][9][AccredCertScope]",Submission!$O:$O,Submission!$H:$N,""))</f>
        <v xml:space="preserve">6 - Manufacture of mineral wool insulation material </v>
      </c>
      <c r="D25" s="413"/>
      <c r="E25" s="413"/>
      <c r="F25" s="413"/>
      <c r="G25" s="414"/>
      <c r="H25" s="132" t="str">
        <f>_xlfn.CONCAT(_xlfn.XLOOKUP("[S06_AccredCertVerifiersAnnexI][9][NumberAccredited]",Submission!$O:$O,Submission!$H:$N,""))</f>
        <v>1</v>
      </c>
      <c r="I25" s="132" t="str">
        <f>_xlfn.CONCAT(_xlfn.XLOOKUP("[S06_AccredCertVerifiersAnnexI][9][NumberCertified]",Submission!$O:$O,Submission!$H:$N,""))</f>
        <v>0</v>
      </c>
    </row>
    <row r="26" spans="2:9" ht="27.6" customHeight="1" x14ac:dyDescent="0.3">
      <c r="B26" s="20"/>
      <c r="C26" s="412" t="str">
        <f>_xlfn.CONCAT(_xlfn.XLOOKUP("[S06_AccredCertVerifiersAnnexI][10][AccredCertScope]",Submission!$O:$O,Submission!$H:$N,""))</f>
        <v>98 - Other activities pursuant to Article 10a of Directive 2003/87/EC</v>
      </c>
      <c r="D26" s="413"/>
      <c r="E26" s="413"/>
      <c r="F26" s="413"/>
      <c r="G26" s="414"/>
      <c r="H26" s="132" t="str">
        <f>_xlfn.CONCAT(_xlfn.XLOOKUP("[S06_AccredCertVerifiersAnnexI][10][NumberAccredited]",Submission!$O:$O,Submission!$H:$N,""))</f>
        <v>2</v>
      </c>
      <c r="I26" s="132" t="str">
        <f>_xlfn.CONCAT(_xlfn.XLOOKUP("[S06_AccredCertVerifiersAnnexI][10][NumberCertified]",Submission!$O:$O,Submission!$H:$N,""))</f>
        <v>0</v>
      </c>
    </row>
    <row r="27" spans="2:9" ht="27.6" customHeight="1" x14ac:dyDescent="0.3">
      <c r="B27" s="20"/>
      <c r="C27" s="412" t="str">
        <f>_xlfn.CONCAT(_xlfn.XLOOKUP("[S06_AccredCertVerifiersAnnexI][11][AccredCertScope]",Submission!$O:$O,Submission!$H:$N,""))</f>
        <v/>
      </c>
      <c r="D27" s="413"/>
      <c r="E27" s="413"/>
      <c r="F27" s="413"/>
      <c r="G27" s="414"/>
      <c r="H27" s="132" t="str">
        <f>_xlfn.CONCAT(_xlfn.XLOOKUP("[S06_AccredCertVerifiersAnnexI][11][NumberAccredited]",Submission!$O:$O,Submission!$H:$N,""))</f>
        <v/>
      </c>
      <c r="I27" s="132" t="str">
        <f>_xlfn.CONCAT(_xlfn.XLOOKUP("[S06_AccredCertVerifiersAnnexI][11][NumberCertified]",Submission!$O:$O,Submission!$H:$N,""))</f>
        <v/>
      </c>
    </row>
    <row r="28" spans="2:9" ht="27.6" customHeight="1" x14ac:dyDescent="0.3">
      <c r="B28" s="20"/>
      <c r="C28" s="412" t="str">
        <f>_xlfn.CONCAT(_xlfn.XLOOKUP("[S06_AccredCertVerifiersAnnexI][12][AccredCertScope]",Submission!$O:$O,Submission!$H:$N,""))</f>
        <v/>
      </c>
      <c r="D28" s="413"/>
      <c r="E28" s="413"/>
      <c r="F28" s="413"/>
      <c r="G28" s="414"/>
      <c r="H28" s="132" t="str">
        <f>_xlfn.CONCAT(_xlfn.XLOOKUP("[S06_AccredCertVerifiersAnnexI][12][NumberAccredited]",Submission!$O:$O,Submission!$H:$N,""))</f>
        <v/>
      </c>
      <c r="I28" s="132" t="str">
        <f>_xlfn.CONCAT(_xlfn.XLOOKUP("[S06_AccredCertVerifiersAnnexI][12][NumberCertified]",Submission!$O:$O,Submission!$H:$N,""))</f>
        <v/>
      </c>
    </row>
    <row r="29" spans="2:9" ht="27.6" hidden="1" customHeight="1" outlineLevel="1" x14ac:dyDescent="0.3">
      <c r="B29" s="20"/>
      <c r="C29" s="412" t="str">
        <f>_xlfn.CONCAT(_xlfn.XLOOKUP("[S06_AccredCertVerifiersAnnexI][13][AccredCertScope]",Submission!$O:$O,Submission!$H:$N,""))</f>
        <v/>
      </c>
      <c r="D29" s="413"/>
      <c r="E29" s="413"/>
      <c r="F29" s="413"/>
      <c r="G29" s="414"/>
      <c r="H29" s="132" t="str">
        <f>_xlfn.CONCAT(_xlfn.XLOOKUP("[S06_AccredCertVerifiersAnnexI][13][NumberAccredited]",Submission!$O:$O,Submission!$H:$N,""))</f>
        <v/>
      </c>
      <c r="I29" s="132" t="str">
        <f>_xlfn.CONCAT(_xlfn.XLOOKUP("[S06_AccredCertVerifiersAnnexI][13][NumberCertified]",Submission!$O:$O,Submission!$H:$N,""))</f>
        <v/>
      </c>
    </row>
    <row r="30" spans="2:9" ht="27.6" hidden="1" customHeight="1" outlineLevel="1" x14ac:dyDescent="0.3">
      <c r="B30" s="20"/>
      <c r="C30" s="412" t="str">
        <f>_xlfn.CONCAT(_xlfn.XLOOKUP("[S06_AccredCertVerifiersAnnexI][14][AccredCertScope]",Submission!$O:$O,Submission!$H:$N,""))</f>
        <v/>
      </c>
      <c r="D30" s="413"/>
      <c r="E30" s="413"/>
      <c r="F30" s="413"/>
      <c r="G30" s="414"/>
      <c r="H30" s="132" t="str">
        <f>_xlfn.CONCAT(_xlfn.XLOOKUP("[S06_AccredCertVerifiersAnnexI][14][NumberAccredited]",Submission!$O:$O,Submission!$H:$N,""))</f>
        <v/>
      </c>
      <c r="I30" s="132" t="str">
        <f>_xlfn.CONCAT(_xlfn.XLOOKUP("[S06_AccredCertVerifiersAnnexI][14][NumberCertified]",Submission!$O:$O,Submission!$H:$N,""))</f>
        <v/>
      </c>
    </row>
    <row r="31" spans="2:9" ht="27.6" hidden="1" customHeight="1" outlineLevel="1" x14ac:dyDescent="0.3">
      <c r="B31" s="20"/>
      <c r="C31" s="412" t="str">
        <f>_xlfn.CONCAT(_xlfn.XLOOKUP("[S06_AccredCertVerifiersAnnexI][15][AccredCertScope]",Submission!$O:$O,Submission!$H:$N,""))</f>
        <v/>
      </c>
      <c r="D31" s="413"/>
      <c r="E31" s="413"/>
      <c r="F31" s="413"/>
      <c r="G31" s="414"/>
      <c r="H31" s="132" t="str">
        <f>_xlfn.CONCAT(_xlfn.XLOOKUP("[S06_AccredCertVerifiersAnnexI][15][NumberAccredited]",Submission!$O:$O,Submission!$H:$N,""))</f>
        <v/>
      </c>
      <c r="I31" s="132" t="str">
        <f>_xlfn.CONCAT(_xlfn.XLOOKUP("[S06_AccredCertVerifiersAnnexI][15][NumberCertified]",Submission!$O:$O,Submission!$H:$N,""))</f>
        <v/>
      </c>
    </row>
    <row r="32" spans="2:9" ht="27.6" hidden="1" customHeight="1" outlineLevel="1" x14ac:dyDescent="0.3">
      <c r="B32" s="20"/>
      <c r="C32" s="412" t="str">
        <f>_xlfn.CONCAT(_xlfn.XLOOKUP("[S06_AccredCertVerifiersAnnexI][16][AccredCertScope]",Submission!$O:$O,Submission!$H:$N,""))</f>
        <v/>
      </c>
      <c r="D32" s="413"/>
      <c r="E32" s="413"/>
      <c r="F32" s="413"/>
      <c r="G32" s="414"/>
      <c r="H32" s="132" t="str">
        <f>_xlfn.CONCAT(_xlfn.XLOOKUP("[S06_AccredCertVerifiersAnnexI][16][NumberAccredited]",Submission!$O:$O,Submission!$H:$N,""))</f>
        <v/>
      </c>
      <c r="I32" s="132" t="str">
        <f>_xlfn.CONCAT(_xlfn.XLOOKUP("[S06_AccredCertVerifiersAnnexI][16][NumberCertified]",Submission!$O:$O,Submission!$H:$N,""))</f>
        <v/>
      </c>
    </row>
    <row r="33" spans="2:9" ht="27.6" hidden="1" customHeight="1" outlineLevel="1" x14ac:dyDescent="0.3">
      <c r="B33" s="20"/>
      <c r="C33" s="412" t="str">
        <f>_xlfn.CONCAT(_xlfn.XLOOKUP("[S06_AccredCertVerifiersAnnexI][17][AccredCertScope]",Submission!$O:$O,Submission!$H:$N,""))</f>
        <v/>
      </c>
      <c r="D33" s="413"/>
      <c r="E33" s="413"/>
      <c r="F33" s="413"/>
      <c r="G33" s="414"/>
      <c r="H33" s="132" t="str">
        <f>_xlfn.CONCAT(_xlfn.XLOOKUP("[S06_AccredCertVerifiersAnnexI][17][NumberAccredited]",Submission!$O:$O,Submission!$H:$N,""))</f>
        <v/>
      </c>
      <c r="I33" s="132" t="str">
        <f>_xlfn.CONCAT(_xlfn.XLOOKUP("[S06_AccredCertVerifiersAnnexI][17][NumberCertified]",Submission!$O:$O,Submission!$H:$N,""))</f>
        <v/>
      </c>
    </row>
    <row r="34" spans="2:9" ht="27.6" hidden="1" customHeight="1" outlineLevel="1" x14ac:dyDescent="0.3">
      <c r="B34" s="20"/>
      <c r="C34" s="412" t="str">
        <f>_xlfn.CONCAT(_xlfn.XLOOKUP("[S06_AccredCertVerifiersAnnexI][18][AccredCertScope]",Submission!$O:$O,Submission!$H:$N,""))</f>
        <v/>
      </c>
      <c r="D34" s="413"/>
      <c r="E34" s="413"/>
      <c r="F34" s="413"/>
      <c r="G34" s="414"/>
      <c r="H34" s="132" t="str">
        <f>_xlfn.CONCAT(_xlfn.XLOOKUP("[S06_AccredCertVerifiersAnnexI][18][NumberAccredited]",Submission!$O:$O,Submission!$H:$N,""))</f>
        <v/>
      </c>
      <c r="I34" s="132" t="str">
        <f>_xlfn.CONCAT(_xlfn.XLOOKUP("[S06_AccredCertVerifiersAnnexI][18][NumberCertified]",Submission!$O:$O,Submission!$H:$N,""))</f>
        <v/>
      </c>
    </row>
    <row r="35" spans="2:9" ht="27.6" hidden="1" customHeight="1" outlineLevel="1" x14ac:dyDescent="0.3">
      <c r="B35" s="20"/>
      <c r="C35" s="412" t="str">
        <f>_xlfn.CONCAT(_xlfn.XLOOKUP("[S06_AccredCertVerifiersAnnexI][19][AccredCertScope]",Submission!$O:$O,Submission!$H:$N,""))</f>
        <v/>
      </c>
      <c r="D35" s="413"/>
      <c r="E35" s="413"/>
      <c r="F35" s="413"/>
      <c r="G35" s="414"/>
      <c r="H35" s="132" t="str">
        <f>_xlfn.CONCAT(_xlfn.XLOOKUP("[S06_AccredCertVerifiersAnnexI][19][NumberAccredited]",Submission!$O:$O,Submission!$H:$N,""))</f>
        <v/>
      </c>
      <c r="I35" s="132" t="str">
        <f>_xlfn.CONCAT(_xlfn.XLOOKUP("[S06_AccredCertVerifiersAnnexI][19][NumberCertified]",Submission!$O:$O,Submission!$H:$N,""))</f>
        <v/>
      </c>
    </row>
    <row r="36" spans="2:9" ht="27.6" hidden="1" customHeight="1" outlineLevel="1" x14ac:dyDescent="0.3">
      <c r="B36" s="20"/>
      <c r="C36" s="412" t="str">
        <f>_xlfn.CONCAT(_xlfn.XLOOKUP("[S06_AccredCertVerifiersAnnexI][20][AccredCertScope]",Submission!$O:$O,Submission!$H:$N,""))</f>
        <v/>
      </c>
      <c r="D36" s="413"/>
      <c r="E36" s="413"/>
      <c r="F36" s="413"/>
      <c r="G36" s="414"/>
      <c r="H36" s="132" t="str">
        <f>_xlfn.CONCAT(_xlfn.XLOOKUP("[S06_AccredCertVerifiersAnnexI][20][NumberAccredited]",Submission!$O:$O,Submission!$H:$N,""))</f>
        <v/>
      </c>
      <c r="I36" s="132" t="str">
        <f>_xlfn.CONCAT(_xlfn.XLOOKUP("[S06_AccredCertVerifiersAnnexI][20][NumberCertified]",Submission!$O:$O,Submission!$H:$N,""))</f>
        <v/>
      </c>
    </row>
    <row r="37" spans="2:9" ht="27.6" hidden="1" customHeight="1" outlineLevel="1" x14ac:dyDescent="0.3">
      <c r="B37" s="20"/>
      <c r="C37" s="412" t="str">
        <f>_xlfn.CONCAT(_xlfn.XLOOKUP("[S06_AccredCertVerifiersAnnexI][21][AccredCertScope]",Submission!$O:$O,Submission!$H:$N,""))</f>
        <v/>
      </c>
      <c r="D37" s="413"/>
      <c r="E37" s="413"/>
      <c r="F37" s="413"/>
      <c r="G37" s="414"/>
      <c r="H37" s="132" t="str">
        <f>_xlfn.CONCAT(_xlfn.XLOOKUP("[S06_AccredCertVerifiersAnnexI][21][NumberAccredited]",Submission!$O:$O,Submission!$H:$N,""))</f>
        <v/>
      </c>
      <c r="I37" s="132" t="str">
        <f>_xlfn.CONCAT(_xlfn.XLOOKUP("[S06_AccredCertVerifiersAnnexI][21][NumberCertified]",Submission!$O:$O,Submission!$H:$N,""))</f>
        <v/>
      </c>
    </row>
    <row r="38" spans="2:9" ht="27.6" hidden="1" customHeight="1" outlineLevel="1" x14ac:dyDescent="0.3">
      <c r="B38" s="20"/>
      <c r="C38" s="412" t="str">
        <f>_xlfn.CONCAT(_xlfn.XLOOKUP("[S06_AccredCertVerifiersAnnexI][22][AccredCertScope]",Submission!$O:$O,Submission!$H:$N,""))</f>
        <v/>
      </c>
      <c r="D38" s="413"/>
      <c r="E38" s="413"/>
      <c r="F38" s="413"/>
      <c r="G38" s="414"/>
      <c r="H38" s="132" t="str">
        <f>_xlfn.CONCAT(_xlfn.XLOOKUP("[S06_AccredCertVerifiersAnnexI][22][NumberAccredited]",Submission!$O:$O,Submission!$H:$N,""))</f>
        <v/>
      </c>
      <c r="I38" s="132" t="str">
        <f>_xlfn.CONCAT(_xlfn.XLOOKUP("[S06_AccredCertVerifiersAnnexI][22][NumberCertified]",Submission!$O:$O,Submission!$H:$N,""))</f>
        <v/>
      </c>
    </row>
    <row r="39" spans="2:9" ht="27.6" hidden="1" customHeight="1" outlineLevel="1" x14ac:dyDescent="0.3">
      <c r="B39" s="20"/>
      <c r="C39" s="412" t="str">
        <f>_xlfn.CONCAT(_xlfn.XLOOKUP("[S06_AccredCertVerifiersAnnexI][23][AccredCertScope]",Submission!$O:$O,Submission!$H:$N,""))</f>
        <v/>
      </c>
      <c r="D39" s="413"/>
      <c r="E39" s="413"/>
      <c r="F39" s="413"/>
      <c r="G39" s="414"/>
      <c r="H39" s="132" t="str">
        <f>_xlfn.CONCAT(_xlfn.XLOOKUP("[S06_AccredCertVerifiersAnnexI][23][NumberAccredited]",Submission!$O:$O,Submission!$H:$N,""))</f>
        <v/>
      </c>
      <c r="I39" s="132" t="str">
        <f>_xlfn.CONCAT(_xlfn.XLOOKUP("[S06_AccredCertVerifiersAnnexI][23][NumberCertified]",Submission!$O:$O,Submission!$H:$N,""))</f>
        <v/>
      </c>
    </row>
    <row r="40" spans="2:9" ht="27.6" hidden="1" customHeight="1" outlineLevel="1" x14ac:dyDescent="0.3">
      <c r="B40" s="20"/>
      <c r="C40" s="412" t="str">
        <f>_xlfn.CONCAT(_xlfn.XLOOKUP("[S06_AccredCertVerifiersAnnexI][24][AccredCertScope]",Submission!$O:$O,Submission!$H:$N,""))</f>
        <v/>
      </c>
      <c r="D40" s="413"/>
      <c r="E40" s="413"/>
      <c r="F40" s="413"/>
      <c r="G40" s="414"/>
      <c r="H40" s="132" t="str">
        <f>_xlfn.CONCAT(_xlfn.XLOOKUP("[S06_AccredCertVerifiersAnnexI][24][NumberAccredited]",Submission!$O:$O,Submission!$H:$N,""))</f>
        <v/>
      </c>
      <c r="I40" s="132" t="str">
        <f>_xlfn.CONCAT(_xlfn.XLOOKUP("[S06_AccredCertVerifiersAnnexI][24][NumberCertified]",Submission!$O:$O,Submission!$H:$N,""))</f>
        <v/>
      </c>
    </row>
    <row r="41" spans="2:9" ht="27.6" hidden="1" customHeight="1" outlineLevel="1" x14ac:dyDescent="0.3">
      <c r="B41" s="20"/>
      <c r="C41" s="412" t="str">
        <f>_xlfn.CONCAT(_xlfn.XLOOKUP("[S06_AccredCertVerifiersAnnexI][25][AccredCertScope]",Submission!$O:$O,Submission!$H:$N,""))</f>
        <v/>
      </c>
      <c r="D41" s="413"/>
      <c r="E41" s="413"/>
      <c r="F41" s="413"/>
      <c r="G41" s="414"/>
      <c r="H41" s="132" t="str">
        <f>_xlfn.CONCAT(_xlfn.XLOOKUP("[S06_AccredCertVerifiersAnnexI][25][NumberAccredited]",Submission!$O:$O,Submission!$H:$N,""))</f>
        <v/>
      </c>
      <c r="I41" s="132" t="str">
        <f>_xlfn.CONCAT(_xlfn.XLOOKUP("[S06_AccredCertVerifiersAnnexI][25][NumberCertified]",Submission!$O:$O,Submission!$H:$N,""))</f>
        <v/>
      </c>
    </row>
    <row r="42" spans="2:9" ht="27.6" hidden="1" customHeight="1" outlineLevel="1" x14ac:dyDescent="0.3">
      <c r="B42" s="20"/>
      <c r="C42" s="412" t="str">
        <f>_xlfn.CONCAT(_xlfn.XLOOKUP("[S06_AccredCertVerifiersAnnexI][26][AccredCertScope]",Submission!$O:$O,Submission!$H:$N,""))</f>
        <v/>
      </c>
      <c r="D42" s="413"/>
      <c r="E42" s="413"/>
      <c r="F42" s="413"/>
      <c r="G42" s="414"/>
      <c r="H42" s="132" t="str">
        <f>_xlfn.CONCAT(_xlfn.XLOOKUP("[S06_AccredCertVerifiersAnnexI][26][NumberAccredited]",Submission!$O:$O,Submission!$H:$N,""))</f>
        <v/>
      </c>
      <c r="I42" s="132" t="str">
        <f>_xlfn.CONCAT(_xlfn.XLOOKUP("[S06_AccredCertVerifiersAnnexI][26][NumberCertified]",Submission!$O:$O,Submission!$H:$N,""))</f>
        <v/>
      </c>
    </row>
    <row r="43" spans="2:9" ht="27.6" hidden="1" customHeight="1" outlineLevel="1" x14ac:dyDescent="0.3">
      <c r="B43" s="20"/>
      <c r="C43" s="412" t="str">
        <f>_xlfn.CONCAT(_xlfn.XLOOKUP("[S06_AccredCertVerifiersAnnexI][27][AccredCertScope]",Submission!$O:$O,Submission!$H:$N,""))</f>
        <v/>
      </c>
      <c r="D43" s="413"/>
      <c r="E43" s="413"/>
      <c r="F43" s="413"/>
      <c r="G43" s="414"/>
      <c r="H43" s="132" t="str">
        <f>_xlfn.CONCAT(_xlfn.XLOOKUP("[S06_AccredCertVerifiersAnnexI][27][NumberAccredited]",Submission!$O:$O,Submission!$H:$N,""))</f>
        <v/>
      </c>
      <c r="I43" s="132" t="str">
        <f>_xlfn.CONCAT(_xlfn.XLOOKUP("[S06_AccredCertVerifiersAnnexI][27][NumberCertified]",Submission!$O:$O,Submission!$H:$N,""))</f>
        <v/>
      </c>
    </row>
    <row r="44" spans="2:9" ht="27.6" hidden="1" customHeight="1" outlineLevel="1" x14ac:dyDescent="0.3">
      <c r="B44" s="20"/>
      <c r="C44" s="412" t="str">
        <f>_xlfn.CONCAT(_xlfn.XLOOKUP("[S06_AccredCertVerifiersAnnexI][28][AccredCertScope]",Submission!$O:$O,Submission!$H:$N,""))</f>
        <v/>
      </c>
      <c r="D44" s="413"/>
      <c r="E44" s="413"/>
      <c r="F44" s="413"/>
      <c r="G44" s="414"/>
      <c r="H44" s="132" t="str">
        <f>_xlfn.CONCAT(_xlfn.XLOOKUP("[S06_AccredCertVerifiersAnnexI][28][NumberAccredited]",Submission!$O:$O,Submission!$H:$N,""))</f>
        <v/>
      </c>
      <c r="I44" s="132" t="str">
        <f>_xlfn.CONCAT(_xlfn.XLOOKUP("[S06_AccredCertVerifiersAnnexI][28][NumberCertified]",Submission!$O:$O,Submission!$H:$N,""))</f>
        <v/>
      </c>
    </row>
    <row r="45" spans="2:9" ht="27.6" hidden="1" customHeight="1" outlineLevel="1" x14ac:dyDescent="0.3">
      <c r="B45" s="20"/>
      <c r="C45" s="412" t="str">
        <f>_xlfn.CONCAT(_xlfn.XLOOKUP("[S06_AccredCertVerifiersAnnexI][29][AccredCertScope]",Submission!$O:$O,Submission!$H:$N,""))</f>
        <v/>
      </c>
      <c r="D45" s="413"/>
      <c r="E45" s="413"/>
      <c r="F45" s="413"/>
      <c r="G45" s="414"/>
      <c r="H45" s="132" t="str">
        <f>_xlfn.CONCAT(_xlfn.XLOOKUP("[S06_AccredCertVerifiersAnnexI][29][NumberAccredited]",Submission!$O:$O,Submission!$H:$N,""))</f>
        <v/>
      </c>
      <c r="I45" s="132" t="str">
        <f>_xlfn.CONCAT(_xlfn.XLOOKUP("[S06_AccredCertVerifiersAnnexI][29][NumberCertified]",Submission!$O:$O,Submission!$H:$N,""))</f>
        <v/>
      </c>
    </row>
    <row r="46" spans="2:9" ht="27.6" hidden="1" customHeight="1" outlineLevel="1" x14ac:dyDescent="0.3">
      <c r="B46" s="20"/>
      <c r="C46" s="412" t="str">
        <f>_xlfn.CONCAT(_xlfn.XLOOKUP("[S06_AccredCertVerifiersAnnexI][30][AccredCertScope]",Submission!$O:$O,Submission!$H:$N,""))</f>
        <v/>
      </c>
      <c r="D46" s="413"/>
      <c r="E46" s="413"/>
      <c r="F46" s="413"/>
      <c r="G46" s="414"/>
      <c r="H46" s="132" t="str">
        <f>_xlfn.CONCAT(_xlfn.XLOOKUP("[S06_AccredCertVerifiersAnnexI][30][NumberAccredited]",Submission!$O:$O,Submission!$H:$N,""))</f>
        <v/>
      </c>
      <c r="I46" s="132" t="str">
        <f>_xlfn.CONCAT(_xlfn.XLOOKUP("[S06_AccredCertVerifiersAnnexI][30][NumberCertified]",Submission!$O:$O,Submission!$H:$N,""))</f>
        <v/>
      </c>
    </row>
    <row r="47" spans="2:9" ht="27.6" hidden="1" customHeight="1" outlineLevel="1" x14ac:dyDescent="0.3">
      <c r="B47" s="20"/>
      <c r="C47" s="412" t="str">
        <f>_xlfn.CONCAT(_xlfn.XLOOKUP("[S06_AccredCertVerifiersAnnexI][31][AccredCertScope]",Submission!$O:$O,Submission!$H:$N,""))</f>
        <v/>
      </c>
      <c r="D47" s="413"/>
      <c r="E47" s="413"/>
      <c r="F47" s="413"/>
      <c r="G47" s="414"/>
      <c r="H47" s="132" t="str">
        <f>_xlfn.CONCAT(_xlfn.XLOOKUP("[S06_AccredCertVerifiersAnnexI][31][NumberAccredited]",Submission!$O:$O,Submission!$H:$N,""))</f>
        <v/>
      </c>
      <c r="I47" s="132" t="str">
        <f>_xlfn.CONCAT(_xlfn.XLOOKUP("[S06_AccredCertVerifiersAnnexI][31][NumberCertified]",Submission!$O:$O,Submission!$H:$N,""))</f>
        <v/>
      </c>
    </row>
    <row r="48" spans="2:9" ht="27.6" hidden="1" customHeight="1" outlineLevel="1" x14ac:dyDescent="0.3">
      <c r="B48" s="20"/>
      <c r="C48" s="412" t="str">
        <f>_xlfn.CONCAT(_xlfn.XLOOKUP("[S06_AccredCertVerifiersAnnexI][32][AccredCertScope]",Submission!$O:$O,Submission!$H:$N,""))</f>
        <v/>
      </c>
      <c r="D48" s="413"/>
      <c r="E48" s="413"/>
      <c r="F48" s="413"/>
      <c r="G48" s="414"/>
      <c r="H48" s="132" t="str">
        <f>_xlfn.CONCAT(_xlfn.XLOOKUP("[S06_AccredCertVerifiersAnnexI][32][NumberAccredited]",Submission!$O:$O,Submission!$H:$N,""))</f>
        <v/>
      </c>
      <c r="I48" s="132" t="str">
        <f>_xlfn.CONCAT(_xlfn.XLOOKUP("[S06_AccredCertVerifiersAnnexI][32][NumberCertified]",Submission!$O:$O,Submission!$H:$N,""))</f>
        <v/>
      </c>
    </row>
    <row r="49" spans="1:9" ht="27.6" hidden="1" customHeight="1" outlineLevel="1" x14ac:dyDescent="0.3">
      <c r="B49" s="20"/>
      <c r="C49" s="412" t="str">
        <f>_xlfn.CONCAT(_xlfn.XLOOKUP("[S06_AccredCertVerifiersAnnexI][33][AccredCertScope]",Submission!$O:$O,Submission!$H:$N,""))</f>
        <v/>
      </c>
      <c r="D49" s="413"/>
      <c r="E49" s="413"/>
      <c r="F49" s="413"/>
      <c r="G49" s="414"/>
      <c r="H49" s="132" t="str">
        <f>_xlfn.CONCAT(_xlfn.XLOOKUP("[S06_AccredCertVerifiersAnnexI][33][NumberAccredited]",Submission!$O:$O,Submission!$H:$N,""))</f>
        <v/>
      </c>
      <c r="I49" s="132" t="str">
        <f>_xlfn.CONCAT(_xlfn.XLOOKUP("[S06_AccredCertVerifiersAnnexI][33][NumberCertified]",Submission!$O:$O,Submission!$H:$N,""))</f>
        <v/>
      </c>
    </row>
    <row r="50" spans="1:9" ht="27.6" hidden="1" customHeight="1" outlineLevel="1" x14ac:dyDescent="0.3">
      <c r="B50" s="20"/>
      <c r="C50" s="412" t="str">
        <f>_xlfn.CONCAT(_xlfn.XLOOKUP("[S06_AccredCertVerifiersAnnexI][34][AccredCertScope]",Submission!$O:$O,Submission!$H:$N,""))</f>
        <v/>
      </c>
      <c r="D50" s="413"/>
      <c r="E50" s="413"/>
      <c r="F50" s="413"/>
      <c r="G50" s="414"/>
      <c r="H50" s="132" t="str">
        <f>_xlfn.CONCAT(_xlfn.XLOOKUP("[S06_AccredCertVerifiersAnnexI][34][NumberAccredited]",Submission!$O:$O,Submission!$H:$N,""))</f>
        <v/>
      </c>
      <c r="I50" s="132" t="str">
        <f>_xlfn.CONCAT(_xlfn.XLOOKUP("[S06_AccredCertVerifiersAnnexI][34][NumberCertified]",Submission!$O:$O,Submission!$H:$N,""))</f>
        <v/>
      </c>
    </row>
    <row r="51" spans="1:9" ht="15.9" customHeight="1" collapsed="1" x14ac:dyDescent="0.3">
      <c r="A51" s="13"/>
      <c r="B51" s="26" t="s">
        <v>1000</v>
      </c>
      <c r="C51" s="19"/>
      <c r="D51" s="20"/>
      <c r="E51" s="20"/>
      <c r="F51" s="20"/>
      <c r="G51" s="20"/>
      <c r="H51" s="20"/>
      <c r="I51" s="20"/>
    </row>
    <row r="52" spans="1:9" ht="15.9" customHeight="1" x14ac:dyDescent="0.3">
      <c r="B52" s="20"/>
      <c r="C52" s="20"/>
      <c r="D52" s="20"/>
      <c r="E52" s="20"/>
      <c r="F52" s="20"/>
      <c r="G52" s="20"/>
      <c r="H52" s="20"/>
      <c r="I52" s="20"/>
    </row>
    <row r="53" spans="1:9" ht="26.4" customHeight="1" x14ac:dyDescent="0.3">
      <c r="A53" s="12" t="s">
        <v>358</v>
      </c>
      <c r="B53" s="340" t="s">
        <v>1001</v>
      </c>
      <c r="C53" s="294"/>
      <c r="D53" s="294"/>
      <c r="E53" s="294"/>
      <c r="F53" s="294"/>
      <c r="G53" s="294"/>
      <c r="H53" s="294"/>
      <c r="I53" s="294"/>
    </row>
    <row r="54" spans="1:9" ht="15.9" customHeight="1" x14ac:dyDescent="0.3">
      <c r="A54" s="13"/>
      <c r="C54" s="303" t="s">
        <v>1002</v>
      </c>
      <c r="D54" s="304"/>
      <c r="E54" s="304"/>
      <c r="F54" s="304"/>
      <c r="G54" s="304"/>
      <c r="H54" s="304"/>
      <c r="I54" s="305"/>
    </row>
    <row r="55" spans="1:9" ht="43.95" customHeight="1" x14ac:dyDescent="0.3">
      <c r="A55" s="13"/>
      <c r="C55" s="434" t="s">
        <v>1003</v>
      </c>
      <c r="D55" s="435"/>
      <c r="E55" s="435"/>
      <c r="F55" s="436"/>
      <c r="G55" s="303" t="s">
        <v>1004</v>
      </c>
      <c r="H55" s="305"/>
      <c r="I55" s="42" t="s">
        <v>1005</v>
      </c>
    </row>
    <row r="56" spans="1:9" ht="24" customHeight="1" x14ac:dyDescent="0.3">
      <c r="A56" s="13"/>
      <c r="C56" s="437"/>
      <c r="D56" s="438"/>
      <c r="E56" s="438"/>
      <c r="F56" s="439"/>
      <c r="G56" s="284" t="str">
        <f>_xlfn.CONCAT(_xlfn.XLOOKUP("[S06_ApplicationInformationExchangeRequirements1][1][FromOwnMS]",Submission!$O:$O,Submission!$H:$N,""))</f>
        <v>Yes</v>
      </c>
      <c r="H56" s="285"/>
      <c r="I56" s="47" t="str">
        <f>_xlfn.CONCAT(_xlfn.XLOOKUP("[S06_ApplicationInformationExchangeRequirements1][1][FromOtherMS]",Submission!$O:$O,Submission!$H:$N,""))</f>
        <v>Yes</v>
      </c>
    </row>
    <row r="57" spans="1:9" ht="43.95" customHeight="1" x14ac:dyDescent="0.3">
      <c r="A57" s="13"/>
      <c r="C57" s="434" t="s">
        <v>1006</v>
      </c>
      <c r="D57" s="435"/>
      <c r="E57" s="435"/>
      <c r="F57" s="436"/>
      <c r="G57" s="303" t="s">
        <v>1004</v>
      </c>
      <c r="H57" s="305"/>
      <c r="I57" s="42" t="s">
        <v>1005</v>
      </c>
    </row>
    <row r="58" spans="1:9" ht="24" customHeight="1" x14ac:dyDescent="0.3">
      <c r="A58" s="13"/>
      <c r="C58" s="437"/>
      <c r="D58" s="438"/>
      <c r="E58" s="438"/>
      <c r="F58" s="439"/>
      <c r="G58" s="284" t="str">
        <f>_xlfn.CONCAT(_xlfn.XLOOKUP("[S06_ApplicationInformationExchangeRequirements1][2][FromOwnMS]",Submission!$O:$O,Submission!$H:$N,""))</f>
        <v>Yes</v>
      </c>
      <c r="H58" s="285"/>
      <c r="I58" s="47" t="str">
        <f>_xlfn.CONCAT(_xlfn.XLOOKUP("[S06_ApplicationInformationExchangeRequirements1][2][FromOtherMS]",Submission!$O:$O,Submission!$H:$N,""))</f>
        <v>Yes</v>
      </c>
    </row>
    <row r="59" spans="1:9" ht="43.95" customHeight="1" x14ac:dyDescent="0.3">
      <c r="A59" s="13"/>
      <c r="C59" s="434" t="s">
        <v>1007</v>
      </c>
      <c r="D59" s="435"/>
      <c r="E59" s="435"/>
      <c r="F59" s="436"/>
      <c r="G59" s="303" t="s">
        <v>1008</v>
      </c>
      <c r="H59" s="305"/>
      <c r="I59" s="42" t="s">
        <v>1009</v>
      </c>
    </row>
    <row r="60" spans="1:9" ht="24" customHeight="1" x14ac:dyDescent="0.3">
      <c r="A60" s="13"/>
      <c r="C60" s="437"/>
      <c r="D60" s="438"/>
      <c r="E60" s="438"/>
      <c r="F60" s="439"/>
      <c r="G60" s="284" t="str">
        <f>_xlfn.CONCAT(_xlfn.XLOOKUP("[S06_ApplicationInformationExchangeRequirements1][3][FromOwnMS]",Submission!$O:$O,Submission!$H:$N,""))</f>
        <v>Yes</v>
      </c>
      <c r="H60" s="285"/>
      <c r="I60" s="47" t="str">
        <f>_xlfn.CONCAT(_xlfn.XLOOKUP("[S06_ApplicationInformationExchangeRequirements1][3][FromOtherMS]",Submission!$O:$O,Submission!$H:$N,""))</f>
        <v>Yes</v>
      </c>
    </row>
    <row r="61" spans="1:9" ht="26.4" customHeight="1" x14ac:dyDescent="0.3">
      <c r="A61" s="13"/>
      <c r="C61" s="434" t="s">
        <v>1010</v>
      </c>
      <c r="D61" s="435"/>
      <c r="E61" s="435"/>
      <c r="F61" s="436"/>
      <c r="G61" s="42" t="s">
        <v>1011</v>
      </c>
      <c r="H61" s="42" t="s">
        <v>1012</v>
      </c>
      <c r="I61" s="42" t="s">
        <v>1013</v>
      </c>
    </row>
    <row r="62" spans="1:9" ht="24" customHeight="1" x14ac:dyDescent="0.3">
      <c r="A62" s="13"/>
      <c r="C62" s="437"/>
      <c r="D62" s="438"/>
      <c r="E62" s="438"/>
      <c r="F62" s="439"/>
      <c r="G62" s="105" t="str">
        <f>_xlfn.CONCAT(_xlfn.XLOOKUP("[S06_ApplicationInformationExchangeRequirements2][1][NumberImposedOnVerifiersSuspension]",Submission!$O:$O,Submission!$H:$N,""))</f>
        <v>0</v>
      </c>
      <c r="H62" s="105" t="str">
        <f>_xlfn.CONCAT(_xlfn.XLOOKUP("[S06_ApplicationInformationExchangeRequirements2][1][NumberImposedOnVerifiersWithdrawal]",Submission!$O:$O,Submission!$H:$N,""))</f>
        <v>0</v>
      </c>
      <c r="I62" s="105" t="str">
        <f>_xlfn.CONCAT(_xlfn.XLOOKUP("[S06_ApplicationInformationExchangeRequirements2][1][NumberImposedOnVerifiersReductionOfScope]",Submission!$O:$O,Submission!$H:$N,""))</f>
        <v>0</v>
      </c>
    </row>
    <row r="63" spans="1:9" ht="26.4" customHeight="1" x14ac:dyDescent="0.3">
      <c r="A63" s="13"/>
      <c r="C63" s="434" t="s">
        <v>1014</v>
      </c>
      <c r="D63" s="435"/>
      <c r="E63" s="435"/>
      <c r="F63" s="436"/>
      <c r="G63" s="42" t="s">
        <v>1011</v>
      </c>
      <c r="H63" s="42" t="s">
        <v>1012</v>
      </c>
      <c r="I63" s="42" t="s">
        <v>1013</v>
      </c>
    </row>
    <row r="64" spans="1:9" ht="24" customHeight="1" x14ac:dyDescent="0.3">
      <c r="A64" s="13"/>
      <c r="C64" s="437"/>
      <c r="D64" s="438"/>
      <c r="E64" s="438"/>
      <c r="F64" s="439"/>
      <c r="G64" s="105" t="str">
        <f>_xlfn.CONCAT(_xlfn.XLOOKUP("[S06_ApplicationInformationExchangeRequirements2][2][NumberImposedOnVerifiersSuspension]",Submission!$O:$O,Submission!$H:$N,""))</f>
        <v/>
      </c>
      <c r="H64" s="105" t="str">
        <f>_xlfn.CONCAT(_xlfn.XLOOKUP("[S06_ApplicationInformationExchangeRequirements2][2][NumberImposedOnVerifiersWithdrawal]",Submission!$O:$O,Submission!$H:$N,""))</f>
        <v/>
      </c>
      <c r="I64" s="105" t="str">
        <f>_xlfn.CONCAT(_xlfn.XLOOKUP("[S06_ApplicationInformationExchangeRequirements2][2][NumberImposedOnVerifiersReductionOfScope]",Submission!$O:$O,Submission!$H:$N,""))</f>
        <v/>
      </c>
    </row>
    <row r="65" spans="1:9" ht="45.6" customHeight="1" x14ac:dyDescent="0.3">
      <c r="C65" s="246" t="s">
        <v>1015</v>
      </c>
      <c r="D65" s="263"/>
      <c r="E65" s="263"/>
      <c r="F65" s="264"/>
      <c r="G65" s="341" t="str">
        <f>_xlfn.CONCAT(_xlfn.XLOOKUP("[S06_ApplicationInformationExchangeRequirements3][0][TimesSurveillanceRequested]",Submission!$O:$O,Submission!$H:$N,""))</f>
        <v>0</v>
      </c>
      <c r="H65" s="355"/>
      <c r="I65" s="356"/>
    </row>
    <row r="66" spans="1:9" ht="43.95" customHeight="1" x14ac:dyDescent="0.3">
      <c r="A66" s="13"/>
      <c r="C66" s="434" t="s">
        <v>1016</v>
      </c>
      <c r="D66" s="435"/>
      <c r="E66" s="435"/>
      <c r="F66" s="436"/>
      <c r="G66" s="42" t="s">
        <v>1017</v>
      </c>
      <c r="H66" s="42" t="s">
        <v>1018</v>
      </c>
      <c r="I66" s="42" t="s">
        <v>1019</v>
      </c>
    </row>
    <row r="67" spans="1:9" ht="24" customHeight="1" x14ac:dyDescent="0.3">
      <c r="A67" s="13"/>
      <c r="C67" s="437"/>
      <c r="D67" s="438"/>
      <c r="E67" s="438"/>
      <c r="F67" s="439"/>
      <c r="G67" s="105" t="str">
        <f>_xlfn.CONCAT(_xlfn.XLOOKUP("[S06_ApplicationInformationExchangeRequirements4][1][NumberOfIssues]",Submission!$O:$O,Submission!$H:$N,""))</f>
        <v>0</v>
      </c>
      <c r="H67" s="105" t="str">
        <f>_xlfn.CONCAT(_xlfn.XLOOKUP("[S06_ApplicationInformationExchangeRequirements4][1][NumberOfIssuesResolved]",Submission!$O:$O,Submission!$H:$N,""))</f>
        <v>0</v>
      </c>
      <c r="I67" s="105" t="str">
        <f>_xlfn.CONCAT(_xlfn.XLOOKUP("[S06_ApplicationInformationExchangeRequirements4][1][NumberOfPriorIssuesResolved]",Submission!$O:$O,Submission!$H:$N,""))</f>
        <v>0</v>
      </c>
    </row>
    <row r="68" spans="1:9" ht="43.95" customHeight="1" x14ac:dyDescent="0.3">
      <c r="C68" s="434" t="s">
        <v>1020</v>
      </c>
      <c r="D68" s="435"/>
      <c r="E68" s="435"/>
      <c r="F68" s="436"/>
      <c r="G68" s="42" t="s">
        <v>1017</v>
      </c>
      <c r="H68" s="42" t="s">
        <v>1018</v>
      </c>
      <c r="I68" s="42" t="s">
        <v>1019</v>
      </c>
    </row>
    <row r="69" spans="1:9" ht="24" customHeight="1" x14ac:dyDescent="0.3">
      <c r="A69" s="13"/>
      <c r="C69" s="437"/>
      <c r="D69" s="438"/>
      <c r="E69" s="438"/>
      <c r="F69" s="439"/>
      <c r="G69" s="105" t="str">
        <f>_xlfn.CONCAT(_xlfn.XLOOKUP("[S06_ApplicationInformationExchangeRequirements4][2][NumberOfIssues]",Submission!$O:$O,Submission!$H:$N,""))</f>
        <v>0</v>
      </c>
      <c r="H69" s="105" t="str">
        <f>_xlfn.CONCAT(_xlfn.XLOOKUP("[S06_ApplicationInformationExchangeRequirements4][2][NumberOfIssuesResolved]",Submission!$O:$O,Submission!$H:$N,""))</f>
        <v>0</v>
      </c>
      <c r="I69" s="105" t="str">
        <f>_xlfn.CONCAT(_xlfn.XLOOKUP("[S06_ApplicationInformationExchangeRequirements4][2][NumberOfPriorIssuesResolved]",Submission!$O:$O,Submission!$H:$N,""))</f>
        <v>0</v>
      </c>
    </row>
    <row r="70" spans="1:9" ht="43.95" customHeight="1" x14ac:dyDescent="0.3">
      <c r="C70" s="434" t="s">
        <v>1021</v>
      </c>
      <c r="D70" s="435"/>
      <c r="E70" s="435"/>
      <c r="F70" s="436"/>
      <c r="G70" s="42" t="s">
        <v>1022</v>
      </c>
      <c r="H70" s="42" t="s">
        <v>1018</v>
      </c>
      <c r="I70" s="42" t="s">
        <v>1019</v>
      </c>
    </row>
    <row r="71" spans="1:9" ht="24" customHeight="1" x14ac:dyDescent="0.3">
      <c r="A71" s="13"/>
      <c r="C71" s="437"/>
      <c r="D71" s="438"/>
      <c r="E71" s="438"/>
      <c r="F71" s="439"/>
      <c r="G71" s="105" t="str">
        <f>_xlfn.CONCAT(_xlfn.XLOOKUP("[S06_ApplicationInformationExchangeRequirements4][3][NumberOfIssues]",Submission!$O:$O,Submission!$H:$N,""))</f>
        <v>10</v>
      </c>
      <c r="H71" s="105" t="str">
        <f>_xlfn.CONCAT(_xlfn.XLOOKUP("[S06_ApplicationInformationExchangeRequirements4][3][NumberOfIssuesResolved]",Submission!$O:$O,Submission!$H:$N,""))</f>
        <v>10</v>
      </c>
      <c r="I71" s="105" t="str">
        <f>_xlfn.CONCAT(_xlfn.XLOOKUP("[S06_ApplicationInformationExchangeRequirements4][3][NumberOfPriorIssuesResolved]",Submission!$O:$O,Submission!$H:$N,""))</f>
        <v>0</v>
      </c>
    </row>
    <row r="72" spans="1:9" ht="15.9" customHeight="1" x14ac:dyDescent="0.3">
      <c r="A72" s="13"/>
      <c r="C72" s="395" t="s">
        <v>1023</v>
      </c>
      <c r="D72" s="395"/>
      <c r="E72" s="395"/>
      <c r="F72" s="395"/>
      <c r="G72" s="395"/>
      <c r="H72" s="395"/>
      <c r="I72" s="395"/>
    </row>
    <row r="73" spans="1:9" ht="15.9" customHeight="1" x14ac:dyDescent="0.3">
      <c r="A73" s="13"/>
      <c r="C73" s="248" t="s">
        <v>1024</v>
      </c>
      <c r="D73" s="248"/>
      <c r="E73" s="248"/>
      <c r="F73" s="248"/>
      <c r="G73" s="248"/>
      <c r="H73" s="248"/>
      <c r="I73" s="248"/>
    </row>
    <row r="74" spans="1:9" ht="15.9" customHeight="1" x14ac:dyDescent="0.3">
      <c r="A74" s="13"/>
      <c r="C74" s="24"/>
      <c r="D74" s="24"/>
      <c r="E74" s="24"/>
      <c r="F74" s="24"/>
      <c r="G74" s="118"/>
      <c r="H74" s="118"/>
      <c r="I74" s="24"/>
    </row>
    <row r="75" spans="1:9" ht="18.899999999999999" customHeight="1" x14ac:dyDescent="0.35">
      <c r="A75" s="85" t="s">
        <v>1025</v>
      </c>
      <c r="B75" s="325" t="s">
        <v>74</v>
      </c>
      <c r="C75" s="325"/>
      <c r="D75" s="325"/>
      <c r="E75" s="325"/>
      <c r="F75" s="325"/>
      <c r="G75" s="325"/>
      <c r="H75" s="325"/>
      <c r="I75" s="326"/>
    </row>
    <row r="76" spans="1:9" ht="36.6" customHeight="1" x14ac:dyDescent="0.3">
      <c r="A76" s="12" t="s">
        <v>365</v>
      </c>
      <c r="B76" s="328" t="s">
        <v>1026</v>
      </c>
      <c r="C76" s="329"/>
      <c r="D76" s="329"/>
      <c r="E76" s="329"/>
      <c r="F76" s="329"/>
      <c r="G76" s="329"/>
      <c r="H76" s="329"/>
      <c r="I76" s="329"/>
    </row>
    <row r="77" spans="1:9" ht="41.4" x14ac:dyDescent="0.3">
      <c r="A77" s="13"/>
      <c r="C77" s="46" t="s">
        <v>869</v>
      </c>
      <c r="D77" s="46" t="s">
        <v>1027</v>
      </c>
      <c r="E77" s="45" t="s">
        <v>1028</v>
      </c>
      <c r="F77" s="46" t="s">
        <v>1029</v>
      </c>
      <c r="G77" s="46" t="s">
        <v>1030</v>
      </c>
      <c r="H77" s="46" t="s">
        <v>1031</v>
      </c>
      <c r="I77" s="46" t="s">
        <v>1032</v>
      </c>
    </row>
    <row r="78" spans="1:9" ht="60.6" customHeight="1" x14ac:dyDescent="0.3">
      <c r="A78" s="13"/>
      <c r="C78" s="72" t="str">
        <f>_xlfn.CONCAT(_xlfn.XLOOKUP("[S06_InstallationsConservativeEstimates][1][InstallationID]",Submission!$O:$O,Submission!$H:$N,""))</f>
        <v>204321</v>
      </c>
      <c r="D78" s="105" t="str">
        <f>_xlfn.CONCAT(_xlfn.XLOOKUP("[S06_InstallationsConservativeEstimates][1][InstallationAnnualEmissionstCO2e]",Submission!$O:$O,Submission!$H:$N,""))</f>
        <v>0</v>
      </c>
      <c r="E78" s="157" t="str">
        <f>_xlfn.CONCAT(_xlfn.XLOOKUP("[S06_InstallationsConservativeEstimates][1][ReasonConservativeEstimate]",Submission!$O:$O,Submission!$H:$N,""))</f>
        <v>No emission report submitted by the 31st of March</v>
      </c>
      <c r="F78" s="183" t="str">
        <f>_xlfn.CONCAT(_xlfn.XLOOKUP("[S06_InstallationsConservativeEstimates][1][InstallationConservativeShare]",Submission!$O:$O,Submission!$H:$N,""))</f>
        <v>1</v>
      </c>
      <c r="G78" s="72" t="str">
        <f>_xlfn.CONCAT(_xlfn.XLOOKUP("[S06_InstallationsConservativeEstimates][1][ConservativeMethod]",Submission!$O:$O,Submission!$H:$N,""))</f>
        <v>According to the inspection report and other information and knowledge, it is clear that there were no business activities in the plant and that the technological process did not take place in 2021.</v>
      </c>
      <c r="H78" s="72" t="str">
        <f>_xlfn.CONCAT(_xlfn.XLOOKUP("[S06_InstallationsConservativeEstimates][1][FurtherAction]",Submission!$O:$O,Submission!$H:$N,""))</f>
        <v>Reminder or formal warnings on sanctions sent to operator</v>
      </c>
      <c r="I78" s="72" t="str">
        <f>_xlfn.CONCAT(_xlfn.XLOOKUP("[S06_InstallationsConservativeEstimates][1][OtherAction]",Submission!$O:$O,Submission!$H:$N,""))</f>
        <v/>
      </c>
    </row>
    <row r="79" spans="1:9" ht="60.6" customHeight="1" x14ac:dyDescent="0.3">
      <c r="A79" s="13"/>
      <c r="C79" s="72" t="str">
        <f>_xlfn.CONCAT(_xlfn.XLOOKUP("[S06_InstallationsConservativeEstimates][2][InstallationID]",Submission!$O:$O,Submission!$H:$N,""))</f>
        <v/>
      </c>
      <c r="D79" s="105" t="str">
        <f>_xlfn.CONCAT(_xlfn.XLOOKUP("[S06_InstallationsConservativeEstimates][2][InstallationAnnualEmissionstCO2e]",Submission!$O:$O,Submission!$H:$N,""))</f>
        <v/>
      </c>
      <c r="E79" s="157" t="str">
        <f>_xlfn.CONCAT(_xlfn.XLOOKUP("[S06_InstallationsConservativeEstimates][2][ReasonConservativeEstimate]",Submission!$O:$O,Submission!$H:$N,""))</f>
        <v/>
      </c>
      <c r="F79" s="183" t="str">
        <f>_xlfn.CONCAT(_xlfn.XLOOKUP("[S06_InstallationsConservativeEstimates][2][InstallationConservativeShare]",Submission!$O:$O,Submission!$H:$N,""))</f>
        <v/>
      </c>
      <c r="G79" s="72" t="str">
        <f>_xlfn.CONCAT(_xlfn.XLOOKUP("[S06_InstallationsConservativeEstimates][2][ConservativeMethod]",Submission!$O:$O,Submission!$H:$N,""))</f>
        <v/>
      </c>
      <c r="H79" s="72" t="str">
        <f>_xlfn.CONCAT(_xlfn.XLOOKUP("[S06_InstallationsConservativeEstimates][2][FurtherAction]",Submission!$O:$O,Submission!$H:$N,""))</f>
        <v/>
      </c>
      <c r="I79" s="72" t="str">
        <f>_xlfn.CONCAT(_xlfn.XLOOKUP("[S06_InstallationsConservativeEstimates][2][OtherAction]",Submission!$O:$O,Submission!$H:$N,""))</f>
        <v/>
      </c>
    </row>
    <row r="80" spans="1:9" ht="60.6" customHeight="1" x14ac:dyDescent="0.3">
      <c r="A80" s="13"/>
      <c r="C80" s="72" t="str">
        <f>_xlfn.CONCAT(_xlfn.XLOOKUP("[S06_InstallationsConservativeEstimates][3][InstallationID]",Submission!$O:$O,Submission!$H:$N,""))</f>
        <v/>
      </c>
      <c r="D80" s="105" t="str">
        <f>_xlfn.CONCAT(_xlfn.XLOOKUP("[S06_InstallationsConservativeEstimates][3][InstallationAnnualEmissionstCO2e]",Submission!$O:$O,Submission!$H:$N,""))</f>
        <v/>
      </c>
      <c r="E80" s="157" t="str">
        <f>_xlfn.CONCAT(_xlfn.XLOOKUP("[S06_InstallationsConservativeEstimates][3][ReasonConservativeEstimate]",Submission!$O:$O,Submission!$H:$N,""))</f>
        <v/>
      </c>
      <c r="F80" s="183" t="str">
        <f>_xlfn.CONCAT(_xlfn.XLOOKUP("[S06_InstallationsConservativeEstimates][3][InstallationConservativeShare]",Submission!$O:$O,Submission!$H:$N,""))</f>
        <v/>
      </c>
      <c r="G80" s="72" t="str">
        <f>_xlfn.CONCAT(_xlfn.XLOOKUP("[S06_InstallationsConservativeEstimates][3][ConservativeMethod]",Submission!$O:$O,Submission!$H:$N,""))</f>
        <v/>
      </c>
      <c r="H80" s="72" t="str">
        <f>_xlfn.CONCAT(_xlfn.XLOOKUP("[S06_InstallationsConservativeEstimates][3][FurtherAction]",Submission!$O:$O,Submission!$H:$N,""))</f>
        <v/>
      </c>
      <c r="I80" s="72" t="str">
        <f>_xlfn.CONCAT(_xlfn.XLOOKUP("[S06_InstallationsConservativeEstimates][3][OtherAction]",Submission!$O:$O,Submission!$H:$N,""))</f>
        <v/>
      </c>
    </row>
    <row r="81" spans="1:9" ht="60.6" customHeight="1" x14ac:dyDescent="0.3">
      <c r="A81" s="13"/>
      <c r="C81" s="72" t="str">
        <f>_xlfn.CONCAT(_xlfn.XLOOKUP("[S06_InstallationsConservativeEstimates][4][InstallationID]",Submission!$O:$O,Submission!$H:$N,""))</f>
        <v/>
      </c>
      <c r="D81" s="105" t="str">
        <f>_xlfn.CONCAT(_xlfn.XLOOKUP("[S06_InstallationsConservativeEstimates][4][InstallationAnnualEmissionstCO2e]",Submission!$O:$O,Submission!$H:$N,""))</f>
        <v/>
      </c>
      <c r="E81" s="157" t="str">
        <f>_xlfn.CONCAT(_xlfn.XLOOKUP("[S06_InstallationsConservativeEstimates][4][ReasonConservativeEstimate]",Submission!$O:$O,Submission!$H:$N,""))</f>
        <v/>
      </c>
      <c r="F81" s="183" t="str">
        <f>_xlfn.CONCAT(_xlfn.XLOOKUP("[S06_InstallationsConservativeEstimates][4][InstallationConservativeShare]",Submission!$O:$O,Submission!$H:$N,""))</f>
        <v/>
      </c>
      <c r="G81" s="72" t="str">
        <f>_xlfn.CONCAT(_xlfn.XLOOKUP("[S06_InstallationsConservativeEstimates][4][ConservativeMethod]",Submission!$O:$O,Submission!$H:$N,""))</f>
        <v/>
      </c>
      <c r="H81" s="72" t="str">
        <f>_xlfn.CONCAT(_xlfn.XLOOKUP("[S06_InstallationsConservativeEstimates][4][FurtherAction]",Submission!$O:$O,Submission!$H:$N,""))</f>
        <v/>
      </c>
      <c r="I81" s="72" t="str">
        <f>_xlfn.CONCAT(_xlfn.XLOOKUP("[S06_InstallationsConservativeEstimates][4][OtherAction]",Submission!$O:$O,Submission!$H:$N,""))</f>
        <v/>
      </c>
    </row>
    <row r="82" spans="1:9" ht="60.6" customHeight="1" x14ac:dyDescent="0.3">
      <c r="A82" s="13"/>
      <c r="C82" s="72" t="str">
        <f>_xlfn.CONCAT(_xlfn.XLOOKUP("[S06_InstallationsConservativeEstimates][5][InstallationID]",Submission!$O:$O,Submission!$H:$N,""))</f>
        <v/>
      </c>
      <c r="D82" s="105" t="str">
        <f>_xlfn.CONCAT(_xlfn.XLOOKUP("[S06_InstallationsConservativeEstimates][5][InstallationAnnualEmissionstCO2e]",Submission!$O:$O,Submission!$H:$N,""))</f>
        <v/>
      </c>
      <c r="E82" s="157" t="str">
        <f>_xlfn.CONCAT(_xlfn.XLOOKUP("[S06_InstallationsConservativeEstimates][5][ReasonConservativeEstimate]",Submission!$O:$O,Submission!$H:$N,""))</f>
        <v/>
      </c>
      <c r="F82" s="183" t="str">
        <f>_xlfn.CONCAT(_xlfn.XLOOKUP("[S06_InstallationsConservativeEstimates][5][InstallationConservativeShare]",Submission!$O:$O,Submission!$H:$N,""))</f>
        <v/>
      </c>
      <c r="G82" s="72" t="str">
        <f>_xlfn.CONCAT(_xlfn.XLOOKUP("[S06_InstallationsConservativeEstimates][5][ConservativeMethod]",Submission!$O:$O,Submission!$H:$N,""))</f>
        <v/>
      </c>
      <c r="H82" s="72" t="str">
        <f>_xlfn.CONCAT(_xlfn.XLOOKUP("[S06_InstallationsConservativeEstimates][5][FurtherAction]",Submission!$O:$O,Submission!$H:$N,""))</f>
        <v/>
      </c>
      <c r="I82" s="72" t="str">
        <f>_xlfn.CONCAT(_xlfn.XLOOKUP("[S06_InstallationsConservativeEstimates][5][OtherAction]",Submission!$O:$O,Submission!$H:$N,""))</f>
        <v/>
      </c>
    </row>
    <row r="83" spans="1:9" ht="60.6" customHeight="1" x14ac:dyDescent="0.3">
      <c r="A83" s="13"/>
      <c r="C83" s="72" t="str">
        <f>_xlfn.CONCAT(_xlfn.XLOOKUP("[S06_InstallationsConservativeEstimates][6][InstallationID]",Submission!$O:$O,Submission!$H:$N,""))</f>
        <v/>
      </c>
      <c r="D83" s="105" t="str">
        <f>_xlfn.CONCAT(_xlfn.XLOOKUP("[S06_InstallationsConservativeEstimates][6][InstallationAnnualEmissionstCO2e]",Submission!$O:$O,Submission!$H:$N,""))</f>
        <v/>
      </c>
      <c r="E83" s="157" t="str">
        <f>_xlfn.CONCAT(_xlfn.XLOOKUP("[S06_InstallationsConservativeEstimates][6][ReasonConservativeEstimate]",Submission!$O:$O,Submission!$H:$N,""))</f>
        <v/>
      </c>
      <c r="F83" s="183" t="str">
        <f>_xlfn.CONCAT(_xlfn.XLOOKUP("[S06_InstallationsConservativeEstimates][6][InstallationConservativeShare]",Submission!$O:$O,Submission!$H:$N,""))</f>
        <v/>
      </c>
      <c r="G83" s="72" t="str">
        <f>_xlfn.CONCAT(_xlfn.XLOOKUP("[S06_InstallationsConservativeEstimates][6][ConservativeMethod]",Submission!$O:$O,Submission!$H:$N,""))</f>
        <v/>
      </c>
      <c r="H83" s="72" t="str">
        <f>_xlfn.CONCAT(_xlfn.XLOOKUP("[S06_InstallationsConservativeEstimates][6][FurtherAction]",Submission!$O:$O,Submission!$H:$N,""))</f>
        <v/>
      </c>
      <c r="I83" s="72" t="str">
        <f>_xlfn.CONCAT(_xlfn.XLOOKUP("[S06_InstallationsConservativeEstimates][6][OtherAction]",Submission!$O:$O,Submission!$H:$N,""))</f>
        <v/>
      </c>
    </row>
    <row r="84" spans="1:9" ht="60.6" hidden="1" customHeight="1" outlineLevel="1" x14ac:dyDescent="0.3">
      <c r="A84" s="13"/>
      <c r="C84" s="72" t="str">
        <f>_xlfn.CONCAT(_xlfn.XLOOKUP("[S06_InstallationsConservativeEstimates][7][InstallationID]",Submission!$O:$O,Submission!$H:$N,""))</f>
        <v/>
      </c>
      <c r="D84" s="105" t="str">
        <f>_xlfn.CONCAT(_xlfn.XLOOKUP("[S06_InstallationsConservativeEstimates][7][InstallationAnnualEmissionstCO2e]",Submission!$O:$O,Submission!$H:$N,""))</f>
        <v/>
      </c>
      <c r="E84" s="157" t="str">
        <f>_xlfn.CONCAT(_xlfn.XLOOKUP("[S06_InstallationsConservativeEstimates][7][ReasonConservativeEstimate]",Submission!$O:$O,Submission!$H:$N,""))</f>
        <v/>
      </c>
      <c r="F84" s="183" t="str">
        <f>_xlfn.CONCAT(_xlfn.XLOOKUP("[S06_InstallationsConservativeEstimates][7][InstallationConservativeShare]",Submission!$O:$O,Submission!$H:$N,""))</f>
        <v/>
      </c>
      <c r="G84" s="72" t="str">
        <f>_xlfn.CONCAT(_xlfn.XLOOKUP("[S06_InstallationsConservativeEstimates][7][ConservativeMethod]",Submission!$O:$O,Submission!$H:$N,""))</f>
        <v/>
      </c>
      <c r="H84" s="72" t="str">
        <f>_xlfn.CONCAT(_xlfn.XLOOKUP("[S06_InstallationsConservativeEstimates][7][FurtherAction]",Submission!$O:$O,Submission!$H:$N,""))</f>
        <v/>
      </c>
      <c r="I84" s="72" t="str">
        <f>_xlfn.CONCAT(_xlfn.XLOOKUP("[S06_InstallationsConservativeEstimates][7][OtherAction]",Submission!$O:$O,Submission!$H:$N,""))</f>
        <v/>
      </c>
    </row>
    <row r="85" spans="1:9" ht="60.6" hidden="1" customHeight="1" outlineLevel="1" x14ac:dyDescent="0.3">
      <c r="A85" s="13"/>
      <c r="C85" s="72" t="str">
        <f>_xlfn.CONCAT(_xlfn.XLOOKUP("[S06_InstallationsConservativeEstimates][8][InstallationID]",Submission!$O:$O,Submission!$H:$N,""))</f>
        <v/>
      </c>
      <c r="D85" s="105" t="str">
        <f>_xlfn.CONCAT(_xlfn.XLOOKUP("[S06_InstallationsConservativeEstimates][8][InstallationAnnualEmissionstCO2e]",Submission!$O:$O,Submission!$H:$N,""))</f>
        <v/>
      </c>
      <c r="E85" s="157" t="str">
        <f>_xlfn.CONCAT(_xlfn.XLOOKUP("[S06_InstallationsConservativeEstimates][8][ReasonConservativeEstimate]",Submission!$O:$O,Submission!$H:$N,""))</f>
        <v/>
      </c>
      <c r="F85" s="183" t="str">
        <f>_xlfn.CONCAT(_xlfn.XLOOKUP("[S06_InstallationsConservativeEstimates][8][InstallationConservativeShare]",Submission!$O:$O,Submission!$H:$N,""))</f>
        <v/>
      </c>
      <c r="G85" s="72" t="str">
        <f>_xlfn.CONCAT(_xlfn.XLOOKUP("[S06_InstallationsConservativeEstimates][8][ConservativeMethod]",Submission!$O:$O,Submission!$H:$N,""))</f>
        <v/>
      </c>
      <c r="H85" s="72" t="str">
        <f>_xlfn.CONCAT(_xlfn.XLOOKUP("[S06_InstallationsConservativeEstimates][8][FurtherAction]",Submission!$O:$O,Submission!$H:$N,""))</f>
        <v/>
      </c>
      <c r="I85" s="72" t="str">
        <f>_xlfn.CONCAT(_xlfn.XLOOKUP("[S06_InstallationsConservativeEstimates][8][OtherAction]",Submission!$O:$O,Submission!$H:$N,""))</f>
        <v/>
      </c>
    </row>
    <row r="86" spans="1:9" ht="60.6" hidden="1" customHeight="1" outlineLevel="1" x14ac:dyDescent="0.3">
      <c r="A86" s="13"/>
      <c r="C86" s="72" t="str">
        <f>_xlfn.CONCAT(_xlfn.XLOOKUP("[S06_InstallationsConservativeEstimates][9][InstallationID]",Submission!$O:$O,Submission!$H:$N,""))</f>
        <v/>
      </c>
      <c r="D86" s="105" t="str">
        <f>_xlfn.CONCAT(_xlfn.XLOOKUP("[S06_InstallationsConservativeEstimates][9][InstallationAnnualEmissionstCO2e]",Submission!$O:$O,Submission!$H:$N,""))</f>
        <v/>
      </c>
      <c r="E86" s="157" t="str">
        <f>_xlfn.CONCAT(_xlfn.XLOOKUP("[S06_InstallationsConservativeEstimates][9][ReasonConservativeEstimate]",Submission!$O:$O,Submission!$H:$N,""))</f>
        <v/>
      </c>
      <c r="F86" s="183" t="str">
        <f>_xlfn.CONCAT(_xlfn.XLOOKUP("[S06_InstallationsConservativeEstimates][9][InstallationConservativeShare]",Submission!$O:$O,Submission!$H:$N,""))</f>
        <v/>
      </c>
      <c r="G86" s="72" t="str">
        <f>_xlfn.CONCAT(_xlfn.XLOOKUP("[S06_InstallationsConservativeEstimates][9][ConservativeMethod]",Submission!$O:$O,Submission!$H:$N,""))</f>
        <v/>
      </c>
      <c r="H86" s="72" t="str">
        <f>_xlfn.CONCAT(_xlfn.XLOOKUP("[S06_InstallationsConservativeEstimates][9][FurtherAction]",Submission!$O:$O,Submission!$H:$N,""))</f>
        <v/>
      </c>
      <c r="I86" s="72" t="str">
        <f>_xlfn.CONCAT(_xlfn.XLOOKUP("[S06_InstallationsConservativeEstimates][9][OtherAction]",Submission!$O:$O,Submission!$H:$N,""))</f>
        <v/>
      </c>
    </row>
    <row r="87" spans="1:9" ht="60.6" hidden="1" customHeight="1" outlineLevel="1" x14ac:dyDescent="0.3">
      <c r="A87" s="13"/>
      <c r="C87" s="72" t="str">
        <f>_xlfn.CONCAT(_xlfn.XLOOKUP("[S06_InstallationsConservativeEstimates][10][InstallationID]",Submission!$O:$O,Submission!$H:$N,""))</f>
        <v/>
      </c>
      <c r="D87" s="105" t="str">
        <f>_xlfn.CONCAT(_xlfn.XLOOKUP("[S06_InstallationsConservativeEstimates][10][InstallationAnnualEmissionstCO2e]",Submission!$O:$O,Submission!$H:$N,""))</f>
        <v/>
      </c>
      <c r="E87" s="157" t="str">
        <f>_xlfn.CONCAT(_xlfn.XLOOKUP("[S06_InstallationsConservativeEstimates][10][ReasonConservativeEstimate]",Submission!$O:$O,Submission!$H:$N,""))</f>
        <v/>
      </c>
      <c r="F87" s="183" t="str">
        <f>_xlfn.CONCAT(_xlfn.XLOOKUP("[S06_InstallationsConservativeEstimates][10][InstallationConservativeShare]",Submission!$O:$O,Submission!$H:$N,""))</f>
        <v/>
      </c>
      <c r="G87" s="72" t="str">
        <f>_xlfn.CONCAT(_xlfn.XLOOKUP("[S06_InstallationsConservativeEstimates][10][ConservativeMethod]",Submission!$O:$O,Submission!$H:$N,""))</f>
        <v/>
      </c>
      <c r="H87" s="72" t="str">
        <f>_xlfn.CONCAT(_xlfn.XLOOKUP("[S06_InstallationsConservativeEstimates][10][FurtherAction]",Submission!$O:$O,Submission!$H:$N,""))</f>
        <v/>
      </c>
      <c r="I87" s="72" t="str">
        <f>_xlfn.CONCAT(_xlfn.XLOOKUP("[S06_InstallationsConservativeEstimates][10][OtherAction]",Submission!$O:$O,Submission!$H:$N,""))</f>
        <v/>
      </c>
    </row>
    <row r="88" spans="1:9" ht="60.6" hidden="1" customHeight="1" outlineLevel="1" x14ac:dyDescent="0.3">
      <c r="A88" s="13"/>
      <c r="C88" s="72" t="str">
        <f>_xlfn.CONCAT(_xlfn.XLOOKUP("[S06_InstallationsConservativeEstimates][11][InstallationID]",Submission!$O:$O,Submission!$H:$N,""))</f>
        <v/>
      </c>
      <c r="D88" s="105" t="str">
        <f>_xlfn.CONCAT(_xlfn.XLOOKUP("[S06_InstallationsConservativeEstimates][11][InstallationAnnualEmissionstCO2e]",Submission!$O:$O,Submission!$H:$N,""))</f>
        <v/>
      </c>
      <c r="E88" s="157" t="str">
        <f>_xlfn.CONCAT(_xlfn.XLOOKUP("[S06_InstallationsConservativeEstimates][11][ReasonConservativeEstimate]",Submission!$O:$O,Submission!$H:$N,""))</f>
        <v/>
      </c>
      <c r="F88" s="183" t="str">
        <f>_xlfn.CONCAT(_xlfn.XLOOKUP("[S06_InstallationsConservativeEstimates][11][InstallationConservativeShare]",Submission!$O:$O,Submission!$H:$N,""))</f>
        <v/>
      </c>
      <c r="G88" s="72" t="str">
        <f>_xlfn.CONCAT(_xlfn.XLOOKUP("[S06_InstallationsConservativeEstimates][11][ConservativeMethod]",Submission!$O:$O,Submission!$H:$N,""))</f>
        <v/>
      </c>
      <c r="H88" s="72" t="str">
        <f>_xlfn.CONCAT(_xlfn.XLOOKUP("[S06_InstallationsConservativeEstimates][11][FurtherAction]",Submission!$O:$O,Submission!$H:$N,""))</f>
        <v/>
      </c>
      <c r="I88" s="72" t="str">
        <f>_xlfn.CONCAT(_xlfn.XLOOKUP("[S06_InstallationsConservativeEstimates][11][OtherAction]",Submission!$O:$O,Submission!$H:$N,""))</f>
        <v/>
      </c>
    </row>
    <row r="89" spans="1:9" ht="60.6" hidden="1" customHeight="1" outlineLevel="1" x14ac:dyDescent="0.3">
      <c r="A89" s="13"/>
      <c r="C89" s="72" t="str">
        <f>_xlfn.CONCAT(_xlfn.XLOOKUP("[S06_InstallationsConservativeEstimates][12][InstallationID]",Submission!$O:$O,Submission!$H:$N,""))</f>
        <v/>
      </c>
      <c r="D89" s="105" t="str">
        <f>_xlfn.CONCAT(_xlfn.XLOOKUP("[S06_InstallationsConservativeEstimates][12][InstallationAnnualEmissionstCO2e]",Submission!$O:$O,Submission!$H:$N,""))</f>
        <v/>
      </c>
      <c r="E89" s="157" t="str">
        <f>_xlfn.CONCAT(_xlfn.XLOOKUP("[S06_InstallationsConservativeEstimates][12][ReasonConservativeEstimate]",Submission!$O:$O,Submission!$H:$N,""))</f>
        <v/>
      </c>
      <c r="F89" s="183" t="str">
        <f>_xlfn.CONCAT(_xlfn.XLOOKUP("[S06_InstallationsConservativeEstimates][12][InstallationConservativeShare]",Submission!$O:$O,Submission!$H:$N,""))</f>
        <v/>
      </c>
      <c r="G89" s="72" t="str">
        <f>_xlfn.CONCAT(_xlfn.XLOOKUP("[S06_InstallationsConservativeEstimates][12][ConservativeMethod]",Submission!$O:$O,Submission!$H:$N,""))</f>
        <v/>
      </c>
      <c r="H89" s="72" t="str">
        <f>_xlfn.CONCAT(_xlfn.XLOOKUP("[S06_InstallationsConservativeEstimates][12][FurtherAction]",Submission!$O:$O,Submission!$H:$N,""))</f>
        <v/>
      </c>
      <c r="I89" s="72" t="str">
        <f>_xlfn.CONCAT(_xlfn.XLOOKUP("[S06_InstallationsConservativeEstimates][12][OtherAction]",Submission!$O:$O,Submission!$H:$N,""))</f>
        <v/>
      </c>
    </row>
    <row r="90" spans="1:9" ht="60.6" hidden="1" customHeight="1" outlineLevel="1" x14ac:dyDescent="0.3">
      <c r="A90" s="13"/>
      <c r="C90" s="72" t="str">
        <f>_xlfn.CONCAT(_xlfn.XLOOKUP("[S06_InstallationsConservativeEstimates][13][InstallationID]",Submission!$O:$O,Submission!$H:$N,""))</f>
        <v/>
      </c>
      <c r="D90" s="105" t="str">
        <f>_xlfn.CONCAT(_xlfn.XLOOKUP("[S06_InstallationsConservativeEstimates][13][InstallationAnnualEmissionstCO2e]",Submission!$O:$O,Submission!$H:$N,""))</f>
        <v/>
      </c>
      <c r="E90" s="157" t="str">
        <f>_xlfn.CONCAT(_xlfn.XLOOKUP("[S06_InstallationsConservativeEstimates][13][ReasonConservativeEstimate]",Submission!$O:$O,Submission!$H:$N,""))</f>
        <v/>
      </c>
      <c r="F90" s="183" t="str">
        <f>_xlfn.CONCAT(_xlfn.XLOOKUP("[S06_InstallationsConservativeEstimates][13][InstallationConservativeShare]",Submission!$O:$O,Submission!$H:$N,""))</f>
        <v/>
      </c>
      <c r="G90" s="72" t="str">
        <f>_xlfn.CONCAT(_xlfn.XLOOKUP("[S06_InstallationsConservativeEstimates][13][ConservativeMethod]",Submission!$O:$O,Submission!$H:$N,""))</f>
        <v/>
      </c>
      <c r="H90" s="72" t="str">
        <f>_xlfn.CONCAT(_xlfn.XLOOKUP("[S06_InstallationsConservativeEstimates][13][FurtherAction]",Submission!$O:$O,Submission!$H:$N,""))</f>
        <v/>
      </c>
      <c r="I90" s="72" t="str">
        <f>_xlfn.CONCAT(_xlfn.XLOOKUP("[S06_InstallationsConservativeEstimates][13][OtherAction]",Submission!$O:$O,Submission!$H:$N,""))</f>
        <v/>
      </c>
    </row>
    <row r="91" spans="1:9" ht="60.6" hidden="1" customHeight="1" outlineLevel="1" x14ac:dyDescent="0.3">
      <c r="A91" s="13"/>
      <c r="C91" s="72" t="str">
        <f>_xlfn.CONCAT(_xlfn.XLOOKUP("[S06_InstallationsConservativeEstimates][14][InstallationID]",Submission!$O:$O,Submission!$H:$N,""))</f>
        <v/>
      </c>
      <c r="D91" s="105" t="str">
        <f>_xlfn.CONCAT(_xlfn.XLOOKUP("[S06_InstallationsConservativeEstimates][14][InstallationAnnualEmissionstCO2e]",Submission!$O:$O,Submission!$H:$N,""))</f>
        <v/>
      </c>
      <c r="E91" s="157" t="str">
        <f>_xlfn.CONCAT(_xlfn.XLOOKUP("[S06_InstallationsConservativeEstimates][14][ReasonConservativeEstimate]",Submission!$O:$O,Submission!$H:$N,""))</f>
        <v/>
      </c>
      <c r="F91" s="183" t="str">
        <f>_xlfn.CONCAT(_xlfn.XLOOKUP("[S06_InstallationsConservativeEstimates][14][InstallationConservativeShare]",Submission!$O:$O,Submission!$H:$N,""))</f>
        <v/>
      </c>
      <c r="G91" s="72" t="str">
        <f>_xlfn.CONCAT(_xlfn.XLOOKUP("[S06_InstallationsConservativeEstimates][14][ConservativeMethod]",Submission!$O:$O,Submission!$H:$N,""))</f>
        <v/>
      </c>
      <c r="H91" s="72" t="str">
        <f>_xlfn.CONCAT(_xlfn.XLOOKUP("[S06_InstallationsConservativeEstimates][14][FurtherAction]",Submission!$O:$O,Submission!$H:$N,""))</f>
        <v/>
      </c>
      <c r="I91" s="72" t="str">
        <f>_xlfn.CONCAT(_xlfn.XLOOKUP("[S06_InstallationsConservativeEstimates][14][OtherAction]",Submission!$O:$O,Submission!$H:$N,""))</f>
        <v/>
      </c>
    </row>
    <row r="92" spans="1:9" ht="60.6" hidden="1" customHeight="1" outlineLevel="1" x14ac:dyDescent="0.3">
      <c r="A92" s="13"/>
      <c r="C92" s="72" t="str">
        <f>_xlfn.CONCAT(_xlfn.XLOOKUP("[S06_InstallationsConservativeEstimates][15][InstallationID]",Submission!$O:$O,Submission!$H:$N,""))</f>
        <v/>
      </c>
      <c r="D92" s="105" t="str">
        <f>_xlfn.CONCAT(_xlfn.XLOOKUP("[S06_InstallationsConservativeEstimates][15][InstallationAnnualEmissionstCO2e]",Submission!$O:$O,Submission!$H:$N,""))</f>
        <v/>
      </c>
      <c r="E92" s="157" t="str">
        <f>_xlfn.CONCAT(_xlfn.XLOOKUP("[S06_InstallationsConservativeEstimates][15][ReasonConservativeEstimate]",Submission!$O:$O,Submission!$H:$N,""))</f>
        <v/>
      </c>
      <c r="F92" s="183" t="str">
        <f>_xlfn.CONCAT(_xlfn.XLOOKUP("[S06_InstallationsConservativeEstimates][15][InstallationConservativeShare]",Submission!$O:$O,Submission!$H:$N,""))</f>
        <v/>
      </c>
      <c r="G92" s="72" t="str">
        <f>_xlfn.CONCAT(_xlfn.XLOOKUP("[S06_InstallationsConservativeEstimates][15][ConservativeMethod]",Submission!$O:$O,Submission!$H:$N,""))</f>
        <v/>
      </c>
      <c r="H92" s="72" t="str">
        <f>_xlfn.CONCAT(_xlfn.XLOOKUP("[S06_InstallationsConservativeEstimates][15][FurtherAction]",Submission!$O:$O,Submission!$H:$N,""))</f>
        <v/>
      </c>
      <c r="I92" s="72" t="str">
        <f>_xlfn.CONCAT(_xlfn.XLOOKUP("[S06_InstallationsConservativeEstimates][15][OtherAction]",Submission!$O:$O,Submission!$H:$N,""))</f>
        <v/>
      </c>
    </row>
    <row r="93" spans="1:9" ht="60.6" hidden="1" customHeight="1" outlineLevel="1" x14ac:dyDescent="0.3">
      <c r="A93" s="13"/>
      <c r="C93" s="72" t="str">
        <f>_xlfn.CONCAT(_xlfn.XLOOKUP("[S06_InstallationsConservativeEstimates][16][InstallationID]",Submission!$O:$O,Submission!$H:$N,""))</f>
        <v/>
      </c>
      <c r="D93" s="105" t="str">
        <f>_xlfn.CONCAT(_xlfn.XLOOKUP("[S06_InstallationsConservativeEstimates][16][InstallationAnnualEmissionstCO2e]",Submission!$O:$O,Submission!$H:$N,""))</f>
        <v/>
      </c>
      <c r="E93" s="157" t="str">
        <f>_xlfn.CONCAT(_xlfn.XLOOKUP("[S06_InstallationsConservativeEstimates][16][ReasonConservativeEstimate]",Submission!$O:$O,Submission!$H:$N,""))</f>
        <v/>
      </c>
      <c r="F93" s="183" t="str">
        <f>_xlfn.CONCAT(_xlfn.XLOOKUP("[S06_InstallationsConservativeEstimates][16][InstallationConservativeShare]",Submission!$O:$O,Submission!$H:$N,""))</f>
        <v/>
      </c>
      <c r="G93" s="72" t="str">
        <f>_xlfn.CONCAT(_xlfn.XLOOKUP("[S06_InstallationsConservativeEstimates][16][ConservativeMethod]",Submission!$O:$O,Submission!$H:$N,""))</f>
        <v/>
      </c>
      <c r="H93" s="72" t="str">
        <f>_xlfn.CONCAT(_xlfn.XLOOKUP("[S06_InstallationsConservativeEstimates][16][FurtherAction]",Submission!$O:$O,Submission!$H:$N,""))</f>
        <v/>
      </c>
      <c r="I93" s="72" t="str">
        <f>_xlfn.CONCAT(_xlfn.XLOOKUP("[S06_InstallationsConservativeEstimates][16][OtherAction]",Submission!$O:$O,Submission!$H:$N,""))</f>
        <v/>
      </c>
    </row>
    <row r="94" spans="1:9" ht="60.6" hidden="1" customHeight="1" outlineLevel="1" x14ac:dyDescent="0.3">
      <c r="A94" s="13"/>
      <c r="C94" s="72" t="str">
        <f>_xlfn.CONCAT(_xlfn.XLOOKUP("[S06_InstallationsConservativeEstimates][17][InstallationID]",Submission!$O:$O,Submission!$H:$N,""))</f>
        <v/>
      </c>
      <c r="D94" s="105" t="str">
        <f>_xlfn.CONCAT(_xlfn.XLOOKUP("[S06_InstallationsConservativeEstimates][17][InstallationAnnualEmissionstCO2e]",Submission!$O:$O,Submission!$H:$N,""))</f>
        <v/>
      </c>
      <c r="E94" s="157" t="str">
        <f>_xlfn.CONCAT(_xlfn.XLOOKUP("[S06_InstallationsConservativeEstimates][17][ReasonConservativeEstimate]",Submission!$O:$O,Submission!$H:$N,""))</f>
        <v/>
      </c>
      <c r="F94" s="183" t="str">
        <f>_xlfn.CONCAT(_xlfn.XLOOKUP("[S06_InstallationsConservativeEstimates][17][InstallationConservativeShare]",Submission!$O:$O,Submission!$H:$N,""))</f>
        <v/>
      </c>
      <c r="G94" s="72" t="str">
        <f>_xlfn.CONCAT(_xlfn.XLOOKUP("[S06_InstallationsConservativeEstimates][17][ConservativeMethod]",Submission!$O:$O,Submission!$H:$N,""))</f>
        <v/>
      </c>
      <c r="H94" s="72" t="str">
        <f>_xlfn.CONCAT(_xlfn.XLOOKUP("[S06_InstallationsConservativeEstimates][17][FurtherAction]",Submission!$O:$O,Submission!$H:$N,""))</f>
        <v/>
      </c>
      <c r="I94" s="72" t="str">
        <f>_xlfn.CONCAT(_xlfn.XLOOKUP("[S06_InstallationsConservativeEstimates][17][OtherAction]",Submission!$O:$O,Submission!$H:$N,""))</f>
        <v/>
      </c>
    </row>
    <row r="95" spans="1:9" ht="60.6" hidden="1" customHeight="1" outlineLevel="1" x14ac:dyDescent="0.3">
      <c r="A95" s="13"/>
      <c r="C95" s="72" t="str">
        <f>_xlfn.CONCAT(_xlfn.XLOOKUP("[S06_InstallationsConservativeEstimates][18][InstallationID]",Submission!$O:$O,Submission!$H:$N,""))</f>
        <v/>
      </c>
      <c r="D95" s="105" t="str">
        <f>_xlfn.CONCAT(_xlfn.XLOOKUP("[S06_InstallationsConservativeEstimates][18][InstallationAnnualEmissionstCO2e]",Submission!$O:$O,Submission!$H:$N,""))</f>
        <v/>
      </c>
      <c r="E95" s="157" t="str">
        <f>_xlfn.CONCAT(_xlfn.XLOOKUP("[S06_InstallationsConservativeEstimates][18][ReasonConservativeEstimate]",Submission!$O:$O,Submission!$H:$N,""))</f>
        <v/>
      </c>
      <c r="F95" s="183" t="str">
        <f>_xlfn.CONCAT(_xlfn.XLOOKUP("[S06_InstallationsConservativeEstimates][18][InstallationConservativeShare]",Submission!$O:$O,Submission!$H:$N,""))</f>
        <v/>
      </c>
      <c r="G95" s="72" t="str">
        <f>_xlfn.CONCAT(_xlfn.XLOOKUP("[S06_InstallationsConservativeEstimates][18][ConservativeMethod]",Submission!$O:$O,Submission!$H:$N,""))</f>
        <v/>
      </c>
      <c r="H95" s="72" t="str">
        <f>_xlfn.CONCAT(_xlfn.XLOOKUP("[S06_InstallationsConservativeEstimates][18][FurtherAction]",Submission!$O:$O,Submission!$H:$N,""))</f>
        <v/>
      </c>
      <c r="I95" s="72" t="str">
        <f>_xlfn.CONCAT(_xlfn.XLOOKUP("[S06_InstallationsConservativeEstimates][18][OtherAction]",Submission!$O:$O,Submission!$H:$N,""))</f>
        <v/>
      </c>
    </row>
    <row r="96" spans="1:9" ht="60.6" hidden="1" customHeight="1" outlineLevel="1" x14ac:dyDescent="0.3">
      <c r="A96" s="13"/>
      <c r="C96" s="72" t="str">
        <f>_xlfn.CONCAT(_xlfn.XLOOKUP("[S06_InstallationsConservativeEstimates][19][InstallationID]",Submission!$O:$O,Submission!$H:$N,""))</f>
        <v/>
      </c>
      <c r="D96" s="105" t="str">
        <f>_xlfn.CONCAT(_xlfn.XLOOKUP("[S06_InstallationsConservativeEstimates][19][InstallationAnnualEmissionstCO2e]",Submission!$O:$O,Submission!$H:$N,""))</f>
        <v/>
      </c>
      <c r="E96" s="157" t="str">
        <f>_xlfn.CONCAT(_xlfn.XLOOKUP("[S06_InstallationsConservativeEstimates][19][ReasonConservativeEstimate]",Submission!$O:$O,Submission!$H:$N,""))</f>
        <v/>
      </c>
      <c r="F96" s="183" t="str">
        <f>_xlfn.CONCAT(_xlfn.XLOOKUP("[S06_InstallationsConservativeEstimates][19][InstallationConservativeShare]",Submission!$O:$O,Submission!$H:$N,""))</f>
        <v/>
      </c>
      <c r="G96" s="72" t="str">
        <f>_xlfn.CONCAT(_xlfn.XLOOKUP("[S06_InstallationsConservativeEstimates][19][ConservativeMethod]",Submission!$O:$O,Submission!$H:$N,""))</f>
        <v/>
      </c>
      <c r="H96" s="72" t="str">
        <f>_xlfn.CONCAT(_xlfn.XLOOKUP("[S06_InstallationsConservativeEstimates][19][FurtherAction]",Submission!$O:$O,Submission!$H:$N,""))</f>
        <v/>
      </c>
      <c r="I96" s="72" t="str">
        <f>_xlfn.CONCAT(_xlfn.XLOOKUP("[S06_InstallationsConservativeEstimates][19][OtherAction]",Submission!$O:$O,Submission!$H:$N,""))</f>
        <v/>
      </c>
    </row>
    <row r="97" spans="1:9" ht="60.6" hidden="1" customHeight="1" outlineLevel="1" x14ac:dyDescent="0.3">
      <c r="A97" s="13"/>
      <c r="C97" s="72" t="str">
        <f>_xlfn.CONCAT(_xlfn.XLOOKUP("[S06_InstallationsConservativeEstimates][20][InstallationID]",Submission!$O:$O,Submission!$H:$N,""))</f>
        <v/>
      </c>
      <c r="D97" s="105" t="str">
        <f>_xlfn.CONCAT(_xlfn.XLOOKUP("[S06_InstallationsConservativeEstimates][20][InstallationAnnualEmissionstCO2e]",Submission!$O:$O,Submission!$H:$N,""))</f>
        <v/>
      </c>
      <c r="E97" s="157" t="str">
        <f>_xlfn.CONCAT(_xlfn.XLOOKUP("[S06_InstallationsConservativeEstimates][20][ReasonConservativeEstimate]",Submission!$O:$O,Submission!$H:$N,""))</f>
        <v/>
      </c>
      <c r="F97" s="183" t="str">
        <f>_xlfn.CONCAT(_xlfn.XLOOKUP("[S06_InstallationsConservativeEstimates][20][InstallationConservativeShare]",Submission!$O:$O,Submission!$H:$N,""))</f>
        <v/>
      </c>
      <c r="G97" s="72" t="str">
        <f>_xlfn.CONCAT(_xlfn.XLOOKUP("[S06_InstallationsConservativeEstimates][20][ConservativeMethod]",Submission!$O:$O,Submission!$H:$N,""))</f>
        <v/>
      </c>
      <c r="H97" s="72" t="str">
        <f>_xlfn.CONCAT(_xlfn.XLOOKUP("[S06_InstallationsConservativeEstimates][20][FurtherAction]",Submission!$O:$O,Submission!$H:$N,""))</f>
        <v/>
      </c>
      <c r="I97" s="72" t="str">
        <f>_xlfn.CONCAT(_xlfn.XLOOKUP("[S06_InstallationsConservativeEstimates][20][OtherAction]",Submission!$O:$O,Submission!$H:$N,""))</f>
        <v/>
      </c>
    </row>
    <row r="98" spans="1:9" ht="60.6" hidden="1" customHeight="1" outlineLevel="1" x14ac:dyDescent="0.3">
      <c r="A98" s="13"/>
      <c r="C98" s="72" t="str">
        <f>_xlfn.CONCAT(_xlfn.XLOOKUP("[S06_InstallationsConservativeEstimates][21][InstallationID]",Submission!$O:$O,Submission!$H:$N,""))</f>
        <v/>
      </c>
      <c r="D98" s="105" t="str">
        <f>_xlfn.CONCAT(_xlfn.XLOOKUP("[S06_InstallationsConservativeEstimates][21][InstallationAnnualEmissionstCO2e]",Submission!$O:$O,Submission!$H:$N,""))</f>
        <v/>
      </c>
      <c r="E98" s="157" t="str">
        <f>_xlfn.CONCAT(_xlfn.XLOOKUP("[S06_InstallationsConservativeEstimates][21][ReasonConservativeEstimate]",Submission!$O:$O,Submission!$H:$N,""))</f>
        <v/>
      </c>
      <c r="F98" s="183" t="str">
        <f>_xlfn.CONCAT(_xlfn.XLOOKUP("[S06_InstallationsConservativeEstimates][21][InstallationConservativeShare]",Submission!$O:$O,Submission!$H:$N,""))</f>
        <v/>
      </c>
      <c r="G98" s="72" t="str">
        <f>_xlfn.CONCAT(_xlfn.XLOOKUP("[S06_InstallationsConservativeEstimates][21][ConservativeMethod]",Submission!$O:$O,Submission!$H:$N,""))</f>
        <v/>
      </c>
      <c r="H98" s="72" t="str">
        <f>_xlfn.CONCAT(_xlfn.XLOOKUP("[S06_InstallationsConservativeEstimates][21][FurtherAction]",Submission!$O:$O,Submission!$H:$N,""))</f>
        <v/>
      </c>
      <c r="I98" s="72" t="str">
        <f>_xlfn.CONCAT(_xlfn.XLOOKUP("[S06_InstallationsConservativeEstimates][21][OtherAction]",Submission!$O:$O,Submission!$H:$N,""))</f>
        <v/>
      </c>
    </row>
    <row r="99" spans="1:9" ht="60.6" hidden="1" customHeight="1" outlineLevel="1" x14ac:dyDescent="0.3">
      <c r="A99" s="13"/>
      <c r="C99" s="72" t="str">
        <f>_xlfn.CONCAT(_xlfn.XLOOKUP("[S06_InstallationsConservativeEstimates][22][InstallationID]",Submission!$O:$O,Submission!$H:$N,""))</f>
        <v/>
      </c>
      <c r="D99" s="105" t="str">
        <f>_xlfn.CONCAT(_xlfn.XLOOKUP("[S06_InstallationsConservativeEstimates][22][InstallationAnnualEmissionstCO2e]",Submission!$O:$O,Submission!$H:$N,""))</f>
        <v/>
      </c>
      <c r="E99" s="157" t="str">
        <f>_xlfn.CONCAT(_xlfn.XLOOKUP("[S06_InstallationsConservativeEstimates][22][ReasonConservativeEstimate]",Submission!$O:$O,Submission!$H:$N,""))</f>
        <v/>
      </c>
      <c r="F99" s="183" t="str">
        <f>_xlfn.CONCAT(_xlfn.XLOOKUP("[S06_InstallationsConservativeEstimates][22][InstallationConservativeShare]",Submission!$O:$O,Submission!$H:$N,""))</f>
        <v/>
      </c>
      <c r="G99" s="72" t="str">
        <f>_xlfn.CONCAT(_xlfn.XLOOKUP("[S06_InstallationsConservativeEstimates][22][ConservativeMethod]",Submission!$O:$O,Submission!$H:$N,""))</f>
        <v/>
      </c>
      <c r="H99" s="72" t="str">
        <f>_xlfn.CONCAT(_xlfn.XLOOKUP("[S06_InstallationsConservativeEstimates][22][FurtherAction]",Submission!$O:$O,Submission!$H:$N,""))</f>
        <v/>
      </c>
      <c r="I99" s="72" t="str">
        <f>_xlfn.CONCAT(_xlfn.XLOOKUP("[S06_InstallationsConservativeEstimates][22][OtherAction]",Submission!$O:$O,Submission!$H:$N,""))</f>
        <v/>
      </c>
    </row>
    <row r="100" spans="1:9" ht="60.6" hidden="1" customHeight="1" outlineLevel="1" x14ac:dyDescent="0.3">
      <c r="A100" s="13"/>
      <c r="C100" s="72" t="str">
        <f>_xlfn.CONCAT(_xlfn.XLOOKUP("[S06_InstallationsConservativeEstimates][23][InstallationID]",Submission!$O:$O,Submission!$H:$N,""))</f>
        <v/>
      </c>
      <c r="D100" s="105" t="str">
        <f>_xlfn.CONCAT(_xlfn.XLOOKUP("[S06_InstallationsConservativeEstimates][23][InstallationAnnualEmissionstCO2e]",Submission!$O:$O,Submission!$H:$N,""))</f>
        <v/>
      </c>
      <c r="E100" s="157" t="str">
        <f>_xlfn.CONCAT(_xlfn.XLOOKUP("[S06_InstallationsConservativeEstimates][23][ReasonConservativeEstimate]",Submission!$O:$O,Submission!$H:$N,""))</f>
        <v/>
      </c>
      <c r="F100" s="183" t="str">
        <f>_xlfn.CONCAT(_xlfn.XLOOKUP("[S06_InstallationsConservativeEstimates][23][InstallationConservativeShare]",Submission!$O:$O,Submission!$H:$N,""))</f>
        <v/>
      </c>
      <c r="G100" s="72" t="str">
        <f>_xlfn.CONCAT(_xlfn.XLOOKUP("[S06_InstallationsConservativeEstimates][23][ConservativeMethod]",Submission!$O:$O,Submission!$H:$N,""))</f>
        <v/>
      </c>
      <c r="H100" s="72" t="str">
        <f>_xlfn.CONCAT(_xlfn.XLOOKUP("[S06_InstallationsConservativeEstimates][23][FurtherAction]",Submission!$O:$O,Submission!$H:$N,""))</f>
        <v/>
      </c>
      <c r="I100" s="72" t="str">
        <f>_xlfn.CONCAT(_xlfn.XLOOKUP("[S06_InstallationsConservativeEstimates][23][OtherAction]",Submission!$O:$O,Submission!$H:$N,""))</f>
        <v/>
      </c>
    </row>
    <row r="101" spans="1:9" ht="60.6" hidden="1" customHeight="1" outlineLevel="1" x14ac:dyDescent="0.3">
      <c r="A101" s="13"/>
      <c r="C101" s="72" t="str">
        <f>_xlfn.CONCAT(_xlfn.XLOOKUP("[S06_InstallationsConservativeEstimates][24][InstallationID]",Submission!$O:$O,Submission!$H:$N,""))</f>
        <v/>
      </c>
      <c r="D101" s="105" t="str">
        <f>_xlfn.CONCAT(_xlfn.XLOOKUP("[S06_InstallationsConservativeEstimates][24][InstallationAnnualEmissionstCO2e]",Submission!$O:$O,Submission!$H:$N,""))</f>
        <v/>
      </c>
      <c r="E101" s="157" t="str">
        <f>_xlfn.CONCAT(_xlfn.XLOOKUP("[S06_InstallationsConservativeEstimates][24][ReasonConservativeEstimate]",Submission!$O:$O,Submission!$H:$N,""))</f>
        <v/>
      </c>
      <c r="F101" s="183" t="str">
        <f>_xlfn.CONCAT(_xlfn.XLOOKUP("[S06_InstallationsConservativeEstimates][24][InstallationConservativeShare]",Submission!$O:$O,Submission!$H:$N,""))</f>
        <v/>
      </c>
      <c r="G101" s="72" t="str">
        <f>_xlfn.CONCAT(_xlfn.XLOOKUP("[S06_InstallationsConservativeEstimates][24][ConservativeMethod]",Submission!$O:$O,Submission!$H:$N,""))</f>
        <v/>
      </c>
      <c r="H101" s="72" t="str">
        <f>_xlfn.CONCAT(_xlfn.XLOOKUP("[S06_InstallationsConservativeEstimates][24][FurtherAction]",Submission!$O:$O,Submission!$H:$N,""))</f>
        <v/>
      </c>
      <c r="I101" s="72" t="str">
        <f>_xlfn.CONCAT(_xlfn.XLOOKUP("[S06_InstallationsConservativeEstimates][24][OtherAction]",Submission!$O:$O,Submission!$H:$N,""))</f>
        <v/>
      </c>
    </row>
    <row r="102" spans="1:9" ht="60.6" hidden="1" customHeight="1" outlineLevel="1" x14ac:dyDescent="0.3">
      <c r="A102" s="13"/>
      <c r="C102" s="72" t="str">
        <f>_xlfn.CONCAT(_xlfn.XLOOKUP("[S06_InstallationsConservativeEstimates][25][InstallationID]",Submission!$O:$O,Submission!$H:$N,""))</f>
        <v/>
      </c>
      <c r="D102" s="105" t="str">
        <f>_xlfn.CONCAT(_xlfn.XLOOKUP("[S06_InstallationsConservativeEstimates][25][InstallationAnnualEmissionstCO2e]",Submission!$O:$O,Submission!$H:$N,""))</f>
        <v/>
      </c>
      <c r="E102" s="157" t="str">
        <f>_xlfn.CONCAT(_xlfn.XLOOKUP("[S06_InstallationsConservativeEstimates][25][ReasonConservativeEstimate]",Submission!$O:$O,Submission!$H:$N,""))</f>
        <v/>
      </c>
      <c r="F102" s="183" t="str">
        <f>_xlfn.CONCAT(_xlfn.XLOOKUP("[S06_InstallationsConservativeEstimates][25][InstallationConservativeShare]",Submission!$O:$O,Submission!$H:$N,""))</f>
        <v/>
      </c>
      <c r="G102" s="72" t="str">
        <f>_xlfn.CONCAT(_xlfn.XLOOKUP("[S06_InstallationsConservativeEstimates][25][ConservativeMethod]",Submission!$O:$O,Submission!$H:$N,""))</f>
        <v/>
      </c>
      <c r="H102" s="72" t="str">
        <f>_xlfn.CONCAT(_xlfn.XLOOKUP("[S06_InstallationsConservativeEstimates][25][FurtherAction]",Submission!$O:$O,Submission!$H:$N,""))</f>
        <v/>
      </c>
      <c r="I102" s="72" t="str">
        <f>_xlfn.CONCAT(_xlfn.XLOOKUP("[S06_InstallationsConservativeEstimates][25][OtherAction]",Submission!$O:$O,Submission!$H:$N,""))</f>
        <v/>
      </c>
    </row>
    <row r="103" spans="1:9" ht="60.6" hidden="1" customHeight="1" outlineLevel="1" x14ac:dyDescent="0.3">
      <c r="A103" s="13"/>
      <c r="C103" s="72" t="str">
        <f>_xlfn.CONCAT(_xlfn.XLOOKUP("[S06_InstallationsConservativeEstimates][26][InstallationID]",Submission!$O:$O,Submission!$H:$N,""))</f>
        <v/>
      </c>
      <c r="D103" s="105" t="str">
        <f>_xlfn.CONCAT(_xlfn.XLOOKUP("[S06_InstallationsConservativeEstimates][26][InstallationAnnualEmissionstCO2e]",Submission!$O:$O,Submission!$H:$N,""))</f>
        <v/>
      </c>
      <c r="E103" s="157" t="str">
        <f>_xlfn.CONCAT(_xlfn.XLOOKUP("[S06_InstallationsConservativeEstimates][26][ReasonConservativeEstimate]",Submission!$O:$O,Submission!$H:$N,""))</f>
        <v/>
      </c>
      <c r="F103" s="183" t="str">
        <f>_xlfn.CONCAT(_xlfn.XLOOKUP("[S06_InstallationsConservativeEstimates][26][InstallationConservativeShare]",Submission!$O:$O,Submission!$H:$N,""))</f>
        <v/>
      </c>
      <c r="G103" s="72" t="str">
        <f>_xlfn.CONCAT(_xlfn.XLOOKUP("[S06_InstallationsConservativeEstimates][26][ConservativeMethod]",Submission!$O:$O,Submission!$H:$N,""))</f>
        <v/>
      </c>
      <c r="H103" s="72" t="str">
        <f>_xlfn.CONCAT(_xlfn.XLOOKUP("[S06_InstallationsConservativeEstimates][26][FurtherAction]",Submission!$O:$O,Submission!$H:$N,""))</f>
        <v/>
      </c>
      <c r="I103" s="72" t="str">
        <f>_xlfn.CONCAT(_xlfn.XLOOKUP("[S06_InstallationsConservativeEstimates][26][OtherAction]",Submission!$O:$O,Submission!$H:$N,""))</f>
        <v/>
      </c>
    </row>
    <row r="104" spans="1:9" ht="60.6" hidden="1" customHeight="1" outlineLevel="1" x14ac:dyDescent="0.3">
      <c r="A104" s="13"/>
      <c r="C104" s="72" t="str">
        <f>_xlfn.CONCAT(_xlfn.XLOOKUP("[S06_InstallationsConservativeEstimates][27][InstallationID]",Submission!$O:$O,Submission!$H:$N,""))</f>
        <v/>
      </c>
      <c r="D104" s="105" t="str">
        <f>_xlfn.CONCAT(_xlfn.XLOOKUP("[S06_InstallationsConservativeEstimates][27][InstallationAnnualEmissionstCO2e]",Submission!$O:$O,Submission!$H:$N,""))</f>
        <v/>
      </c>
      <c r="E104" s="157" t="str">
        <f>_xlfn.CONCAT(_xlfn.XLOOKUP("[S06_InstallationsConservativeEstimates][27][ReasonConservativeEstimate]",Submission!$O:$O,Submission!$H:$N,""))</f>
        <v/>
      </c>
      <c r="F104" s="183" t="str">
        <f>_xlfn.CONCAT(_xlfn.XLOOKUP("[S06_InstallationsConservativeEstimates][27][InstallationConservativeShare]",Submission!$O:$O,Submission!$H:$N,""))</f>
        <v/>
      </c>
      <c r="G104" s="72" t="str">
        <f>_xlfn.CONCAT(_xlfn.XLOOKUP("[S06_InstallationsConservativeEstimates][27][ConservativeMethod]",Submission!$O:$O,Submission!$H:$N,""))</f>
        <v/>
      </c>
      <c r="H104" s="72" t="str">
        <f>_xlfn.CONCAT(_xlfn.XLOOKUP("[S06_InstallationsConservativeEstimates][27][FurtherAction]",Submission!$O:$O,Submission!$H:$N,""))</f>
        <v/>
      </c>
      <c r="I104" s="72" t="str">
        <f>_xlfn.CONCAT(_xlfn.XLOOKUP("[S06_InstallationsConservativeEstimates][27][OtherAction]",Submission!$O:$O,Submission!$H:$N,""))</f>
        <v/>
      </c>
    </row>
    <row r="105" spans="1:9" ht="60.6" hidden="1" customHeight="1" outlineLevel="1" x14ac:dyDescent="0.3">
      <c r="A105" s="13"/>
      <c r="C105" s="72" t="str">
        <f>_xlfn.CONCAT(_xlfn.XLOOKUP("[S06_InstallationsConservativeEstimates][28][InstallationID]",Submission!$O:$O,Submission!$H:$N,""))</f>
        <v/>
      </c>
      <c r="D105" s="105" t="str">
        <f>_xlfn.CONCAT(_xlfn.XLOOKUP("[S06_InstallationsConservativeEstimates][28][InstallationAnnualEmissionstCO2e]",Submission!$O:$O,Submission!$H:$N,""))</f>
        <v/>
      </c>
      <c r="E105" s="157" t="str">
        <f>_xlfn.CONCAT(_xlfn.XLOOKUP("[S06_InstallationsConservativeEstimates][28][ReasonConservativeEstimate]",Submission!$O:$O,Submission!$H:$N,""))</f>
        <v/>
      </c>
      <c r="F105" s="183" t="str">
        <f>_xlfn.CONCAT(_xlfn.XLOOKUP("[S06_InstallationsConservativeEstimates][28][InstallationConservativeShare]",Submission!$O:$O,Submission!$H:$N,""))</f>
        <v/>
      </c>
      <c r="G105" s="72" t="str">
        <f>_xlfn.CONCAT(_xlfn.XLOOKUP("[S06_InstallationsConservativeEstimates][28][ConservativeMethod]",Submission!$O:$O,Submission!$H:$N,""))</f>
        <v/>
      </c>
      <c r="H105" s="72" t="str">
        <f>_xlfn.CONCAT(_xlfn.XLOOKUP("[S06_InstallationsConservativeEstimates][28][FurtherAction]",Submission!$O:$O,Submission!$H:$N,""))</f>
        <v/>
      </c>
      <c r="I105" s="72" t="str">
        <f>_xlfn.CONCAT(_xlfn.XLOOKUP("[S06_InstallationsConservativeEstimates][28][OtherAction]",Submission!$O:$O,Submission!$H:$N,""))</f>
        <v/>
      </c>
    </row>
    <row r="106" spans="1:9" ht="60.6" hidden="1" customHeight="1" outlineLevel="1" x14ac:dyDescent="0.3">
      <c r="A106" s="13"/>
      <c r="C106" s="72" t="str">
        <f>_xlfn.CONCAT(_xlfn.XLOOKUP("[S06_InstallationsConservativeEstimates][29][InstallationID]",Submission!$O:$O,Submission!$H:$N,""))</f>
        <v/>
      </c>
      <c r="D106" s="105" t="str">
        <f>_xlfn.CONCAT(_xlfn.XLOOKUP("[S06_InstallationsConservativeEstimates][29][InstallationAnnualEmissionstCO2e]",Submission!$O:$O,Submission!$H:$N,""))</f>
        <v/>
      </c>
      <c r="E106" s="157" t="str">
        <f>_xlfn.CONCAT(_xlfn.XLOOKUP("[S06_InstallationsConservativeEstimates][29][ReasonConservativeEstimate]",Submission!$O:$O,Submission!$H:$N,""))</f>
        <v/>
      </c>
      <c r="F106" s="183" t="str">
        <f>_xlfn.CONCAT(_xlfn.XLOOKUP("[S06_InstallationsConservativeEstimates][29][InstallationConservativeShare]",Submission!$O:$O,Submission!$H:$N,""))</f>
        <v/>
      </c>
      <c r="G106" s="72" t="str">
        <f>_xlfn.CONCAT(_xlfn.XLOOKUP("[S06_InstallationsConservativeEstimates][29][ConservativeMethod]",Submission!$O:$O,Submission!$H:$N,""))</f>
        <v/>
      </c>
      <c r="H106" s="72" t="str">
        <f>_xlfn.CONCAT(_xlfn.XLOOKUP("[S06_InstallationsConservativeEstimates][29][FurtherAction]",Submission!$O:$O,Submission!$H:$N,""))</f>
        <v/>
      </c>
      <c r="I106" s="72" t="str">
        <f>_xlfn.CONCAT(_xlfn.XLOOKUP("[S06_InstallationsConservativeEstimates][29][OtherAction]",Submission!$O:$O,Submission!$H:$N,""))</f>
        <v/>
      </c>
    </row>
    <row r="107" spans="1:9" ht="60.6" hidden="1" customHeight="1" outlineLevel="1" x14ac:dyDescent="0.3">
      <c r="A107" s="13"/>
      <c r="C107" s="72" t="str">
        <f>_xlfn.CONCAT(_xlfn.XLOOKUP("[S06_InstallationsConservativeEstimates][30][InstallationID]",Submission!$O:$O,Submission!$H:$N,""))</f>
        <v/>
      </c>
      <c r="D107" s="105" t="str">
        <f>_xlfn.CONCAT(_xlfn.XLOOKUP("[S06_InstallationsConservativeEstimates][30][InstallationAnnualEmissionstCO2e]",Submission!$O:$O,Submission!$H:$N,""))</f>
        <v/>
      </c>
      <c r="E107" s="157" t="str">
        <f>_xlfn.CONCAT(_xlfn.XLOOKUP("[S06_InstallationsConservativeEstimates][30][ReasonConservativeEstimate]",Submission!$O:$O,Submission!$H:$N,""))</f>
        <v/>
      </c>
      <c r="F107" s="183" t="str">
        <f>_xlfn.CONCAT(_xlfn.XLOOKUP("[S06_InstallationsConservativeEstimates][30][InstallationConservativeShare]",Submission!$O:$O,Submission!$H:$N,""))</f>
        <v/>
      </c>
      <c r="G107" s="72" t="str">
        <f>_xlfn.CONCAT(_xlfn.XLOOKUP("[S06_InstallationsConservativeEstimates][30][ConservativeMethod]",Submission!$O:$O,Submission!$H:$N,""))</f>
        <v/>
      </c>
      <c r="H107" s="72" t="str">
        <f>_xlfn.CONCAT(_xlfn.XLOOKUP("[S06_InstallationsConservativeEstimates][30][FurtherAction]",Submission!$O:$O,Submission!$H:$N,""))</f>
        <v/>
      </c>
      <c r="I107" s="72" t="str">
        <f>_xlfn.CONCAT(_xlfn.XLOOKUP("[S06_InstallationsConservativeEstimates][30][OtherAction]",Submission!$O:$O,Submission!$H:$N,""))</f>
        <v/>
      </c>
    </row>
    <row r="108" spans="1:9" ht="60.6" hidden="1" customHeight="1" outlineLevel="1" x14ac:dyDescent="0.3">
      <c r="A108" s="13"/>
      <c r="C108" s="72" t="str">
        <f>_xlfn.CONCAT(_xlfn.XLOOKUP("[S06_InstallationsConservativeEstimates][31][InstallationID]",Submission!$O:$O,Submission!$H:$N,""))</f>
        <v/>
      </c>
      <c r="D108" s="105" t="str">
        <f>_xlfn.CONCAT(_xlfn.XLOOKUP("[S06_InstallationsConservativeEstimates][31][InstallationAnnualEmissionstCO2e]",Submission!$O:$O,Submission!$H:$N,""))</f>
        <v/>
      </c>
      <c r="E108" s="157" t="str">
        <f>_xlfn.CONCAT(_xlfn.XLOOKUP("[S06_InstallationsConservativeEstimates][31][ReasonConservativeEstimate]",Submission!$O:$O,Submission!$H:$N,""))</f>
        <v/>
      </c>
      <c r="F108" s="183" t="str">
        <f>_xlfn.CONCAT(_xlfn.XLOOKUP("[S06_InstallationsConservativeEstimates][31][InstallationConservativeShare]",Submission!$O:$O,Submission!$H:$N,""))</f>
        <v/>
      </c>
      <c r="G108" s="72" t="str">
        <f>_xlfn.CONCAT(_xlfn.XLOOKUP("[S06_InstallationsConservativeEstimates][31][ConservativeMethod]",Submission!$O:$O,Submission!$H:$N,""))</f>
        <v/>
      </c>
      <c r="H108" s="72" t="str">
        <f>_xlfn.CONCAT(_xlfn.XLOOKUP("[S06_InstallationsConservativeEstimates][31][FurtherAction]",Submission!$O:$O,Submission!$H:$N,""))</f>
        <v/>
      </c>
      <c r="I108" s="72" t="str">
        <f>_xlfn.CONCAT(_xlfn.XLOOKUP("[S06_InstallationsConservativeEstimates][31][OtherAction]",Submission!$O:$O,Submission!$H:$N,""))</f>
        <v/>
      </c>
    </row>
    <row r="109" spans="1:9" ht="60.6" hidden="1" customHeight="1" outlineLevel="1" x14ac:dyDescent="0.3">
      <c r="A109" s="13"/>
      <c r="C109" s="72" t="str">
        <f>_xlfn.CONCAT(_xlfn.XLOOKUP("[S06_InstallationsConservativeEstimates][32][InstallationID]",Submission!$O:$O,Submission!$H:$N,""))</f>
        <v/>
      </c>
      <c r="D109" s="105" t="str">
        <f>_xlfn.CONCAT(_xlfn.XLOOKUP("[S06_InstallationsConservativeEstimates][32][InstallationAnnualEmissionstCO2e]",Submission!$O:$O,Submission!$H:$N,""))</f>
        <v/>
      </c>
      <c r="E109" s="157" t="str">
        <f>_xlfn.CONCAT(_xlfn.XLOOKUP("[S06_InstallationsConservativeEstimates][32][ReasonConservativeEstimate]",Submission!$O:$O,Submission!$H:$N,""))</f>
        <v/>
      </c>
      <c r="F109" s="183" t="str">
        <f>_xlfn.CONCAT(_xlfn.XLOOKUP("[S06_InstallationsConservativeEstimates][32][InstallationConservativeShare]",Submission!$O:$O,Submission!$H:$N,""))</f>
        <v/>
      </c>
      <c r="G109" s="72" t="str">
        <f>_xlfn.CONCAT(_xlfn.XLOOKUP("[S06_InstallationsConservativeEstimates][32][ConservativeMethod]",Submission!$O:$O,Submission!$H:$N,""))</f>
        <v/>
      </c>
      <c r="H109" s="72" t="str">
        <f>_xlfn.CONCAT(_xlfn.XLOOKUP("[S06_InstallationsConservativeEstimates][32][FurtherAction]",Submission!$O:$O,Submission!$H:$N,""))</f>
        <v/>
      </c>
      <c r="I109" s="72" t="str">
        <f>_xlfn.CONCAT(_xlfn.XLOOKUP("[S06_InstallationsConservativeEstimates][32][OtherAction]",Submission!$O:$O,Submission!$H:$N,""))</f>
        <v/>
      </c>
    </row>
    <row r="110" spans="1:9" ht="60.6" hidden="1" customHeight="1" outlineLevel="1" x14ac:dyDescent="0.3">
      <c r="A110" s="13"/>
      <c r="C110" s="72" t="str">
        <f>_xlfn.CONCAT(_xlfn.XLOOKUP("[S06_InstallationsConservativeEstimates][33][InstallationID]",Submission!$O:$O,Submission!$H:$N,""))</f>
        <v/>
      </c>
      <c r="D110" s="105" t="str">
        <f>_xlfn.CONCAT(_xlfn.XLOOKUP("[S06_InstallationsConservativeEstimates][33][InstallationAnnualEmissionstCO2e]",Submission!$O:$O,Submission!$H:$N,""))</f>
        <v/>
      </c>
      <c r="E110" s="157" t="str">
        <f>_xlfn.CONCAT(_xlfn.XLOOKUP("[S06_InstallationsConservativeEstimates][33][ReasonConservativeEstimate]",Submission!$O:$O,Submission!$H:$N,""))</f>
        <v/>
      </c>
      <c r="F110" s="183" t="str">
        <f>_xlfn.CONCAT(_xlfn.XLOOKUP("[S06_InstallationsConservativeEstimates][33][InstallationConservativeShare]",Submission!$O:$O,Submission!$H:$N,""))</f>
        <v/>
      </c>
      <c r="G110" s="72" t="str">
        <f>_xlfn.CONCAT(_xlfn.XLOOKUP("[S06_InstallationsConservativeEstimates][33][ConservativeMethod]",Submission!$O:$O,Submission!$H:$N,""))</f>
        <v/>
      </c>
      <c r="H110" s="72" t="str">
        <f>_xlfn.CONCAT(_xlfn.XLOOKUP("[S06_InstallationsConservativeEstimates][33][FurtherAction]",Submission!$O:$O,Submission!$H:$N,""))</f>
        <v/>
      </c>
      <c r="I110" s="72" t="str">
        <f>_xlfn.CONCAT(_xlfn.XLOOKUP("[S06_InstallationsConservativeEstimates][33][OtherAction]",Submission!$O:$O,Submission!$H:$N,""))</f>
        <v/>
      </c>
    </row>
    <row r="111" spans="1:9" ht="60.6" hidden="1" customHeight="1" outlineLevel="1" x14ac:dyDescent="0.3">
      <c r="A111" s="13"/>
      <c r="C111" s="72" t="str">
        <f>_xlfn.CONCAT(_xlfn.XLOOKUP("[S06_InstallationsConservativeEstimates][34][InstallationID]",Submission!$O:$O,Submission!$H:$N,""))</f>
        <v/>
      </c>
      <c r="D111" s="105" t="str">
        <f>_xlfn.CONCAT(_xlfn.XLOOKUP("[S06_InstallationsConservativeEstimates][34][InstallationAnnualEmissionstCO2e]",Submission!$O:$O,Submission!$H:$N,""))</f>
        <v/>
      </c>
      <c r="E111" s="157" t="str">
        <f>_xlfn.CONCAT(_xlfn.XLOOKUP("[S06_InstallationsConservativeEstimates][34][ReasonConservativeEstimate]",Submission!$O:$O,Submission!$H:$N,""))</f>
        <v/>
      </c>
      <c r="F111" s="183" t="str">
        <f>_xlfn.CONCAT(_xlfn.XLOOKUP("[S06_InstallationsConservativeEstimates][34][InstallationConservativeShare]",Submission!$O:$O,Submission!$H:$N,""))</f>
        <v/>
      </c>
      <c r="G111" s="72" t="str">
        <f>_xlfn.CONCAT(_xlfn.XLOOKUP("[S06_InstallationsConservativeEstimates][34][ConservativeMethod]",Submission!$O:$O,Submission!$H:$N,""))</f>
        <v/>
      </c>
      <c r="H111" s="72" t="str">
        <f>_xlfn.CONCAT(_xlfn.XLOOKUP("[S06_InstallationsConservativeEstimates][34][FurtherAction]",Submission!$O:$O,Submission!$H:$N,""))</f>
        <v/>
      </c>
      <c r="I111" s="72" t="str">
        <f>_xlfn.CONCAT(_xlfn.XLOOKUP("[S06_InstallationsConservativeEstimates][34][OtherAction]",Submission!$O:$O,Submission!$H:$N,""))</f>
        <v/>
      </c>
    </row>
    <row r="112" spans="1:9" ht="60.6" hidden="1" customHeight="1" outlineLevel="1" x14ac:dyDescent="0.3">
      <c r="A112" s="13"/>
      <c r="C112" s="72" t="str">
        <f>_xlfn.CONCAT(_xlfn.XLOOKUP("[S06_InstallationsConservativeEstimates][35][InstallationID]",Submission!$O:$O,Submission!$H:$N,""))</f>
        <v/>
      </c>
      <c r="D112" s="105" t="str">
        <f>_xlfn.CONCAT(_xlfn.XLOOKUP("[S06_InstallationsConservativeEstimates][35][InstallationAnnualEmissionstCO2e]",Submission!$O:$O,Submission!$H:$N,""))</f>
        <v/>
      </c>
      <c r="E112" s="157" t="str">
        <f>_xlfn.CONCAT(_xlfn.XLOOKUP("[S06_InstallationsConservativeEstimates][35][ReasonConservativeEstimate]",Submission!$O:$O,Submission!$H:$N,""))</f>
        <v/>
      </c>
      <c r="F112" s="183" t="str">
        <f>_xlfn.CONCAT(_xlfn.XLOOKUP("[S06_InstallationsConservativeEstimates][35][InstallationConservativeShare]",Submission!$O:$O,Submission!$H:$N,""))</f>
        <v/>
      </c>
      <c r="G112" s="72" t="str">
        <f>_xlfn.CONCAT(_xlfn.XLOOKUP("[S06_InstallationsConservativeEstimates][35][ConservativeMethod]",Submission!$O:$O,Submission!$H:$N,""))</f>
        <v/>
      </c>
      <c r="H112" s="72" t="str">
        <f>_xlfn.CONCAT(_xlfn.XLOOKUP("[S06_InstallationsConservativeEstimates][35][FurtherAction]",Submission!$O:$O,Submission!$H:$N,""))</f>
        <v/>
      </c>
      <c r="I112" s="72" t="str">
        <f>_xlfn.CONCAT(_xlfn.XLOOKUP("[S06_InstallationsConservativeEstimates][35][OtherAction]",Submission!$O:$O,Submission!$H:$N,""))</f>
        <v/>
      </c>
    </row>
    <row r="113" spans="1:9" ht="60.6" hidden="1" customHeight="1" outlineLevel="1" x14ac:dyDescent="0.3">
      <c r="A113" s="13"/>
      <c r="C113" s="72" t="str">
        <f>_xlfn.CONCAT(_xlfn.XLOOKUP("[S06_InstallationsConservativeEstimates][36][InstallationID]",Submission!$O:$O,Submission!$H:$N,""))</f>
        <v/>
      </c>
      <c r="D113" s="105" t="str">
        <f>_xlfn.CONCAT(_xlfn.XLOOKUP("[S06_InstallationsConservativeEstimates][36][InstallationAnnualEmissionstCO2e]",Submission!$O:$O,Submission!$H:$N,""))</f>
        <v/>
      </c>
      <c r="E113" s="157" t="str">
        <f>_xlfn.CONCAT(_xlfn.XLOOKUP("[S06_InstallationsConservativeEstimates][36][ReasonConservativeEstimate]",Submission!$O:$O,Submission!$H:$N,""))</f>
        <v/>
      </c>
      <c r="F113" s="183" t="str">
        <f>_xlfn.CONCAT(_xlfn.XLOOKUP("[S06_InstallationsConservativeEstimates][36][InstallationConservativeShare]",Submission!$O:$O,Submission!$H:$N,""))</f>
        <v/>
      </c>
      <c r="G113" s="72" t="str">
        <f>_xlfn.CONCAT(_xlfn.XLOOKUP("[S06_InstallationsConservativeEstimates][36][ConservativeMethod]",Submission!$O:$O,Submission!$H:$N,""))</f>
        <v/>
      </c>
      <c r="H113" s="72" t="str">
        <f>_xlfn.CONCAT(_xlfn.XLOOKUP("[S06_InstallationsConservativeEstimates][36][FurtherAction]",Submission!$O:$O,Submission!$H:$N,""))</f>
        <v/>
      </c>
      <c r="I113" s="72" t="str">
        <f>_xlfn.CONCAT(_xlfn.XLOOKUP("[S06_InstallationsConservativeEstimates][36][OtherAction]",Submission!$O:$O,Submission!$H:$N,""))</f>
        <v/>
      </c>
    </row>
    <row r="114" spans="1:9" ht="60.6" hidden="1" customHeight="1" outlineLevel="1" x14ac:dyDescent="0.3">
      <c r="A114" s="13"/>
      <c r="C114" s="72" t="str">
        <f>_xlfn.CONCAT(_xlfn.XLOOKUP("[S06_InstallationsConservativeEstimates][37][InstallationID]",Submission!$O:$O,Submission!$H:$N,""))</f>
        <v/>
      </c>
      <c r="D114" s="105" t="str">
        <f>_xlfn.CONCAT(_xlfn.XLOOKUP("[S06_InstallationsConservativeEstimates][37][InstallationAnnualEmissionstCO2e]",Submission!$O:$O,Submission!$H:$N,""))</f>
        <v/>
      </c>
      <c r="E114" s="157" t="str">
        <f>_xlfn.CONCAT(_xlfn.XLOOKUP("[S06_InstallationsConservativeEstimates][37][ReasonConservativeEstimate]",Submission!$O:$O,Submission!$H:$N,""))</f>
        <v/>
      </c>
      <c r="F114" s="183" t="str">
        <f>_xlfn.CONCAT(_xlfn.XLOOKUP("[S06_InstallationsConservativeEstimates][37][InstallationConservativeShare]",Submission!$O:$O,Submission!$H:$N,""))</f>
        <v/>
      </c>
      <c r="G114" s="72" t="str">
        <f>_xlfn.CONCAT(_xlfn.XLOOKUP("[S06_InstallationsConservativeEstimates][37][ConservativeMethod]",Submission!$O:$O,Submission!$H:$N,""))</f>
        <v/>
      </c>
      <c r="H114" s="72" t="str">
        <f>_xlfn.CONCAT(_xlfn.XLOOKUP("[S06_InstallationsConservativeEstimates][37][FurtherAction]",Submission!$O:$O,Submission!$H:$N,""))</f>
        <v/>
      </c>
      <c r="I114" s="72" t="str">
        <f>_xlfn.CONCAT(_xlfn.XLOOKUP("[S06_InstallationsConservativeEstimates][37][OtherAction]",Submission!$O:$O,Submission!$H:$N,""))</f>
        <v/>
      </c>
    </row>
    <row r="115" spans="1:9" ht="60.6" hidden="1" customHeight="1" outlineLevel="1" x14ac:dyDescent="0.3">
      <c r="A115" s="13"/>
      <c r="C115" s="72" t="str">
        <f>_xlfn.CONCAT(_xlfn.XLOOKUP("[S06_InstallationsConservativeEstimates][38][InstallationID]",Submission!$O:$O,Submission!$H:$N,""))</f>
        <v/>
      </c>
      <c r="D115" s="105" t="str">
        <f>_xlfn.CONCAT(_xlfn.XLOOKUP("[S06_InstallationsConservativeEstimates][38][InstallationAnnualEmissionstCO2e]",Submission!$O:$O,Submission!$H:$N,""))</f>
        <v/>
      </c>
      <c r="E115" s="157" t="str">
        <f>_xlfn.CONCAT(_xlfn.XLOOKUP("[S06_InstallationsConservativeEstimates][38][ReasonConservativeEstimate]",Submission!$O:$O,Submission!$H:$N,""))</f>
        <v/>
      </c>
      <c r="F115" s="183" t="str">
        <f>_xlfn.CONCAT(_xlfn.XLOOKUP("[S06_InstallationsConservativeEstimates][38][InstallationConservativeShare]",Submission!$O:$O,Submission!$H:$N,""))</f>
        <v/>
      </c>
      <c r="G115" s="72" t="str">
        <f>_xlfn.CONCAT(_xlfn.XLOOKUP("[S06_InstallationsConservativeEstimates][38][ConservativeMethod]",Submission!$O:$O,Submission!$H:$N,""))</f>
        <v/>
      </c>
      <c r="H115" s="72" t="str">
        <f>_xlfn.CONCAT(_xlfn.XLOOKUP("[S06_InstallationsConservativeEstimates][38][FurtherAction]",Submission!$O:$O,Submission!$H:$N,""))</f>
        <v/>
      </c>
      <c r="I115" s="72" t="str">
        <f>_xlfn.CONCAT(_xlfn.XLOOKUP("[S06_InstallationsConservativeEstimates][38][OtherAction]",Submission!$O:$O,Submission!$H:$N,""))</f>
        <v/>
      </c>
    </row>
    <row r="116" spans="1:9" ht="60.6" hidden="1" customHeight="1" outlineLevel="1" x14ac:dyDescent="0.3">
      <c r="A116" s="13"/>
      <c r="C116" s="72" t="str">
        <f>_xlfn.CONCAT(_xlfn.XLOOKUP("[S06_InstallationsConservativeEstimates][39][InstallationID]",Submission!$O:$O,Submission!$H:$N,""))</f>
        <v/>
      </c>
      <c r="D116" s="105" t="str">
        <f>_xlfn.CONCAT(_xlfn.XLOOKUP("[S06_InstallationsConservativeEstimates][39][InstallationAnnualEmissionstCO2e]",Submission!$O:$O,Submission!$H:$N,""))</f>
        <v/>
      </c>
      <c r="E116" s="157" t="str">
        <f>_xlfn.CONCAT(_xlfn.XLOOKUP("[S06_InstallationsConservativeEstimates][39][ReasonConservativeEstimate]",Submission!$O:$O,Submission!$H:$N,""))</f>
        <v/>
      </c>
      <c r="F116" s="183" t="str">
        <f>_xlfn.CONCAT(_xlfn.XLOOKUP("[S06_InstallationsConservativeEstimates][39][InstallationConservativeShare]",Submission!$O:$O,Submission!$H:$N,""))</f>
        <v/>
      </c>
      <c r="G116" s="72" t="str">
        <f>_xlfn.CONCAT(_xlfn.XLOOKUP("[S06_InstallationsConservativeEstimates][39][ConservativeMethod]",Submission!$O:$O,Submission!$H:$N,""))</f>
        <v/>
      </c>
      <c r="H116" s="72" t="str">
        <f>_xlfn.CONCAT(_xlfn.XLOOKUP("[S06_InstallationsConservativeEstimates][39][FurtherAction]",Submission!$O:$O,Submission!$H:$N,""))</f>
        <v/>
      </c>
      <c r="I116" s="72" t="str">
        <f>_xlfn.CONCAT(_xlfn.XLOOKUP("[S06_InstallationsConservativeEstimates][39][OtherAction]",Submission!$O:$O,Submission!$H:$N,""))</f>
        <v/>
      </c>
    </row>
    <row r="117" spans="1:9" ht="60.6" hidden="1" customHeight="1" outlineLevel="1" x14ac:dyDescent="0.3">
      <c r="A117" s="13"/>
      <c r="C117" s="72" t="str">
        <f>_xlfn.CONCAT(_xlfn.XLOOKUP("[S06_InstallationsConservativeEstimates][40][InstallationID]",Submission!$O:$O,Submission!$H:$N,""))</f>
        <v/>
      </c>
      <c r="D117" s="105" t="str">
        <f>_xlfn.CONCAT(_xlfn.XLOOKUP("[S06_InstallationsConservativeEstimates][40][InstallationAnnualEmissionstCO2e]",Submission!$O:$O,Submission!$H:$N,""))</f>
        <v/>
      </c>
      <c r="E117" s="157" t="str">
        <f>_xlfn.CONCAT(_xlfn.XLOOKUP("[S06_InstallationsConservativeEstimates][40][ReasonConservativeEstimate]",Submission!$O:$O,Submission!$H:$N,""))</f>
        <v/>
      </c>
      <c r="F117" s="183" t="str">
        <f>_xlfn.CONCAT(_xlfn.XLOOKUP("[S06_InstallationsConservativeEstimates][40][InstallationConservativeShare]",Submission!$O:$O,Submission!$H:$N,""))</f>
        <v/>
      </c>
      <c r="G117" s="72" t="str">
        <f>_xlfn.CONCAT(_xlfn.XLOOKUP("[S06_InstallationsConservativeEstimates][40][ConservativeMethod]",Submission!$O:$O,Submission!$H:$N,""))</f>
        <v/>
      </c>
      <c r="H117" s="72" t="str">
        <f>_xlfn.CONCAT(_xlfn.XLOOKUP("[S06_InstallationsConservativeEstimates][40][FurtherAction]",Submission!$O:$O,Submission!$H:$N,""))</f>
        <v/>
      </c>
      <c r="I117" s="72" t="str">
        <f>_xlfn.CONCAT(_xlfn.XLOOKUP("[S06_InstallationsConservativeEstimates][40][OtherAction]",Submission!$O:$O,Submission!$H:$N,""))</f>
        <v/>
      </c>
    </row>
    <row r="118" spans="1:9" ht="15.9" customHeight="1" collapsed="1" x14ac:dyDescent="0.3">
      <c r="A118" s="13"/>
      <c r="B118" s="26" t="s">
        <v>1000</v>
      </c>
      <c r="C118" s="19"/>
      <c r="D118" s="20"/>
      <c r="E118" s="20"/>
      <c r="F118" s="20"/>
      <c r="G118" s="20"/>
      <c r="H118" s="20"/>
      <c r="I118" s="20"/>
    </row>
    <row r="119" spans="1:9" ht="15.9" customHeight="1" x14ac:dyDescent="0.3">
      <c r="C119" s="248" t="s">
        <v>1033</v>
      </c>
      <c r="D119" s="249"/>
      <c r="E119" s="249"/>
      <c r="F119" s="249"/>
      <c r="G119" s="249"/>
      <c r="H119" s="249"/>
      <c r="I119" s="249"/>
    </row>
    <row r="120" spans="1:9" s="11" customFormat="1" ht="41.25" customHeight="1" x14ac:dyDescent="0.3">
      <c r="C120" s="248" t="s">
        <v>1034</v>
      </c>
      <c r="D120" s="249"/>
      <c r="E120" s="249"/>
      <c r="F120" s="249"/>
      <c r="G120" s="249"/>
      <c r="H120" s="249"/>
      <c r="I120" s="249"/>
    </row>
    <row r="121" spans="1:9" s="11" customFormat="1" ht="28.95" customHeight="1" x14ac:dyDescent="0.3">
      <c r="C121" s="248" t="s">
        <v>1035</v>
      </c>
      <c r="D121" s="249"/>
      <c r="E121" s="249"/>
      <c r="F121" s="249"/>
      <c r="G121" s="249"/>
      <c r="H121" s="249"/>
      <c r="I121" s="249"/>
    </row>
    <row r="122" spans="1:9" s="11" customFormat="1" ht="14.4" x14ac:dyDescent="0.3"/>
    <row r="123" spans="1:9" ht="18.600000000000001" customHeight="1" x14ac:dyDescent="0.3">
      <c r="B123" s="271" t="s">
        <v>1036</v>
      </c>
      <c r="C123" s="271"/>
      <c r="D123" s="271"/>
      <c r="E123" s="271"/>
      <c r="F123" s="271"/>
      <c r="G123" s="271"/>
      <c r="H123" s="271"/>
      <c r="I123" s="271"/>
    </row>
    <row r="124" spans="1:9" ht="15.9" customHeight="1" x14ac:dyDescent="0.3">
      <c r="C124" s="315" t="s">
        <v>1037</v>
      </c>
      <c r="D124" s="379"/>
      <c r="E124" s="379"/>
      <c r="F124" s="379"/>
      <c r="G124" s="336"/>
      <c r="H124" s="315" t="s">
        <v>76</v>
      </c>
      <c r="I124" s="317"/>
    </row>
    <row r="125" spans="1:9" ht="18" customHeight="1" x14ac:dyDescent="0.3">
      <c r="C125" s="246" t="s">
        <v>1038</v>
      </c>
      <c r="D125" s="263"/>
      <c r="E125" s="263"/>
      <c r="F125" s="263"/>
      <c r="G125" s="264"/>
      <c r="H125" s="341" t="str">
        <f>_xlfn.CONCAT(_xlfn.XLOOKUP("[S06_NegativeOpinionInstallations][1][CountNegativeOpinions]",Submission!$O:$O,Submission!$H:$N,""))</f>
        <v>1</v>
      </c>
      <c r="I125" s="356"/>
    </row>
    <row r="126" spans="1:9" ht="18" customHeight="1" x14ac:dyDescent="0.3">
      <c r="C126" s="246" t="s">
        <v>1039</v>
      </c>
      <c r="D126" s="263"/>
      <c r="E126" s="263"/>
      <c r="F126" s="263"/>
      <c r="G126" s="264"/>
      <c r="H126" s="341" t="str">
        <f>_xlfn.CONCAT(_xlfn.XLOOKUP("[S06_NegativeOpinionInstallations][2][CountNegativeOpinions]",Submission!$O:$O,Submission!$H:$N,""))</f>
        <v>0</v>
      </c>
      <c r="I126" s="356"/>
    </row>
    <row r="127" spans="1:9" ht="18" customHeight="1" x14ac:dyDescent="0.3">
      <c r="C127" s="246" t="s">
        <v>1040</v>
      </c>
      <c r="D127" s="263"/>
      <c r="E127" s="263"/>
      <c r="F127" s="263"/>
      <c r="G127" s="264"/>
      <c r="H127" s="341" t="str">
        <f>_xlfn.CONCAT(_xlfn.XLOOKUP("[S06_NegativeOpinionInstallations][3][CountNegativeOpinions]",Submission!$O:$O,Submission!$H:$N,""))</f>
        <v>0</v>
      </c>
      <c r="I127" s="356"/>
    </row>
    <row r="128" spans="1:9" ht="18" customHeight="1" x14ac:dyDescent="0.3">
      <c r="C128" s="246" t="s">
        <v>1041</v>
      </c>
      <c r="D128" s="263"/>
      <c r="E128" s="263"/>
      <c r="F128" s="263"/>
      <c r="G128" s="264"/>
      <c r="H128" s="341" t="str">
        <f>_xlfn.CONCAT(_xlfn.XLOOKUP("[S06_NegativeOpinionInstallations][4][CountNegativeOpinions]",Submission!$O:$O,Submission!$H:$N,""))</f>
        <v>0</v>
      </c>
      <c r="I128" s="356"/>
    </row>
    <row r="129" spans="1:9" ht="19.2" customHeight="1" x14ac:dyDescent="0.3">
      <c r="D129" s="11"/>
      <c r="E129" s="11"/>
      <c r="F129" s="11"/>
      <c r="G129" s="11"/>
    </row>
    <row r="130" spans="1:9" ht="32.1" customHeight="1" x14ac:dyDescent="0.3">
      <c r="A130" s="12" t="s">
        <v>376</v>
      </c>
      <c r="B130" s="293" t="s">
        <v>1042</v>
      </c>
      <c r="C130" s="294"/>
      <c r="D130" s="294"/>
      <c r="E130" s="294"/>
      <c r="F130" s="294"/>
      <c r="G130" s="294"/>
      <c r="H130" s="295"/>
      <c r="I130" s="41" t="str">
        <f>_xlfn.CONCAT(_xlfn.XLOOKUP("[InstallationsVerificationReportIssues][0][InstallationsVerificationReportIssues]",Submission!$O:$O,Submission!$H:$N,""))</f>
        <v>Yes</v>
      </c>
    </row>
    <row r="131" spans="1:9" ht="19.95" customHeight="1" x14ac:dyDescent="0.3">
      <c r="A131" s="12"/>
      <c r="B131" s="271" t="s">
        <v>1043</v>
      </c>
      <c r="C131" s="272"/>
      <c r="D131" s="272"/>
      <c r="E131" s="272"/>
      <c r="F131" s="272"/>
      <c r="G131" s="272"/>
      <c r="H131" s="272"/>
      <c r="I131" s="272"/>
    </row>
    <row r="132" spans="1:9" ht="70.2" customHeight="1" x14ac:dyDescent="0.3">
      <c r="A132" s="13"/>
      <c r="C132" s="303" t="s">
        <v>879</v>
      </c>
      <c r="D132" s="305"/>
      <c r="E132" s="303" t="s">
        <v>1044</v>
      </c>
      <c r="F132" s="305"/>
      <c r="G132" s="42" t="s">
        <v>1045</v>
      </c>
      <c r="H132" s="45" t="s">
        <v>1046</v>
      </c>
      <c r="I132" s="46" t="s">
        <v>1047</v>
      </c>
    </row>
    <row r="133" spans="1:9" ht="26.4" customHeight="1" x14ac:dyDescent="0.3">
      <c r="A133" s="13"/>
      <c r="C133" s="281" t="str">
        <f>_xlfn.CONCAT(_xlfn.XLOOKUP("[S06_InstallationsVerificationReportsIssueDetail]["&amp;1&amp;"][AnnexIActivity]",Submission!$O:$O,Submission!$H:$N,""))</f>
        <v>20 - Combustion of fuels as specified in Annex I of Directive 2003/87/EC</v>
      </c>
      <c r="D133" s="347"/>
      <c r="E133" s="281" t="str">
        <f>_xlfn.CONCAT(_xlfn.XLOOKUP("[S06_InstallationsVerificationReportsIssueDetail]["&amp;1&amp;"][TypeOfIssue]",Submission!$O:$O,Submission!$H:$N,""))</f>
        <v>Non-conformities not leading to a negative verification opinion statement</v>
      </c>
      <c r="F133" s="347"/>
      <c r="G133" s="105" t="str">
        <f>_xlfn.CONCAT(_xlfn.XLOOKUP("[S06_InstallationsVerificationReportsIssueDetail]["&amp;1&amp;"][NumberOfInstallations]",Submission!$O:$O,Submission!$H:$N,""))</f>
        <v>1</v>
      </c>
      <c r="H133" s="108" t="str">
        <f>_xlfn.CONCAT(_xlfn.XLOOKUP("[S06_InstallationsVerificationReportsIssueDetail]["&amp;1&amp;"][NumberOfIssues]",Submission!$O:$O,Submission!$H:$N,""))</f>
        <v>1</v>
      </c>
      <c r="I133" s="183" t="str">
        <f>_xlfn.CONCAT(_xlfn.XLOOKUP("[S06_InstallationsVerificationReportsIssueDetail]["&amp;1&amp;"][ShareOfReportsConservativeEstimate]",Submission!$O:$O,Submission!$H:$N,""))</f>
        <v>0</v>
      </c>
    </row>
    <row r="134" spans="1:9" ht="26.4" customHeight="1" x14ac:dyDescent="0.3">
      <c r="A134" s="13"/>
      <c r="C134" s="281" t="str">
        <f>_xlfn.CONCAT(_xlfn.XLOOKUP("[S06_InstallationsVerificationReportsIssueDetail]["&amp;1+ROW(B134)-ROW($B$133)&amp;"][AnnexIActivity]",Submission!$O:$O,Submission!$H:$N,""))</f>
        <v>20 - Combustion of fuels as specified in Annex I of Directive 2003/87/EC</v>
      </c>
      <c r="D134" s="347"/>
      <c r="E134" s="281" t="str">
        <f>_xlfn.CONCAT(_xlfn.XLOOKUP("[S06_InstallationsVerificationReportsIssueDetail]["&amp;1+ROW(B134)-ROW($B$133)&amp;"][TypeOfIssue]",Submission!$O:$O,Submission!$H:$N,""))</f>
        <v>Non-compliance with Implementing Regulation (EU) 2018/2066</v>
      </c>
      <c r="F134" s="347"/>
      <c r="G134" s="105" t="str">
        <f>_xlfn.CONCAT(_xlfn.XLOOKUP("[S06_InstallationsVerificationReportsIssueDetail]["&amp;1+ROW(B134)-ROW($B$133)&amp;"][NumberOfInstallations]",Submission!$O:$O,Submission!$H:$N,""))</f>
        <v>2</v>
      </c>
      <c r="H134" s="108" t="str">
        <f>_xlfn.CONCAT(_xlfn.XLOOKUP("[S06_InstallationsVerificationReportsIssueDetail]["&amp;1+ROW(B134)-ROW($B$133)&amp;"][NumberOfIssues]",Submission!$O:$O,Submission!$H:$N,""))</f>
        <v>4</v>
      </c>
      <c r="I134" s="183" t="str">
        <f>_xlfn.CONCAT(_xlfn.XLOOKUP("[S06_InstallationsVerificationReportsIssueDetail]["&amp;1+ROW(B134)-ROW($B$133)&amp;"][ShareOfReportsConservativeEstimate]",Submission!$O:$O,Submission!$H:$N,""))</f>
        <v>0</v>
      </c>
    </row>
    <row r="135" spans="1:9" ht="26.4" customHeight="1" x14ac:dyDescent="0.3">
      <c r="A135" s="13"/>
      <c r="C135" s="281" t="str">
        <f>_xlfn.CONCAT(_xlfn.XLOOKUP("[S06_InstallationsVerificationReportsIssueDetail]["&amp;1+ROW(B135)-ROW($B$133)&amp;"][AnnexIActivity]",Submission!$O:$O,Submission!$H:$N,""))</f>
        <v>20 - Combustion of fuels as specified in Annex I of Directive 2003/87/EC</v>
      </c>
      <c r="D135" s="347"/>
      <c r="E135" s="281" t="str">
        <f>_xlfn.CONCAT(_xlfn.XLOOKUP("[S06_InstallationsVerificationReportsIssueDetail]["&amp;1+ROW(B135)-ROW($B$133)&amp;"][TypeOfIssue]",Submission!$O:$O,Submission!$H:$N,""))</f>
        <v>Recommendations for improvement</v>
      </c>
      <c r="F135" s="347"/>
      <c r="G135" s="105" t="str">
        <f>_xlfn.CONCAT(_xlfn.XLOOKUP("[S06_InstallationsVerificationReportsIssueDetail]["&amp;1+ROW(B135)-ROW($B$133)&amp;"][NumberOfInstallations]",Submission!$O:$O,Submission!$H:$N,""))</f>
        <v>11</v>
      </c>
      <c r="H135" s="108" t="str">
        <f>_xlfn.CONCAT(_xlfn.XLOOKUP("[S06_InstallationsVerificationReportsIssueDetail]["&amp;1+ROW(B135)-ROW($B$133)&amp;"][NumberOfIssues]",Submission!$O:$O,Submission!$H:$N,""))</f>
        <v>33</v>
      </c>
      <c r="I135" s="183" t="str">
        <f>_xlfn.CONCAT(_xlfn.XLOOKUP("[S06_InstallationsVerificationReportsIssueDetail]["&amp;1+ROW(B135)-ROW($B$133)&amp;"][ShareOfReportsConservativeEstimate]",Submission!$O:$O,Submission!$H:$N,""))</f>
        <v>0</v>
      </c>
    </row>
    <row r="136" spans="1:9" ht="26.4" customHeight="1" x14ac:dyDescent="0.3">
      <c r="A136" s="13"/>
      <c r="C136" s="281" t="str">
        <f>_xlfn.CONCAT(_xlfn.XLOOKUP("[S06_InstallationsVerificationReportsIssueDetail]["&amp;1+ROW(B136)-ROW($B$133)&amp;"][AnnexIActivity]",Submission!$O:$O,Submission!$H:$N,""))</f>
        <v>29 - Production of cement clinker in rotary kilns as specified in Annex I of Directive 2003/87/ EC</v>
      </c>
      <c r="D136" s="347"/>
      <c r="E136" s="281" t="str">
        <f>_xlfn.CONCAT(_xlfn.XLOOKUP("[S06_InstallationsVerificationReportsIssueDetail]["&amp;1+ROW(B136)-ROW($B$133)&amp;"][TypeOfIssue]",Submission!$O:$O,Submission!$H:$N,""))</f>
        <v>Recommendations for improvement</v>
      </c>
      <c r="F136" s="347"/>
      <c r="G136" s="105" t="str">
        <f>_xlfn.CONCAT(_xlfn.XLOOKUP("[S06_InstallationsVerificationReportsIssueDetail]["&amp;1+ROW(B136)-ROW($B$133)&amp;"][NumberOfInstallations]",Submission!$O:$O,Submission!$H:$N,""))</f>
        <v>2</v>
      </c>
      <c r="H136" s="108" t="str">
        <f>_xlfn.CONCAT(_xlfn.XLOOKUP("[S06_InstallationsVerificationReportsIssueDetail]["&amp;1+ROW(B136)-ROW($B$133)&amp;"][NumberOfIssues]",Submission!$O:$O,Submission!$H:$N,""))</f>
        <v>5</v>
      </c>
      <c r="I136" s="183" t="str">
        <f>_xlfn.CONCAT(_xlfn.XLOOKUP("[S06_InstallationsVerificationReportsIssueDetail]["&amp;1+ROW(B136)-ROW($B$133)&amp;"][ShareOfReportsConservativeEstimate]",Submission!$O:$O,Submission!$H:$N,""))</f>
        <v>0</v>
      </c>
    </row>
    <row r="137" spans="1:9" ht="26.4" customHeight="1" x14ac:dyDescent="0.3">
      <c r="A137" s="13"/>
      <c r="C137" s="281" t="str">
        <f>_xlfn.CONCAT(_xlfn.XLOOKUP("[S06_InstallationsVerificationReportsIssueDetail]["&amp;1+ROW(B137)-ROW($B$133)&amp;"][AnnexIActivity]",Submission!$O:$O,Submission!$H:$N,""))</f>
        <v>32 - Manufacture of ceramic products as specified in Annex I of Directive 2003/87/EC</v>
      </c>
      <c r="D137" s="347"/>
      <c r="E137" s="281" t="str">
        <f>_xlfn.CONCAT(_xlfn.XLOOKUP("[S06_InstallationsVerificationReportsIssueDetail]["&amp;1+ROW(B137)-ROW($B$133)&amp;"][TypeOfIssue]",Submission!$O:$O,Submission!$H:$N,""))</f>
        <v>Non-conformities not leading to a negative verification opinion statement</v>
      </c>
      <c r="F137" s="347"/>
      <c r="G137" s="105" t="str">
        <f>_xlfn.CONCAT(_xlfn.XLOOKUP("[S06_InstallationsVerificationReportsIssueDetail]["&amp;1+ROW(B137)-ROW($B$133)&amp;"][NumberOfInstallations]",Submission!$O:$O,Submission!$H:$N,""))</f>
        <v>5</v>
      </c>
      <c r="H137" s="108" t="str">
        <f>_xlfn.CONCAT(_xlfn.XLOOKUP("[S06_InstallationsVerificationReportsIssueDetail]["&amp;1+ROW(B137)-ROW($B$133)&amp;"][NumberOfIssues]",Submission!$O:$O,Submission!$H:$N,""))</f>
        <v>8</v>
      </c>
      <c r="I137" s="183" t="str">
        <f>_xlfn.CONCAT(_xlfn.XLOOKUP("[S06_InstallationsVerificationReportsIssueDetail]["&amp;1+ROW(B137)-ROW($B$133)&amp;"][ShareOfReportsConservativeEstimate]",Submission!$O:$O,Submission!$H:$N,""))</f>
        <v>0</v>
      </c>
    </row>
    <row r="138" spans="1:9" ht="26.4" customHeight="1" x14ac:dyDescent="0.3">
      <c r="A138" s="13"/>
      <c r="C138" s="281" t="str">
        <f>_xlfn.CONCAT(_xlfn.XLOOKUP("[S06_InstallationsVerificationReportsIssueDetail]["&amp;1+ROW(B138)-ROW($B$133)&amp;"][AnnexIActivity]",Submission!$O:$O,Submission!$H:$N,""))</f>
        <v>32 - Manufacture of ceramic products as specified in Annex I of Directive 2003/87/EC</v>
      </c>
      <c r="D138" s="347"/>
      <c r="E138" s="281" t="str">
        <f>_xlfn.CONCAT(_xlfn.XLOOKUP("[S06_InstallationsVerificationReportsIssueDetail]["&amp;1+ROW(B138)-ROW($B$133)&amp;"][TypeOfIssue]",Submission!$O:$O,Submission!$H:$N,""))</f>
        <v>Non-compliance with Implementing Regulation (EU) 2018/2066</v>
      </c>
      <c r="F138" s="347"/>
      <c r="G138" s="105" t="str">
        <f>_xlfn.CONCAT(_xlfn.XLOOKUP("[S06_InstallationsVerificationReportsIssueDetail]["&amp;1+ROW(B138)-ROW($B$133)&amp;"][NumberOfInstallations]",Submission!$O:$O,Submission!$H:$N,""))</f>
        <v>1</v>
      </c>
      <c r="H138" s="108" t="str">
        <f>_xlfn.CONCAT(_xlfn.XLOOKUP("[S06_InstallationsVerificationReportsIssueDetail]["&amp;1+ROW(B138)-ROW($B$133)&amp;"][NumberOfIssues]",Submission!$O:$O,Submission!$H:$N,""))</f>
        <v>1</v>
      </c>
      <c r="I138" s="183" t="str">
        <f>_xlfn.CONCAT(_xlfn.XLOOKUP("[S06_InstallationsVerificationReportsIssueDetail]["&amp;1+ROW(B138)-ROW($B$133)&amp;"][ShareOfReportsConservativeEstimate]",Submission!$O:$O,Submission!$H:$N,""))</f>
        <v>0</v>
      </c>
    </row>
    <row r="139" spans="1:9" ht="26.4" customHeight="1" x14ac:dyDescent="0.3">
      <c r="A139" s="13"/>
      <c r="C139" s="281" t="str">
        <f>_xlfn.CONCAT(_xlfn.XLOOKUP("[S06_InstallationsVerificationReportsIssueDetail]["&amp;1+ROW(B139)-ROW($B$133)&amp;"][AnnexIActivity]",Submission!$O:$O,Submission!$H:$N,""))</f>
        <v>32 - Manufacture of ceramic products as specified in Annex I of Directive 2003/87/EC</v>
      </c>
      <c r="D139" s="347"/>
      <c r="E139" s="281" t="str">
        <f>_xlfn.CONCAT(_xlfn.XLOOKUP("[S06_InstallationsVerificationReportsIssueDetail]["&amp;1+ROW(B139)-ROW($B$133)&amp;"][TypeOfIssue]",Submission!$O:$O,Submission!$H:$N,""))</f>
        <v>Recommendations for improvement</v>
      </c>
      <c r="F139" s="347"/>
      <c r="G139" s="105" t="str">
        <f>_xlfn.CONCAT(_xlfn.XLOOKUP("[S06_InstallationsVerificationReportsIssueDetail]["&amp;1+ROW(B139)-ROW($B$133)&amp;"][NumberOfInstallations]",Submission!$O:$O,Submission!$H:$N,""))</f>
        <v>4</v>
      </c>
      <c r="H139" s="108" t="str">
        <f>_xlfn.CONCAT(_xlfn.XLOOKUP("[S06_InstallationsVerificationReportsIssueDetail]["&amp;1+ROW(B139)-ROW($B$133)&amp;"][NumberOfIssues]",Submission!$O:$O,Submission!$H:$N,""))</f>
        <v>8</v>
      </c>
      <c r="I139" s="183" t="str">
        <f>_xlfn.CONCAT(_xlfn.XLOOKUP("[S06_InstallationsVerificationReportsIssueDetail]["&amp;1+ROW(B139)-ROW($B$133)&amp;"][ShareOfReportsConservativeEstimate]",Submission!$O:$O,Submission!$H:$N,""))</f>
        <v>0</v>
      </c>
    </row>
    <row r="140" spans="1:9" ht="26.4" customHeight="1" x14ac:dyDescent="0.3">
      <c r="A140" s="13"/>
      <c r="C140" s="281" t="str">
        <f>_xlfn.CONCAT(_xlfn.XLOOKUP("[S06_InstallationsVerificationReportsIssueDetail]["&amp;1+ROW(B140)-ROW($B$133)&amp;"][AnnexIActivity]",Submission!$O:$O,Submission!$H:$N,""))</f>
        <v>33 - Manufacture of mineral wool insulation material using glass, rock or slag as specified in Annex I of Directive 2003/87/EC</v>
      </c>
      <c r="D140" s="347"/>
      <c r="E140" s="281" t="str">
        <f>_xlfn.CONCAT(_xlfn.XLOOKUP("[S06_InstallationsVerificationReportsIssueDetail]["&amp;1+ROW(B140)-ROW($B$133)&amp;"][TypeOfIssue]",Submission!$O:$O,Submission!$H:$N,""))</f>
        <v>Non-conformities not leading to a negative verification opinion statement</v>
      </c>
      <c r="F140" s="347"/>
      <c r="G140" s="105" t="str">
        <f>_xlfn.CONCAT(_xlfn.XLOOKUP("[S06_InstallationsVerificationReportsIssueDetail]["&amp;1+ROW(B140)-ROW($B$133)&amp;"][NumberOfInstallations]",Submission!$O:$O,Submission!$H:$N,""))</f>
        <v>2</v>
      </c>
      <c r="H140" s="108" t="str">
        <f>_xlfn.CONCAT(_xlfn.XLOOKUP("[S06_InstallationsVerificationReportsIssueDetail]["&amp;1+ROW(B140)-ROW($B$133)&amp;"][NumberOfIssues]",Submission!$O:$O,Submission!$H:$N,""))</f>
        <v>2</v>
      </c>
      <c r="I140" s="183" t="str">
        <f>_xlfn.CONCAT(_xlfn.XLOOKUP("[S06_InstallationsVerificationReportsIssueDetail]["&amp;1+ROW(B140)-ROW($B$133)&amp;"][ShareOfReportsConservativeEstimate]",Submission!$O:$O,Submission!$H:$N,""))</f>
        <v>0</v>
      </c>
    </row>
    <row r="141" spans="1:9" ht="26.4" customHeight="1" x14ac:dyDescent="0.3">
      <c r="A141" s="13"/>
      <c r="C141" s="281" t="str">
        <f>_xlfn.CONCAT(_xlfn.XLOOKUP("[S06_InstallationsVerificationReportsIssueDetail]["&amp;1+ROW(B141)-ROW($B$133)&amp;"][AnnexIActivity]",Submission!$O:$O,Submission!$H:$N,""))</f>
        <v>33 - Manufacture of mineral wool insulation material using glass, rock or slag as specified in Annex I of Directive 2003/87/EC</v>
      </c>
      <c r="D141" s="347"/>
      <c r="E141" s="281" t="str">
        <f>_xlfn.CONCAT(_xlfn.XLOOKUP("[S06_InstallationsVerificationReportsIssueDetail]["&amp;1+ROW(B141)-ROW($B$133)&amp;"][TypeOfIssue]",Submission!$O:$O,Submission!$H:$N,""))</f>
        <v>Non-compliance with Implementing Regulation (EU) 2018/2066</v>
      </c>
      <c r="F141" s="347"/>
      <c r="G141" s="105" t="str">
        <f>_xlfn.CONCAT(_xlfn.XLOOKUP("[S06_InstallationsVerificationReportsIssueDetail]["&amp;1+ROW(B141)-ROW($B$133)&amp;"][NumberOfInstallations]",Submission!$O:$O,Submission!$H:$N,""))</f>
        <v>1</v>
      </c>
      <c r="H141" s="108" t="str">
        <f>_xlfn.CONCAT(_xlfn.XLOOKUP("[S06_InstallationsVerificationReportsIssueDetail]["&amp;1+ROW(B141)-ROW($B$133)&amp;"][NumberOfIssues]",Submission!$O:$O,Submission!$H:$N,""))</f>
        <v>1</v>
      </c>
      <c r="I141" s="183" t="str">
        <f>_xlfn.CONCAT(_xlfn.XLOOKUP("[S06_InstallationsVerificationReportsIssueDetail]["&amp;1+ROW(B141)-ROW($B$133)&amp;"][ShareOfReportsConservativeEstimate]",Submission!$O:$O,Submission!$H:$N,""))</f>
        <v>0</v>
      </c>
    </row>
    <row r="142" spans="1:9" ht="26.4" customHeight="1" x14ac:dyDescent="0.3">
      <c r="A142" s="13"/>
      <c r="C142" s="281" t="str">
        <f>_xlfn.CONCAT(_xlfn.XLOOKUP("[S06_InstallationsVerificationReportsIssueDetail]["&amp;1+ROW(B142)-ROW($B$133)&amp;"][AnnexIActivity]",Submission!$O:$O,Submission!$H:$N,""))</f>
        <v>33 - Manufacture of mineral wool insulation material using glass, rock or slag as specified in Annex I of Directive 2003/87/EC</v>
      </c>
      <c r="D142" s="347"/>
      <c r="E142" s="281" t="str">
        <f>_xlfn.CONCAT(_xlfn.XLOOKUP("[S06_InstallationsVerificationReportsIssueDetail]["&amp;1+ROW(B142)-ROW($B$133)&amp;"][TypeOfIssue]",Submission!$O:$O,Submission!$H:$N,""))</f>
        <v>Recommendations for improvement</v>
      </c>
      <c r="F142" s="347"/>
      <c r="G142" s="105" t="str">
        <f>_xlfn.CONCAT(_xlfn.XLOOKUP("[S06_InstallationsVerificationReportsIssueDetail]["&amp;1+ROW(B142)-ROW($B$133)&amp;"][NumberOfInstallations]",Submission!$O:$O,Submission!$H:$N,""))</f>
        <v>1</v>
      </c>
      <c r="H142" s="108" t="str">
        <f>_xlfn.CONCAT(_xlfn.XLOOKUP("[S06_InstallationsVerificationReportsIssueDetail]["&amp;1+ROW(B142)-ROW($B$133)&amp;"][NumberOfIssues]",Submission!$O:$O,Submission!$H:$N,""))</f>
        <v>4</v>
      </c>
      <c r="I142" s="183" t="str">
        <f>_xlfn.CONCAT(_xlfn.XLOOKUP("[S06_InstallationsVerificationReportsIssueDetail]["&amp;1+ROW(B142)-ROW($B$133)&amp;"][ShareOfReportsConservativeEstimate]",Submission!$O:$O,Submission!$H:$N,""))</f>
        <v>0</v>
      </c>
    </row>
    <row r="143" spans="1:9" ht="26.4" customHeight="1" x14ac:dyDescent="0.3">
      <c r="A143" s="13"/>
      <c r="C143" s="281" t="str">
        <f>_xlfn.CONCAT(_xlfn.XLOOKUP("[S06_InstallationsVerificationReportsIssueDetail]["&amp;1+ROW(B143)-ROW($B$133)&amp;"][AnnexIActivity]",Submission!$O:$O,Submission!$H:$N,""))</f>
        <v>24 - Production of pig iron or steel as specified in Annex I of Directive 2003/87/EC</v>
      </c>
      <c r="D143" s="347"/>
      <c r="E143" s="281" t="str">
        <f>_xlfn.CONCAT(_xlfn.XLOOKUP("[S06_InstallationsVerificationReportsIssueDetail]["&amp;1+ROW(B143)-ROW($B$133)&amp;"][TypeOfIssue]",Submission!$O:$O,Submission!$H:$N,""))</f>
        <v>Non-conformities not leading to a negative verification opinion statement</v>
      </c>
      <c r="F143" s="347"/>
      <c r="G143" s="105" t="str">
        <f>_xlfn.CONCAT(_xlfn.XLOOKUP("[S06_InstallationsVerificationReportsIssueDetail]["&amp;1+ROW(B143)-ROW($B$133)&amp;"][NumberOfInstallations]",Submission!$O:$O,Submission!$H:$N,""))</f>
        <v>1</v>
      </c>
      <c r="H143" s="108" t="str">
        <f>_xlfn.CONCAT(_xlfn.XLOOKUP("[S06_InstallationsVerificationReportsIssueDetail]["&amp;1+ROW(B143)-ROW($B$133)&amp;"][NumberOfIssues]",Submission!$O:$O,Submission!$H:$N,""))</f>
        <v>1</v>
      </c>
      <c r="I143" s="183" t="str">
        <f>_xlfn.CONCAT(_xlfn.XLOOKUP("[S06_InstallationsVerificationReportsIssueDetail]["&amp;1+ROW(B143)-ROW($B$133)&amp;"][ShareOfReportsConservativeEstimate]",Submission!$O:$O,Submission!$H:$N,""))</f>
        <v>0</v>
      </c>
    </row>
    <row r="144" spans="1:9" ht="26.4" customHeight="1" x14ac:dyDescent="0.3">
      <c r="A144" s="13"/>
      <c r="C144" s="281" t="str">
        <f>_xlfn.CONCAT(_xlfn.XLOOKUP("[S06_InstallationsVerificationReportsIssueDetail]["&amp;1+ROW(B144)-ROW($B$133)&amp;"][AnnexIActivity]",Submission!$O:$O,Submission!$H:$N,""))</f>
        <v>24 - Production of pig iron or steel as specified in Annex I of Directive 2003/87/EC</v>
      </c>
      <c r="D144" s="347"/>
      <c r="E144" s="281" t="str">
        <f>_xlfn.CONCAT(_xlfn.XLOOKUP("[S06_InstallationsVerificationReportsIssueDetail]["&amp;1+ROW(B144)-ROW($B$133)&amp;"][TypeOfIssue]",Submission!$O:$O,Submission!$H:$N,""))</f>
        <v>Recommendations for improvement</v>
      </c>
      <c r="F144" s="347"/>
      <c r="G144" s="105" t="str">
        <f>_xlfn.CONCAT(_xlfn.XLOOKUP("[S06_InstallationsVerificationReportsIssueDetail]["&amp;1+ROW(B144)-ROW($B$133)&amp;"][NumberOfInstallations]",Submission!$O:$O,Submission!$H:$N,""))</f>
        <v>1</v>
      </c>
      <c r="H144" s="108" t="str">
        <f>_xlfn.CONCAT(_xlfn.XLOOKUP("[S06_InstallationsVerificationReportsIssueDetail]["&amp;1+ROW(B144)-ROW($B$133)&amp;"][NumberOfIssues]",Submission!$O:$O,Submission!$H:$N,""))</f>
        <v>6</v>
      </c>
      <c r="I144" s="183" t="str">
        <f>_xlfn.CONCAT(_xlfn.XLOOKUP("[S06_InstallationsVerificationReportsIssueDetail]["&amp;1+ROW(B144)-ROW($B$133)&amp;"][ShareOfReportsConservativeEstimate]",Submission!$O:$O,Submission!$H:$N,""))</f>
        <v>0</v>
      </c>
    </row>
    <row r="145" spans="1:9" ht="26.4" customHeight="1" x14ac:dyDescent="0.3">
      <c r="A145" s="13"/>
      <c r="C145" s="281" t="str">
        <f>_xlfn.CONCAT(_xlfn.XLOOKUP("[S06_InstallationsVerificationReportsIssueDetail]["&amp;1+ROW(B145)-ROW($B$133)&amp;"][AnnexIActivity]",Submission!$O:$O,Submission!$H:$N,""))</f>
        <v>30 - Production of lime or calcination of dolomite or magnesite as specified in Annex I of Directive 2003/87/ EC</v>
      </c>
      <c r="D145" s="347"/>
      <c r="E145" s="281" t="str">
        <f>_xlfn.CONCAT(_xlfn.XLOOKUP("[S06_InstallationsVerificationReportsIssueDetail]["&amp;1+ROW(B145)-ROW($B$133)&amp;"][TypeOfIssue]",Submission!$O:$O,Submission!$H:$N,""))</f>
        <v>Recommendations for improvement</v>
      </c>
      <c r="F145" s="347"/>
      <c r="G145" s="105" t="str">
        <f>_xlfn.CONCAT(_xlfn.XLOOKUP("[S06_InstallationsVerificationReportsIssueDetail]["&amp;1+ROW(B145)-ROW($B$133)&amp;"][NumberOfInstallations]",Submission!$O:$O,Submission!$H:$N,""))</f>
        <v>3</v>
      </c>
      <c r="H145" s="108" t="str">
        <f>_xlfn.CONCAT(_xlfn.XLOOKUP("[S06_InstallationsVerificationReportsIssueDetail]["&amp;1+ROW(B145)-ROW($B$133)&amp;"][NumberOfIssues]",Submission!$O:$O,Submission!$H:$N,""))</f>
        <v>5</v>
      </c>
      <c r="I145" s="183" t="str">
        <f>_xlfn.CONCAT(_xlfn.XLOOKUP("[S06_InstallationsVerificationReportsIssueDetail]["&amp;1+ROW(B145)-ROW($B$133)&amp;"][ShareOfReportsConservativeEstimate]",Submission!$O:$O,Submission!$H:$N,""))</f>
        <v>0</v>
      </c>
    </row>
    <row r="146" spans="1:9" ht="26.4" customHeight="1" x14ac:dyDescent="0.3">
      <c r="A146" s="13"/>
      <c r="C146" s="281" t="str">
        <f>_xlfn.CONCAT(_xlfn.XLOOKUP("[S06_InstallationsVerificationReportsIssueDetail]["&amp;1+ROW(B146)-ROW($B$133)&amp;"][AnnexIActivity]",Submission!$O:$O,Submission!$H:$N,""))</f>
        <v>21 - Refining of mineral oil</v>
      </c>
      <c r="D146" s="347"/>
      <c r="E146" s="281" t="str">
        <f>_xlfn.CONCAT(_xlfn.XLOOKUP("[S06_InstallationsVerificationReportsIssueDetail]["&amp;1+ROW(B146)-ROW($B$133)&amp;"][TypeOfIssue]",Submission!$O:$O,Submission!$H:$N,""))</f>
        <v>Recommendations for improvement</v>
      </c>
      <c r="F146" s="347"/>
      <c r="G146" s="105" t="str">
        <f>_xlfn.CONCAT(_xlfn.XLOOKUP("[S06_InstallationsVerificationReportsIssueDetail]["&amp;1+ROW(B146)-ROW($B$133)&amp;"][NumberOfInstallations]",Submission!$O:$O,Submission!$H:$N,""))</f>
        <v>1</v>
      </c>
      <c r="H146" s="108" t="str">
        <f>_xlfn.CONCAT(_xlfn.XLOOKUP("[S06_InstallationsVerificationReportsIssueDetail]["&amp;1+ROW(B146)-ROW($B$133)&amp;"][NumberOfIssues]",Submission!$O:$O,Submission!$H:$N,""))</f>
        <v>2</v>
      </c>
      <c r="I146" s="183" t="str">
        <f>_xlfn.CONCAT(_xlfn.XLOOKUP("[S06_InstallationsVerificationReportsIssueDetail]["&amp;1+ROW(B146)-ROW($B$133)&amp;"][ShareOfReportsConservativeEstimate]",Submission!$O:$O,Submission!$H:$N,""))</f>
        <v>0</v>
      </c>
    </row>
    <row r="147" spans="1:9" ht="26.4" customHeight="1" x14ac:dyDescent="0.3">
      <c r="A147" s="13"/>
      <c r="C147" s="281" t="str">
        <f>_xlfn.CONCAT(_xlfn.XLOOKUP("[S06_InstallationsVerificationReportsIssueDetail]["&amp;1+ROW(B147)-ROW($B$133)&amp;"][AnnexIActivity]",Submission!$O:$O,Submission!$H:$N,""))</f>
        <v/>
      </c>
      <c r="D147" s="347"/>
      <c r="E147" s="281" t="str">
        <f>_xlfn.CONCAT(_xlfn.XLOOKUP("[S06_InstallationsVerificationReportsIssueDetail]["&amp;1+ROW(B147)-ROW($B$133)&amp;"][TypeOfIssue]",Submission!$O:$O,Submission!$H:$N,""))</f>
        <v/>
      </c>
      <c r="F147" s="347"/>
      <c r="G147" s="105" t="str">
        <f>_xlfn.CONCAT(_xlfn.XLOOKUP("[S06_InstallationsVerificationReportsIssueDetail]["&amp;1+ROW(B147)-ROW($B$133)&amp;"][NumberOfInstallations]",Submission!$O:$O,Submission!$H:$N,""))</f>
        <v/>
      </c>
      <c r="H147" s="108" t="str">
        <f>_xlfn.CONCAT(_xlfn.XLOOKUP("[S06_InstallationsVerificationReportsIssueDetail]["&amp;1+ROW(B147)-ROW($B$133)&amp;"][NumberOfIssues]",Submission!$O:$O,Submission!$H:$N,""))</f>
        <v/>
      </c>
      <c r="I147" s="183" t="str">
        <f>_xlfn.CONCAT(_xlfn.XLOOKUP("[S06_InstallationsVerificationReportsIssueDetail]["&amp;1+ROW(B147)-ROW($B$133)&amp;"][ShareOfReportsConservativeEstimate]",Submission!$O:$O,Submission!$H:$N,""))</f>
        <v/>
      </c>
    </row>
    <row r="148" spans="1:9" ht="26.4" customHeight="1" x14ac:dyDescent="0.3">
      <c r="A148" s="13"/>
      <c r="C148" s="281" t="str">
        <f>_xlfn.CONCAT(_xlfn.XLOOKUP("[S06_InstallationsVerificationReportsIssueDetail]["&amp;1+ROW(B148)-ROW($B$133)&amp;"][AnnexIActivity]",Submission!$O:$O,Submission!$H:$N,""))</f>
        <v/>
      </c>
      <c r="D148" s="347"/>
      <c r="E148" s="281" t="str">
        <f>_xlfn.CONCAT(_xlfn.XLOOKUP("[S06_InstallationsVerificationReportsIssueDetail]["&amp;1+ROW(B148)-ROW($B$133)&amp;"][TypeOfIssue]",Submission!$O:$O,Submission!$H:$N,""))</f>
        <v/>
      </c>
      <c r="F148" s="347"/>
      <c r="G148" s="105" t="str">
        <f>_xlfn.CONCAT(_xlfn.XLOOKUP("[S06_InstallationsVerificationReportsIssueDetail]["&amp;1+ROW(B148)-ROW($B$133)&amp;"][NumberOfInstallations]",Submission!$O:$O,Submission!$H:$N,""))</f>
        <v/>
      </c>
      <c r="H148" s="108" t="str">
        <f>_xlfn.CONCAT(_xlfn.XLOOKUP("[S06_InstallationsVerificationReportsIssueDetail]["&amp;1+ROW(B148)-ROW($B$133)&amp;"][NumberOfIssues]",Submission!$O:$O,Submission!$H:$N,""))</f>
        <v/>
      </c>
      <c r="I148" s="183" t="str">
        <f>_xlfn.CONCAT(_xlfn.XLOOKUP("[S06_InstallationsVerificationReportsIssueDetail]["&amp;1+ROW(B148)-ROW($B$133)&amp;"][ShareOfReportsConservativeEstimate]",Submission!$O:$O,Submission!$H:$N,""))</f>
        <v/>
      </c>
    </row>
    <row r="149" spans="1:9" ht="26.4" customHeight="1" x14ac:dyDescent="0.3">
      <c r="A149" s="13"/>
      <c r="C149" s="281" t="str">
        <f>_xlfn.CONCAT(_xlfn.XLOOKUP("[S06_InstallationsVerificationReportsIssueDetail]["&amp;1+ROW(B149)-ROW($B$133)&amp;"][AnnexIActivity]",Submission!$O:$O,Submission!$H:$N,""))</f>
        <v/>
      </c>
      <c r="D149" s="347"/>
      <c r="E149" s="281" t="str">
        <f>_xlfn.CONCAT(_xlfn.XLOOKUP("[S06_InstallationsVerificationReportsIssueDetail]["&amp;1+ROW(B149)-ROW($B$133)&amp;"][TypeOfIssue]",Submission!$O:$O,Submission!$H:$N,""))</f>
        <v/>
      </c>
      <c r="F149" s="347"/>
      <c r="G149" s="105" t="str">
        <f>_xlfn.CONCAT(_xlfn.XLOOKUP("[S06_InstallationsVerificationReportsIssueDetail]["&amp;1+ROW(B149)-ROW($B$133)&amp;"][NumberOfInstallations]",Submission!$O:$O,Submission!$H:$N,""))</f>
        <v/>
      </c>
      <c r="H149" s="108" t="str">
        <f>_xlfn.CONCAT(_xlfn.XLOOKUP("[S06_InstallationsVerificationReportsIssueDetail]["&amp;1+ROW(B149)-ROW($B$133)&amp;"][NumberOfIssues]",Submission!$O:$O,Submission!$H:$N,""))</f>
        <v/>
      </c>
      <c r="I149" s="183" t="str">
        <f>_xlfn.CONCAT(_xlfn.XLOOKUP("[S06_InstallationsVerificationReportsIssueDetail]["&amp;1+ROW(B149)-ROW($B$133)&amp;"][ShareOfReportsConservativeEstimate]",Submission!$O:$O,Submission!$H:$N,""))</f>
        <v/>
      </c>
    </row>
    <row r="150" spans="1:9" ht="26.4" customHeight="1" x14ac:dyDescent="0.3">
      <c r="A150" s="13"/>
      <c r="C150" s="281" t="str">
        <f>_xlfn.CONCAT(_xlfn.XLOOKUP("[S06_InstallationsVerificationReportsIssueDetail]["&amp;1+ROW(B150)-ROW($B$133)&amp;"][AnnexIActivity]",Submission!$O:$O,Submission!$H:$N,""))</f>
        <v/>
      </c>
      <c r="D150" s="347"/>
      <c r="E150" s="281" t="str">
        <f>_xlfn.CONCAT(_xlfn.XLOOKUP("[S06_InstallationsVerificationReportsIssueDetail]["&amp;1+ROW(B150)-ROW($B$133)&amp;"][TypeOfIssue]",Submission!$O:$O,Submission!$H:$N,""))</f>
        <v/>
      </c>
      <c r="F150" s="347"/>
      <c r="G150" s="105" t="str">
        <f>_xlfn.CONCAT(_xlfn.XLOOKUP("[S06_InstallationsVerificationReportsIssueDetail]["&amp;1+ROW(B150)-ROW($B$133)&amp;"][NumberOfInstallations]",Submission!$O:$O,Submission!$H:$N,""))</f>
        <v/>
      </c>
      <c r="H150" s="108" t="str">
        <f>_xlfn.CONCAT(_xlfn.XLOOKUP("[S06_InstallationsVerificationReportsIssueDetail]["&amp;1+ROW(B150)-ROW($B$133)&amp;"][NumberOfIssues]",Submission!$O:$O,Submission!$H:$N,""))</f>
        <v/>
      </c>
      <c r="I150" s="183" t="str">
        <f>_xlfn.CONCAT(_xlfn.XLOOKUP("[S06_InstallationsVerificationReportsIssueDetail]["&amp;1+ROW(B150)-ROW($B$133)&amp;"][ShareOfReportsConservativeEstimate]",Submission!$O:$O,Submission!$H:$N,""))</f>
        <v/>
      </c>
    </row>
    <row r="151" spans="1:9" ht="26.4" customHeight="1" x14ac:dyDescent="0.3">
      <c r="A151" s="13"/>
      <c r="C151" s="281" t="str">
        <f>_xlfn.CONCAT(_xlfn.XLOOKUP("[S06_InstallationsVerificationReportsIssueDetail]["&amp;1+ROW(B151)-ROW($B$133)&amp;"][AnnexIActivity]",Submission!$O:$O,Submission!$H:$N,""))</f>
        <v/>
      </c>
      <c r="D151" s="347"/>
      <c r="E151" s="281" t="str">
        <f>_xlfn.CONCAT(_xlfn.XLOOKUP("[S06_InstallationsVerificationReportsIssueDetail]["&amp;1+ROW(B151)-ROW($B$133)&amp;"][TypeOfIssue]",Submission!$O:$O,Submission!$H:$N,""))</f>
        <v/>
      </c>
      <c r="F151" s="347"/>
      <c r="G151" s="105" t="str">
        <f>_xlfn.CONCAT(_xlfn.XLOOKUP("[S06_InstallationsVerificationReportsIssueDetail]["&amp;1+ROW(B151)-ROW($B$133)&amp;"][NumberOfInstallations]",Submission!$O:$O,Submission!$H:$N,""))</f>
        <v/>
      </c>
      <c r="H151" s="108" t="str">
        <f>_xlfn.CONCAT(_xlfn.XLOOKUP("[S06_InstallationsVerificationReportsIssueDetail]["&amp;1+ROW(B151)-ROW($B$133)&amp;"][NumberOfIssues]",Submission!$O:$O,Submission!$H:$N,""))</f>
        <v/>
      </c>
      <c r="I151" s="183" t="str">
        <f>_xlfn.CONCAT(_xlfn.XLOOKUP("[S06_InstallationsVerificationReportsIssueDetail]["&amp;1+ROW(B151)-ROW($B$133)&amp;"][ShareOfReportsConservativeEstimate]",Submission!$O:$O,Submission!$H:$N,""))</f>
        <v/>
      </c>
    </row>
    <row r="152" spans="1:9" ht="26.4" customHeight="1" x14ac:dyDescent="0.3">
      <c r="A152" s="13"/>
      <c r="C152" s="281" t="str">
        <f>_xlfn.CONCAT(_xlfn.XLOOKUP("[S06_InstallationsVerificationReportsIssueDetail]["&amp;1+ROW(B152)-ROW($B$133)&amp;"][AnnexIActivity]",Submission!$O:$O,Submission!$H:$N,""))</f>
        <v/>
      </c>
      <c r="D152" s="347"/>
      <c r="E152" s="281" t="str">
        <f>_xlfn.CONCAT(_xlfn.XLOOKUP("[S06_InstallationsVerificationReportsIssueDetail]["&amp;1+ROW(B152)-ROW($B$133)&amp;"][TypeOfIssue]",Submission!$O:$O,Submission!$H:$N,""))</f>
        <v/>
      </c>
      <c r="F152" s="347"/>
      <c r="G152" s="105" t="str">
        <f>_xlfn.CONCAT(_xlfn.XLOOKUP("[S06_InstallationsVerificationReportsIssueDetail]["&amp;1+ROW(B152)-ROW($B$133)&amp;"][NumberOfInstallations]",Submission!$O:$O,Submission!$H:$N,""))</f>
        <v/>
      </c>
      <c r="H152" s="108" t="str">
        <f>_xlfn.CONCAT(_xlfn.XLOOKUP("[S06_InstallationsVerificationReportsIssueDetail]["&amp;1+ROW(B152)-ROW($B$133)&amp;"][NumberOfIssues]",Submission!$O:$O,Submission!$H:$N,""))</f>
        <v/>
      </c>
      <c r="I152" s="183" t="str">
        <f>_xlfn.CONCAT(_xlfn.XLOOKUP("[S06_InstallationsVerificationReportsIssueDetail]["&amp;1+ROW(B152)-ROW($B$133)&amp;"][ShareOfReportsConservativeEstimate]",Submission!$O:$O,Submission!$H:$N,""))</f>
        <v/>
      </c>
    </row>
    <row r="153" spans="1:9" ht="26.4" hidden="1" customHeight="1" outlineLevel="1" x14ac:dyDescent="0.3">
      <c r="A153" s="13"/>
      <c r="C153" s="281" t="str">
        <f>_xlfn.CONCAT(_xlfn.XLOOKUP("[S06_InstallationsVerificationReportsIssueDetail]["&amp;1+ROW(B153)-ROW($B$133)&amp;"][AnnexIActivity]",Submission!$O:$O,Submission!$H:$N,""))</f>
        <v/>
      </c>
      <c r="D153" s="347"/>
      <c r="E153" s="281" t="str">
        <f>_xlfn.CONCAT(_xlfn.XLOOKUP("[S06_InstallationsVerificationReportsIssueDetail]["&amp;1+ROW(B153)-ROW($B$133)&amp;"][TypeOfIssue]",Submission!$O:$O,Submission!$H:$N,""))</f>
        <v/>
      </c>
      <c r="F153" s="347"/>
      <c r="G153" s="105" t="str">
        <f>_xlfn.CONCAT(_xlfn.XLOOKUP("[S06_InstallationsVerificationReportsIssueDetail]["&amp;1+ROW(B153)-ROW($B$133)&amp;"][NumberOfInstallations]",Submission!$O:$O,Submission!$H:$N,""))</f>
        <v/>
      </c>
      <c r="H153" s="108" t="str">
        <f>_xlfn.CONCAT(_xlfn.XLOOKUP("[S06_InstallationsVerificationReportsIssueDetail]["&amp;1+ROW(B153)-ROW($B$133)&amp;"][NumberOfIssues]",Submission!$O:$O,Submission!$H:$N,""))</f>
        <v/>
      </c>
      <c r="I153" s="183" t="str">
        <f>_xlfn.CONCAT(_xlfn.XLOOKUP("[S06_InstallationsVerificationReportsIssueDetail]["&amp;1+ROW(B153)-ROW($B$133)&amp;"][ShareOfReportsConservativeEstimate]",Submission!$O:$O,Submission!$H:$N,""))</f>
        <v/>
      </c>
    </row>
    <row r="154" spans="1:9" ht="26.4" hidden="1" customHeight="1" outlineLevel="1" x14ac:dyDescent="0.3">
      <c r="A154" s="13"/>
      <c r="C154" s="281" t="str">
        <f>_xlfn.CONCAT(_xlfn.XLOOKUP("[S06_InstallationsVerificationReportsIssueDetail]["&amp;1+ROW(B154)-ROW($B$133)&amp;"][AnnexIActivity]",Submission!$O:$O,Submission!$H:$N,""))</f>
        <v/>
      </c>
      <c r="D154" s="347"/>
      <c r="E154" s="281" t="str">
        <f>_xlfn.CONCAT(_xlfn.XLOOKUP("[S06_InstallationsVerificationReportsIssueDetail]["&amp;1+ROW(B154)-ROW($B$133)&amp;"][TypeOfIssue]",Submission!$O:$O,Submission!$H:$N,""))</f>
        <v/>
      </c>
      <c r="F154" s="347"/>
      <c r="G154" s="105" t="str">
        <f>_xlfn.CONCAT(_xlfn.XLOOKUP("[S06_InstallationsVerificationReportsIssueDetail]["&amp;1+ROW(B154)-ROW($B$133)&amp;"][NumberOfInstallations]",Submission!$O:$O,Submission!$H:$N,""))</f>
        <v/>
      </c>
      <c r="H154" s="108" t="str">
        <f>_xlfn.CONCAT(_xlfn.XLOOKUP("[S06_InstallationsVerificationReportsIssueDetail]["&amp;1+ROW(B154)-ROW($B$133)&amp;"][NumberOfIssues]",Submission!$O:$O,Submission!$H:$N,""))</f>
        <v/>
      </c>
      <c r="I154" s="183" t="str">
        <f>_xlfn.CONCAT(_xlfn.XLOOKUP("[S06_InstallationsVerificationReportsIssueDetail]["&amp;1+ROW(B154)-ROW($B$133)&amp;"][ShareOfReportsConservativeEstimate]",Submission!$O:$O,Submission!$H:$N,""))</f>
        <v/>
      </c>
    </row>
    <row r="155" spans="1:9" ht="26.4" hidden="1" customHeight="1" outlineLevel="1" x14ac:dyDescent="0.3">
      <c r="A155" s="13"/>
      <c r="C155" s="281" t="str">
        <f>_xlfn.CONCAT(_xlfn.XLOOKUP("[S06_InstallationsVerificationReportsIssueDetail]["&amp;1+ROW(B155)-ROW($B$133)&amp;"][AnnexIActivity]",Submission!$O:$O,Submission!$H:$N,""))</f>
        <v/>
      </c>
      <c r="D155" s="347"/>
      <c r="E155" s="281" t="str">
        <f>_xlfn.CONCAT(_xlfn.XLOOKUP("[S06_InstallationsVerificationReportsIssueDetail]["&amp;1+ROW(B155)-ROW($B$133)&amp;"][TypeOfIssue]",Submission!$O:$O,Submission!$H:$N,""))</f>
        <v/>
      </c>
      <c r="F155" s="347"/>
      <c r="G155" s="105" t="str">
        <f>_xlfn.CONCAT(_xlfn.XLOOKUP("[S06_InstallationsVerificationReportsIssueDetail]["&amp;1+ROW(B155)-ROW($B$133)&amp;"][NumberOfInstallations]",Submission!$O:$O,Submission!$H:$N,""))</f>
        <v/>
      </c>
      <c r="H155" s="108" t="str">
        <f>_xlfn.CONCAT(_xlfn.XLOOKUP("[S06_InstallationsVerificationReportsIssueDetail]["&amp;1+ROW(B155)-ROW($B$133)&amp;"][NumberOfIssues]",Submission!$O:$O,Submission!$H:$N,""))</f>
        <v/>
      </c>
      <c r="I155" s="183" t="str">
        <f>_xlfn.CONCAT(_xlfn.XLOOKUP("[S06_InstallationsVerificationReportsIssueDetail]["&amp;1+ROW(B155)-ROW($B$133)&amp;"][ShareOfReportsConservativeEstimate]",Submission!$O:$O,Submission!$H:$N,""))</f>
        <v/>
      </c>
    </row>
    <row r="156" spans="1:9" ht="26.4" hidden="1" customHeight="1" outlineLevel="1" x14ac:dyDescent="0.3">
      <c r="A156" s="13"/>
      <c r="C156" s="281" t="str">
        <f>_xlfn.CONCAT(_xlfn.XLOOKUP("[S06_InstallationsVerificationReportsIssueDetail]["&amp;1+ROW(B156)-ROW($B$133)&amp;"][AnnexIActivity]",Submission!$O:$O,Submission!$H:$N,""))</f>
        <v/>
      </c>
      <c r="D156" s="347"/>
      <c r="E156" s="281" t="str">
        <f>_xlfn.CONCAT(_xlfn.XLOOKUP("[S06_InstallationsVerificationReportsIssueDetail]["&amp;1+ROW(B156)-ROW($B$133)&amp;"][TypeOfIssue]",Submission!$O:$O,Submission!$H:$N,""))</f>
        <v/>
      </c>
      <c r="F156" s="347"/>
      <c r="G156" s="105" t="str">
        <f>_xlfn.CONCAT(_xlfn.XLOOKUP("[S06_InstallationsVerificationReportsIssueDetail]["&amp;1+ROW(B156)-ROW($B$133)&amp;"][NumberOfInstallations]",Submission!$O:$O,Submission!$H:$N,""))</f>
        <v/>
      </c>
      <c r="H156" s="108" t="str">
        <f>_xlfn.CONCAT(_xlfn.XLOOKUP("[S06_InstallationsVerificationReportsIssueDetail]["&amp;1+ROW(B156)-ROW($B$133)&amp;"][NumberOfIssues]",Submission!$O:$O,Submission!$H:$N,""))</f>
        <v/>
      </c>
      <c r="I156" s="183" t="str">
        <f>_xlfn.CONCAT(_xlfn.XLOOKUP("[S06_InstallationsVerificationReportsIssueDetail]["&amp;1+ROW(B156)-ROW($B$133)&amp;"][ShareOfReportsConservativeEstimate]",Submission!$O:$O,Submission!$H:$N,""))</f>
        <v/>
      </c>
    </row>
    <row r="157" spans="1:9" ht="26.4" hidden="1" customHeight="1" outlineLevel="1" x14ac:dyDescent="0.3">
      <c r="A157" s="13"/>
      <c r="C157" s="281" t="str">
        <f>_xlfn.CONCAT(_xlfn.XLOOKUP("[S06_InstallationsVerificationReportsIssueDetail]["&amp;1+ROW(B157)-ROW($B$133)&amp;"][AnnexIActivity]",Submission!$O:$O,Submission!$H:$N,""))</f>
        <v/>
      </c>
      <c r="D157" s="347"/>
      <c r="E157" s="281" t="str">
        <f>_xlfn.CONCAT(_xlfn.XLOOKUP("[S06_InstallationsVerificationReportsIssueDetail]["&amp;1+ROW(B157)-ROW($B$133)&amp;"][TypeOfIssue]",Submission!$O:$O,Submission!$H:$N,""))</f>
        <v/>
      </c>
      <c r="F157" s="347"/>
      <c r="G157" s="105" t="str">
        <f>_xlfn.CONCAT(_xlfn.XLOOKUP("[S06_InstallationsVerificationReportsIssueDetail]["&amp;1+ROW(B157)-ROW($B$133)&amp;"][NumberOfInstallations]",Submission!$O:$O,Submission!$H:$N,""))</f>
        <v/>
      </c>
      <c r="H157" s="108" t="str">
        <f>_xlfn.CONCAT(_xlfn.XLOOKUP("[S06_InstallationsVerificationReportsIssueDetail]["&amp;1+ROW(B157)-ROW($B$133)&amp;"][NumberOfIssues]",Submission!$O:$O,Submission!$H:$N,""))</f>
        <v/>
      </c>
      <c r="I157" s="183" t="str">
        <f>_xlfn.CONCAT(_xlfn.XLOOKUP("[S06_InstallationsVerificationReportsIssueDetail]["&amp;1+ROW(B157)-ROW($B$133)&amp;"][ShareOfReportsConservativeEstimate]",Submission!$O:$O,Submission!$H:$N,""))</f>
        <v/>
      </c>
    </row>
    <row r="158" spans="1:9" ht="26.4" hidden="1" customHeight="1" outlineLevel="1" x14ac:dyDescent="0.3">
      <c r="A158" s="13"/>
      <c r="C158" s="281" t="str">
        <f>_xlfn.CONCAT(_xlfn.XLOOKUP("[S06_InstallationsVerificationReportsIssueDetail]["&amp;1+ROW(B158)-ROW($B$133)&amp;"][AnnexIActivity]",Submission!$O:$O,Submission!$H:$N,""))</f>
        <v/>
      </c>
      <c r="D158" s="347"/>
      <c r="E158" s="281" t="str">
        <f>_xlfn.CONCAT(_xlfn.XLOOKUP("[S06_InstallationsVerificationReportsIssueDetail]["&amp;1+ROW(B158)-ROW($B$133)&amp;"][TypeOfIssue]",Submission!$O:$O,Submission!$H:$N,""))</f>
        <v/>
      </c>
      <c r="F158" s="347"/>
      <c r="G158" s="105" t="str">
        <f>_xlfn.CONCAT(_xlfn.XLOOKUP("[S06_InstallationsVerificationReportsIssueDetail]["&amp;1+ROW(B158)-ROW($B$133)&amp;"][NumberOfInstallations]",Submission!$O:$O,Submission!$H:$N,""))</f>
        <v/>
      </c>
      <c r="H158" s="108" t="str">
        <f>_xlfn.CONCAT(_xlfn.XLOOKUP("[S06_InstallationsVerificationReportsIssueDetail]["&amp;1+ROW(B158)-ROW($B$133)&amp;"][NumberOfIssues]",Submission!$O:$O,Submission!$H:$N,""))</f>
        <v/>
      </c>
      <c r="I158" s="183" t="str">
        <f>_xlfn.CONCAT(_xlfn.XLOOKUP("[S06_InstallationsVerificationReportsIssueDetail]["&amp;1+ROW(B158)-ROW($B$133)&amp;"][ShareOfReportsConservativeEstimate]",Submission!$O:$O,Submission!$H:$N,""))</f>
        <v/>
      </c>
    </row>
    <row r="159" spans="1:9" ht="26.4" hidden="1" customHeight="1" outlineLevel="1" x14ac:dyDescent="0.3">
      <c r="A159" s="13"/>
      <c r="C159" s="281" t="str">
        <f>_xlfn.CONCAT(_xlfn.XLOOKUP("[S06_InstallationsVerificationReportsIssueDetail]["&amp;1+ROW(B159)-ROW($B$133)&amp;"][AnnexIActivity]",Submission!$O:$O,Submission!$H:$N,""))</f>
        <v/>
      </c>
      <c r="D159" s="347"/>
      <c r="E159" s="281" t="str">
        <f>_xlfn.CONCAT(_xlfn.XLOOKUP("[S06_InstallationsVerificationReportsIssueDetail]["&amp;1+ROW(B159)-ROW($B$133)&amp;"][TypeOfIssue]",Submission!$O:$O,Submission!$H:$N,""))</f>
        <v/>
      </c>
      <c r="F159" s="347"/>
      <c r="G159" s="105" t="str">
        <f>_xlfn.CONCAT(_xlfn.XLOOKUP("[S06_InstallationsVerificationReportsIssueDetail]["&amp;1+ROW(B159)-ROW($B$133)&amp;"][NumberOfInstallations]",Submission!$O:$O,Submission!$H:$N,""))</f>
        <v/>
      </c>
      <c r="H159" s="108" t="str">
        <f>_xlfn.CONCAT(_xlfn.XLOOKUP("[S06_InstallationsVerificationReportsIssueDetail]["&amp;1+ROW(B159)-ROW($B$133)&amp;"][NumberOfIssues]",Submission!$O:$O,Submission!$H:$N,""))</f>
        <v/>
      </c>
      <c r="I159" s="183" t="str">
        <f>_xlfn.CONCAT(_xlfn.XLOOKUP("[S06_InstallationsVerificationReportsIssueDetail]["&amp;1+ROW(B159)-ROW($B$133)&amp;"][ShareOfReportsConservativeEstimate]",Submission!$O:$O,Submission!$H:$N,""))</f>
        <v/>
      </c>
    </row>
    <row r="160" spans="1:9" ht="26.4" hidden="1" customHeight="1" outlineLevel="1" x14ac:dyDescent="0.3">
      <c r="A160" s="13"/>
      <c r="C160" s="281" t="str">
        <f>_xlfn.CONCAT(_xlfn.XLOOKUP("[S06_InstallationsVerificationReportsIssueDetail]["&amp;1+ROW(B160)-ROW($B$133)&amp;"][AnnexIActivity]",Submission!$O:$O,Submission!$H:$N,""))</f>
        <v/>
      </c>
      <c r="D160" s="347"/>
      <c r="E160" s="281" t="str">
        <f>_xlfn.CONCAT(_xlfn.XLOOKUP("[S06_InstallationsVerificationReportsIssueDetail]["&amp;1+ROW(B160)-ROW($B$133)&amp;"][TypeOfIssue]",Submission!$O:$O,Submission!$H:$N,""))</f>
        <v/>
      </c>
      <c r="F160" s="347"/>
      <c r="G160" s="105" t="str">
        <f>_xlfn.CONCAT(_xlfn.XLOOKUP("[S06_InstallationsVerificationReportsIssueDetail]["&amp;1+ROW(B160)-ROW($B$133)&amp;"][NumberOfInstallations]",Submission!$O:$O,Submission!$H:$N,""))</f>
        <v/>
      </c>
      <c r="H160" s="108" t="str">
        <f>_xlfn.CONCAT(_xlfn.XLOOKUP("[S06_InstallationsVerificationReportsIssueDetail]["&amp;1+ROW(B160)-ROW($B$133)&amp;"][NumberOfIssues]",Submission!$O:$O,Submission!$H:$N,""))</f>
        <v/>
      </c>
      <c r="I160" s="183" t="str">
        <f>_xlfn.CONCAT(_xlfn.XLOOKUP("[S06_InstallationsVerificationReportsIssueDetail]["&amp;1+ROW(B160)-ROW($B$133)&amp;"][ShareOfReportsConservativeEstimate]",Submission!$O:$O,Submission!$H:$N,""))</f>
        <v/>
      </c>
    </row>
    <row r="161" spans="1:9" ht="26.4" hidden="1" customHeight="1" outlineLevel="1" x14ac:dyDescent="0.3">
      <c r="A161" s="13"/>
      <c r="C161" s="281" t="str">
        <f>_xlfn.CONCAT(_xlfn.XLOOKUP("[S06_InstallationsVerificationReportsIssueDetail]["&amp;1+ROW(B161)-ROW($B$133)&amp;"][AnnexIActivity]",Submission!$O:$O,Submission!$H:$N,""))</f>
        <v/>
      </c>
      <c r="D161" s="347"/>
      <c r="E161" s="281" t="str">
        <f>_xlfn.CONCAT(_xlfn.XLOOKUP("[S06_InstallationsVerificationReportsIssueDetail]["&amp;1+ROW(B161)-ROW($B$133)&amp;"][TypeOfIssue]",Submission!$O:$O,Submission!$H:$N,""))</f>
        <v/>
      </c>
      <c r="F161" s="347"/>
      <c r="G161" s="105" t="str">
        <f>_xlfn.CONCAT(_xlfn.XLOOKUP("[S06_InstallationsVerificationReportsIssueDetail]["&amp;1+ROW(B161)-ROW($B$133)&amp;"][NumberOfInstallations]",Submission!$O:$O,Submission!$H:$N,""))</f>
        <v/>
      </c>
      <c r="H161" s="108" t="str">
        <f>_xlfn.CONCAT(_xlfn.XLOOKUP("[S06_InstallationsVerificationReportsIssueDetail]["&amp;1+ROW(B161)-ROW($B$133)&amp;"][NumberOfIssues]",Submission!$O:$O,Submission!$H:$N,""))</f>
        <v/>
      </c>
      <c r="I161" s="183" t="str">
        <f>_xlfn.CONCAT(_xlfn.XLOOKUP("[S06_InstallationsVerificationReportsIssueDetail]["&amp;1+ROW(B161)-ROW($B$133)&amp;"][ShareOfReportsConservativeEstimate]",Submission!$O:$O,Submission!$H:$N,""))</f>
        <v/>
      </c>
    </row>
    <row r="162" spans="1:9" ht="26.4" hidden="1" customHeight="1" outlineLevel="1" x14ac:dyDescent="0.3">
      <c r="A162" s="13"/>
      <c r="C162" s="281" t="str">
        <f>_xlfn.CONCAT(_xlfn.XLOOKUP("[S06_InstallationsVerificationReportsIssueDetail]["&amp;1+ROW(B162)-ROW($B$133)&amp;"][AnnexIActivity]",Submission!$O:$O,Submission!$H:$N,""))</f>
        <v/>
      </c>
      <c r="D162" s="347"/>
      <c r="E162" s="281" t="str">
        <f>_xlfn.CONCAT(_xlfn.XLOOKUP("[S06_InstallationsVerificationReportsIssueDetail]["&amp;1+ROW(B162)-ROW($B$133)&amp;"][TypeOfIssue]",Submission!$O:$O,Submission!$H:$N,""))</f>
        <v/>
      </c>
      <c r="F162" s="347"/>
      <c r="G162" s="105" t="str">
        <f>_xlfn.CONCAT(_xlfn.XLOOKUP("[S06_InstallationsVerificationReportsIssueDetail]["&amp;1+ROW(B162)-ROW($B$133)&amp;"][NumberOfInstallations]",Submission!$O:$O,Submission!$H:$N,""))</f>
        <v/>
      </c>
      <c r="H162" s="108" t="str">
        <f>_xlfn.CONCAT(_xlfn.XLOOKUP("[S06_InstallationsVerificationReportsIssueDetail]["&amp;1+ROW(B162)-ROW($B$133)&amp;"][NumberOfIssues]",Submission!$O:$O,Submission!$H:$N,""))</f>
        <v/>
      </c>
      <c r="I162" s="183" t="str">
        <f>_xlfn.CONCAT(_xlfn.XLOOKUP("[S06_InstallationsVerificationReportsIssueDetail]["&amp;1+ROW(B162)-ROW($B$133)&amp;"][ShareOfReportsConservativeEstimate]",Submission!$O:$O,Submission!$H:$N,""))</f>
        <v/>
      </c>
    </row>
    <row r="163" spans="1:9" ht="26.4" hidden="1" customHeight="1" outlineLevel="1" x14ac:dyDescent="0.3">
      <c r="A163" s="13"/>
      <c r="C163" s="281" t="str">
        <f>_xlfn.CONCAT(_xlfn.XLOOKUP("[S06_InstallationsVerificationReportsIssueDetail]["&amp;1+ROW(B163)-ROW($B$133)&amp;"][AnnexIActivity]",Submission!$O:$O,Submission!$H:$N,""))</f>
        <v/>
      </c>
      <c r="D163" s="347"/>
      <c r="E163" s="281" t="str">
        <f>_xlfn.CONCAT(_xlfn.XLOOKUP("[S06_InstallationsVerificationReportsIssueDetail]["&amp;1+ROW(B163)-ROW($B$133)&amp;"][TypeOfIssue]",Submission!$O:$O,Submission!$H:$N,""))</f>
        <v/>
      </c>
      <c r="F163" s="347"/>
      <c r="G163" s="105" t="str">
        <f>_xlfn.CONCAT(_xlfn.XLOOKUP("[S06_InstallationsVerificationReportsIssueDetail]["&amp;1+ROW(B163)-ROW($B$133)&amp;"][NumberOfInstallations]",Submission!$O:$O,Submission!$H:$N,""))</f>
        <v/>
      </c>
      <c r="H163" s="108" t="str">
        <f>_xlfn.CONCAT(_xlfn.XLOOKUP("[S06_InstallationsVerificationReportsIssueDetail]["&amp;1+ROW(B163)-ROW($B$133)&amp;"][NumberOfIssues]",Submission!$O:$O,Submission!$H:$N,""))</f>
        <v/>
      </c>
      <c r="I163" s="183" t="str">
        <f>_xlfn.CONCAT(_xlfn.XLOOKUP("[S06_InstallationsVerificationReportsIssueDetail]["&amp;1+ROW(B163)-ROW($B$133)&amp;"][ShareOfReportsConservativeEstimate]",Submission!$O:$O,Submission!$H:$N,""))</f>
        <v/>
      </c>
    </row>
    <row r="164" spans="1:9" ht="26.4" hidden="1" customHeight="1" outlineLevel="1" x14ac:dyDescent="0.3">
      <c r="A164" s="13"/>
      <c r="C164" s="281" t="str">
        <f>_xlfn.CONCAT(_xlfn.XLOOKUP("[S06_InstallationsVerificationReportsIssueDetail]["&amp;1+ROW(B164)-ROW($B$133)&amp;"][AnnexIActivity]",Submission!$O:$O,Submission!$H:$N,""))</f>
        <v/>
      </c>
      <c r="D164" s="347"/>
      <c r="E164" s="281" t="str">
        <f>_xlfn.CONCAT(_xlfn.XLOOKUP("[S06_InstallationsVerificationReportsIssueDetail]["&amp;1+ROW(B164)-ROW($B$133)&amp;"][TypeOfIssue]",Submission!$O:$O,Submission!$H:$N,""))</f>
        <v/>
      </c>
      <c r="F164" s="347"/>
      <c r="G164" s="105" t="str">
        <f>_xlfn.CONCAT(_xlfn.XLOOKUP("[S06_InstallationsVerificationReportsIssueDetail]["&amp;1+ROW(B164)-ROW($B$133)&amp;"][NumberOfInstallations]",Submission!$O:$O,Submission!$H:$N,""))</f>
        <v/>
      </c>
      <c r="H164" s="108" t="str">
        <f>_xlfn.CONCAT(_xlfn.XLOOKUP("[S06_InstallationsVerificationReportsIssueDetail]["&amp;1+ROW(B164)-ROW($B$133)&amp;"][NumberOfIssues]",Submission!$O:$O,Submission!$H:$N,""))</f>
        <v/>
      </c>
      <c r="I164" s="183" t="str">
        <f>_xlfn.CONCAT(_xlfn.XLOOKUP("[S06_InstallationsVerificationReportsIssueDetail]["&amp;1+ROW(B164)-ROW($B$133)&amp;"][ShareOfReportsConservativeEstimate]",Submission!$O:$O,Submission!$H:$N,""))</f>
        <v/>
      </c>
    </row>
    <row r="165" spans="1:9" ht="26.4" hidden="1" customHeight="1" outlineLevel="1" x14ac:dyDescent="0.3">
      <c r="A165" s="13"/>
      <c r="C165" s="281" t="str">
        <f>_xlfn.CONCAT(_xlfn.XLOOKUP("[S06_InstallationsVerificationReportsIssueDetail]["&amp;1+ROW(B165)-ROW($B$133)&amp;"][AnnexIActivity]",Submission!$O:$O,Submission!$H:$N,""))</f>
        <v/>
      </c>
      <c r="D165" s="347"/>
      <c r="E165" s="281" t="str">
        <f>_xlfn.CONCAT(_xlfn.XLOOKUP("[S06_InstallationsVerificationReportsIssueDetail]["&amp;1+ROW(B165)-ROW($B$133)&amp;"][TypeOfIssue]",Submission!$O:$O,Submission!$H:$N,""))</f>
        <v/>
      </c>
      <c r="F165" s="347"/>
      <c r="G165" s="105" t="str">
        <f>_xlfn.CONCAT(_xlfn.XLOOKUP("[S06_InstallationsVerificationReportsIssueDetail]["&amp;1+ROW(B165)-ROW($B$133)&amp;"][NumberOfInstallations]",Submission!$O:$O,Submission!$H:$N,""))</f>
        <v/>
      </c>
      <c r="H165" s="108" t="str">
        <f>_xlfn.CONCAT(_xlfn.XLOOKUP("[S06_InstallationsVerificationReportsIssueDetail]["&amp;1+ROW(B165)-ROW($B$133)&amp;"][NumberOfIssues]",Submission!$O:$O,Submission!$H:$N,""))</f>
        <v/>
      </c>
      <c r="I165" s="183" t="str">
        <f>_xlfn.CONCAT(_xlfn.XLOOKUP("[S06_InstallationsVerificationReportsIssueDetail]["&amp;1+ROW(B165)-ROW($B$133)&amp;"][ShareOfReportsConservativeEstimate]",Submission!$O:$O,Submission!$H:$N,""))</f>
        <v/>
      </c>
    </row>
    <row r="166" spans="1:9" ht="26.4" hidden="1" customHeight="1" outlineLevel="1" x14ac:dyDescent="0.3">
      <c r="A166" s="13"/>
      <c r="C166" s="281" t="str">
        <f>_xlfn.CONCAT(_xlfn.XLOOKUP("[S06_InstallationsVerificationReportsIssueDetail]["&amp;1+ROW(B166)-ROW($B$133)&amp;"][AnnexIActivity]",Submission!$O:$O,Submission!$H:$N,""))</f>
        <v/>
      </c>
      <c r="D166" s="347"/>
      <c r="E166" s="281" t="str">
        <f>_xlfn.CONCAT(_xlfn.XLOOKUP("[S06_InstallationsVerificationReportsIssueDetail]["&amp;1+ROW(B166)-ROW($B$133)&amp;"][TypeOfIssue]",Submission!$O:$O,Submission!$H:$N,""))</f>
        <v/>
      </c>
      <c r="F166" s="347"/>
      <c r="G166" s="105" t="str">
        <f>_xlfn.CONCAT(_xlfn.XLOOKUP("[S06_InstallationsVerificationReportsIssueDetail]["&amp;1+ROW(B166)-ROW($B$133)&amp;"][NumberOfInstallations]",Submission!$O:$O,Submission!$H:$N,""))</f>
        <v/>
      </c>
      <c r="H166" s="108" t="str">
        <f>_xlfn.CONCAT(_xlfn.XLOOKUP("[S06_InstallationsVerificationReportsIssueDetail]["&amp;1+ROW(B166)-ROW($B$133)&amp;"][NumberOfIssues]",Submission!$O:$O,Submission!$H:$N,""))</f>
        <v/>
      </c>
      <c r="I166" s="183" t="str">
        <f>_xlfn.CONCAT(_xlfn.XLOOKUP("[S06_InstallationsVerificationReportsIssueDetail]["&amp;1+ROW(B166)-ROW($B$133)&amp;"][ShareOfReportsConservativeEstimate]",Submission!$O:$O,Submission!$H:$N,""))</f>
        <v/>
      </c>
    </row>
    <row r="167" spans="1:9" ht="26.4" hidden="1" customHeight="1" outlineLevel="1" x14ac:dyDescent="0.3">
      <c r="A167" s="13"/>
      <c r="C167" s="281" t="str">
        <f>_xlfn.CONCAT(_xlfn.XLOOKUP("[S06_InstallationsVerificationReportsIssueDetail]["&amp;1+ROW(B167)-ROW($B$133)&amp;"][AnnexIActivity]",Submission!$O:$O,Submission!$H:$N,""))</f>
        <v/>
      </c>
      <c r="D167" s="347"/>
      <c r="E167" s="281" t="str">
        <f>_xlfn.CONCAT(_xlfn.XLOOKUP("[S06_InstallationsVerificationReportsIssueDetail]["&amp;1+ROW(B167)-ROW($B$133)&amp;"][TypeOfIssue]",Submission!$O:$O,Submission!$H:$N,""))</f>
        <v/>
      </c>
      <c r="F167" s="347"/>
      <c r="G167" s="105" t="str">
        <f>_xlfn.CONCAT(_xlfn.XLOOKUP("[S06_InstallationsVerificationReportsIssueDetail]["&amp;1+ROW(B167)-ROW($B$133)&amp;"][NumberOfInstallations]",Submission!$O:$O,Submission!$H:$N,""))</f>
        <v/>
      </c>
      <c r="H167" s="108" t="str">
        <f>_xlfn.CONCAT(_xlfn.XLOOKUP("[S06_InstallationsVerificationReportsIssueDetail]["&amp;1+ROW(B167)-ROW($B$133)&amp;"][NumberOfIssues]",Submission!$O:$O,Submission!$H:$N,""))</f>
        <v/>
      </c>
      <c r="I167" s="183" t="str">
        <f>_xlfn.CONCAT(_xlfn.XLOOKUP("[S06_InstallationsVerificationReportsIssueDetail]["&amp;1+ROW(B167)-ROW($B$133)&amp;"][ShareOfReportsConservativeEstimate]",Submission!$O:$O,Submission!$H:$N,""))</f>
        <v/>
      </c>
    </row>
    <row r="168" spans="1:9" ht="26.4" hidden="1" customHeight="1" outlineLevel="1" x14ac:dyDescent="0.3">
      <c r="A168" s="13"/>
      <c r="C168" s="281" t="str">
        <f>_xlfn.CONCAT(_xlfn.XLOOKUP("[S06_InstallationsVerificationReportsIssueDetail]["&amp;1+ROW(B168)-ROW($B$133)&amp;"][AnnexIActivity]",Submission!$O:$O,Submission!$H:$N,""))</f>
        <v/>
      </c>
      <c r="D168" s="347"/>
      <c r="E168" s="281" t="str">
        <f>_xlfn.CONCAT(_xlfn.XLOOKUP("[S06_InstallationsVerificationReportsIssueDetail]["&amp;1+ROW(B168)-ROW($B$133)&amp;"][TypeOfIssue]",Submission!$O:$O,Submission!$H:$N,""))</f>
        <v/>
      </c>
      <c r="F168" s="347"/>
      <c r="G168" s="105" t="str">
        <f>_xlfn.CONCAT(_xlfn.XLOOKUP("[S06_InstallationsVerificationReportsIssueDetail]["&amp;1+ROW(B168)-ROW($B$133)&amp;"][NumberOfInstallations]",Submission!$O:$O,Submission!$H:$N,""))</f>
        <v/>
      </c>
      <c r="H168" s="108" t="str">
        <f>_xlfn.CONCAT(_xlfn.XLOOKUP("[S06_InstallationsVerificationReportsIssueDetail]["&amp;1+ROW(B168)-ROW($B$133)&amp;"][NumberOfIssues]",Submission!$O:$O,Submission!$H:$N,""))</f>
        <v/>
      </c>
      <c r="I168" s="183" t="str">
        <f>_xlfn.CONCAT(_xlfn.XLOOKUP("[S06_InstallationsVerificationReportsIssueDetail]["&amp;1+ROW(B168)-ROW($B$133)&amp;"][ShareOfReportsConservativeEstimate]",Submission!$O:$O,Submission!$H:$N,""))</f>
        <v/>
      </c>
    </row>
    <row r="169" spans="1:9" ht="26.4" hidden="1" customHeight="1" outlineLevel="1" x14ac:dyDescent="0.3">
      <c r="A169" s="13"/>
      <c r="C169" s="281" t="str">
        <f>_xlfn.CONCAT(_xlfn.XLOOKUP("[S06_InstallationsVerificationReportsIssueDetail]["&amp;1+ROW(B169)-ROW($B$133)&amp;"][AnnexIActivity]",Submission!$O:$O,Submission!$H:$N,""))</f>
        <v/>
      </c>
      <c r="D169" s="347"/>
      <c r="E169" s="281" t="str">
        <f>_xlfn.CONCAT(_xlfn.XLOOKUP("[S06_InstallationsVerificationReportsIssueDetail]["&amp;1+ROW(B169)-ROW($B$133)&amp;"][TypeOfIssue]",Submission!$O:$O,Submission!$H:$N,""))</f>
        <v/>
      </c>
      <c r="F169" s="347"/>
      <c r="G169" s="105" t="str">
        <f>_xlfn.CONCAT(_xlfn.XLOOKUP("[S06_InstallationsVerificationReportsIssueDetail]["&amp;1+ROW(B169)-ROW($B$133)&amp;"][NumberOfInstallations]",Submission!$O:$O,Submission!$H:$N,""))</f>
        <v/>
      </c>
      <c r="H169" s="108" t="str">
        <f>_xlfn.CONCAT(_xlfn.XLOOKUP("[S06_InstallationsVerificationReportsIssueDetail]["&amp;1+ROW(B169)-ROW($B$133)&amp;"][NumberOfIssues]",Submission!$O:$O,Submission!$H:$N,""))</f>
        <v/>
      </c>
      <c r="I169" s="183" t="str">
        <f>_xlfn.CONCAT(_xlfn.XLOOKUP("[S06_InstallationsVerificationReportsIssueDetail]["&amp;1+ROW(B169)-ROW($B$133)&amp;"][ShareOfReportsConservativeEstimate]",Submission!$O:$O,Submission!$H:$N,""))</f>
        <v/>
      </c>
    </row>
    <row r="170" spans="1:9" ht="26.4" hidden="1" customHeight="1" outlineLevel="1" x14ac:dyDescent="0.3">
      <c r="A170" s="13"/>
      <c r="C170" s="281" t="str">
        <f>_xlfn.CONCAT(_xlfn.XLOOKUP("[S06_InstallationsVerificationReportsIssueDetail]["&amp;1+ROW(B170)-ROW($B$133)&amp;"][AnnexIActivity]",Submission!$O:$O,Submission!$H:$N,""))</f>
        <v/>
      </c>
      <c r="D170" s="347"/>
      <c r="E170" s="281" t="str">
        <f>_xlfn.CONCAT(_xlfn.XLOOKUP("[S06_InstallationsVerificationReportsIssueDetail]["&amp;1+ROW(B170)-ROW($B$133)&amp;"][TypeOfIssue]",Submission!$O:$O,Submission!$H:$N,""))</f>
        <v/>
      </c>
      <c r="F170" s="347"/>
      <c r="G170" s="105" t="str">
        <f>_xlfn.CONCAT(_xlfn.XLOOKUP("[S06_InstallationsVerificationReportsIssueDetail]["&amp;1+ROW(B170)-ROW($B$133)&amp;"][NumberOfInstallations]",Submission!$O:$O,Submission!$H:$N,""))</f>
        <v/>
      </c>
      <c r="H170" s="108" t="str">
        <f>_xlfn.CONCAT(_xlfn.XLOOKUP("[S06_InstallationsVerificationReportsIssueDetail]["&amp;1+ROW(B170)-ROW($B$133)&amp;"][NumberOfIssues]",Submission!$O:$O,Submission!$H:$N,""))</f>
        <v/>
      </c>
      <c r="I170" s="183" t="str">
        <f>_xlfn.CONCAT(_xlfn.XLOOKUP("[S06_InstallationsVerificationReportsIssueDetail]["&amp;1+ROW(B170)-ROW($B$133)&amp;"][ShareOfReportsConservativeEstimate]",Submission!$O:$O,Submission!$H:$N,""))</f>
        <v/>
      </c>
    </row>
    <row r="171" spans="1:9" ht="26.4" hidden="1" customHeight="1" outlineLevel="1" x14ac:dyDescent="0.3">
      <c r="A171" s="13"/>
      <c r="C171" s="281" t="str">
        <f>_xlfn.CONCAT(_xlfn.XLOOKUP("[S06_InstallationsVerificationReportsIssueDetail]["&amp;1+ROW(B171)-ROW($B$133)&amp;"][AnnexIActivity]",Submission!$O:$O,Submission!$H:$N,""))</f>
        <v/>
      </c>
      <c r="D171" s="347"/>
      <c r="E171" s="281" t="str">
        <f>_xlfn.CONCAT(_xlfn.XLOOKUP("[S06_InstallationsVerificationReportsIssueDetail]["&amp;1+ROW(B171)-ROW($B$133)&amp;"][TypeOfIssue]",Submission!$O:$O,Submission!$H:$N,""))</f>
        <v/>
      </c>
      <c r="F171" s="347"/>
      <c r="G171" s="105" t="str">
        <f>_xlfn.CONCAT(_xlfn.XLOOKUP("[S06_InstallationsVerificationReportsIssueDetail]["&amp;1+ROW(B171)-ROW($B$133)&amp;"][NumberOfInstallations]",Submission!$O:$O,Submission!$H:$N,""))</f>
        <v/>
      </c>
      <c r="H171" s="108" t="str">
        <f>_xlfn.CONCAT(_xlfn.XLOOKUP("[S06_InstallationsVerificationReportsIssueDetail]["&amp;1+ROW(B171)-ROW($B$133)&amp;"][NumberOfIssues]",Submission!$O:$O,Submission!$H:$N,""))</f>
        <v/>
      </c>
      <c r="I171" s="183" t="str">
        <f>_xlfn.CONCAT(_xlfn.XLOOKUP("[S06_InstallationsVerificationReportsIssueDetail]["&amp;1+ROW(B171)-ROW($B$133)&amp;"][ShareOfReportsConservativeEstimate]",Submission!$O:$O,Submission!$H:$N,""))</f>
        <v/>
      </c>
    </row>
    <row r="172" spans="1:9" ht="26.4" hidden="1" customHeight="1" outlineLevel="1" x14ac:dyDescent="0.3">
      <c r="A172" s="13"/>
      <c r="C172" s="281" t="str">
        <f>_xlfn.CONCAT(_xlfn.XLOOKUP("[S06_InstallationsVerificationReportsIssueDetail]["&amp;1+ROW(B172)-ROW($B$133)&amp;"][AnnexIActivity]",Submission!$O:$O,Submission!$H:$N,""))</f>
        <v/>
      </c>
      <c r="D172" s="347"/>
      <c r="E172" s="281" t="str">
        <f>_xlfn.CONCAT(_xlfn.XLOOKUP("[S06_InstallationsVerificationReportsIssueDetail]["&amp;1+ROW(B172)-ROW($B$133)&amp;"][TypeOfIssue]",Submission!$O:$O,Submission!$H:$N,""))</f>
        <v/>
      </c>
      <c r="F172" s="347"/>
      <c r="G172" s="105" t="str">
        <f>_xlfn.CONCAT(_xlfn.XLOOKUP("[S06_InstallationsVerificationReportsIssueDetail]["&amp;1+ROW(B172)-ROW($B$133)&amp;"][NumberOfInstallations]",Submission!$O:$O,Submission!$H:$N,""))</f>
        <v/>
      </c>
      <c r="H172" s="108" t="str">
        <f>_xlfn.CONCAT(_xlfn.XLOOKUP("[S06_InstallationsVerificationReportsIssueDetail]["&amp;1+ROW(B172)-ROW($B$133)&amp;"][NumberOfIssues]",Submission!$O:$O,Submission!$H:$N,""))</f>
        <v/>
      </c>
      <c r="I172" s="183" t="str">
        <f>_xlfn.CONCAT(_xlfn.XLOOKUP("[S06_InstallationsVerificationReportsIssueDetail]["&amp;1+ROW(B172)-ROW($B$133)&amp;"][ShareOfReportsConservativeEstimate]",Submission!$O:$O,Submission!$H:$N,""))</f>
        <v/>
      </c>
    </row>
    <row r="173" spans="1:9" ht="26.4" hidden="1" customHeight="1" outlineLevel="1" x14ac:dyDescent="0.3">
      <c r="A173" s="13"/>
      <c r="C173" s="281" t="str">
        <f>_xlfn.CONCAT(_xlfn.XLOOKUP("[S06_InstallationsVerificationReportsIssueDetail]["&amp;1+ROW(B173)-ROW($B$133)&amp;"][AnnexIActivity]",Submission!$O:$O,Submission!$H:$N,""))</f>
        <v/>
      </c>
      <c r="D173" s="347"/>
      <c r="E173" s="281" t="str">
        <f>_xlfn.CONCAT(_xlfn.XLOOKUP("[S06_InstallationsVerificationReportsIssueDetail]["&amp;1+ROW(B173)-ROW($B$133)&amp;"][TypeOfIssue]",Submission!$O:$O,Submission!$H:$N,""))</f>
        <v/>
      </c>
      <c r="F173" s="347"/>
      <c r="G173" s="105" t="str">
        <f>_xlfn.CONCAT(_xlfn.XLOOKUP("[S06_InstallationsVerificationReportsIssueDetail]["&amp;1+ROW(B173)-ROW($B$133)&amp;"][NumberOfInstallations]",Submission!$O:$O,Submission!$H:$N,""))</f>
        <v/>
      </c>
      <c r="H173" s="108" t="str">
        <f>_xlfn.CONCAT(_xlfn.XLOOKUP("[S06_InstallationsVerificationReportsIssueDetail]["&amp;1+ROW(B173)-ROW($B$133)&amp;"][NumberOfIssues]",Submission!$O:$O,Submission!$H:$N,""))</f>
        <v/>
      </c>
      <c r="I173" s="183" t="str">
        <f>_xlfn.CONCAT(_xlfn.XLOOKUP("[S06_InstallationsVerificationReportsIssueDetail]["&amp;1+ROW(B173)-ROW($B$133)&amp;"][ShareOfReportsConservativeEstimate]",Submission!$O:$O,Submission!$H:$N,""))</f>
        <v/>
      </c>
    </row>
    <row r="174" spans="1:9" ht="26.4" hidden="1" customHeight="1" outlineLevel="1" x14ac:dyDescent="0.3">
      <c r="A174" s="13"/>
      <c r="C174" s="281" t="str">
        <f>_xlfn.CONCAT(_xlfn.XLOOKUP("[S06_InstallationsVerificationReportsIssueDetail]["&amp;1+ROW(B174)-ROW($B$133)&amp;"][AnnexIActivity]",Submission!$O:$O,Submission!$H:$N,""))</f>
        <v/>
      </c>
      <c r="D174" s="347"/>
      <c r="E174" s="281" t="str">
        <f>_xlfn.CONCAT(_xlfn.XLOOKUP("[S06_InstallationsVerificationReportsIssueDetail]["&amp;1+ROW(B174)-ROW($B$133)&amp;"][TypeOfIssue]",Submission!$O:$O,Submission!$H:$N,""))</f>
        <v/>
      </c>
      <c r="F174" s="347"/>
      <c r="G174" s="105" t="str">
        <f>_xlfn.CONCAT(_xlfn.XLOOKUP("[S06_InstallationsVerificationReportsIssueDetail]["&amp;1+ROW(B174)-ROW($B$133)&amp;"][NumberOfInstallations]",Submission!$O:$O,Submission!$H:$N,""))</f>
        <v/>
      </c>
      <c r="H174" s="108" t="str">
        <f>_xlfn.CONCAT(_xlfn.XLOOKUP("[S06_InstallationsVerificationReportsIssueDetail]["&amp;1+ROW(B174)-ROW($B$133)&amp;"][NumberOfIssues]",Submission!$O:$O,Submission!$H:$N,""))</f>
        <v/>
      </c>
      <c r="I174" s="183" t="str">
        <f>_xlfn.CONCAT(_xlfn.XLOOKUP("[S06_InstallationsVerificationReportsIssueDetail]["&amp;1+ROW(B174)-ROW($B$133)&amp;"][ShareOfReportsConservativeEstimate]",Submission!$O:$O,Submission!$H:$N,""))</f>
        <v/>
      </c>
    </row>
    <row r="175" spans="1:9" ht="26.4" hidden="1" customHeight="1" outlineLevel="1" x14ac:dyDescent="0.3">
      <c r="A175" s="13"/>
      <c r="C175" s="281" t="str">
        <f>_xlfn.CONCAT(_xlfn.XLOOKUP("[S06_InstallationsVerificationReportsIssueDetail]["&amp;1+ROW(B175)-ROW($B$133)&amp;"][AnnexIActivity]",Submission!$O:$O,Submission!$H:$N,""))</f>
        <v/>
      </c>
      <c r="D175" s="347"/>
      <c r="E175" s="281" t="str">
        <f>_xlfn.CONCAT(_xlfn.XLOOKUP("[S06_InstallationsVerificationReportsIssueDetail]["&amp;1+ROW(B175)-ROW($B$133)&amp;"][TypeOfIssue]",Submission!$O:$O,Submission!$H:$N,""))</f>
        <v/>
      </c>
      <c r="F175" s="347"/>
      <c r="G175" s="105" t="str">
        <f>_xlfn.CONCAT(_xlfn.XLOOKUP("[S06_InstallationsVerificationReportsIssueDetail]["&amp;1+ROW(B175)-ROW($B$133)&amp;"][NumberOfInstallations]",Submission!$O:$O,Submission!$H:$N,""))</f>
        <v/>
      </c>
      <c r="H175" s="108" t="str">
        <f>_xlfn.CONCAT(_xlfn.XLOOKUP("[S06_InstallationsVerificationReportsIssueDetail]["&amp;1+ROW(B175)-ROW($B$133)&amp;"][NumberOfIssues]",Submission!$O:$O,Submission!$H:$N,""))</f>
        <v/>
      </c>
      <c r="I175" s="183" t="str">
        <f>_xlfn.CONCAT(_xlfn.XLOOKUP("[S06_InstallationsVerificationReportsIssueDetail]["&amp;1+ROW(B175)-ROW($B$133)&amp;"][ShareOfReportsConservativeEstimate]",Submission!$O:$O,Submission!$H:$N,""))</f>
        <v/>
      </c>
    </row>
    <row r="176" spans="1:9" ht="26.4" hidden="1" customHeight="1" outlineLevel="1" x14ac:dyDescent="0.3">
      <c r="A176" s="13"/>
      <c r="C176" s="281" t="str">
        <f>_xlfn.CONCAT(_xlfn.XLOOKUP("[S06_InstallationsVerificationReportsIssueDetail]["&amp;1+ROW(B176)-ROW($B$133)&amp;"][AnnexIActivity]",Submission!$O:$O,Submission!$H:$N,""))</f>
        <v/>
      </c>
      <c r="D176" s="347"/>
      <c r="E176" s="281" t="str">
        <f>_xlfn.CONCAT(_xlfn.XLOOKUP("[S06_InstallationsVerificationReportsIssueDetail]["&amp;1+ROW(B176)-ROW($B$133)&amp;"][TypeOfIssue]",Submission!$O:$O,Submission!$H:$N,""))</f>
        <v/>
      </c>
      <c r="F176" s="347"/>
      <c r="G176" s="105" t="str">
        <f>_xlfn.CONCAT(_xlfn.XLOOKUP("[S06_InstallationsVerificationReportsIssueDetail]["&amp;1+ROW(B176)-ROW($B$133)&amp;"][NumberOfInstallations]",Submission!$O:$O,Submission!$H:$N,""))</f>
        <v/>
      </c>
      <c r="H176" s="108" t="str">
        <f>_xlfn.CONCAT(_xlfn.XLOOKUP("[S06_InstallationsVerificationReportsIssueDetail]["&amp;1+ROW(B176)-ROW($B$133)&amp;"][NumberOfIssues]",Submission!$O:$O,Submission!$H:$N,""))</f>
        <v/>
      </c>
      <c r="I176" s="183" t="str">
        <f>_xlfn.CONCAT(_xlfn.XLOOKUP("[S06_InstallationsVerificationReportsIssueDetail]["&amp;1+ROW(B176)-ROW($B$133)&amp;"][ShareOfReportsConservativeEstimate]",Submission!$O:$O,Submission!$H:$N,""))</f>
        <v/>
      </c>
    </row>
    <row r="177" spans="1:9" ht="26.4" hidden="1" customHeight="1" outlineLevel="1" x14ac:dyDescent="0.3">
      <c r="A177" s="13"/>
      <c r="C177" s="281" t="str">
        <f>_xlfn.CONCAT(_xlfn.XLOOKUP("[S06_InstallationsVerificationReportsIssueDetail]["&amp;1+ROW(B177)-ROW($B$133)&amp;"][AnnexIActivity]",Submission!$O:$O,Submission!$H:$N,""))</f>
        <v/>
      </c>
      <c r="D177" s="347"/>
      <c r="E177" s="281" t="str">
        <f>_xlfn.CONCAT(_xlfn.XLOOKUP("[S06_InstallationsVerificationReportsIssueDetail]["&amp;1+ROW(B177)-ROW($B$133)&amp;"][TypeOfIssue]",Submission!$O:$O,Submission!$H:$N,""))</f>
        <v/>
      </c>
      <c r="F177" s="347"/>
      <c r="G177" s="105" t="str">
        <f>_xlfn.CONCAT(_xlfn.XLOOKUP("[S06_InstallationsVerificationReportsIssueDetail]["&amp;1+ROW(B177)-ROW($B$133)&amp;"][NumberOfInstallations]",Submission!$O:$O,Submission!$H:$N,""))</f>
        <v/>
      </c>
      <c r="H177" s="108" t="str">
        <f>_xlfn.CONCAT(_xlfn.XLOOKUP("[S06_InstallationsVerificationReportsIssueDetail]["&amp;1+ROW(B177)-ROW($B$133)&amp;"][NumberOfIssues]",Submission!$O:$O,Submission!$H:$N,""))</f>
        <v/>
      </c>
      <c r="I177" s="183" t="str">
        <f>_xlfn.CONCAT(_xlfn.XLOOKUP("[S06_InstallationsVerificationReportsIssueDetail]["&amp;1+ROW(B177)-ROW($B$133)&amp;"][ShareOfReportsConservativeEstimate]",Submission!$O:$O,Submission!$H:$N,""))</f>
        <v/>
      </c>
    </row>
    <row r="178" spans="1:9" ht="26.4" hidden="1" customHeight="1" outlineLevel="1" x14ac:dyDescent="0.3">
      <c r="A178" s="13"/>
      <c r="C178" s="281" t="str">
        <f>_xlfn.CONCAT(_xlfn.XLOOKUP("[S06_InstallationsVerificationReportsIssueDetail]["&amp;1+ROW(B178)-ROW($B$133)&amp;"][AnnexIActivity]",Submission!$O:$O,Submission!$H:$N,""))</f>
        <v/>
      </c>
      <c r="D178" s="347"/>
      <c r="E178" s="281" t="str">
        <f>_xlfn.CONCAT(_xlfn.XLOOKUP("[S06_InstallationsVerificationReportsIssueDetail]["&amp;1+ROW(B178)-ROW($B$133)&amp;"][TypeOfIssue]",Submission!$O:$O,Submission!$H:$N,""))</f>
        <v/>
      </c>
      <c r="F178" s="347"/>
      <c r="G178" s="105" t="str">
        <f>_xlfn.CONCAT(_xlfn.XLOOKUP("[S06_InstallationsVerificationReportsIssueDetail]["&amp;1+ROW(B178)-ROW($B$133)&amp;"][NumberOfInstallations]",Submission!$O:$O,Submission!$H:$N,""))</f>
        <v/>
      </c>
      <c r="H178" s="108" t="str">
        <f>_xlfn.CONCAT(_xlfn.XLOOKUP("[S06_InstallationsVerificationReportsIssueDetail]["&amp;1+ROW(B178)-ROW($B$133)&amp;"][NumberOfIssues]",Submission!$O:$O,Submission!$H:$N,""))</f>
        <v/>
      </c>
      <c r="I178" s="183" t="str">
        <f>_xlfn.CONCAT(_xlfn.XLOOKUP("[S06_InstallationsVerificationReportsIssueDetail]["&amp;1+ROW(B178)-ROW($B$133)&amp;"][ShareOfReportsConservativeEstimate]",Submission!$O:$O,Submission!$H:$N,""))</f>
        <v/>
      </c>
    </row>
    <row r="179" spans="1:9" ht="26.4" hidden="1" customHeight="1" outlineLevel="1" x14ac:dyDescent="0.3">
      <c r="A179" s="13"/>
      <c r="C179" s="281" t="str">
        <f>_xlfn.CONCAT(_xlfn.XLOOKUP("[S06_InstallationsVerificationReportsIssueDetail]["&amp;1+ROW(B179)-ROW($B$133)&amp;"][AnnexIActivity]",Submission!$O:$O,Submission!$H:$N,""))</f>
        <v/>
      </c>
      <c r="D179" s="347"/>
      <c r="E179" s="281" t="str">
        <f>_xlfn.CONCAT(_xlfn.XLOOKUP("[S06_InstallationsVerificationReportsIssueDetail]["&amp;1+ROW(B179)-ROW($B$133)&amp;"][TypeOfIssue]",Submission!$O:$O,Submission!$H:$N,""))</f>
        <v/>
      </c>
      <c r="F179" s="347"/>
      <c r="G179" s="105" t="str">
        <f>_xlfn.CONCAT(_xlfn.XLOOKUP("[S06_InstallationsVerificationReportsIssueDetail]["&amp;1+ROW(B179)-ROW($B$133)&amp;"][NumberOfInstallations]",Submission!$O:$O,Submission!$H:$N,""))</f>
        <v/>
      </c>
      <c r="H179" s="108" t="str">
        <f>_xlfn.CONCAT(_xlfn.XLOOKUP("[S06_InstallationsVerificationReportsIssueDetail]["&amp;1+ROW(B179)-ROW($B$133)&amp;"][NumberOfIssues]",Submission!$O:$O,Submission!$H:$N,""))</f>
        <v/>
      </c>
      <c r="I179" s="183" t="str">
        <f>_xlfn.CONCAT(_xlfn.XLOOKUP("[S06_InstallationsVerificationReportsIssueDetail]["&amp;1+ROW(B179)-ROW($B$133)&amp;"][ShareOfReportsConservativeEstimate]",Submission!$O:$O,Submission!$H:$N,""))</f>
        <v/>
      </c>
    </row>
    <row r="180" spans="1:9" ht="26.4" hidden="1" customHeight="1" outlineLevel="1" x14ac:dyDescent="0.3">
      <c r="A180" s="13"/>
      <c r="C180" s="281" t="str">
        <f>_xlfn.CONCAT(_xlfn.XLOOKUP("[S06_InstallationsVerificationReportsIssueDetail]["&amp;1+ROW(B180)-ROW($B$133)&amp;"][AnnexIActivity]",Submission!$O:$O,Submission!$H:$N,""))</f>
        <v/>
      </c>
      <c r="D180" s="347"/>
      <c r="E180" s="281" t="str">
        <f>_xlfn.CONCAT(_xlfn.XLOOKUP("[S06_InstallationsVerificationReportsIssueDetail]["&amp;1+ROW(B180)-ROW($B$133)&amp;"][TypeOfIssue]",Submission!$O:$O,Submission!$H:$N,""))</f>
        <v/>
      </c>
      <c r="F180" s="347"/>
      <c r="G180" s="105" t="str">
        <f>_xlfn.CONCAT(_xlfn.XLOOKUP("[S06_InstallationsVerificationReportsIssueDetail]["&amp;1+ROW(B180)-ROW($B$133)&amp;"][NumberOfInstallations]",Submission!$O:$O,Submission!$H:$N,""))</f>
        <v/>
      </c>
      <c r="H180" s="108" t="str">
        <f>_xlfn.CONCAT(_xlfn.XLOOKUP("[S06_InstallationsVerificationReportsIssueDetail]["&amp;1+ROW(B180)-ROW($B$133)&amp;"][NumberOfIssues]",Submission!$O:$O,Submission!$H:$N,""))</f>
        <v/>
      </c>
      <c r="I180" s="183" t="str">
        <f>_xlfn.CONCAT(_xlfn.XLOOKUP("[S06_InstallationsVerificationReportsIssueDetail]["&amp;1+ROW(B180)-ROW($B$133)&amp;"][ShareOfReportsConservativeEstimate]",Submission!$O:$O,Submission!$H:$N,""))</f>
        <v/>
      </c>
    </row>
    <row r="181" spans="1:9" ht="26.4" hidden="1" customHeight="1" outlineLevel="1" x14ac:dyDescent="0.3">
      <c r="A181" s="13"/>
      <c r="C181" s="281" t="str">
        <f>_xlfn.CONCAT(_xlfn.XLOOKUP("[S06_InstallationsVerificationReportsIssueDetail]["&amp;1+ROW(B181)-ROW($B$133)&amp;"][AnnexIActivity]",Submission!$O:$O,Submission!$H:$N,""))</f>
        <v/>
      </c>
      <c r="D181" s="347"/>
      <c r="E181" s="281" t="str">
        <f>_xlfn.CONCAT(_xlfn.XLOOKUP("[S06_InstallationsVerificationReportsIssueDetail]["&amp;1+ROW(B181)-ROW($B$133)&amp;"][TypeOfIssue]",Submission!$O:$O,Submission!$H:$N,""))</f>
        <v/>
      </c>
      <c r="F181" s="347"/>
      <c r="G181" s="105" t="str">
        <f>_xlfn.CONCAT(_xlfn.XLOOKUP("[S06_InstallationsVerificationReportsIssueDetail]["&amp;1+ROW(B181)-ROW($B$133)&amp;"][NumberOfInstallations]",Submission!$O:$O,Submission!$H:$N,""))</f>
        <v/>
      </c>
      <c r="H181" s="108" t="str">
        <f>_xlfn.CONCAT(_xlfn.XLOOKUP("[S06_InstallationsVerificationReportsIssueDetail]["&amp;1+ROW(B181)-ROW($B$133)&amp;"][NumberOfIssues]",Submission!$O:$O,Submission!$H:$N,""))</f>
        <v/>
      </c>
      <c r="I181" s="183" t="str">
        <f>_xlfn.CONCAT(_xlfn.XLOOKUP("[S06_InstallationsVerificationReportsIssueDetail]["&amp;1+ROW(B181)-ROW($B$133)&amp;"][ShareOfReportsConservativeEstimate]",Submission!$O:$O,Submission!$H:$N,""))</f>
        <v/>
      </c>
    </row>
    <row r="182" spans="1:9" ht="26.4" hidden="1" customHeight="1" outlineLevel="1" x14ac:dyDescent="0.3">
      <c r="A182" s="13"/>
      <c r="C182" s="281" t="str">
        <f>_xlfn.CONCAT(_xlfn.XLOOKUP("[S06_InstallationsVerificationReportsIssueDetail]["&amp;1+ROW(B182)-ROW($B$133)&amp;"][AnnexIActivity]",Submission!$O:$O,Submission!$H:$N,""))</f>
        <v/>
      </c>
      <c r="D182" s="347"/>
      <c r="E182" s="281" t="str">
        <f>_xlfn.CONCAT(_xlfn.XLOOKUP("[S06_InstallationsVerificationReportsIssueDetail]["&amp;1+ROW(B182)-ROW($B$133)&amp;"][TypeOfIssue]",Submission!$O:$O,Submission!$H:$N,""))</f>
        <v/>
      </c>
      <c r="F182" s="347"/>
      <c r="G182" s="105" t="str">
        <f>_xlfn.CONCAT(_xlfn.XLOOKUP("[S06_InstallationsVerificationReportsIssueDetail]["&amp;1+ROW(B182)-ROW($B$133)&amp;"][NumberOfInstallations]",Submission!$O:$O,Submission!$H:$N,""))</f>
        <v/>
      </c>
      <c r="H182" s="108" t="str">
        <f>_xlfn.CONCAT(_xlfn.XLOOKUP("[S06_InstallationsVerificationReportsIssueDetail]["&amp;1+ROW(B182)-ROW($B$133)&amp;"][NumberOfIssues]",Submission!$O:$O,Submission!$H:$N,""))</f>
        <v/>
      </c>
      <c r="I182" s="183" t="str">
        <f>_xlfn.CONCAT(_xlfn.XLOOKUP("[S06_InstallationsVerificationReportsIssueDetail]["&amp;1+ROW(B182)-ROW($B$133)&amp;"][ShareOfReportsConservativeEstimate]",Submission!$O:$O,Submission!$H:$N,""))</f>
        <v/>
      </c>
    </row>
    <row r="183" spans="1:9" ht="26.4" hidden="1" customHeight="1" outlineLevel="1" x14ac:dyDescent="0.3">
      <c r="A183" s="13"/>
      <c r="C183" s="281" t="str">
        <f>_xlfn.CONCAT(_xlfn.XLOOKUP("[S06_InstallationsVerificationReportsIssueDetail]["&amp;1+ROW(B183)-ROW($B$133)&amp;"][AnnexIActivity]",Submission!$O:$O,Submission!$H:$N,""))</f>
        <v/>
      </c>
      <c r="D183" s="347"/>
      <c r="E183" s="281" t="str">
        <f>_xlfn.CONCAT(_xlfn.XLOOKUP("[S06_InstallationsVerificationReportsIssueDetail]["&amp;1+ROW(B183)-ROW($B$133)&amp;"][TypeOfIssue]",Submission!$O:$O,Submission!$H:$N,""))</f>
        <v/>
      </c>
      <c r="F183" s="347"/>
      <c r="G183" s="105" t="str">
        <f>_xlfn.CONCAT(_xlfn.XLOOKUP("[S06_InstallationsVerificationReportsIssueDetail]["&amp;1+ROW(B183)-ROW($B$133)&amp;"][NumberOfInstallations]",Submission!$O:$O,Submission!$H:$N,""))</f>
        <v/>
      </c>
      <c r="H183" s="108" t="str">
        <f>_xlfn.CONCAT(_xlfn.XLOOKUP("[S06_InstallationsVerificationReportsIssueDetail]["&amp;1+ROW(B183)-ROW($B$133)&amp;"][NumberOfIssues]",Submission!$O:$O,Submission!$H:$N,""))</f>
        <v/>
      </c>
      <c r="I183" s="183" t="str">
        <f>_xlfn.CONCAT(_xlfn.XLOOKUP("[S06_InstallationsVerificationReportsIssueDetail]["&amp;1+ROW(B183)-ROW($B$133)&amp;"][ShareOfReportsConservativeEstimate]",Submission!$O:$O,Submission!$H:$N,""))</f>
        <v/>
      </c>
    </row>
    <row r="184" spans="1:9" ht="26.4" hidden="1" customHeight="1" outlineLevel="1" x14ac:dyDescent="0.3">
      <c r="A184" s="13"/>
      <c r="C184" s="281" t="str">
        <f>_xlfn.CONCAT(_xlfn.XLOOKUP("[S06_InstallationsVerificationReportsIssueDetail]["&amp;1+ROW(B184)-ROW($B$133)&amp;"][AnnexIActivity]",Submission!$O:$O,Submission!$H:$N,""))</f>
        <v/>
      </c>
      <c r="D184" s="347"/>
      <c r="E184" s="281" t="str">
        <f>_xlfn.CONCAT(_xlfn.XLOOKUP("[S06_InstallationsVerificationReportsIssueDetail]["&amp;1+ROW(B184)-ROW($B$133)&amp;"][TypeOfIssue]",Submission!$O:$O,Submission!$H:$N,""))</f>
        <v/>
      </c>
      <c r="F184" s="347"/>
      <c r="G184" s="105" t="str">
        <f>_xlfn.CONCAT(_xlfn.XLOOKUP("[S06_InstallationsVerificationReportsIssueDetail]["&amp;1+ROW(B184)-ROW($B$133)&amp;"][NumberOfInstallations]",Submission!$O:$O,Submission!$H:$N,""))</f>
        <v/>
      </c>
      <c r="H184" s="108" t="str">
        <f>_xlfn.CONCAT(_xlfn.XLOOKUP("[S06_InstallationsVerificationReportsIssueDetail]["&amp;1+ROW(B184)-ROW($B$133)&amp;"][NumberOfIssues]",Submission!$O:$O,Submission!$H:$N,""))</f>
        <v/>
      </c>
      <c r="I184" s="183" t="str">
        <f>_xlfn.CONCAT(_xlfn.XLOOKUP("[S06_InstallationsVerificationReportsIssueDetail]["&amp;1+ROW(B184)-ROW($B$133)&amp;"][ShareOfReportsConservativeEstimate]",Submission!$O:$O,Submission!$H:$N,""))</f>
        <v/>
      </c>
    </row>
    <row r="185" spans="1:9" ht="26.4" hidden="1" customHeight="1" outlineLevel="1" x14ac:dyDescent="0.3">
      <c r="A185" s="13"/>
      <c r="C185" s="281" t="str">
        <f>_xlfn.CONCAT(_xlfn.XLOOKUP("[S06_InstallationsVerificationReportsIssueDetail]["&amp;1+ROW(B185)-ROW($B$133)&amp;"][AnnexIActivity]",Submission!$O:$O,Submission!$H:$N,""))</f>
        <v/>
      </c>
      <c r="D185" s="347"/>
      <c r="E185" s="281" t="str">
        <f>_xlfn.CONCAT(_xlfn.XLOOKUP("[S06_InstallationsVerificationReportsIssueDetail]["&amp;1+ROW(B185)-ROW($B$133)&amp;"][TypeOfIssue]",Submission!$O:$O,Submission!$H:$N,""))</f>
        <v/>
      </c>
      <c r="F185" s="347"/>
      <c r="G185" s="105" t="str">
        <f>_xlfn.CONCAT(_xlfn.XLOOKUP("[S06_InstallationsVerificationReportsIssueDetail]["&amp;1+ROW(B185)-ROW($B$133)&amp;"][NumberOfInstallations]",Submission!$O:$O,Submission!$H:$N,""))</f>
        <v/>
      </c>
      <c r="H185" s="108" t="str">
        <f>_xlfn.CONCAT(_xlfn.XLOOKUP("[S06_InstallationsVerificationReportsIssueDetail]["&amp;1+ROW(B185)-ROW($B$133)&amp;"][NumberOfIssues]",Submission!$O:$O,Submission!$H:$N,""))</f>
        <v/>
      </c>
      <c r="I185" s="183" t="str">
        <f>_xlfn.CONCAT(_xlfn.XLOOKUP("[S06_InstallationsVerificationReportsIssueDetail]["&amp;1+ROW(B185)-ROW($B$133)&amp;"][ShareOfReportsConservativeEstimate]",Submission!$O:$O,Submission!$H:$N,""))</f>
        <v/>
      </c>
    </row>
    <row r="186" spans="1:9" ht="26.4" hidden="1" customHeight="1" outlineLevel="1" x14ac:dyDescent="0.3">
      <c r="A186" s="13"/>
      <c r="C186" s="281" t="str">
        <f>_xlfn.CONCAT(_xlfn.XLOOKUP("[S06_InstallationsVerificationReportsIssueDetail]["&amp;1+ROW(B186)-ROW($B$133)&amp;"][AnnexIActivity]",Submission!$O:$O,Submission!$H:$N,""))</f>
        <v/>
      </c>
      <c r="D186" s="347"/>
      <c r="E186" s="281" t="str">
        <f>_xlfn.CONCAT(_xlfn.XLOOKUP("[S06_InstallationsVerificationReportsIssueDetail]["&amp;1+ROW(B186)-ROW($B$133)&amp;"][TypeOfIssue]",Submission!$O:$O,Submission!$H:$N,""))</f>
        <v/>
      </c>
      <c r="F186" s="347"/>
      <c r="G186" s="105" t="str">
        <f>_xlfn.CONCAT(_xlfn.XLOOKUP("[S06_InstallationsVerificationReportsIssueDetail]["&amp;1+ROW(B186)-ROW($B$133)&amp;"][NumberOfInstallations]",Submission!$O:$O,Submission!$H:$N,""))</f>
        <v/>
      </c>
      <c r="H186" s="108" t="str">
        <f>_xlfn.CONCAT(_xlfn.XLOOKUP("[S06_InstallationsVerificationReportsIssueDetail]["&amp;1+ROW(B186)-ROW($B$133)&amp;"][NumberOfIssues]",Submission!$O:$O,Submission!$H:$N,""))</f>
        <v/>
      </c>
      <c r="I186" s="183" t="str">
        <f>_xlfn.CONCAT(_xlfn.XLOOKUP("[S06_InstallationsVerificationReportsIssueDetail]["&amp;1+ROW(B186)-ROW($B$133)&amp;"][ShareOfReportsConservativeEstimate]",Submission!$O:$O,Submission!$H:$N,""))</f>
        <v/>
      </c>
    </row>
    <row r="187" spans="1:9" ht="26.4" hidden="1" customHeight="1" outlineLevel="1" x14ac:dyDescent="0.3">
      <c r="A187" s="13"/>
      <c r="C187" s="281" t="str">
        <f>_xlfn.CONCAT(_xlfn.XLOOKUP("[S06_InstallationsVerificationReportsIssueDetail]["&amp;1+ROW(B187)-ROW($B$133)&amp;"][AnnexIActivity]",Submission!$O:$O,Submission!$H:$N,""))</f>
        <v/>
      </c>
      <c r="D187" s="347"/>
      <c r="E187" s="281" t="str">
        <f>_xlfn.CONCAT(_xlfn.XLOOKUP("[S06_InstallationsVerificationReportsIssueDetail]["&amp;1+ROW(B187)-ROW($B$133)&amp;"][TypeOfIssue]",Submission!$O:$O,Submission!$H:$N,""))</f>
        <v/>
      </c>
      <c r="F187" s="347"/>
      <c r="G187" s="105" t="str">
        <f>_xlfn.CONCAT(_xlfn.XLOOKUP("[S06_InstallationsVerificationReportsIssueDetail]["&amp;1+ROW(B187)-ROW($B$133)&amp;"][NumberOfInstallations]",Submission!$O:$O,Submission!$H:$N,""))</f>
        <v/>
      </c>
      <c r="H187" s="108" t="str">
        <f>_xlfn.CONCAT(_xlfn.XLOOKUP("[S06_InstallationsVerificationReportsIssueDetail]["&amp;1+ROW(B187)-ROW($B$133)&amp;"][NumberOfIssues]",Submission!$O:$O,Submission!$H:$N,""))</f>
        <v/>
      </c>
      <c r="I187" s="183" t="str">
        <f>_xlfn.CONCAT(_xlfn.XLOOKUP("[S06_InstallationsVerificationReportsIssueDetail]["&amp;1+ROW(B187)-ROW($B$133)&amp;"][ShareOfReportsConservativeEstimate]",Submission!$O:$O,Submission!$H:$N,""))</f>
        <v/>
      </c>
    </row>
    <row r="188" spans="1:9" ht="26.4" hidden="1" customHeight="1" outlineLevel="1" x14ac:dyDescent="0.3">
      <c r="A188" s="13"/>
      <c r="C188" s="281" t="str">
        <f>_xlfn.CONCAT(_xlfn.XLOOKUP("[S06_InstallationsVerificationReportsIssueDetail]["&amp;1+ROW(B188)-ROW($B$133)&amp;"][AnnexIActivity]",Submission!$O:$O,Submission!$H:$N,""))</f>
        <v/>
      </c>
      <c r="D188" s="347"/>
      <c r="E188" s="281" t="str">
        <f>_xlfn.CONCAT(_xlfn.XLOOKUP("[S06_InstallationsVerificationReportsIssueDetail]["&amp;1+ROW(B188)-ROW($B$133)&amp;"][TypeOfIssue]",Submission!$O:$O,Submission!$H:$N,""))</f>
        <v/>
      </c>
      <c r="F188" s="347"/>
      <c r="G188" s="105" t="str">
        <f>_xlfn.CONCAT(_xlfn.XLOOKUP("[S06_InstallationsVerificationReportsIssueDetail]["&amp;1+ROW(B188)-ROW($B$133)&amp;"][NumberOfInstallations]",Submission!$O:$O,Submission!$H:$N,""))</f>
        <v/>
      </c>
      <c r="H188" s="108" t="str">
        <f>_xlfn.CONCAT(_xlfn.XLOOKUP("[S06_InstallationsVerificationReportsIssueDetail]["&amp;1+ROW(B188)-ROW($B$133)&amp;"][NumberOfIssues]",Submission!$O:$O,Submission!$H:$N,""))</f>
        <v/>
      </c>
      <c r="I188" s="183" t="str">
        <f>_xlfn.CONCAT(_xlfn.XLOOKUP("[S06_InstallationsVerificationReportsIssueDetail]["&amp;1+ROW(B188)-ROW($B$133)&amp;"][ShareOfReportsConservativeEstimate]",Submission!$O:$O,Submission!$H:$N,""))</f>
        <v/>
      </c>
    </row>
    <row r="189" spans="1:9" ht="26.4" hidden="1" customHeight="1" outlineLevel="1" x14ac:dyDescent="0.3">
      <c r="A189" s="13"/>
      <c r="C189" s="281" t="str">
        <f>_xlfn.CONCAT(_xlfn.XLOOKUP("[S06_InstallationsVerificationReportsIssueDetail]["&amp;1+ROW(B189)-ROW($B$133)&amp;"][AnnexIActivity]",Submission!$O:$O,Submission!$H:$N,""))</f>
        <v/>
      </c>
      <c r="D189" s="347"/>
      <c r="E189" s="281" t="str">
        <f>_xlfn.CONCAT(_xlfn.XLOOKUP("[S06_InstallationsVerificationReportsIssueDetail]["&amp;1+ROW(B189)-ROW($B$133)&amp;"][TypeOfIssue]",Submission!$O:$O,Submission!$H:$N,""))</f>
        <v/>
      </c>
      <c r="F189" s="347"/>
      <c r="G189" s="105" t="str">
        <f>_xlfn.CONCAT(_xlfn.XLOOKUP("[S06_InstallationsVerificationReportsIssueDetail]["&amp;1+ROW(B189)-ROW($B$133)&amp;"][NumberOfInstallations]",Submission!$O:$O,Submission!$H:$N,""))</f>
        <v/>
      </c>
      <c r="H189" s="108" t="str">
        <f>_xlfn.CONCAT(_xlfn.XLOOKUP("[S06_InstallationsVerificationReportsIssueDetail]["&amp;1+ROW(B189)-ROW($B$133)&amp;"][NumberOfIssues]",Submission!$O:$O,Submission!$H:$N,""))</f>
        <v/>
      </c>
      <c r="I189" s="183" t="str">
        <f>_xlfn.CONCAT(_xlfn.XLOOKUP("[S06_InstallationsVerificationReportsIssueDetail]["&amp;1+ROW(B189)-ROW($B$133)&amp;"][ShareOfReportsConservativeEstimate]",Submission!$O:$O,Submission!$H:$N,""))</f>
        <v/>
      </c>
    </row>
    <row r="190" spans="1:9" ht="26.4" hidden="1" customHeight="1" outlineLevel="1" x14ac:dyDescent="0.3">
      <c r="A190" s="13"/>
      <c r="C190" s="281" t="str">
        <f>_xlfn.CONCAT(_xlfn.XLOOKUP("[S06_InstallationsVerificationReportsIssueDetail]["&amp;1+ROW(B190)-ROW($B$133)&amp;"][AnnexIActivity]",Submission!$O:$O,Submission!$H:$N,""))</f>
        <v/>
      </c>
      <c r="D190" s="347"/>
      <c r="E190" s="281" t="str">
        <f>_xlfn.CONCAT(_xlfn.XLOOKUP("[S06_InstallationsVerificationReportsIssueDetail]["&amp;1+ROW(B190)-ROW($B$133)&amp;"][TypeOfIssue]",Submission!$O:$O,Submission!$H:$N,""))</f>
        <v/>
      </c>
      <c r="F190" s="347"/>
      <c r="G190" s="105" t="str">
        <f>_xlfn.CONCAT(_xlfn.XLOOKUP("[S06_InstallationsVerificationReportsIssueDetail]["&amp;1+ROW(B190)-ROW($B$133)&amp;"][NumberOfInstallations]",Submission!$O:$O,Submission!$H:$N,""))</f>
        <v/>
      </c>
      <c r="H190" s="108" t="str">
        <f>_xlfn.CONCAT(_xlfn.XLOOKUP("[S06_InstallationsVerificationReportsIssueDetail]["&amp;1+ROW(B190)-ROW($B$133)&amp;"][NumberOfIssues]",Submission!$O:$O,Submission!$H:$N,""))</f>
        <v/>
      </c>
      <c r="I190" s="183" t="str">
        <f>_xlfn.CONCAT(_xlfn.XLOOKUP("[S06_InstallationsVerificationReportsIssueDetail]["&amp;1+ROW(B190)-ROW($B$133)&amp;"][ShareOfReportsConservativeEstimate]",Submission!$O:$O,Submission!$H:$N,""))</f>
        <v/>
      </c>
    </row>
    <row r="191" spans="1:9" ht="26.4" hidden="1" customHeight="1" outlineLevel="1" x14ac:dyDescent="0.3">
      <c r="A191" s="13"/>
      <c r="C191" s="281" t="str">
        <f>_xlfn.CONCAT(_xlfn.XLOOKUP("[S06_InstallationsVerificationReportsIssueDetail]["&amp;1+ROW(B191)-ROW($B$133)&amp;"][AnnexIActivity]",Submission!$O:$O,Submission!$H:$N,""))</f>
        <v/>
      </c>
      <c r="D191" s="347"/>
      <c r="E191" s="281" t="str">
        <f>_xlfn.CONCAT(_xlfn.XLOOKUP("[S06_InstallationsVerificationReportsIssueDetail]["&amp;1+ROW(B191)-ROW($B$133)&amp;"][TypeOfIssue]",Submission!$O:$O,Submission!$H:$N,""))</f>
        <v/>
      </c>
      <c r="F191" s="347"/>
      <c r="G191" s="105" t="str">
        <f>_xlfn.CONCAT(_xlfn.XLOOKUP("[S06_InstallationsVerificationReportsIssueDetail]["&amp;1+ROW(B191)-ROW($B$133)&amp;"][NumberOfInstallations]",Submission!$O:$O,Submission!$H:$N,""))</f>
        <v/>
      </c>
      <c r="H191" s="108" t="str">
        <f>_xlfn.CONCAT(_xlfn.XLOOKUP("[S06_InstallationsVerificationReportsIssueDetail]["&amp;1+ROW(B191)-ROW($B$133)&amp;"][NumberOfIssues]",Submission!$O:$O,Submission!$H:$N,""))</f>
        <v/>
      </c>
      <c r="I191" s="183" t="str">
        <f>_xlfn.CONCAT(_xlfn.XLOOKUP("[S06_InstallationsVerificationReportsIssueDetail]["&amp;1+ROW(B191)-ROW($B$133)&amp;"][ShareOfReportsConservativeEstimate]",Submission!$O:$O,Submission!$H:$N,""))</f>
        <v/>
      </c>
    </row>
    <row r="192" spans="1:9" ht="26.4" hidden="1" customHeight="1" outlineLevel="1" x14ac:dyDescent="0.3">
      <c r="A192" s="13"/>
      <c r="C192" s="281" t="str">
        <f>_xlfn.CONCAT(_xlfn.XLOOKUP("[S06_InstallationsVerificationReportsIssueDetail]["&amp;1+ROW(B192)-ROW($B$133)&amp;"][AnnexIActivity]",Submission!$O:$O,Submission!$H:$N,""))</f>
        <v/>
      </c>
      <c r="D192" s="347"/>
      <c r="E192" s="281" t="str">
        <f>_xlfn.CONCAT(_xlfn.XLOOKUP("[S06_InstallationsVerificationReportsIssueDetail]["&amp;1+ROW(B192)-ROW($B$133)&amp;"][TypeOfIssue]",Submission!$O:$O,Submission!$H:$N,""))</f>
        <v/>
      </c>
      <c r="F192" s="347"/>
      <c r="G192" s="105" t="str">
        <f>_xlfn.CONCAT(_xlfn.XLOOKUP("[S06_InstallationsVerificationReportsIssueDetail]["&amp;1+ROW(B192)-ROW($B$133)&amp;"][NumberOfInstallations]",Submission!$O:$O,Submission!$H:$N,""))</f>
        <v/>
      </c>
      <c r="H192" s="108" t="str">
        <f>_xlfn.CONCAT(_xlfn.XLOOKUP("[S06_InstallationsVerificationReportsIssueDetail]["&amp;1+ROW(B192)-ROW($B$133)&amp;"][NumberOfIssues]",Submission!$O:$O,Submission!$H:$N,""))</f>
        <v/>
      </c>
      <c r="I192" s="183" t="str">
        <f>_xlfn.CONCAT(_xlfn.XLOOKUP("[S06_InstallationsVerificationReportsIssueDetail]["&amp;1+ROW(B192)-ROW($B$133)&amp;"][ShareOfReportsConservativeEstimate]",Submission!$O:$O,Submission!$H:$N,""))</f>
        <v/>
      </c>
    </row>
    <row r="193" spans="1:9" ht="26.4" hidden="1" customHeight="1" outlineLevel="1" x14ac:dyDescent="0.3">
      <c r="A193" s="13"/>
      <c r="C193" s="281" t="str">
        <f>_xlfn.CONCAT(_xlfn.XLOOKUP("[S06_InstallationsVerificationReportsIssueDetail]["&amp;1+ROW(B193)-ROW($B$133)&amp;"][AnnexIActivity]",Submission!$O:$O,Submission!$H:$N,""))</f>
        <v/>
      </c>
      <c r="D193" s="347"/>
      <c r="E193" s="281" t="str">
        <f>_xlfn.CONCAT(_xlfn.XLOOKUP("[S06_InstallationsVerificationReportsIssueDetail]["&amp;1+ROW(B193)-ROW($B$133)&amp;"][TypeOfIssue]",Submission!$O:$O,Submission!$H:$N,""))</f>
        <v/>
      </c>
      <c r="F193" s="347"/>
      <c r="G193" s="105" t="str">
        <f>_xlfn.CONCAT(_xlfn.XLOOKUP("[S06_InstallationsVerificationReportsIssueDetail]["&amp;1+ROW(B193)-ROW($B$133)&amp;"][NumberOfInstallations]",Submission!$O:$O,Submission!$H:$N,""))</f>
        <v/>
      </c>
      <c r="H193" s="108" t="str">
        <f>_xlfn.CONCAT(_xlfn.XLOOKUP("[S06_InstallationsVerificationReportsIssueDetail]["&amp;1+ROW(B193)-ROW($B$133)&amp;"][NumberOfIssues]",Submission!$O:$O,Submission!$H:$N,""))</f>
        <v/>
      </c>
      <c r="I193" s="183" t="str">
        <f>_xlfn.CONCAT(_xlfn.XLOOKUP("[S06_InstallationsVerificationReportsIssueDetail]["&amp;1+ROW(B193)-ROW($B$133)&amp;"][ShareOfReportsConservativeEstimate]",Submission!$O:$O,Submission!$H:$N,""))</f>
        <v/>
      </c>
    </row>
    <row r="194" spans="1:9" ht="26.4" hidden="1" customHeight="1" outlineLevel="1" x14ac:dyDescent="0.3">
      <c r="A194" s="13"/>
      <c r="C194" s="281" t="str">
        <f>_xlfn.CONCAT(_xlfn.XLOOKUP("[S06_InstallationsVerificationReportsIssueDetail]["&amp;1+ROW(B194)-ROW($B$133)&amp;"][AnnexIActivity]",Submission!$O:$O,Submission!$H:$N,""))</f>
        <v/>
      </c>
      <c r="D194" s="347"/>
      <c r="E194" s="281" t="str">
        <f>_xlfn.CONCAT(_xlfn.XLOOKUP("[S06_InstallationsVerificationReportsIssueDetail]["&amp;1+ROW(B194)-ROW($B$133)&amp;"][TypeOfIssue]",Submission!$O:$O,Submission!$H:$N,""))</f>
        <v/>
      </c>
      <c r="F194" s="347"/>
      <c r="G194" s="105" t="str">
        <f>_xlfn.CONCAT(_xlfn.XLOOKUP("[S06_InstallationsVerificationReportsIssueDetail]["&amp;1+ROW(B194)-ROW($B$133)&amp;"][NumberOfInstallations]",Submission!$O:$O,Submission!$H:$N,""))</f>
        <v/>
      </c>
      <c r="H194" s="108" t="str">
        <f>_xlfn.CONCAT(_xlfn.XLOOKUP("[S06_InstallationsVerificationReportsIssueDetail]["&amp;1+ROW(B194)-ROW($B$133)&amp;"][NumberOfIssues]",Submission!$O:$O,Submission!$H:$N,""))</f>
        <v/>
      </c>
      <c r="I194" s="183" t="str">
        <f>_xlfn.CONCAT(_xlfn.XLOOKUP("[S06_InstallationsVerificationReportsIssueDetail]["&amp;1+ROW(B194)-ROW($B$133)&amp;"][ShareOfReportsConservativeEstimate]",Submission!$O:$O,Submission!$H:$N,""))</f>
        <v/>
      </c>
    </row>
    <row r="195" spans="1:9" ht="26.4" hidden="1" customHeight="1" outlineLevel="1" x14ac:dyDescent="0.3">
      <c r="A195" s="13"/>
      <c r="C195" s="281" t="str">
        <f>_xlfn.CONCAT(_xlfn.XLOOKUP("[S06_InstallationsVerificationReportsIssueDetail]["&amp;1+ROW(B195)-ROW($B$133)&amp;"][AnnexIActivity]",Submission!$O:$O,Submission!$H:$N,""))</f>
        <v/>
      </c>
      <c r="D195" s="347"/>
      <c r="E195" s="281" t="str">
        <f>_xlfn.CONCAT(_xlfn.XLOOKUP("[S06_InstallationsVerificationReportsIssueDetail]["&amp;1+ROW(B195)-ROW($B$133)&amp;"][TypeOfIssue]",Submission!$O:$O,Submission!$H:$N,""))</f>
        <v/>
      </c>
      <c r="F195" s="347"/>
      <c r="G195" s="105" t="str">
        <f>_xlfn.CONCAT(_xlfn.XLOOKUP("[S06_InstallationsVerificationReportsIssueDetail]["&amp;1+ROW(B195)-ROW($B$133)&amp;"][NumberOfInstallations]",Submission!$O:$O,Submission!$H:$N,""))</f>
        <v/>
      </c>
      <c r="H195" s="108" t="str">
        <f>_xlfn.CONCAT(_xlfn.XLOOKUP("[S06_InstallationsVerificationReportsIssueDetail]["&amp;1+ROW(B195)-ROW($B$133)&amp;"][NumberOfIssues]",Submission!$O:$O,Submission!$H:$N,""))</f>
        <v/>
      </c>
      <c r="I195" s="183" t="str">
        <f>_xlfn.CONCAT(_xlfn.XLOOKUP("[S06_InstallationsVerificationReportsIssueDetail]["&amp;1+ROW(B195)-ROW($B$133)&amp;"][ShareOfReportsConservativeEstimate]",Submission!$O:$O,Submission!$H:$N,""))</f>
        <v/>
      </c>
    </row>
    <row r="196" spans="1:9" ht="26.4" hidden="1" customHeight="1" outlineLevel="1" x14ac:dyDescent="0.3">
      <c r="A196" s="13"/>
      <c r="C196" s="281" t="str">
        <f>_xlfn.CONCAT(_xlfn.XLOOKUP("[S06_InstallationsVerificationReportsIssueDetail]["&amp;1+ROW(B196)-ROW($B$133)&amp;"][AnnexIActivity]",Submission!$O:$O,Submission!$H:$N,""))</f>
        <v/>
      </c>
      <c r="D196" s="347"/>
      <c r="E196" s="281" t="str">
        <f>_xlfn.CONCAT(_xlfn.XLOOKUP("[S06_InstallationsVerificationReportsIssueDetail]["&amp;1+ROW(B196)-ROW($B$133)&amp;"][TypeOfIssue]",Submission!$O:$O,Submission!$H:$N,""))</f>
        <v/>
      </c>
      <c r="F196" s="347"/>
      <c r="G196" s="105" t="str">
        <f>_xlfn.CONCAT(_xlfn.XLOOKUP("[S06_InstallationsVerificationReportsIssueDetail]["&amp;1+ROW(B196)-ROW($B$133)&amp;"][NumberOfInstallations]",Submission!$O:$O,Submission!$H:$N,""))</f>
        <v/>
      </c>
      <c r="H196" s="108" t="str">
        <f>_xlfn.CONCAT(_xlfn.XLOOKUP("[S06_InstallationsVerificationReportsIssueDetail]["&amp;1+ROW(B196)-ROW($B$133)&amp;"][NumberOfIssues]",Submission!$O:$O,Submission!$H:$N,""))</f>
        <v/>
      </c>
      <c r="I196" s="183" t="str">
        <f>_xlfn.CONCAT(_xlfn.XLOOKUP("[S06_InstallationsVerificationReportsIssueDetail]["&amp;1+ROW(B196)-ROW($B$133)&amp;"][ShareOfReportsConservativeEstimate]",Submission!$O:$O,Submission!$H:$N,""))</f>
        <v/>
      </c>
    </row>
    <row r="197" spans="1:9" ht="26.4" hidden="1" customHeight="1" outlineLevel="1" x14ac:dyDescent="0.3">
      <c r="A197" s="13"/>
      <c r="C197" s="281" t="str">
        <f>_xlfn.CONCAT(_xlfn.XLOOKUP("[S06_InstallationsVerificationReportsIssueDetail]["&amp;1+ROW(B197)-ROW($B$133)&amp;"][AnnexIActivity]",Submission!$O:$O,Submission!$H:$N,""))</f>
        <v/>
      </c>
      <c r="D197" s="347"/>
      <c r="E197" s="281" t="str">
        <f>_xlfn.CONCAT(_xlfn.XLOOKUP("[S06_InstallationsVerificationReportsIssueDetail]["&amp;1+ROW(B197)-ROW($B$133)&amp;"][TypeOfIssue]",Submission!$O:$O,Submission!$H:$N,""))</f>
        <v/>
      </c>
      <c r="F197" s="347"/>
      <c r="G197" s="105" t="str">
        <f>_xlfn.CONCAT(_xlfn.XLOOKUP("[S06_InstallationsVerificationReportsIssueDetail]["&amp;1+ROW(B197)-ROW($B$133)&amp;"][NumberOfInstallations]",Submission!$O:$O,Submission!$H:$N,""))</f>
        <v/>
      </c>
      <c r="H197" s="108" t="str">
        <f>_xlfn.CONCAT(_xlfn.XLOOKUP("[S06_InstallationsVerificationReportsIssueDetail]["&amp;1+ROW(B197)-ROW($B$133)&amp;"][NumberOfIssues]",Submission!$O:$O,Submission!$H:$N,""))</f>
        <v/>
      </c>
      <c r="I197" s="183" t="str">
        <f>_xlfn.CONCAT(_xlfn.XLOOKUP("[S06_InstallationsVerificationReportsIssueDetail]["&amp;1+ROW(B197)-ROW($B$133)&amp;"][ShareOfReportsConservativeEstimate]",Submission!$O:$O,Submission!$H:$N,""))</f>
        <v/>
      </c>
    </row>
    <row r="198" spans="1:9" ht="26.4" hidden="1" customHeight="1" outlineLevel="1" x14ac:dyDescent="0.3">
      <c r="A198" s="13"/>
      <c r="C198" s="281" t="str">
        <f>_xlfn.CONCAT(_xlfn.XLOOKUP("[S06_InstallationsVerificationReportsIssueDetail]["&amp;1+ROW(B198)-ROW($B$133)&amp;"][AnnexIActivity]",Submission!$O:$O,Submission!$H:$N,""))</f>
        <v/>
      </c>
      <c r="D198" s="347"/>
      <c r="E198" s="281" t="str">
        <f>_xlfn.CONCAT(_xlfn.XLOOKUP("[S06_InstallationsVerificationReportsIssueDetail]["&amp;1+ROW(B198)-ROW($B$133)&amp;"][TypeOfIssue]",Submission!$O:$O,Submission!$H:$N,""))</f>
        <v/>
      </c>
      <c r="F198" s="347"/>
      <c r="G198" s="105" t="str">
        <f>_xlfn.CONCAT(_xlfn.XLOOKUP("[S06_InstallationsVerificationReportsIssueDetail]["&amp;1+ROW(B198)-ROW($B$133)&amp;"][NumberOfInstallations]",Submission!$O:$O,Submission!$H:$N,""))</f>
        <v/>
      </c>
      <c r="H198" s="108" t="str">
        <f>_xlfn.CONCAT(_xlfn.XLOOKUP("[S06_InstallationsVerificationReportsIssueDetail]["&amp;1+ROW(B198)-ROW($B$133)&amp;"][NumberOfIssues]",Submission!$O:$O,Submission!$H:$N,""))</f>
        <v/>
      </c>
      <c r="I198" s="183" t="str">
        <f>_xlfn.CONCAT(_xlfn.XLOOKUP("[S06_InstallationsVerificationReportsIssueDetail]["&amp;1+ROW(B198)-ROW($B$133)&amp;"][ShareOfReportsConservativeEstimate]",Submission!$O:$O,Submission!$H:$N,""))</f>
        <v/>
      </c>
    </row>
    <row r="199" spans="1:9" ht="26.4" hidden="1" customHeight="1" outlineLevel="1" x14ac:dyDescent="0.3">
      <c r="A199" s="13"/>
      <c r="C199" s="281" t="str">
        <f>_xlfn.CONCAT(_xlfn.XLOOKUP("[S06_InstallationsVerificationReportsIssueDetail]["&amp;1+ROW(B199)-ROW($B$133)&amp;"][AnnexIActivity]",Submission!$O:$O,Submission!$H:$N,""))</f>
        <v/>
      </c>
      <c r="D199" s="347"/>
      <c r="E199" s="281" t="str">
        <f>_xlfn.CONCAT(_xlfn.XLOOKUP("[S06_InstallationsVerificationReportsIssueDetail]["&amp;1+ROW(B199)-ROW($B$133)&amp;"][TypeOfIssue]",Submission!$O:$O,Submission!$H:$N,""))</f>
        <v/>
      </c>
      <c r="F199" s="347"/>
      <c r="G199" s="105" t="str">
        <f>_xlfn.CONCAT(_xlfn.XLOOKUP("[S06_InstallationsVerificationReportsIssueDetail]["&amp;1+ROW(B199)-ROW($B$133)&amp;"][NumberOfInstallations]",Submission!$O:$O,Submission!$H:$N,""))</f>
        <v/>
      </c>
      <c r="H199" s="108" t="str">
        <f>_xlfn.CONCAT(_xlfn.XLOOKUP("[S06_InstallationsVerificationReportsIssueDetail]["&amp;1+ROW(B199)-ROW($B$133)&amp;"][NumberOfIssues]",Submission!$O:$O,Submission!$H:$N,""))</f>
        <v/>
      </c>
      <c r="I199" s="183" t="str">
        <f>_xlfn.CONCAT(_xlfn.XLOOKUP("[S06_InstallationsVerificationReportsIssueDetail]["&amp;1+ROW(B199)-ROW($B$133)&amp;"][ShareOfReportsConservativeEstimate]",Submission!$O:$O,Submission!$H:$N,""))</f>
        <v/>
      </c>
    </row>
    <row r="200" spans="1:9" ht="26.4" hidden="1" customHeight="1" outlineLevel="1" x14ac:dyDescent="0.3">
      <c r="A200" s="13"/>
      <c r="C200" s="281" t="str">
        <f>_xlfn.CONCAT(_xlfn.XLOOKUP("[S06_InstallationsVerificationReportsIssueDetail]["&amp;1+ROW(B200)-ROW($B$133)&amp;"][AnnexIActivity]",Submission!$O:$O,Submission!$H:$N,""))</f>
        <v/>
      </c>
      <c r="D200" s="347"/>
      <c r="E200" s="281" t="str">
        <f>_xlfn.CONCAT(_xlfn.XLOOKUP("[S06_InstallationsVerificationReportsIssueDetail]["&amp;1+ROW(B200)-ROW($B$133)&amp;"][TypeOfIssue]",Submission!$O:$O,Submission!$H:$N,""))</f>
        <v/>
      </c>
      <c r="F200" s="347"/>
      <c r="G200" s="105" t="str">
        <f>_xlfn.CONCAT(_xlfn.XLOOKUP("[S06_InstallationsVerificationReportsIssueDetail]["&amp;1+ROW(B200)-ROW($B$133)&amp;"][NumberOfInstallations]",Submission!$O:$O,Submission!$H:$N,""))</f>
        <v/>
      </c>
      <c r="H200" s="108" t="str">
        <f>_xlfn.CONCAT(_xlfn.XLOOKUP("[S06_InstallationsVerificationReportsIssueDetail]["&amp;1+ROW(B200)-ROW($B$133)&amp;"][NumberOfIssues]",Submission!$O:$O,Submission!$H:$N,""))</f>
        <v/>
      </c>
      <c r="I200" s="183" t="str">
        <f>_xlfn.CONCAT(_xlfn.XLOOKUP("[S06_InstallationsVerificationReportsIssueDetail]["&amp;1+ROW(B200)-ROW($B$133)&amp;"][ShareOfReportsConservativeEstimate]",Submission!$O:$O,Submission!$H:$N,""))</f>
        <v/>
      </c>
    </row>
    <row r="201" spans="1:9" ht="26.4" hidden="1" customHeight="1" outlineLevel="1" x14ac:dyDescent="0.3">
      <c r="A201" s="13"/>
      <c r="C201" s="281" t="str">
        <f>_xlfn.CONCAT(_xlfn.XLOOKUP("[S06_InstallationsVerificationReportsIssueDetail]["&amp;1+ROW(B201)-ROW($B$133)&amp;"][AnnexIActivity]",Submission!$O:$O,Submission!$H:$N,""))</f>
        <v/>
      </c>
      <c r="D201" s="347"/>
      <c r="E201" s="281" t="str">
        <f>_xlfn.CONCAT(_xlfn.XLOOKUP("[S06_InstallationsVerificationReportsIssueDetail]["&amp;1+ROW(B201)-ROW($B$133)&amp;"][TypeOfIssue]",Submission!$O:$O,Submission!$H:$N,""))</f>
        <v/>
      </c>
      <c r="F201" s="347"/>
      <c r="G201" s="105" t="str">
        <f>_xlfn.CONCAT(_xlfn.XLOOKUP("[S06_InstallationsVerificationReportsIssueDetail]["&amp;1+ROW(B201)-ROW($B$133)&amp;"][NumberOfInstallations]",Submission!$O:$O,Submission!$H:$N,""))</f>
        <v/>
      </c>
      <c r="H201" s="108" t="str">
        <f>_xlfn.CONCAT(_xlfn.XLOOKUP("[S06_InstallationsVerificationReportsIssueDetail]["&amp;1+ROW(B201)-ROW($B$133)&amp;"][NumberOfIssues]",Submission!$O:$O,Submission!$H:$N,""))</f>
        <v/>
      </c>
      <c r="I201" s="183" t="str">
        <f>_xlfn.CONCAT(_xlfn.XLOOKUP("[S06_InstallationsVerificationReportsIssueDetail]["&amp;1+ROW(B201)-ROW($B$133)&amp;"][ShareOfReportsConservativeEstimate]",Submission!$O:$O,Submission!$H:$N,""))</f>
        <v/>
      </c>
    </row>
    <row r="202" spans="1:9" ht="26.4" hidden="1" customHeight="1" outlineLevel="1" x14ac:dyDescent="0.3">
      <c r="A202" s="13"/>
      <c r="C202" s="281" t="str">
        <f>_xlfn.CONCAT(_xlfn.XLOOKUP("[S06_InstallationsVerificationReportsIssueDetail]["&amp;1+ROW(B202)-ROW($B$133)&amp;"][AnnexIActivity]",Submission!$O:$O,Submission!$H:$N,""))</f>
        <v/>
      </c>
      <c r="D202" s="347"/>
      <c r="E202" s="281" t="str">
        <f>_xlfn.CONCAT(_xlfn.XLOOKUP("[S06_InstallationsVerificationReportsIssueDetail]["&amp;1+ROW(B202)-ROW($B$133)&amp;"][TypeOfIssue]",Submission!$O:$O,Submission!$H:$N,""))</f>
        <v/>
      </c>
      <c r="F202" s="347"/>
      <c r="G202" s="105" t="str">
        <f>_xlfn.CONCAT(_xlfn.XLOOKUP("[S06_InstallationsVerificationReportsIssueDetail]["&amp;1+ROW(B202)-ROW($B$133)&amp;"][NumberOfInstallations]",Submission!$O:$O,Submission!$H:$N,""))</f>
        <v/>
      </c>
      <c r="H202" s="108" t="str">
        <f>_xlfn.CONCAT(_xlfn.XLOOKUP("[S06_InstallationsVerificationReportsIssueDetail]["&amp;1+ROW(B202)-ROW($B$133)&amp;"][NumberOfIssues]",Submission!$O:$O,Submission!$H:$N,""))</f>
        <v/>
      </c>
      <c r="I202" s="183" t="str">
        <f>_xlfn.CONCAT(_xlfn.XLOOKUP("[S06_InstallationsVerificationReportsIssueDetail]["&amp;1+ROW(B202)-ROW($B$133)&amp;"][ShareOfReportsConservativeEstimate]",Submission!$O:$O,Submission!$H:$N,""))</f>
        <v/>
      </c>
    </row>
    <row r="203" spans="1:9" ht="26.4" hidden="1" customHeight="1" outlineLevel="1" x14ac:dyDescent="0.3">
      <c r="A203" s="13"/>
      <c r="C203" s="281" t="str">
        <f>_xlfn.CONCAT(_xlfn.XLOOKUP("[S06_InstallationsVerificationReportsIssueDetail]["&amp;1+ROW(B203)-ROW($B$133)&amp;"][AnnexIActivity]",Submission!$O:$O,Submission!$H:$N,""))</f>
        <v/>
      </c>
      <c r="D203" s="347"/>
      <c r="E203" s="281" t="str">
        <f>_xlfn.CONCAT(_xlfn.XLOOKUP("[S06_InstallationsVerificationReportsIssueDetail]["&amp;1+ROW(B203)-ROW($B$133)&amp;"][TypeOfIssue]",Submission!$O:$O,Submission!$H:$N,""))</f>
        <v/>
      </c>
      <c r="F203" s="347"/>
      <c r="G203" s="105" t="str">
        <f>_xlfn.CONCAT(_xlfn.XLOOKUP("[S06_InstallationsVerificationReportsIssueDetail]["&amp;1+ROW(B203)-ROW($B$133)&amp;"][NumberOfInstallations]",Submission!$O:$O,Submission!$H:$N,""))</f>
        <v/>
      </c>
      <c r="H203" s="108" t="str">
        <f>_xlfn.CONCAT(_xlfn.XLOOKUP("[S06_InstallationsVerificationReportsIssueDetail]["&amp;1+ROW(B203)-ROW($B$133)&amp;"][NumberOfIssues]",Submission!$O:$O,Submission!$H:$N,""))</f>
        <v/>
      </c>
      <c r="I203" s="183" t="str">
        <f>_xlfn.CONCAT(_xlfn.XLOOKUP("[S06_InstallationsVerificationReportsIssueDetail]["&amp;1+ROW(B203)-ROW($B$133)&amp;"][ShareOfReportsConservativeEstimate]",Submission!$O:$O,Submission!$H:$N,""))</f>
        <v/>
      </c>
    </row>
    <row r="204" spans="1:9" ht="26.4" hidden="1" customHeight="1" outlineLevel="1" x14ac:dyDescent="0.3">
      <c r="A204" s="13"/>
      <c r="C204" s="281" t="str">
        <f>_xlfn.CONCAT(_xlfn.XLOOKUP("[S06_InstallationsVerificationReportsIssueDetail]["&amp;1+ROW(B204)-ROW($B$133)&amp;"][AnnexIActivity]",Submission!$O:$O,Submission!$H:$N,""))</f>
        <v/>
      </c>
      <c r="D204" s="347"/>
      <c r="E204" s="281" t="str">
        <f>_xlfn.CONCAT(_xlfn.XLOOKUP("[S06_InstallationsVerificationReportsIssueDetail]["&amp;1+ROW(B204)-ROW($B$133)&amp;"][TypeOfIssue]",Submission!$O:$O,Submission!$H:$N,""))</f>
        <v/>
      </c>
      <c r="F204" s="347"/>
      <c r="G204" s="105" t="str">
        <f>_xlfn.CONCAT(_xlfn.XLOOKUP("[S06_InstallationsVerificationReportsIssueDetail]["&amp;1+ROW(B204)-ROW($B$133)&amp;"][NumberOfInstallations]",Submission!$O:$O,Submission!$H:$N,""))</f>
        <v/>
      </c>
      <c r="H204" s="108" t="str">
        <f>_xlfn.CONCAT(_xlfn.XLOOKUP("[S06_InstallationsVerificationReportsIssueDetail]["&amp;1+ROW(B204)-ROW($B$133)&amp;"][NumberOfIssues]",Submission!$O:$O,Submission!$H:$N,""))</f>
        <v/>
      </c>
      <c r="I204" s="183" t="str">
        <f>_xlfn.CONCAT(_xlfn.XLOOKUP("[S06_InstallationsVerificationReportsIssueDetail]["&amp;1+ROW(B204)-ROW($B$133)&amp;"][ShareOfReportsConservativeEstimate]",Submission!$O:$O,Submission!$H:$N,""))</f>
        <v/>
      </c>
    </row>
    <row r="205" spans="1:9" ht="26.4" hidden="1" customHeight="1" outlineLevel="1" x14ac:dyDescent="0.3">
      <c r="A205" s="13"/>
      <c r="C205" s="281" t="str">
        <f>_xlfn.CONCAT(_xlfn.XLOOKUP("[S06_InstallationsVerificationReportsIssueDetail]["&amp;1+ROW(B205)-ROW($B$133)&amp;"][AnnexIActivity]",Submission!$O:$O,Submission!$H:$N,""))</f>
        <v/>
      </c>
      <c r="D205" s="347"/>
      <c r="E205" s="281" t="str">
        <f>_xlfn.CONCAT(_xlfn.XLOOKUP("[S06_InstallationsVerificationReportsIssueDetail]["&amp;1+ROW(B205)-ROW($B$133)&amp;"][TypeOfIssue]",Submission!$O:$O,Submission!$H:$N,""))</f>
        <v/>
      </c>
      <c r="F205" s="347"/>
      <c r="G205" s="105" t="str">
        <f>_xlfn.CONCAT(_xlfn.XLOOKUP("[S06_InstallationsVerificationReportsIssueDetail]["&amp;1+ROW(B205)-ROW($B$133)&amp;"][NumberOfInstallations]",Submission!$O:$O,Submission!$H:$N,""))</f>
        <v/>
      </c>
      <c r="H205" s="108" t="str">
        <f>_xlfn.CONCAT(_xlfn.XLOOKUP("[S06_InstallationsVerificationReportsIssueDetail]["&amp;1+ROW(B205)-ROW($B$133)&amp;"][NumberOfIssues]",Submission!$O:$O,Submission!$H:$N,""))</f>
        <v/>
      </c>
      <c r="I205" s="183" t="str">
        <f>_xlfn.CONCAT(_xlfn.XLOOKUP("[S06_InstallationsVerificationReportsIssueDetail]["&amp;1+ROW(B205)-ROW($B$133)&amp;"][ShareOfReportsConservativeEstimate]",Submission!$O:$O,Submission!$H:$N,""))</f>
        <v/>
      </c>
    </row>
    <row r="206" spans="1:9" ht="26.4" hidden="1" customHeight="1" outlineLevel="1" x14ac:dyDescent="0.3">
      <c r="A206" s="13"/>
      <c r="C206" s="281" t="str">
        <f>_xlfn.CONCAT(_xlfn.XLOOKUP("[S06_InstallationsVerificationReportsIssueDetail]["&amp;1+ROW(B206)-ROW($B$133)&amp;"][AnnexIActivity]",Submission!$O:$O,Submission!$H:$N,""))</f>
        <v/>
      </c>
      <c r="D206" s="347"/>
      <c r="E206" s="281" t="str">
        <f>_xlfn.CONCAT(_xlfn.XLOOKUP("[S06_InstallationsVerificationReportsIssueDetail]["&amp;1+ROW(B206)-ROW($B$133)&amp;"][TypeOfIssue]",Submission!$O:$O,Submission!$H:$N,""))</f>
        <v/>
      </c>
      <c r="F206" s="347"/>
      <c r="G206" s="105" t="str">
        <f>_xlfn.CONCAT(_xlfn.XLOOKUP("[S06_InstallationsVerificationReportsIssueDetail]["&amp;1+ROW(B206)-ROW($B$133)&amp;"][NumberOfInstallations]",Submission!$O:$O,Submission!$H:$N,""))</f>
        <v/>
      </c>
      <c r="H206" s="108" t="str">
        <f>_xlfn.CONCAT(_xlfn.XLOOKUP("[S06_InstallationsVerificationReportsIssueDetail]["&amp;1+ROW(B206)-ROW($B$133)&amp;"][NumberOfIssues]",Submission!$O:$O,Submission!$H:$N,""))</f>
        <v/>
      </c>
      <c r="I206" s="183" t="str">
        <f>_xlfn.CONCAT(_xlfn.XLOOKUP("[S06_InstallationsVerificationReportsIssueDetail]["&amp;1+ROW(B206)-ROW($B$133)&amp;"][ShareOfReportsConservativeEstimate]",Submission!$O:$O,Submission!$H:$N,""))</f>
        <v/>
      </c>
    </row>
    <row r="207" spans="1:9" ht="26.4" hidden="1" customHeight="1" outlineLevel="1" x14ac:dyDescent="0.3">
      <c r="A207" s="13"/>
      <c r="C207" s="281" t="str">
        <f>_xlfn.CONCAT(_xlfn.XLOOKUP("[S06_InstallationsVerificationReportsIssueDetail]["&amp;1+ROW(B207)-ROW($B$133)&amp;"][AnnexIActivity]",Submission!$O:$O,Submission!$H:$N,""))</f>
        <v/>
      </c>
      <c r="D207" s="347"/>
      <c r="E207" s="281" t="str">
        <f>_xlfn.CONCAT(_xlfn.XLOOKUP("[S06_InstallationsVerificationReportsIssueDetail]["&amp;1+ROW(B207)-ROW($B$133)&amp;"][TypeOfIssue]",Submission!$O:$O,Submission!$H:$N,""))</f>
        <v/>
      </c>
      <c r="F207" s="347"/>
      <c r="G207" s="105" t="str">
        <f>_xlfn.CONCAT(_xlfn.XLOOKUP("[S06_InstallationsVerificationReportsIssueDetail]["&amp;1+ROW(B207)-ROW($B$133)&amp;"][NumberOfInstallations]",Submission!$O:$O,Submission!$H:$N,""))</f>
        <v/>
      </c>
      <c r="H207" s="108" t="str">
        <f>_xlfn.CONCAT(_xlfn.XLOOKUP("[S06_InstallationsVerificationReportsIssueDetail]["&amp;1+ROW(B207)-ROW($B$133)&amp;"][NumberOfIssues]",Submission!$O:$O,Submission!$H:$N,""))</f>
        <v/>
      </c>
      <c r="I207" s="183" t="str">
        <f>_xlfn.CONCAT(_xlfn.XLOOKUP("[S06_InstallationsVerificationReportsIssueDetail]["&amp;1+ROW(B207)-ROW($B$133)&amp;"][ShareOfReportsConservativeEstimate]",Submission!$O:$O,Submission!$H:$N,""))</f>
        <v/>
      </c>
    </row>
    <row r="208" spans="1:9" ht="26.4" hidden="1" customHeight="1" outlineLevel="1" x14ac:dyDescent="0.3">
      <c r="A208" s="13"/>
      <c r="C208" s="281" t="str">
        <f>_xlfn.CONCAT(_xlfn.XLOOKUP("[S06_InstallationsVerificationReportsIssueDetail]["&amp;1+ROW(B208)-ROW($B$133)&amp;"][AnnexIActivity]",Submission!$O:$O,Submission!$H:$N,""))</f>
        <v/>
      </c>
      <c r="D208" s="347"/>
      <c r="E208" s="281" t="str">
        <f>_xlfn.CONCAT(_xlfn.XLOOKUP("[S06_InstallationsVerificationReportsIssueDetail]["&amp;1+ROW(B208)-ROW($B$133)&amp;"][TypeOfIssue]",Submission!$O:$O,Submission!$H:$N,""))</f>
        <v/>
      </c>
      <c r="F208" s="347"/>
      <c r="G208" s="105" t="str">
        <f>_xlfn.CONCAT(_xlfn.XLOOKUP("[S06_InstallationsVerificationReportsIssueDetail]["&amp;1+ROW(B208)-ROW($B$133)&amp;"][NumberOfInstallations]",Submission!$O:$O,Submission!$H:$N,""))</f>
        <v/>
      </c>
      <c r="H208" s="108" t="str">
        <f>_xlfn.CONCAT(_xlfn.XLOOKUP("[S06_InstallationsVerificationReportsIssueDetail]["&amp;1+ROW(B208)-ROW($B$133)&amp;"][NumberOfIssues]",Submission!$O:$O,Submission!$H:$N,""))</f>
        <v/>
      </c>
      <c r="I208" s="183" t="str">
        <f>_xlfn.CONCAT(_xlfn.XLOOKUP("[S06_InstallationsVerificationReportsIssueDetail]["&amp;1+ROW(B208)-ROW($B$133)&amp;"][ShareOfReportsConservativeEstimate]",Submission!$O:$O,Submission!$H:$N,""))</f>
        <v/>
      </c>
    </row>
    <row r="209" spans="1:9" ht="26.4" hidden="1" customHeight="1" outlineLevel="1" x14ac:dyDescent="0.3">
      <c r="A209" s="13"/>
      <c r="C209" s="281" t="str">
        <f>_xlfn.CONCAT(_xlfn.XLOOKUP("[S06_InstallationsVerificationReportsIssueDetail]["&amp;1+ROW(B209)-ROW($B$133)&amp;"][AnnexIActivity]",Submission!$O:$O,Submission!$H:$N,""))</f>
        <v/>
      </c>
      <c r="D209" s="347"/>
      <c r="E209" s="281" t="str">
        <f>_xlfn.CONCAT(_xlfn.XLOOKUP("[S06_InstallationsVerificationReportsIssueDetail]["&amp;1+ROW(B209)-ROW($B$133)&amp;"][TypeOfIssue]",Submission!$O:$O,Submission!$H:$N,""))</f>
        <v/>
      </c>
      <c r="F209" s="347"/>
      <c r="G209" s="105" t="str">
        <f>_xlfn.CONCAT(_xlfn.XLOOKUP("[S06_InstallationsVerificationReportsIssueDetail]["&amp;1+ROW(B209)-ROW($B$133)&amp;"][NumberOfInstallations]",Submission!$O:$O,Submission!$H:$N,""))</f>
        <v/>
      </c>
      <c r="H209" s="108" t="str">
        <f>_xlfn.CONCAT(_xlfn.XLOOKUP("[S06_InstallationsVerificationReportsIssueDetail]["&amp;1+ROW(B209)-ROW($B$133)&amp;"][NumberOfIssues]",Submission!$O:$O,Submission!$H:$N,""))</f>
        <v/>
      </c>
      <c r="I209" s="183" t="str">
        <f>_xlfn.CONCAT(_xlfn.XLOOKUP("[S06_InstallationsVerificationReportsIssueDetail]["&amp;1+ROW(B209)-ROW($B$133)&amp;"][ShareOfReportsConservativeEstimate]",Submission!$O:$O,Submission!$H:$N,""))</f>
        <v/>
      </c>
    </row>
    <row r="210" spans="1:9" ht="26.4" hidden="1" customHeight="1" outlineLevel="1" x14ac:dyDescent="0.3">
      <c r="A210" s="13"/>
      <c r="C210" s="281" t="str">
        <f>_xlfn.CONCAT(_xlfn.XLOOKUP("[S06_InstallationsVerificationReportsIssueDetail]["&amp;1+ROW(B210)-ROW($B$133)&amp;"][AnnexIActivity]",Submission!$O:$O,Submission!$H:$N,""))</f>
        <v/>
      </c>
      <c r="D210" s="347"/>
      <c r="E210" s="281" t="str">
        <f>_xlfn.CONCAT(_xlfn.XLOOKUP("[S06_InstallationsVerificationReportsIssueDetail]["&amp;1+ROW(B210)-ROW($B$133)&amp;"][TypeOfIssue]",Submission!$O:$O,Submission!$H:$N,""))</f>
        <v/>
      </c>
      <c r="F210" s="347"/>
      <c r="G210" s="105" t="str">
        <f>_xlfn.CONCAT(_xlfn.XLOOKUP("[S06_InstallationsVerificationReportsIssueDetail]["&amp;1+ROW(B210)-ROW($B$133)&amp;"][NumberOfInstallations]",Submission!$O:$O,Submission!$H:$N,""))</f>
        <v/>
      </c>
      <c r="H210" s="108" t="str">
        <f>_xlfn.CONCAT(_xlfn.XLOOKUP("[S06_InstallationsVerificationReportsIssueDetail]["&amp;1+ROW(B210)-ROW($B$133)&amp;"][NumberOfIssues]",Submission!$O:$O,Submission!$H:$N,""))</f>
        <v/>
      </c>
      <c r="I210" s="183" t="str">
        <f>_xlfn.CONCAT(_xlfn.XLOOKUP("[S06_InstallationsVerificationReportsIssueDetail]["&amp;1+ROW(B210)-ROW($B$133)&amp;"][ShareOfReportsConservativeEstimate]",Submission!$O:$O,Submission!$H:$N,""))</f>
        <v/>
      </c>
    </row>
    <row r="211" spans="1:9" ht="26.4" hidden="1" customHeight="1" outlineLevel="1" x14ac:dyDescent="0.3">
      <c r="A211" s="13"/>
      <c r="C211" s="281" t="str">
        <f>_xlfn.CONCAT(_xlfn.XLOOKUP("[S06_InstallationsVerificationReportsIssueDetail]["&amp;1+ROW(B211)-ROW($B$133)&amp;"][AnnexIActivity]",Submission!$O:$O,Submission!$H:$N,""))</f>
        <v/>
      </c>
      <c r="D211" s="347"/>
      <c r="E211" s="281" t="str">
        <f>_xlfn.CONCAT(_xlfn.XLOOKUP("[S06_InstallationsVerificationReportsIssueDetail]["&amp;1+ROW(B211)-ROW($B$133)&amp;"][TypeOfIssue]",Submission!$O:$O,Submission!$H:$N,""))</f>
        <v/>
      </c>
      <c r="F211" s="347"/>
      <c r="G211" s="105" t="str">
        <f>_xlfn.CONCAT(_xlfn.XLOOKUP("[S06_InstallationsVerificationReportsIssueDetail]["&amp;1+ROW(B211)-ROW($B$133)&amp;"][NumberOfInstallations]",Submission!$O:$O,Submission!$H:$N,""))</f>
        <v/>
      </c>
      <c r="H211" s="108" t="str">
        <f>_xlfn.CONCAT(_xlfn.XLOOKUP("[S06_InstallationsVerificationReportsIssueDetail]["&amp;1+ROW(B211)-ROW($B$133)&amp;"][NumberOfIssues]",Submission!$O:$O,Submission!$H:$N,""))</f>
        <v/>
      </c>
      <c r="I211" s="183" t="str">
        <f>_xlfn.CONCAT(_xlfn.XLOOKUP("[S06_InstallationsVerificationReportsIssueDetail]["&amp;1+ROW(B211)-ROW($B$133)&amp;"][ShareOfReportsConservativeEstimate]",Submission!$O:$O,Submission!$H:$N,""))</f>
        <v/>
      </c>
    </row>
    <row r="212" spans="1:9" ht="26.4" hidden="1" customHeight="1" outlineLevel="1" x14ac:dyDescent="0.3">
      <c r="A212" s="13"/>
      <c r="C212" s="281" t="str">
        <f>_xlfn.CONCAT(_xlfn.XLOOKUP("[S06_InstallationsVerificationReportsIssueDetail]["&amp;1+ROW(B212)-ROW($B$133)&amp;"][AnnexIActivity]",Submission!$O:$O,Submission!$H:$N,""))</f>
        <v/>
      </c>
      <c r="D212" s="347"/>
      <c r="E212" s="281" t="str">
        <f>_xlfn.CONCAT(_xlfn.XLOOKUP("[S06_InstallationsVerificationReportsIssueDetail]["&amp;1+ROW(B212)-ROW($B$133)&amp;"][TypeOfIssue]",Submission!$O:$O,Submission!$H:$N,""))</f>
        <v/>
      </c>
      <c r="F212" s="347"/>
      <c r="G212" s="105" t="str">
        <f>_xlfn.CONCAT(_xlfn.XLOOKUP("[S06_InstallationsVerificationReportsIssueDetail]["&amp;1+ROW(B212)-ROW($B$133)&amp;"][NumberOfInstallations]",Submission!$O:$O,Submission!$H:$N,""))</f>
        <v/>
      </c>
      <c r="H212" s="108" t="str">
        <f>_xlfn.CONCAT(_xlfn.XLOOKUP("[S06_InstallationsVerificationReportsIssueDetail]["&amp;1+ROW(B212)-ROW($B$133)&amp;"][NumberOfIssues]",Submission!$O:$O,Submission!$H:$N,""))</f>
        <v/>
      </c>
      <c r="I212" s="183" t="str">
        <f>_xlfn.CONCAT(_xlfn.XLOOKUP("[S06_InstallationsVerificationReportsIssueDetail]["&amp;1+ROW(B212)-ROW($B$133)&amp;"][ShareOfReportsConservativeEstimate]",Submission!$O:$O,Submission!$H:$N,""))</f>
        <v/>
      </c>
    </row>
    <row r="213" spans="1:9" ht="26.4" hidden="1" customHeight="1" outlineLevel="1" x14ac:dyDescent="0.3">
      <c r="A213" s="13"/>
      <c r="C213" s="281" t="str">
        <f>_xlfn.CONCAT(_xlfn.XLOOKUP("[S06_InstallationsVerificationReportsIssueDetail]["&amp;1+ROW(B213)-ROW($B$133)&amp;"][AnnexIActivity]",Submission!$O:$O,Submission!$H:$N,""))</f>
        <v/>
      </c>
      <c r="D213" s="347"/>
      <c r="E213" s="281" t="str">
        <f>_xlfn.CONCAT(_xlfn.XLOOKUP("[S06_InstallationsVerificationReportsIssueDetail]["&amp;1+ROW(B213)-ROW($B$133)&amp;"][TypeOfIssue]",Submission!$O:$O,Submission!$H:$N,""))</f>
        <v/>
      </c>
      <c r="F213" s="347"/>
      <c r="G213" s="105" t="str">
        <f>_xlfn.CONCAT(_xlfn.XLOOKUP("[S06_InstallationsVerificationReportsIssueDetail]["&amp;1+ROW(B213)-ROW($B$133)&amp;"][NumberOfInstallations]",Submission!$O:$O,Submission!$H:$N,""))</f>
        <v/>
      </c>
      <c r="H213" s="108" t="str">
        <f>_xlfn.CONCAT(_xlfn.XLOOKUP("[S06_InstallationsVerificationReportsIssueDetail]["&amp;1+ROW(B213)-ROW($B$133)&amp;"][NumberOfIssues]",Submission!$O:$O,Submission!$H:$N,""))</f>
        <v/>
      </c>
      <c r="I213" s="183" t="str">
        <f>_xlfn.CONCAT(_xlfn.XLOOKUP("[S06_InstallationsVerificationReportsIssueDetail]["&amp;1+ROW(B213)-ROW($B$133)&amp;"][ShareOfReportsConservativeEstimate]",Submission!$O:$O,Submission!$H:$N,""))</f>
        <v/>
      </c>
    </row>
    <row r="214" spans="1:9" ht="26.4" hidden="1" customHeight="1" outlineLevel="1" x14ac:dyDescent="0.3">
      <c r="A214" s="13"/>
      <c r="C214" s="281" t="str">
        <f>_xlfn.CONCAT(_xlfn.XLOOKUP("[S06_InstallationsVerificationReportsIssueDetail]["&amp;1+ROW(B214)-ROW($B$133)&amp;"][AnnexIActivity]",Submission!$O:$O,Submission!$H:$N,""))</f>
        <v/>
      </c>
      <c r="D214" s="347"/>
      <c r="E214" s="281" t="str">
        <f>_xlfn.CONCAT(_xlfn.XLOOKUP("[S06_InstallationsVerificationReportsIssueDetail]["&amp;1+ROW(B214)-ROW($B$133)&amp;"][TypeOfIssue]",Submission!$O:$O,Submission!$H:$N,""))</f>
        <v/>
      </c>
      <c r="F214" s="347"/>
      <c r="G214" s="105" t="str">
        <f>_xlfn.CONCAT(_xlfn.XLOOKUP("[S06_InstallationsVerificationReportsIssueDetail]["&amp;1+ROW(B214)-ROW($B$133)&amp;"][NumberOfInstallations]",Submission!$O:$O,Submission!$H:$N,""))</f>
        <v/>
      </c>
      <c r="H214" s="108" t="str">
        <f>_xlfn.CONCAT(_xlfn.XLOOKUP("[S06_InstallationsVerificationReportsIssueDetail]["&amp;1+ROW(B214)-ROW($B$133)&amp;"][NumberOfIssues]",Submission!$O:$O,Submission!$H:$N,""))</f>
        <v/>
      </c>
      <c r="I214" s="183" t="str">
        <f>_xlfn.CONCAT(_xlfn.XLOOKUP("[S06_InstallationsVerificationReportsIssueDetail]["&amp;1+ROW(B214)-ROW($B$133)&amp;"][ShareOfReportsConservativeEstimate]",Submission!$O:$O,Submission!$H:$N,""))</f>
        <v/>
      </c>
    </row>
    <row r="215" spans="1:9" ht="26.4" hidden="1" customHeight="1" outlineLevel="1" x14ac:dyDescent="0.3">
      <c r="A215" s="13"/>
      <c r="C215" s="281" t="str">
        <f>_xlfn.CONCAT(_xlfn.XLOOKUP("[S06_InstallationsVerificationReportsIssueDetail]["&amp;1+ROW(B215)-ROW($B$133)&amp;"][AnnexIActivity]",Submission!$O:$O,Submission!$H:$N,""))</f>
        <v/>
      </c>
      <c r="D215" s="347"/>
      <c r="E215" s="281" t="str">
        <f>_xlfn.CONCAT(_xlfn.XLOOKUP("[S06_InstallationsVerificationReportsIssueDetail]["&amp;1+ROW(B215)-ROW($B$133)&amp;"][TypeOfIssue]",Submission!$O:$O,Submission!$H:$N,""))</f>
        <v/>
      </c>
      <c r="F215" s="347"/>
      <c r="G215" s="105" t="str">
        <f>_xlfn.CONCAT(_xlfn.XLOOKUP("[S06_InstallationsVerificationReportsIssueDetail]["&amp;1+ROW(B215)-ROW($B$133)&amp;"][NumberOfInstallations]",Submission!$O:$O,Submission!$H:$N,""))</f>
        <v/>
      </c>
      <c r="H215" s="108" t="str">
        <f>_xlfn.CONCAT(_xlfn.XLOOKUP("[S06_InstallationsVerificationReportsIssueDetail]["&amp;1+ROW(B215)-ROW($B$133)&amp;"][NumberOfIssues]",Submission!$O:$O,Submission!$H:$N,""))</f>
        <v/>
      </c>
      <c r="I215" s="183" t="str">
        <f>_xlfn.CONCAT(_xlfn.XLOOKUP("[S06_InstallationsVerificationReportsIssueDetail]["&amp;1+ROW(B215)-ROW($B$133)&amp;"][ShareOfReportsConservativeEstimate]",Submission!$O:$O,Submission!$H:$N,""))</f>
        <v/>
      </c>
    </row>
    <row r="216" spans="1:9" ht="26.4" hidden="1" customHeight="1" outlineLevel="1" x14ac:dyDescent="0.3">
      <c r="A216" s="13"/>
      <c r="C216" s="281" t="str">
        <f>_xlfn.CONCAT(_xlfn.XLOOKUP("[S06_InstallationsVerificationReportsIssueDetail]["&amp;1+ROW(B216)-ROW($B$133)&amp;"][AnnexIActivity]",Submission!$O:$O,Submission!$H:$N,""))</f>
        <v/>
      </c>
      <c r="D216" s="347"/>
      <c r="E216" s="281" t="str">
        <f>_xlfn.CONCAT(_xlfn.XLOOKUP("[S06_InstallationsVerificationReportsIssueDetail]["&amp;1+ROW(B216)-ROW($B$133)&amp;"][TypeOfIssue]",Submission!$O:$O,Submission!$H:$N,""))</f>
        <v/>
      </c>
      <c r="F216" s="347"/>
      <c r="G216" s="105" t="str">
        <f>_xlfn.CONCAT(_xlfn.XLOOKUP("[S06_InstallationsVerificationReportsIssueDetail]["&amp;1+ROW(B216)-ROW($B$133)&amp;"][NumberOfInstallations]",Submission!$O:$O,Submission!$H:$N,""))</f>
        <v/>
      </c>
      <c r="H216" s="108" t="str">
        <f>_xlfn.CONCAT(_xlfn.XLOOKUP("[S06_InstallationsVerificationReportsIssueDetail]["&amp;1+ROW(B216)-ROW($B$133)&amp;"][NumberOfIssues]",Submission!$O:$O,Submission!$H:$N,""))</f>
        <v/>
      </c>
      <c r="I216" s="183" t="str">
        <f>_xlfn.CONCAT(_xlfn.XLOOKUP("[S06_InstallationsVerificationReportsIssueDetail]["&amp;1+ROW(B216)-ROW($B$133)&amp;"][ShareOfReportsConservativeEstimate]",Submission!$O:$O,Submission!$H:$N,""))</f>
        <v/>
      </c>
    </row>
    <row r="217" spans="1:9" ht="26.4" hidden="1" customHeight="1" outlineLevel="1" x14ac:dyDescent="0.3">
      <c r="A217" s="13"/>
      <c r="C217" s="281" t="str">
        <f>_xlfn.CONCAT(_xlfn.XLOOKUP("[S06_InstallationsVerificationReportsIssueDetail]["&amp;1+ROW(B217)-ROW($B$133)&amp;"][AnnexIActivity]",Submission!$O:$O,Submission!$H:$N,""))</f>
        <v/>
      </c>
      <c r="D217" s="347"/>
      <c r="E217" s="281" t="str">
        <f>_xlfn.CONCAT(_xlfn.XLOOKUP("[S06_InstallationsVerificationReportsIssueDetail]["&amp;1+ROW(B217)-ROW($B$133)&amp;"][TypeOfIssue]",Submission!$O:$O,Submission!$H:$N,""))</f>
        <v/>
      </c>
      <c r="F217" s="347"/>
      <c r="G217" s="105" t="str">
        <f>_xlfn.CONCAT(_xlfn.XLOOKUP("[S06_InstallationsVerificationReportsIssueDetail]["&amp;1+ROW(B217)-ROW($B$133)&amp;"][NumberOfInstallations]",Submission!$O:$O,Submission!$H:$N,""))</f>
        <v/>
      </c>
      <c r="H217" s="108" t="str">
        <f>_xlfn.CONCAT(_xlfn.XLOOKUP("[S06_InstallationsVerificationReportsIssueDetail]["&amp;1+ROW(B217)-ROW($B$133)&amp;"][NumberOfIssues]",Submission!$O:$O,Submission!$H:$N,""))</f>
        <v/>
      </c>
      <c r="I217" s="183" t="str">
        <f>_xlfn.CONCAT(_xlfn.XLOOKUP("[S06_InstallationsVerificationReportsIssueDetail]["&amp;1+ROW(B217)-ROW($B$133)&amp;"][ShareOfReportsConservativeEstimate]",Submission!$O:$O,Submission!$H:$N,""))</f>
        <v/>
      </c>
    </row>
    <row r="218" spans="1:9" ht="26.4" hidden="1" customHeight="1" outlineLevel="1" x14ac:dyDescent="0.3">
      <c r="A218" s="13"/>
      <c r="C218" s="281" t="str">
        <f>_xlfn.CONCAT(_xlfn.XLOOKUP("[S06_InstallationsVerificationReportsIssueDetail]["&amp;1+ROW(B218)-ROW($B$133)&amp;"][AnnexIActivity]",Submission!$O:$O,Submission!$H:$N,""))</f>
        <v/>
      </c>
      <c r="D218" s="347"/>
      <c r="E218" s="281" t="str">
        <f>_xlfn.CONCAT(_xlfn.XLOOKUP("[S06_InstallationsVerificationReportsIssueDetail]["&amp;1+ROW(B218)-ROW($B$133)&amp;"][TypeOfIssue]",Submission!$O:$O,Submission!$H:$N,""))</f>
        <v/>
      </c>
      <c r="F218" s="347"/>
      <c r="G218" s="105" t="str">
        <f>_xlfn.CONCAT(_xlfn.XLOOKUP("[S06_InstallationsVerificationReportsIssueDetail]["&amp;1+ROW(B218)-ROW($B$133)&amp;"][NumberOfInstallations]",Submission!$O:$O,Submission!$H:$N,""))</f>
        <v/>
      </c>
      <c r="H218" s="108" t="str">
        <f>_xlfn.CONCAT(_xlfn.XLOOKUP("[S06_InstallationsVerificationReportsIssueDetail]["&amp;1+ROW(B218)-ROW($B$133)&amp;"][NumberOfIssues]",Submission!$O:$O,Submission!$H:$N,""))</f>
        <v/>
      </c>
      <c r="I218" s="183" t="str">
        <f>_xlfn.CONCAT(_xlfn.XLOOKUP("[S06_InstallationsVerificationReportsIssueDetail]["&amp;1+ROW(B218)-ROW($B$133)&amp;"][ShareOfReportsConservativeEstimate]",Submission!$O:$O,Submission!$H:$N,""))</f>
        <v/>
      </c>
    </row>
    <row r="219" spans="1:9" ht="26.4" hidden="1" customHeight="1" outlineLevel="1" x14ac:dyDescent="0.3">
      <c r="A219" s="13"/>
      <c r="C219" s="281" t="str">
        <f>_xlfn.CONCAT(_xlfn.XLOOKUP("[S06_InstallationsVerificationReportsIssueDetail]["&amp;1+ROW(B219)-ROW($B$133)&amp;"][AnnexIActivity]",Submission!$O:$O,Submission!$H:$N,""))</f>
        <v/>
      </c>
      <c r="D219" s="347"/>
      <c r="E219" s="281" t="str">
        <f>_xlfn.CONCAT(_xlfn.XLOOKUP("[S06_InstallationsVerificationReportsIssueDetail]["&amp;1+ROW(B219)-ROW($B$133)&amp;"][TypeOfIssue]",Submission!$O:$O,Submission!$H:$N,""))</f>
        <v/>
      </c>
      <c r="F219" s="347"/>
      <c r="G219" s="105" t="str">
        <f>_xlfn.CONCAT(_xlfn.XLOOKUP("[S06_InstallationsVerificationReportsIssueDetail]["&amp;1+ROW(B219)-ROW($B$133)&amp;"][NumberOfInstallations]",Submission!$O:$O,Submission!$H:$N,""))</f>
        <v/>
      </c>
      <c r="H219" s="108" t="str">
        <f>_xlfn.CONCAT(_xlfn.XLOOKUP("[S06_InstallationsVerificationReportsIssueDetail]["&amp;1+ROW(B219)-ROW($B$133)&amp;"][NumberOfIssues]",Submission!$O:$O,Submission!$H:$N,""))</f>
        <v/>
      </c>
      <c r="I219" s="183" t="str">
        <f>_xlfn.CONCAT(_xlfn.XLOOKUP("[S06_InstallationsVerificationReportsIssueDetail]["&amp;1+ROW(B219)-ROW($B$133)&amp;"][ShareOfReportsConservativeEstimate]",Submission!$O:$O,Submission!$H:$N,""))</f>
        <v/>
      </c>
    </row>
    <row r="220" spans="1:9" ht="26.4" hidden="1" customHeight="1" outlineLevel="1" x14ac:dyDescent="0.3">
      <c r="A220" s="13"/>
      <c r="C220" s="281" t="str">
        <f>_xlfn.CONCAT(_xlfn.XLOOKUP("[S06_InstallationsVerificationReportsIssueDetail]["&amp;1+ROW(B220)-ROW($B$133)&amp;"][AnnexIActivity]",Submission!$O:$O,Submission!$H:$N,""))</f>
        <v/>
      </c>
      <c r="D220" s="347"/>
      <c r="E220" s="281" t="str">
        <f>_xlfn.CONCAT(_xlfn.XLOOKUP("[S06_InstallationsVerificationReportsIssueDetail]["&amp;1+ROW(B220)-ROW($B$133)&amp;"][TypeOfIssue]",Submission!$O:$O,Submission!$H:$N,""))</f>
        <v/>
      </c>
      <c r="F220" s="347"/>
      <c r="G220" s="105" t="str">
        <f>_xlfn.CONCAT(_xlfn.XLOOKUP("[S06_InstallationsVerificationReportsIssueDetail]["&amp;1+ROW(B220)-ROW($B$133)&amp;"][NumberOfInstallations]",Submission!$O:$O,Submission!$H:$N,""))</f>
        <v/>
      </c>
      <c r="H220" s="108" t="str">
        <f>_xlfn.CONCAT(_xlfn.XLOOKUP("[S06_InstallationsVerificationReportsIssueDetail]["&amp;1+ROW(B220)-ROW($B$133)&amp;"][NumberOfIssues]",Submission!$O:$O,Submission!$H:$N,""))</f>
        <v/>
      </c>
      <c r="I220" s="183" t="str">
        <f>_xlfn.CONCAT(_xlfn.XLOOKUP("[S06_InstallationsVerificationReportsIssueDetail]["&amp;1+ROW(B220)-ROW($B$133)&amp;"][ShareOfReportsConservativeEstimate]",Submission!$O:$O,Submission!$H:$N,""))</f>
        <v/>
      </c>
    </row>
    <row r="221" spans="1:9" ht="26.4" hidden="1" customHeight="1" outlineLevel="1" x14ac:dyDescent="0.3">
      <c r="A221" s="13"/>
      <c r="C221" s="281" t="str">
        <f>_xlfn.CONCAT(_xlfn.XLOOKUP("[S06_InstallationsVerificationReportsIssueDetail]["&amp;1+ROW(B221)-ROW($B$133)&amp;"][AnnexIActivity]",Submission!$O:$O,Submission!$H:$N,""))</f>
        <v/>
      </c>
      <c r="D221" s="347"/>
      <c r="E221" s="281" t="str">
        <f>_xlfn.CONCAT(_xlfn.XLOOKUP("[S06_InstallationsVerificationReportsIssueDetail]["&amp;1+ROW(B221)-ROW($B$133)&amp;"][TypeOfIssue]",Submission!$O:$O,Submission!$H:$N,""))</f>
        <v/>
      </c>
      <c r="F221" s="347"/>
      <c r="G221" s="105" t="str">
        <f>_xlfn.CONCAT(_xlfn.XLOOKUP("[S06_InstallationsVerificationReportsIssueDetail]["&amp;1+ROW(B221)-ROW($B$133)&amp;"][NumberOfInstallations]",Submission!$O:$O,Submission!$H:$N,""))</f>
        <v/>
      </c>
      <c r="H221" s="108" t="str">
        <f>_xlfn.CONCAT(_xlfn.XLOOKUP("[S06_InstallationsVerificationReportsIssueDetail]["&amp;1+ROW(B221)-ROW($B$133)&amp;"][NumberOfIssues]",Submission!$O:$O,Submission!$H:$N,""))</f>
        <v/>
      </c>
      <c r="I221" s="183" t="str">
        <f>_xlfn.CONCAT(_xlfn.XLOOKUP("[S06_InstallationsVerificationReportsIssueDetail]["&amp;1+ROW(B221)-ROW($B$133)&amp;"][ShareOfReportsConservativeEstimate]",Submission!$O:$O,Submission!$H:$N,""))</f>
        <v/>
      </c>
    </row>
    <row r="222" spans="1:9" ht="26.4" hidden="1" customHeight="1" outlineLevel="1" x14ac:dyDescent="0.3">
      <c r="A222" s="13"/>
      <c r="C222" s="281" t="str">
        <f>_xlfn.CONCAT(_xlfn.XLOOKUP("[S06_InstallationsVerificationReportsIssueDetail]["&amp;1+ROW(B222)-ROW($B$133)&amp;"][AnnexIActivity]",Submission!$O:$O,Submission!$H:$N,""))</f>
        <v/>
      </c>
      <c r="D222" s="347"/>
      <c r="E222" s="281" t="str">
        <f>_xlfn.CONCAT(_xlfn.XLOOKUP("[S06_InstallationsVerificationReportsIssueDetail]["&amp;1+ROW(B222)-ROW($B$133)&amp;"][TypeOfIssue]",Submission!$O:$O,Submission!$H:$N,""))</f>
        <v/>
      </c>
      <c r="F222" s="347"/>
      <c r="G222" s="105" t="str">
        <f>_xlfn.CONCAT(_xlfn.XLOOKUP("[S06_InstallationsVerificationReportsIssueDetail]["&amp;1+ROW(B222)-ROW($B$133)&amp;"][NumberOfInstallations]",Submission!$O:$O,Submission!$H:$N,""))</f>
        <v/>
      </c>
      <c r="H222" s="108" t="str">
        <f>_xlfn.CONCAT(_xlfn.XLOOKUP("[S06_InstallationsVerificationReportsIssueDetail]["&amp;1+ROW(B222)-ROW($B$133)&amp;"][NumberOfIssues]",Submission!$O:$O,Submission!$H:$N,""))</f>
        <v/>
      </c>
      <c r="I222" s="183" t="str">
        <f>_xlfn.CONCAT(_xlfn.XLOOKUP("[S06_InstallationsVerificationReportsIssueDetail]["&amp;1+ROW(B222)-ROW($B$133)&amp;"][ShareOfReportsConservativeEstimate]",Submission!$O:$O,Submission!$H:$N,""))</f>
        <v/>
      </c>
    </row>
    <row r="223" spans="1:9" ht="15.9" customHeight="1" collapsed="1" x14ac:dyDescent="0.3">
      <c r="A223" s="13"/>
      <c r="B223" s="26" t="s">
        <v>1000</v>
      </c>
      <c r="C223" s="19"/>
      <c r="D223" s="20"/>
      <c r="E223" s="20"/>
      <c r="F223" s="20"/>
      <c r="G223" s="20"/>
      <c r="H223" s="20"/>
      <c r="I223" s="20"/>
    </row>
    <row r="224" spans="1:9" ht="27" customHeight="1" x14ac:dyDescent="0.3">
      <c r="A224" s="13"/>
      <c r="C224" s="248" t="s">
        <v>1048</v>
      </c>
      <c r="D224" s="249"/>
      <c r="E224" s="249"/>
      <c r="F224" s="249"/>
      <c r="G224" s="249"/>
      <c r="H224" s="249"/>
      <c r="I224" s="249"/>
    </row>
    <row r="225" spans="1:9" ht="15.9" customHeight="1" x14ac:dyDescent="0.3">
      <c r="A225" s="13"/>
    </row>
    <row r="226" spans="1:9" ht="15.9" customHeight="1" x14ac:dyDescent="0.3">
      <c r="A226" s="12" t="s">
        <v>382</v>
      </c>
      <c r="B226" s="293" t="s">
        <v>1049</v>
      </c>
      <c r="C226" s="294"/>
      <c r="D226" s="294"/>
      <c r="E226" s="294"/>
      <c r="F226" s="294"/>
      <c r="G226" s="294"/>
      <c r="H226" s="295"/>
      <c r="I226" s="41" t="str">
        <f>_xlfn.CONCAT(_xlfn.XLOOKUP("[InstallationsVerificationReportChecks][0][InstallationsVerificationReportChecks]",Submission!$O:$O,Submission!$H:$N,""))</f>
        <v>Yes</v>
      </c>
    </row>
    <row r="227" spans="1:9" ht="18" customHeight="1" x14ac:dyDescent="0.3">
      <c r="A227" s="12"/>
      <c r="B227" s="271" t="s">
        <v>1050</v>
      </c>
      <c r="C227" s="272"/>
      <c r="D227" s="272"/>
      <c r="E227" s="272"/>
      <c r="F227" s="272"/>
      <c r="G227" s="272"/>
      <c r="H227" s="272"/>
      <c r="I227" s="272"/>
    </row>
    <row r="228" spans="1:9" ht="15.9" customHeight="1" x14ac:dyDescent="0.3">
      <c r="C228" s="315" t="s">
        <v>1051</v>
      </c>
      <c r="D228" s="379"/>
      <c r="E228" s="379"/>
      <c r="F228" s="379"/>
      <c r="G228" s="379"/>
      <c r="H228" s="379"/>
      <c r="I228" s="336"/>
    </row>
    <row r="229" spans="1:9" s="58" customFormat="1" ht="27.6" customHeight="1" x14ac:dyDescent="0.3">
      <c r="A229" s="75"/>
      <c r="C229" s="246" t="s">
        <v>1052</v>
      </c>
      <c r="D229" s="283"/>
      <c r="E229" s="283"/>
      <c r="F229" s="239"/>
      <c r="G229" s="133" t="str">
        <f>_xlfn.CONCAT(_xlfn.XLOOKUP("[S06_InstallationsVerificationReportChecksDetail1][1][PercentageShare]",Submission!$O:$O,Submission!$H:$N,""))</f>
        <v>1</v>
      </c>
      <c r="H229" s="440"/>
      <c r="I229" s="441"/>
    </row>
    <row r="230" spans="1:9" s="58" customFormat="1" ht="27.6" customHeight="1" x14ac:dyDescent="0.3">
      <c r="C230" s="246" t="s">
        <v>1053</v>
      </c>
      <c r="D230" s="283"/>
      <c r="E230" s="283"/>
      <c r="F230" s="239"/>
      <c r="G230" s="133" t="str">
        <f>_xlfn.CONCAT(_xlfn.XLOOKUP("[S06_InstallationsVerificationReportChecksDetail1][2][PercentageShare]",Submission!$O:$O,Submission!$H:$N,""))</f>
        <v>1</v>
      </c>
      <c r="H230" s="440"/>
      <c r="I230" s="441"/>
    </row>
    <row r="231" spans="1:9" s="58" customFormat="1" ht="27.6" customHeight="1" x14ac:dyDescent="0.3">
      <c r="C231" s="246" t="s">
        <v>1054</v>
      </c>
      <c r="D231" s="283"/>
      <c r="E231" s="283"/>
      <c r="F231" s="239"/>
      <c r="G231" s="133" t="str">
        <f>_xlfn.CONCAT(_xlfn.XLOOKUP("[S06_InstallationsVerificationReportChecksDetail1][3][PercentageShare]",Submission!$O:$O,Submission!$H:$N,""))</f>
        <v>0</v>
      </c>
      <c r="H231" s="440"/>
      <c r="I231" s="441"/>
    </row>
    <row r="232" spans="1:9" s="58" customFormat="1" ht="27.6" customHeight="1" x14ac:dyDescent="0.3">
      <c r="C232" s="246" t="s">
        <v>1055</v>
      </c>
      <c r="D232" s="283"/>
      <c r="E232" s="283"/>
      <c r="F232" s="239"/>
      <c r="G232" s="133" t="str">
        <f>_xlfn.CONCAT(_xlfn.XLOOKUP("[S06_InstallationsVerificationReportChecksDetail1][4][PercentageShare]",Submission!$O:$O,Submission!$H:$N,""))</f>
        <v>1</v>
      </c>
      <c r="H232" s="251" t="str">
        <f>_xlfn.CONCAT(_xlfn.XLOOKUP("[S06_InstallationsVerificationReportChecksDetail1][4][FurtherInformation]",Submission!$O:$O,Submission!$H:$N,""))</f>
        <v>Cross-checks with annual emissions reports for previous years in the 3rd trading period, and comparisons with historical emissions data.</v>
      </c>
      <c r="I232" s="252"/>
    </row>
    <row r="233" spans="1:9" s="58" customFormat="1" ht="57.6" customHeight="1" x14ac:dyDescent="0.3">
      <c r="C233" s="246" t="s">
        <v>1056</v>
      </c>
      <c r="D233" s="283"/>
      <c r="E233" s="283"/>
      <c r="F233" s="239"/>
      <c r="G233" s="133" t="str">
        <f>_xlfn.CONCAT(_xlfn.XLOOKUP("[S06_InstallationsVerificationReportChecksDetail1][5][PercentageShare]",Submission!$O:$O,Submission!$H:$N,""))</f>
        <v>1</v>
      </c>
      <c r="H233" s="129" t="str">
        <f>_xlfn.CONCAT(_xlfn.XLOOKUP("[S06_InstallationsVerificationReportChecksDetail1][5][SelectingCriteria]",Submission!$O:$O,Submission!$H:$N,""))</f>
        <v/>
      </c>
      <c r="I233" s="130" t="str">
        <f>_xlfn.CONCAT(_xlfn.XLOOKUP("[S06_InstallationsVerificationReportChecksDetail1][5][FurtherInformation]",Submission!$O:$O,Submission!$H:$N,""))</f>
        <v/>
      </c>
    </row>
    <row r="234" spans="1:9" s="58" customFormat="1" ht="27.6" customHeight="1" x14ac:dyDescent="0.3">
      <c r="C234" s="246" t="s">
        <v>1057</v>
      </c>
      <c r="D234" s="283"/>
      <c r="E234" s="283"/>
      <c r="F234" s="239"/>
      <c r="G234" s="135" t="str">
        <f>_xlfn.CONCAT(_xlfn.XLOOKUP("[S06_InstallationsVerificationReportChecksDetail2][1][NumberOfReports]",Submission!$O:$O,Submission!$H:$N,""))</f>
        <v>0</v>
      </c>
      <c r="H234" s="440"/>
      <c r="I234" s="441"/>
    </row>
    <row r="235" spans="1:9" s="58" customFormat="1" ht="27.6" customHeight="1" x14ac:dyDescent="0.3">
      <c r="C235" s="246" t="s">
        <v>1058</v>
      </c>
      <c r="D235" s="283"/>
      <c r="E235" s="283"/>
      <c r="F235" s="239"/>
      <c r="G235" s="135" t="str">
        <f>_xlfn.CONCAT(_xlfn.XLOOKUP("[S06_InstallationsVerificationReportChecksDetail2][2][NumberOfReports]",Submission!$O:$O,Submission!$H:$N,""))</f>
        <v>0</v>
      </c>
      <c r="H235" s="251" t="str">
        <f>_xlfn.CONCAT(_xlfn.XLOOKUP("[S06_InstallationsVerificationReportChecksDetail2][2][FurtherInformation]",Submission!$O:$O,Submission!$H:$N,""))</f>
        <v/>
      </c>
      <c r="I235" s="252"/>
    </row>
    <row r="236" spans="1:9" s="58" customFormat="1" ht="27.6" customHeight="1" x14ac:dyDescent="0.3">
      <c r="C236" s="246" t="s">
        <v>1059</v>
      </c>
      <c r="D236" s="283"/>
      <c r="E236" s="283"/>
      <c r="F236" s="239"/>
      <c r="G236" s="284" t="str">
        <f>_xlfn.CONCAT(_xlfn.XLOOKUP("[S06_InstallationsVerificationReportChecksDetail3][1][ActionsTaken]",Submission!$O:$O,Submission!$H:$N,""))</f>
        <v>NA</v>
      </c>
      <c r="H236" s="348"/>
      <c r="I236" s="285"/>
    </row>
    <row r="237" spans="1:9" s="58" customFormat="1" ht="27.6" customHeight="1" x14ac:dyDescent="0.3">
      <c r="C237" s="246" t="s">
        <v>1060</v>
      </c>
      <c r="D237" s="283"/>
      <c r="E237" s="283"/>
      <c r="F237" s="239"/>
      <c r="G237" s="284" t="str">
        <f>_xlfn.CONCAT(_xlfn.XLOOKUP("[S06_InstallationsVerificationReportChecksDetail3][2][ActionsTaken]",Submission!$O:$O,Submission!$H:$N,""))</f>
        <v>NA</v>
      </c>
      <c r="H237" s="348"/>
      <c r="I237" s="285"/>
    </row>
    <row r="238" spans="1:9" ht="15.9" customHeight="1" x14ac:dyDescent="0.3">
      <c r="A238" s="13"/>
      <c r="C238" s="395" t="s">
        <v>1061</v>
      </c>
      <c r="D238" s="396"/>
      <c r="E238" s="396"/>
      <c r="F238" s="396"/>
      <c r="G238" s="396"/>
      <c r="H238" s="396"/>
      <c r="I238" s="396"/>
    </row>
    <row r="239" spans="1:9" ht="15.9" customHeight="1" x14ac:dyDescent="0.3"/>
    <row r="240" spans="1:9" ht="17.100000000000001" customHeight="1" x14ac:dyDescent="0.3">
      <c r="A240" s="12" t="s">
        <v>387</v>
      </c>
      <c r="B240" s="293" t="s">
        <v>1062</v>
      </c>
      <c r="C240" s="294"/>
      <c r="D240" s="294"/>
      <c r="E240" s="294"/>
      <c r="F240" s="294"/>
      <c r="G240" s="294"/>
      <c r="H240" s="295"/>
      <c r="I240" s="41" t="str">
        <f>_xlfn.CONCAT(_xlfn.XLOOKUP("[InstallationVisitsWaivedHighEmitters][0][InstallationVisitsWaivedHighEmitters]",Submission!$O:$O,Submission!$H:$N,""))</f>
        <v>No</v>
      </c>
    </row>
    <row r="241" spans="1:9" ht="18.600000000000001" customHeight="1" x14ac:dyDescent="0.3">
      <c r="A241" s="12"/>
      <c r="B241" s="271" t="s">
        <v>1063</v>
      </c>
      <c r="C241" s="272"/>
      <c r="D241" s="272"/>
      <c r="E241" s="272"/>
      <c r="F241" s="272"/>
      <c r="G241" s="272"/>
      <c r="H241" s="272"/>
      <c r="I241" s="272"/>
    </row>
    <row r="242" spans="1:9" ht="32.4" customHeight="1" x14ac:dyDescent="0.3">
      <c r="C242" s="303" t="s">
        <v>1064</v>
      </c>
      <c r="D242" s="305"/>
      <c r="E242" s="303" t="s">
        <v>879</v>
      </c>
      <c r="F242" s="330"/>
      <c r="G242" s="309"/>
      <c r="H242" s="303" t="s">
        <v>1045</v>
      </c>
      <c r="I242" s="309"/>
    </row>
    <row r="243" spans="1:9" ht="15.9" customHeight="1" x14ac:dyDescent="0.3">
      <c r="C243" s="412" t="str">
        <f>_xlfn.CONCAT(_xlfn.XLOOKUP("[S06_InstallationsVisitsWaivedHighEmittersDetail][1][ConditionForWaiving]",Submission!$O:$O,Submission!$H:$N,""))</f>
        <v/>
      </c>
      <c r="D243" s="414"/>
      <c r="E243" s="281" t="str">
        <f>_xlfn.CONCAT(_xlfn.XLOOKUP("[S06_InstallationsVisitsWaivedHighEmittersDetail][1][AnnexIActivity]",Submission!$O:$O,Submission!$H:$N,""))</f>
        <v/>
      </c>
      <c r="F243" s="348"/>
      <c r="G243" s="285"/>
      <c r="H243" s="322" t="str">
        <f>_xlfn.CONCAT(_xlfn.XLOOKUP("[S06_InstallationsVisitsWaivedHighEmittersDetail][1][NumberOfInstallations]",Submission!$O:$O,Submission!$H:$N,""))</f>
        <v/>
      </c>
      <c r="I243" s="324"/>
    </row>
    <row r="244" spans="1:9" ht="15.9" customHeight="1" x14ac:dyDescent="0.3">
      <c r="A244" s="13"/>
      <c r="C244" s="412" t="str">
        <f>_xlfn.CONCAT(_xlfn.XLOOKUP("[S06_InstallationsVisitsWaivedHighEmittersDetail][2][ConditionForWaiving]",Submission!$O:$O,Submission!$H:$N,""))</f>
        <v/>
      </c>
      <c r="D244" s="414"/>
      <c r="E244" s="281" t="str">
        <f>_xlfn.CONCAT(_xlfn.XLOOKUP("[S06_InstallationsVisitsWaivedHighEmittersDetail][2][AnnexIActivity]",Submission!$O:$O,Submission!$H:$N,""))</f>
        <v/>
      </c>
      <c r="F244" s="348"/>
      <c r="G244" s="285"/>
      <c r="H244" s="322" t="str">
        <f>_xlfn.CONCAT(_xlfn.XLOOKUP("[S06_InstallationsVisitsWaivedHighEmittersDetail][2][NumberOfInstallations]",Submission!$O:$O,Submission!$H:$N,""))</f>
        <v/>
      </c>
      <c r="I244" s="324"/>
    </row>
    <row r="245" spans="1:9" ht="15.9" customHeight="1" x14ac:dyDescent="0.3">
      <c r="A245" s="13"/>
      <c r="C245" s="412" t="str">
        <f>_xlfn.CONCAT(_xlfn.XLOOKUP("[S06_InstallationsVisitsWaivedHighEmittersDetail][3][ConditionForWaiving]",Submission!$O:$O,Submission!$H:$N,""))</f>
        <v/>
      </c>
      <c r="D245" s="414"/>
      <c r="E245" s="281" t="str">
        <f>_xlfn.CONCAT(_xlfn.XLOOKUP("[S06_InstallationsVisitsWaivedHighEmittersDetail][3][AnnexIActivity]",Submission!$O:$O,Submission!$H:$N,""))</f>
        <v/>
      </c>
      <c r="F245" s="348"/>
      <c r="G245" s="285"/>
      <c r="H245" s="432" t="str">
        <f>_xlfn.CONCAT(_xlfn.XLOOKUP("[S06_InstallationsVisitsWaivedHighEmittersDetail][3][NumberOfInstallations]",Submission!$O:$O,Submission!$H:$N,""))</f>
        <v/>
      </c>
      <c r="I245" s="433"/>
    </row>
    <row r="246" spans="1:9" ht="15.9" customHeight="1" x14ac:dyDescent="0.3">
      <c r="A246" s="13"/>
      <c r="C246" s="412" t="str">
        <f>_xlfn.CONCAT(_xlfn.XLOOKUP("[S06_InstallationsVisitsWaivedHighEmittersDetail][4][ConditionForWaiving]",Submission!$O:$O,Submission!$H:$N,""))</f>
        <v/>
      </c>
      <c r="D246" s="414"/>
      <c r="E246" s="281" t="str">
        <f>_xlfn.CONCAT(_xlfn.XLOOKUP("[S06_InstallationsVisitsWaivedHighEmittersDetail][4][AnnexIActivity]",Submission!$O:$O,Submission!$H:$N,""))</f>
        <v/>
      </c>
      <c r="F246" s="348"/>
      <c r="G246" s="285"/>
      <c r="H246" s="322" t="str">
        <f>_xlfn.CONCAT(_xlfn.XLOOKUP("[S06_InstallationsVisitsWaivedHighEmittersDetail][4][NumberOfInstallations]",Submission!$O:$O,Submission!$H:$N,""))</f>
        <v/>
      </c>
      <c r="I246" s="324"/>
    </row>
    <row r="247" spans="1:9" ht="15.9" hidden="1" customHeight="1" outlineLevel="1" x14ac:dyDescent="0.3">
      <c r="A247" s="13"/>
      <c r="C247" s="412" t="str">
        <f>_xlfn.CONCAT(_xlfn.XLOOKUP("[S06_InstallationsVisitsWaivedHighEmittersDetail][5][ConditionForWaiving]",Submission!$O:$O,Submission!$H:$N,""))</f>
        <v/>
      </c>
      <c r="D247" s="414"/>
      <c r="E247" s="281" t="str">
        <f>_xlfn.CONCAT(_xlfn.XLOOKUP("[S06_InstallationsVisitsWaivedHighEmittersDetail][5][AnnexIActivity]",Submission!$O:$O,Submission!$H:$N,""))</f>
        <v/>
      </c>
      <c r="F247" s="348"/>
      <c r="G247" s="285"/>
      <c r="H247" s="432" t="str">
        <f>_xlfn.CONCAT(_xlfn.XLOOKUP("[S06_InstallationsVisitsWaivedHighEmittersDetail][5][NumberOfInstallations]",Submission!$O:$O,Submission!$H:$N,""))</f>
        <v/>
      </c>
      <c r="I247" s="433"/>
    </row>
    <row r="248" spans="1:9" ht="15.9" hidden="1" customHeight="1" outlineLevel="1" x14ac:dyDescent="0.3">
      <c r="C248" s="412" t="str">
        <f>_xlfn.CONCAT(_xlfn.XLOOKUP("[S06_InstallationsVisitsWaivedHighEmittersDetail][6][ConditionForWaiving]",Submission!$O:$O,Submission!$H:$N,""))</f>
        <v/>
      </c>
      <c r="D248" s="414"/>
      <c r="E248" s="281" t="str">
        <f>_xlfn.CONCAT(_xlfn.XLOOKUP("[S06_InstallationsVisitsWaivedHighEmittersDetail][6][AnnexIActivity]",Submission!$O:$O,Submission!$H:$N,""))</f>
        <v/>
      </c>
      <c r="F248" s="348"/>
      <c r="G248" s="285"/>
      <c r="H248" s="322" t="str">
        <f>_xlfn.CONCAT(_xlfn.XLOOKUP("[S06_InstallationsVisitsWaivedHighEmittersDetail][6][NumberOfInstallations]",Submission!$O:$O,Submission!$H:$N,""))</f>
        <v/>
      </c>
      <c r="I248" s="324"/>
    </row>
    <row r="249" spans="1:9" ht="15.9" hidden="1" customHeight="1" outlineLevel="1" x14ac:dyDescent="0.3">
      <c r="A249" s="13"/>
      <c r="C249" s="412" t="str">
        <f>_xlfn.CONCAT(_xlfn.XLOOKUP("[S06_InstallationsVisitsWaivedHighEmittersDetail][7][ConditionForWaiving]",Submission!$O:$O,Submission!$H:$N,""))</f>
        <v/>
      </c>
      <c r="D249" s="414"/>
      <c r="E249" s="281" t="str">
        <f>_xlfn.CONCAT(_xlfn.XLOOKUP("[S06_InstallationsVisitsWaivedHighEmittersDetail][7][AnnexIActivity]",Submission!$O:$O,Submission!$H:$N,""))</f>
        <v/>
      </c>
      <c r="F249" s="348"/>
      <c r="G249" s="285"/>
      <c r="H249" s="322" t="str">
        <f>_xlfn.CONCAT(_xlfn.XLOOKUP("[S06_InstallationsVisitsWaivedHighEmittersDetail][7][NumberOfInstallations]",Submission!$O:$O,Submission!$H:$N,""))</f>
        <v/>
      </c>
      <c r="I249" s="324"/>
    </row>
    <row r="250" spans="1:9" ht="15.9" hidden="1" customHeight="1" outlineLevel="1" x14ac:dyDescent="0.3">
      <c r="A250" s="13"/>
      <c r="C250" s="412" t="str">
        <f>_xlfn.CONCAT(_xlfn.XLOOKUP("[S06_InstallationsVisitsWaivedHighEmittersDetail][8][ConditionForWaiving]",Submission!$O:$O,Submission!$H:$N,""))</f>
        <v/>
      </c>
      <c r="D250" s="414"/>
      <c r="E250" s="281" t="str">
        <f>_xlfn.CONCAT(_xlfn.XLOOKUP("[S06_InstallationsVisitsWaivedHighEmittersDetail][8][AnnexIActivity]",Submission!$O:$O,Submission!$H:$N,""))</f>
        <v/>
      </c>
      <c r="F250" s="348"/>
      <c r="G250" s="285"/>
      <c r="H250" s="432" t="str">
        <f>_xlfn.CONCAT(_xlfn.XLOOKUP("[S06_InstallationsVisitsWaivedHighEmittersDetail][8][NumberOfInstallations]",Submission!$O:$O,Submission!$H:$N,""))</f>
        <v/>
      </c>
      <c r="I250" s="433"/>
    </row>
    <row r="251" spans="1:9" ht="15.9" hidden="1" customHeight="1" outlineLevel="1" x14ac:dyDescent="0.3">
      <c r="A251" s="13"/>
      <c r="C251" s="412" t="str">
        <f>_xlfn.CONCAT(_xlfn.XLOOKUP("[S06_InstallationsVisitsWaivedHighEmittersDetail][9][ConditionForWaiving]",Submission!$O:$O,Submission!$H:$N,""))</f>
        <v/>
      </c>
      <c r="D251" s="414"/>
      <c r="E251" s="281" t="str">
        <f>_xlfn.CONCAT(_xlfn.XLOOKUP("[S06_InstallationsVisitsWaivedHighEmittersDetail][9][AnnexIActivity]",Submission!$O:$O,Submission!$H:$N,""))</f>
        <v/>
      </c>
      <c r="F251" s="348"/>
      <c r="G251" s="285"/>
      <c r="H251" s="322" t="str">
        <f>_xlfn.CONCAT(_xlfn.XLOOKUP("[S06_InstallationsVisitsWaivedHighEmittersDetail][9][NumberOfInstallations]",Submission!$O:$O,Submission!$H:$N,""))</f>
        <v/>
      </c>
      <c r="I251" s="324"/>
    </row>
    <row r="252" spans="1:9" ht="15.9" hidden="1" customHeight="1" outlineLevel="1" x14ac:dyDescent="0.3">
      <c r="A252" s="13"/>
      <c r="C252" s="412" t="str">
        <f>_xlfn.CONCAT(_xlfn.XLOOKUP("[S06_InstallationsVisitsWaivedHighEmittersDetail][10][ConditionForWaiving]",Submission!$O:$O,Submission!$H:$N,""))</f>
        <v/>
      </c>
      <c r="D252" s="414"/>
      <c r="E252" s="281" t="str">
        <f>_xlfn.CONCAT(_xlfn.XLOOKUP("[S06_InstallationsVisitsWaivedHighEmittersDetail][10][AnnexIActivity]",Submission!$O:$O,Submission!$H:$N,""))</f>
        <v/>
      </c>
      <c r="F252" s="348"/>
      <c r="G252" s="285"/>
      <c r="H252" s="432" t="str">
        <f>_xlfn.CONCAT(_xlfn.XLOOKUP("[S06_InstallationsVisitsWaivedHighEmittersDetail][10][NumberOfInstallations]",Submission!$O:$O,Submission!$H:$N,""))</f>
        <v/>
      </c>
      <c r="I252" s="433"/>
    </row>
    <row r="253" spans="1:9" ht="15.9" hidden="1" customHeight="1" outlineLevel="1" x14ac:dyDescent="0.3">
      <c r="C253" s="412" t="str">
        <f>_xlfn.CONCAT(_xlfn.XLOOKUP("[S06_InstallationsVisitsWaivedHighEmittersDetail][11][ConditionForWaiving]",Submission!$O:$O,Submission!$H:$N,""))</f>
        <v/>
      </c>
      <c r="D253" s="414"/>
      <c r="E253" s="281" t="str">
        <f>_xlfn.CONCAT(_xlfn.XLOOKUP("[S06_InstallationsVisitsWaivedHighEmittersDetail][11][AnnexIActivity]",Submission!$O:$O,Submission!$H:$N,""))</f>
        <v/>
      </c>
      <c r="F253" s="348"/>
      <c r="G253" s="285"/>
      <c r="H253" s="322" t="str">
        <f>_xlfn.CONCAT(_xlfn.XLOOKUP("[S06_InstallationsVisitsWaivedHighEmittersDetail][11][NumberOfInstallations]",Submission!$O:$O,Submission!$H:$N,""))</f>
        <v/>
      </c>
      <c r="I253" s="324"/>
    </row>
    <row r="254" spans="1:9" ht="15.9" hidden="1" customHeight="1" outlineLevel="1" x14ac:dyDescent="0.3">
      <c r="A254" s="13"/>
      <c r="C254" s="412" t="str">
        <f>_xlfn.CONCAT(_xlfn.XLOOKUP("[S06_InstallationsVisitsWaivedHighEmittersDetail][12][ConditionForWaiving]",Submission!$O:$O,Submission!$H:$N,""))</f>
        <v/>
      </c>
      <c r="D254" s="414"/>
      <c r="E254" s="281" t="str">
        <f>_xlfn.CONCAT(_xlfn.XLOOKUP("[S06_InstallationsVisitsWaivedHighEmittersDetail][12][AnnexIActivity]",Submission!$O:$O,Submission!$H:$N,""))</f>
        <v/>
      </c>
      <c r="F254" s="348"/>
      <c r="G254" s="285"/>
      <c r="H254" s="322" t="str">
        <f>_xlfn.CONCAT(_xlfn.XLOOKUP("[S06_InstallationsVisitsWaivedHighEmittersDetail][12][NumberOfInstallations]",Submission!$O:$O,Submission!$H:$N,""))</f>
        <v/>
      </c>
      <c r="I254" s="324"/>
    </row>
    <row r="255" spans="1:9" ht="15.9" hidden="1" customHeight="1" outlineLevel="1" x14ac:dyDescent="0.3">
      <c r="A255" s="13"/>
      <c r="C255" s="412" t="str">
        <f>_xlfn.CONCAT(_xlfn.XLOOKUP("[S06_InstallationsVisitsWaivedHighEmittersDetail][13][ConditionForWaiving]",Submission!$O:$O,Submission!$H:$N,""))</f>
        <v/>
      </c>
      <c r="D255" s="414"/>
      <c r="E255" s="281" t="str">
        <f>_xlfn.CONCAT(_xlfn.XLOOKUP("[S06_InstallationsVisitsWaivedHighEmittersDetail][13][AnnexIActivity]",Submission!$O:$O,Submission!$H:$N,""))</f>
        <v/>
      </c>
      <c r="F255" s="348"/>
      <c r="G255" s="285"/>
      <c r="H255" s="432" t="str">
        <f>_xlfn.CONCAT(_xlfn.XLOOKUP("[S06_InstallationsVisitsWaivedHighEmittersDetail][13][NumberOfInstallations]",Submission!$O:$O,Submission!$H:$N,""))</f>
        <v/>
      </c>
      <c r="I255" s="433"/>
    </row>
    <row r="256" spans="1:9" ht="15.9" hidden="1" customHeight="1" outlineLevel="1" x14ac:dyDescent="0.3">
      <c r="A256" s="13"/>
      <c r="C256" s="412" t="str">
        <f>_xlfn.CONCAT(_xlfn.XLOOKUP("[S06_InstallationsVisitsWaivedHighEmittersDetail][14][ConditionForWaiving]",Submission!$O:$O,Submission!$H:$N,""))</f>
        <v/>
      </c>
      <c r="D256" s="414"/>
      <c r="E256" s="281" t="str">
        <f>_xlfn.CONCAT(_xlfn.XLOOKUP("[S06_InstallationsVisitsWaivedHighEmittersDetail][14][AnnexIActivity]",Submission!$O:$O,Submission!$H:$N,""))</f>
        <v/>
      </c>
      <c r="F256" s="348"/>
      <c r="G256" s="285"/>
      <c r="H256" s="322" t="str">
        <f>_xlfn.CONCAT(_xlfn.XLOOKUP("[S06_InstallationsVisitsWaivedHighEmittersDetail][14][NumberOfInstallations]",Submission!$O:$O,Submission!$H:$N,""))</f>
        <v/>
      </c>
      <c r="I256" s="324"/>
    </row>
    <row r="257" spans="1:9" ht="15.9" hidden="1" customHeight="1" outlineLevel="1" x14ac:dyDescent="0.3">
      <c r="A257" s="13"/>
      <c r="C257" s="412" t="str">
        <f>_xlfn.CONCAT(_xlfn.XLOOKUP("[S06_InstallationsVisitsWaivedHighEmittersDetail][15][ConditionForWaiving]",Submission!$O:$O,Submission!$H:$N,""))</f>
        <v/>
      </c>
      <c r="D257" s="414"/>
      <c r="E257" s="281" t="str">
        <f>_xlfn.CONCAT(_xlfn.XLOOKUP("[S06_InstallationsVisitsWaivedHighEmittersDetail][15][AnnexIActivity]",Submission!$O:$O,Submission!$H:$N,""))</f>
        <v/>
      </c>
      <c r="F257" s="348"/>
      <c r="G257" s="285"/>
      <c r="H257" s="432" t="str">
        <f>_xlfn.CONCAT(_xlfn.XLOOKUP("[S06_InstallationsVisitsWaivedHighEmittersDetail][15][NumberOfInstallations]",Submission!$O:$O,Submission!$H:$N,""))</f>
        <v/>
      </c>
      <c r="I257" s="433"/>
    </row>
    <row r="258" spans="1:9" ht="15.9" hidden="1" customHeight="1" outlineLevel="1" x14ac:dyDescent="0.3">
      <c r="C258" s="412" t="str">
        <f>_xlfn.CONCAT(_xlfn.XLOOKUP("[S06_InstallationsVisitsWaivedHighEmittersDetail][16][ConditionForWaiving]",Submission!$O:$O,Submission!$H:$N,""))</f>
        <v/>
      </c>
      <c r="D258" s="414"/>
      <c r="E258" s="281" t="str">
        <f>_xlfn.CONCAT(_xlfn.XLOOKUP("[S06_InstallationsVisitsWaivedHighEmittersDetail][16][AnnexIActivity]",Submission!$O:$O,Submission!$H:$N,""))</f>
        <v/>
      </c>
      <c r="F258" s="348"/>
      <c r="G258" s="285"/>
      <c r="H258" s="322" t="str">
        <f>_xlfn.CONCAT(_xlfn.XLOOKUP("[S06_InstallationsVisitsWaivedHighEmittersDetail][16][NumberOfInstallations]",Submission!$O:$O,Submission!$H:$N,""))</f>
        <v/>
      </c>
      <c r="I258" s="324"/>
    </row>
    <row r="259" spans="1:9" ht="15.9" hidden="1" customHeight="1" outlineLevel="1" x14ac:dyDescent="0.3">
      <c r="A259" s="13"/>
      <c r="C259" s="412" t="str">
        <f>_xlfn.CONCAT(_xlfn.XLOOKUP("[S06_InstallationsVisitsWaivedHighEmittersDetail][17][ConditionForWaiving]",Submission!$O:$O,Submission!$H:$N,""))</f>
        <v/>
      </c>
      <c r="D259" s="414"/>
      <c r="E259" s="281" t="str">
        <f>_xlfn.CONCAT(_xlfn.XLOOKUP("[S06_InstallationsVisitsWaivedHighEmittersDetail][17][AnnexIActivity]",Submission!$O:$O,Submission!$H:$N,""))</f>
        <v/>
      </c>
      <c r="F259" s="348"/>
      <c r="G259" s="285"/>
      <c r="H259" s="322" t="str">
        <f>_xlfn.CONCAT(_xlfn.XLOOKUP("[S06_InstallationsVisitsWaivedHighEmittersDetail][17][NumberOfInstallations]",Submission!$O:$O,Submission!$H:$N,""))</f>
        <v/>
      </c>
      <c r="I259" s="324"/>
    </row>
    <row r="260" spans="1:9" ht="15.9" hidden="1" customHeight="1" outlineLevel="1" x14ac:dyDescent="0.3">
      <c r="A260" s="13"/>
      <c r="C260" s="412" t="str">
        <f>_xlfn.CONCAT(_xlfn.XLOOKUP("[S06_InstallationsVisitsWaivedHighEmittersDetail][18][ConditionForWaiving]",Submission!$O:$O,Submission!$H:$N,""))</f>
        <v/>
      </c>
      <c r="D260" s="414"/>
      <c r="E260" s="281" t="str">
        <f>_xlfn.CONCAT(_xlfn.XLOOKUP("[S06_InstallationsVisitsWaivedHighEmittersDetail][18][AnnexIActivity]",Submission!$O:$O,Submission!$H:$N,""))</f>
        <v/>
      </c>
      <c r="F260" s="348"/>
      <c r="G260" s="285"/>
      <c r="H260" s="432" t="str">
        <f>_xlfn.CONCAT(_xlfn.XLOOKUP("[S06_InstallationsVisitsWaivedHighEmittersDetail][18][NumberOfInstallations]",Submission!$O:$O,Submission!$H:$N,""))</f>
        <v/>
      </c>
      <c r="I260" s="433"/>
    </row>
    <row r="261" spans="1:9" ht="15.9" hidden="1" customHeight="1" outlineLevel="1" x14ac:dyDescent="0.3">
      <c r="A261" s="13"/>
      <c r="C261" s="412" t="str">
        <f>_xlfn.CONCAT(_xlfn.XLOOKUP("[S06_InstallationsVisitsWaivedHighEmittersDetail][19][ConditionForWaiving]",Submission!$O:$O,Submission!$H:$N,""))</f>
        <v/>
      </c>
      <c r="D261" s="414"/>
      <c r="E261" s="281" t="str">
        <f>_xlfn.CONCAT(_xlfn.XLOOKUP("[S06_InstallationsVisitsWaivedHighEmittersDetail][19][AnnexIActivity]",Submission!$O:$O,Submission!$H:$N,""))</f>
        <v/>
      </c>
      <c r="F261" s="348"/>
      <c r="G261" s="285"/>
      <c r="H261" s="322" t="str">
        <f>_xlfn.CONCAT(_xlfn.XLOOKUP("[S06_InstallationsVisitsWaivedHighEmittersDetail][19][NumberOfInstallations]",Submission!$O:$O,Submission!$H:$N,""))</f>
        <v/>
      </c>
      <c r="I261" s="324"/>
    </row>
    <row r="262" spans="1:9" ht="15.9" hidden="1" customHeight="1" outlineLevel="1" x14ac:dyDescent="0.3">
      <c r="A262" s="13"/>
      <c r="C262" s="412" t="str">
        <f>_xlfn.CONCAT(_xlfn.XLOOKUP("[S06_InstallationsVisitsWaivedHighEmittersDetail][20][ConditionForWaiving]",Submission!$O:$O,Submission!$H:$N,""))</f>
        <v/>
      </c>
      <c r="D262" s="414"/>
      <c r="E262" s="281" t="str">
        <f>_xlfn.CONCAT(_xlfn.XLOOKUP("[S06_InstallationsVisitsWaivedHighEmittersDetail][20][AnnexIActivity]",Submission!$O:$O,Submission!$H:$N,""))</f>
        <v/>
      </c>
      <c r="F262" s="348"/>
      <c r="G262" s="285"/>
      <c r="H262" s="432" t="str">
        <f>_xlfn.CONCAT(_xlfn.XLOOKUP("[S06_InstallationsVisitsWaivedHighEmittersDetail][20][NumberOfInstallations]",Submission!$O:$O,Submission!$H:$N,""))</f>
        <v/>
      </c>
      <c r="I262" s="433"/>
    </row>
    <row r="263" spans="1:9" ht="15.9" customHeight="1" collapsed="1" x14ac:dyDescent="0.3">
      <c r="A263" s="13"/>
      <c r="B263" s="26" t="s">
        <v>1000</v>
      </c>
      <c r="C263" s="19"/>
      <c r="D263" s="11"/>
      <c r="E263" s="11"/>
      <c r="F263" s="11"/>
      <c r="G263" s="11"/>
      <c r="H263" s="11"/>
    </row>
    <row r="264" spans="1:9" ht="15.9" customHeight="1" x14ac:dyDescent="0.3">
      <c r="A264" s="13"/>
      <c r="C264" s="248" t="s">
        <v>1065</v>
      </c>
      <c r="D264" s="249"/>
      <c r="E264" s="249"/>
      <c r="F264" s="249"/>
      <c r="G264" s="249"/>
      <c r="H264" s="249"/>
      <c r="I264" s="249"/>
    </row>
    <row r="265" spans="1:9" ht="15.9" customHeight="1" x14ac:dyDescent="0.3">
      <c r="A265" s="13"/>
    </row>
    <row r="266" spans="1:9" ht="15.9" customHeight="1" x14ac:dyDescent="0.3">
      <c r="A266" s="13"/>
      <c r="B266" s="293" t="s">
        <v>1066</v>
      </c>
      <c r="C266" s="294"/>
      <c r="D266" s="294"/>
      <c r="E266" s="294"/>
      <c r="F266" s="294"/>
      <c r="G266" s="294"/>
      <c r="H266" s="295"/>
      <c r="I266" s="41" t="str">
        <f>_xlfn.CONCAT(_xlfn.XLOOKUP("[InstallationsVisitsWaivedLowEmitters][0][InstallationsVisitsWaivedLowEmitters]",Submission!$O:$O,Submission!$H:$N,""))</f>
        <v>No</v>
      </c>
    </row>
    <row r="267" spans="1:9" ht="18.600000000000001" customHeight="1" x14ac:dyDescent="0.3">
      <c r="B267" s="293" t="s">
        <v>1067</v>
      </c>
      <c r="C267" s="294"/>
      <c r="D267" s="294"/>
      <c r="E267" s="294"/>
      <c r="F267" s="294"/>
      <c r="G267" s="294"/>
      <c r="H267" s="294"/>
      <c r="I267" s="294"/>
    </row>
    <row r="268" spans="1:9" ht="15.9" customHeight="1" x14ac:dyDescent="0.3">
      <c r="B268" s="11"/>
      <c r="C268" s="315" t="s">
        <v>1068</v>
      </c>
      <c r="D268" s="379"/>
      <c r="E268" s="379"/>
      <c r="F268" s="379"/>
      <c r="G268" s="336"/>
      <c r="H268" s="341" t="str">
        <f>_xlfn.CONCAT(_xlfn.XLOOKUP("[InstallationsVisitsWaivedLowEmittersDetail][0][InstallationsVisitsWaivedLowEmittersDetail]",Submission!$O:$O,Submission!$H:$N,""))</f>
        <v/>
      </c>
      <c r="I268" s="342"/>
    </row>
    <row r="269" spans="1:9" ht="15.9" customHeight="1" x14ac:dyDescent="0.3">
      <c r="B269" s="11"/>
      <c r="C269" s="121"/>
      <c r="D269" s="122"/>
      <c r="E269" s="122"/>
      <c r="F269" s="122"/>
      <c r="G269" s="122"/>
      <c r="H269" s="121"/>
      <c r="I269" s="122"/>
    </row>
    <row r="270" spans="1:9" ht="17.100000000000001" customHeight="1" x14ac:dyDescent="0.3">
      <c r="A270" s="12" t="s">
        <v>397</v>
      </c>
      <c r="B270" s="293" t="s">
        <v>1069</v>
      </c>
      <c r="C270" s="294"/>
      <c r="D270" s="294"/>
      <c r="E270" s="294"/>
      <c r="F270" s="294"/>
      <c r="G270" s="294"/>
      <c r="H270" s="295"/>
      <c r="I270" s="41" t="str">
        <f>_xlfn.CONCAT(_xlfn.XLOOKUP("[VirtualVisitsInstallations][0][VirtualVisitsInstallations]",Submission!$O:$O,Submission!$H:$N,""))</f>
        <v>No</v>
      </c>
    </row>
    <row r="271" spans="1:9" ht="15.9" customHeight="1" x14ac:dyDescent="0.3">
      <c r="A271" s="12"/>
      <c r="B271" s="271" t="s">
        <v>1070</v>
      </c>
      <c r="C271" s="272"/>
      <c r="D271" s="272"/>
      <c r="E271" s="272"/>
      <c r="F271" s="272"/>
      <c r="G271" s="272"/>
      <c r="H271" s="272"/>
      <c r="I271" s="272"/>
    </row>
    <row r="272" spans="1:9" ht="16.2" customHeight="1" x14ac:dyDescent="0.3">
      <c r="A272" s="12"/>
      <c r="B272" s="15" t="s">
        <v>8</v>
      </c>
      <c r="C272" s="362" t="s">
        <v>1071</v>
      </c>
      <c r="D272" s="362"/>
      <c r="E272" s="362"/>
      <c r="F272" s="362"/>
      <c r="G272" s="362"/>
      <c r="H272" s="362"/>
      <c r="I272" s="362"/>
    </row>
    <row r="273" spans="1:9" ht="16.2" customHeight="1" x14ac:dyDescent="0.3">
      <c r="A273" s="12"/>
      <c r="B273" s="15" t="s">
        <v>8</v>
      </c>
      <c r="C273" s="362" t="s">
        <v>1072</v>
      </c>
      <c r="D273" s="362"/>
      <c r="E273" s="362"/>
      <c r="F273" s="362"/>
      <c r="G273" s="362"/>
      <c r="H273" s="362"/>
      <c r="I273" s="362"/>
    </row>
    <row r="274" spans="1:9" ht="16.2" customHeight="1" x14ac:dyDescent="0.3">
      <c r="A274" s="12"/>
      <c r="B274" s="15" t="s">
        <v>8</v>
      </c>
      <c r="C274" s="363" t="s">
        <v>1073</v>
      </c>
      <c r="D274" s="363"/>
      <c r="E274" s="363"/>
      <c r="F274" s="363"/>
      <c r="G274" s="363"/>
      <c r="H274" s="363"/>
      <c r="I274" s="363"/>
    </row>
    <row r="275" spans="1:9" ht="31.2" customHeight="1" x14ac:dyDescent="0.3">
      <c r="A275" s="12"/>
      <c r="B275" s="15"/>
      <c r="C275" s="46" t="s">
        <v>1074</v>
      </c>
      <c r="D275" s="315" t="s">
        <v>1075</v>
      </c>
      <c r="E275" s="317"/>
      <c r="F275" s="315" t="s">
        <v>1076</v>
      </c>
      <c r="G275" s="317"/>
      <c r="H275" s="315" t="s">
        <v>1077</v>
      </c>
      <c r="I275" s="317"/>
    </row>
    <row r="276" spans="1:9" ht="25.2" customHeight="1" x14ac:dyDescent="0.3">
      <c r="C276" s="72" t="str">
        <f>_xlfn.CONCAT(_xlfn.XLOOKUP("[S06_VirtualVisitsInstallationsDetails][1][TypeForceMajeur]",Submission!$O:$O,Submission!$H:$N,""))</f>
        <v/>
      </c>
      <c r="D276" s="425" t="str">
        <f>_xlfn.CONCAT(_xlfn.XLOOKUP("[S06_VirtualVisitsInstallationsDetails][1][NumberOfInstallationsVV]",Submission!$O:$O,Submission!$H:$N,""))</f>
        <v/>
      </c>
      <c r="E276" s="426"/>
      <c r="F276" s="284" t="str">
        <f>_xlfn.CONCAT(_xlfn.XLOOKUP("[S06_VirtualVisitsInstallationsDetails][1][AuthorityApproval]",Submission!$O:$O,Submission!$H:$N,""))</f>
        <v/>
      </c>
      <c r="G276" s="285"/>
      <c r="H276" s="284" t="str">
        <f>_xlfn.CONCAT(_xlfn.XLOOKUP("[S06_VirtualVisitsInstallationsDetails][1][ConfirmationConditionsMet]",Submission!$O:$O,Submission!$H:$N,""))</f>
        <v/>
      </c>
      <c r="I276" s="285"/>
    </row>
    <row r="277" spans="1:9" ht="25.2" customHeight="1" x14ac:dyDescent="0.3">
      <c r="C277" s="72" t="str">
        <f>_xlfn.CONCAT(_xlfn.XLOOKUP("[S06_VirtualVisitsInstallationsDetails][2][TypeForceMajeur]",Submission!$O:$O,Submission!$H:$N,""))</f>
        <v/>
      </c>
      <c r="D277" s="425" t="str">
        <f>_xlfn.CONCAT(_xlfn.XLOOKUP("[S06_VirtualVisitsInstallationsDetails][2][NumberOfInstallationsVV]",Submission!$O:$O,Submission!$H:$N,""))</f>
        <v/>
      </c>
      <c r="E277" s="426"/>
      <c r="F277" s="284" t="str">
        <f>_xlfn.CONCAT(_xlfn.XLOOKUP("[S06_VirtualVisitsInstallationsDetails][2][AuthorityApproval]",Submission!$O:$O,Submission!$H:$N,""))</f>
        <v/>
      </c>
      <c r="G277" s="285"/>
      <c r="H277" s="284" t="str">
        <f>_xlfn.CONCAT(_xlfn.XLOOKUP("[S06_VirtualVisitsInstallationsDetails][2][ConfirmationConditionsMet]",Submission!$O:$O,Submission!$H:$N,""))</f>
        <v/>
      </c>
      <c r="I277" s="285"/>
    </row>
    <row r="278" spans="1:9" ht="25.2" customHeight="1" x14ac:dyDescent="0.3">
      <c r="C278" s="72" t="str">
        <f>_xlfn.CONCAT(_xlfn.XLOOKUP("[S06_VirtualVisitsInstallationsDetails][3][TypeForceMajeur]",Submission!$O:$O,Submission!$H:$N,""))</f>
        <v/>
      </c>
      <c r="D278" s="425" t="str">
        <f>_xlfn.CONCAT(_xlfn.XLOOKUP("[S06_VirtualVisitsInstallationsDetails][3][NumberOfInstallationsVV]",Submission!$O:$O,Submission!$H:$N,""))</f>
        <v/>
      </c>
      <c r="E278" s="426"/>
      <c r="F278" s="284" t="str">
        <f>_xlfn.CONCAT(_xlfn.XLOOKUP("[S06_VirtualVisitsInstallationsDetails][3][AuthorityApproval]",Submission!$O:$O,Submission!$H:$N,""))</f>
        <v/>
      </c>
      <c r="G278" s="285"/>
      <c r="H278" s="284" t="str">
        <f>_xlfn.CONCAT(_xlfn.XLOOKUP("[S06_VirtualVisitsInstallationsDetails][3][ConfirmationConditionsMet]",Submission!$O:$O,Submission!$H:$N,""))</f>
        <v/>
      </c>
      <c r="I278" s="285"/>
    </row>
    <row r="279" spans="1:9" ht="25.2" customHeight="1" x14ac:dyDescent="0.3">
      <c r="C279" s="72" t="str">
        <f>_xlfn.CONCAT(_xlfn.XLOOKUP("[S06_VirtualVisitsInstallationsDetails][4][TypeForceMajeur]",Submission!$O:$O,Submission!$H:$N,""))</f>
        <v/>
      </c>
      <c r="D279" s="425" t="str">
        <f>_xlfn.CONCAT(_xlfn.XLOOKUP("[S06_VirtualVisitsInstallationsDetails][4][NumberOfInstallationsVV]",Submission!$O:$O,Submission!$H:$N,""))</f>
        <v/>
      </c>
      <c r="E279" s="426"/>
      <c r="F279" s="284" t="str">
        <f>_xlfn.CONCAT(_xlfn.XLOOKUP("[S06_VirtualVisitsInstallationsDetails][4][AuthorityApproval]",Submission!$O:$O,Submission!$H:$N,""))</f>
        <v/>
      </c>
      <c r="G279" s="285"/>
      <c r="H279" s="284" t="str">
        <f>_xlfn.CONCAT(_xlfn.XLOOKUP("[S06_VirtualVisitsInstallationsDetails][4][ConfirmationConditionsMet]",Submission!$O:$O,Submission!$H:$N,""))</f>
        <v/>
      </c>
      <c r="I279" s="285"/>
    </row>
    <row r="280" spans="1:9" ht="25.2" hidden="1" customHeight="1" outlineLevel="1" x14ac:dyDescent="0.3">
      <c r="C280" s="72" t="str">
        <f>_xlfn.CONCAT(_xlfn.XLOOKUP("[S06_VirtualVisitsInstallationsDetails][5][TypeForceMajeur]",Submission!$O:$O,Submission!$H:$N,""))</f>
        <v/>
      </c>
      <c r="D280" s="425" t="str">
        <f>_xlfn.CONCAT(_xlfn.XLOOKUP("[S06_VirtualVisitsInstallationsDetails][5][NumberOfInstallationsVV]",Submission!$O:$O,Submission!$H:$N,""))</f>
        <v/>
      </c>
      <c r="E280" s="426"/>
      <c r="F280" s="284" t="str">
        <f>_xlfn.CONCAT(_xlfn.XLOOKUP("[S06_VirtualVisitsInstallationsDetails][5][AuthorityApproval]",Submission!$O:$O,Submission!$H:$N,""))</f>
        <v/>
      </c>
      <c r="G280" s="285"/>
      <c r="H280" s="284" t="str">
        <f>_xlfn.CONCAT(_xlfn.XLOOKUP("[S06_VirtualVisitsInstallationsDetails][5][ConfirmationConditionsMet]",Submission!$O:$O,Submission!$H:$N,""))</f>
        <v/>
      </c>
      <c r="I280" s="285"/>
    </row>
    <row r="281" spans="1:9" ht="25.2" hidden="1" customHeight="1" outlineLevel="1" x14ac:dyDescent="0.3">
      <c r="C281" s="72" t="str">
        <f>_xlfn.CONCAT(_xlfn.XLOOKUP("[S06_VirtualVisitsInstallationsDetails][6][TypeForceMajeur]",Submission!$O:$O,Submission!$H:$N,""))</f>
        <v/>
      </c>
      <c r="D281" s="425" t="str">
        <f>_xlfn.CONCAT(_xlfn.XLOOKUP("[S06_VirtualVisitsInstallationsDetails][6][NumberOfInstallationsVV]",Submission!$O:$O,Submission!$H:$N,""))</f>
        <v/>
      </c>
      <c r="E281" s="426"/>
      <c r="F281" s="284" t="str">
        <f>_xlfn.CONCAT(_xlfn.XLOOKUP("[S06_VirtualVisitsInstallationsDetails][6][AuthorityApproval]",Submission!$O:$O,Submission!$H:$N,""))</f>
        <v/>
      </c>
      <c r="G281" s="285"/>
      <c r="H281" s="284" t="str">
        <f>_xlfn.CONCAT(_xlfn.XLOOKUP("[S06_VirtualVisitsInstallationsDetails][6][ConfirmationConditionsMet]",Submission!$O:$O,Submission!$H:$N,""))</f>
        <v/>
      </c>
      <c r="I281" s="285"/>
    </row>
    <row r="282" spans="1:9" ht="25.2" hidden="1" customHeight="1" outlineLevel="1" x14ac:dyDescent="0.3">
      <c r="C282" s="72" t="str">
        <f>_xlfn.CONCAT(_xlfn.XLOOKUP("[S06_VirtualVisitsInstallationsDetails][7][TypeForceMajeur]",Submission!$O:$O,Submission!$H:$N,""))</f>
        <v/>
      </c>
      <c r="D282" s="425" t="str">
        <f>_xlfn.CONCAT(_xlfn.XLOOKUP("[S06_VirtualVisitsInstallationsDetails][7][NumberOfInstallationsVV]",Submission!$O:$O,Submission!$H:$N,""))</f>
        <v/>
      </c>
      <c r="E282" s="426"/>
      <c r="F282" s="284" t="str">
        <f>_xlfn.CONCAT(_xlfn.XLOOKUP("[S06_VirtualVisitsInstallationsDetails][7][AuthorityApproval]",Submission!$O:$O,Submission!$H:$N,""))</f>
        <v/>
      </c>
      <c r="G282" s="285"/>
      <c r="H282" s="284" t="str">
        <f>_xlfn.CONCAT(_xlfn.XLOOKUP("[S06_VirtualVisitsInstallationsDetails][7][ConfirmationConditionsMet]",Submission!$O:$O,Submission!$H:$N,""))</f>
        <v/>
      </c>
      <c r="I282" s="285"/>
    </row>
    <row r="283" spans="1:9" ht="25.2" hidden="1" customHeight="1" outlineLevel="1" x14ac:dyDescent="0.3">
      <c r="C283" s="72" t="str">
        <f>_xlfn.CONCAT(_xlfn.XLOOKUP("[S06_VirtualVisitsInstallationsDetails][8][TypeForceMajeur]",Submission!$O:$O,Submission!$H:$N,""))</f>
        <v/>
      </c>
      <c r="D283" s="425" t="str">
        <f>_xlfn.CONCAT(_xlfn.XLOOKUP("[S06_VirtualVisitsInstallationsDetails][8][NumberOfInstallationsVV]",Submission!$O:$O,Submission!$H:$N,""))</f>
        <v/>
      </c>
      <c r="E283" s="426"/>
      <c r="F283" s="284" t="str">
        <f>_xlfn.CONCAT(_xlfn.XLOOKUP("[S06_VirtualVisitsInstallationsDetails][8][AuthorityApproval]",Submission!$O:$O,Submission!$H:$N,""))</f>
        <v/>
      </c>
      <c r="G283" s="285"/>
      <c r="H283" s="284" t="str">
        <f>_xlfn.CONCAT(_xlfn.XLOOKUP("[S06_VirtualVisitsInstallationsDetails][8][ConfirmationConditionsMet]",Submission!$O:$O,Submission!$H:$N,""))</f>
        <v/>
      </c>
      <c r="I283" s="285"/>
    </row>
    <row r="284" spans="1:9" ht="25.2" hidden="1" customHeight="1" outlineLevel="1" x14ac:dyDescent="0.3">
      <c r="C284" s="72" t="str">
        <f>_xlfn.CONCAT(_xlfn.XLOOKUP("[S06_VirtualVisitsInstallationsDetails][9][TypeForceMajeur]",Submission!$O:$O,Submission!$H:$N,""))</f>
        <v/>
      </c>
      <c r="D284" s="425" t="str">
        <f>_xlfn.CONCAT(_xlfn.XLOOKUP("[S06_VirtualVisitsInstallationsDetails][9][NumberOfInstallationsVV]",Submission!$O:$O,Submission!$H:$N,""))</f>
        <v/>
      </c>
      <c r="E284" s="426"/>
      <c r="F284" s="284" t="str">
        <f>_xlfn.CONCAT(_xlfn.XLOOKUP("[S06_VirtualVisitsInstallationsDetails][9][AuthorityApproval]",Submission!$O:$O,Submission!$H:$N,""))</f>
        <v/>
      </c>
      <c r="G284" s="285"/>
      <c r="H284" s="284" t="str">
        <f>_xlfn.CONCAT(_xlfn.XLOOKUP("[S06_VirtualVisitsInstallationsDetails][9][ConfirmationConditionsMet]",Submission!$O:$O,Submission!$H:$N,""))</f>
        <v/>
      </c>
      <c r="I284" s="285"/>
    </row>
    <row r="285" spans="1:9" ht="25.2" hidden="1" customHeight="1" outlineLevel="1" x14ac:dyDescent="0.3">
      <c r="C285" s="72" t="str">
        <f>_xlfn.CONCAT(_xlfn.XLOOKUP("[S06_VirtualVisitsInstallationsDetails][10][TypeForceMajeur]",Submission!$O:$O,Submission!$H:$N,""))</f>
        <v/>
      </c>
      <c r="D285" s="425" t="str">
        <f>_xlfn.CONCAT(_xlfn.XLOOKUP("[S06_VirtualVisitsInstallationsDetails][10][NumberOfInstallationsVV]",Submission!$O:$O,Submission!$H:$N,""))</f>
        <v/>
      </c>
      <c r="E285" s="426"/>
      <c r="F285" s="284" t="str">
        <f>_xlfn.CONCAT(_xlfn.XLOOKUP("[S06_VirtualVisitsInstallationsDetails][10][AuthorityApproval]",Submission!$O:$O,Submission!$H:$N,""))</f>
        <v/>
      </c>
      <c r="G285" s="285"/>
      <c r="H285" s="284" t="str">
        <f>_xlfn.CONCAT(_xlfn.XLOOKUP("[S06_VirtualVisitsInstallationsDetails][10][ConfirmationConditionsMet]",Submission!$O:$O,Submission!$H:$N,""))</f>
        <v/>
      </c>
      <c r="I285" s="285"/>
    </row>
    <row r="286" spans="1:9" ht="25.2" hidden="1" customHeight="1" outlineLevel="1" x14ac:dyDescent="0.3">
      <c r="C286" s="72" t="str">
        <f>_xlfn.CONCAT(_xlfn.XLOOKUP("[S06_VirtualVisitsInstallationsDetails][11][TypeForceMajeur]",Submission!$O:$O,Submission!$H:$N,""))</f>
        <v/>
      </c>
      <c r="D286" s="425" t="str">
        <f>_xlfn.CONCAT(_xlfn.XLOOKUP("[S06_VirtualVisitsInstallationsDetails][11][NumberOfInstallationsVV]",Submission!$O:$O,Submission!$H:$N,""))</f>
        <v/>
      </c>
      <c r="E286" s="426"/>
      <c r="F286" s="284" t="str">
        <f>_xlfn.CONCAT(_xlfn.XLOOKUP("[S06_VirtualVisitsInstallationsDetails][11][AuthorityApproval]",Submission!$O:$O,Submission!$H:$N,""))</f>
        <v/>
      </c>
      <c r="G286" s="285"/>
      <c r="H286" s="284" t="str">
        <f>_xlfn.CONCAT(_xlfn.XLOOKUP("[S06_VirtualVisitsInstallationsDetails][11][ConfirmationConditionsMet]",Submission!$O:$O,Submission!$H:$N,""))</f>
        <v/>
      </c>
      <c r="I286" s="285"/>
    </row>
    <row r="287" spans="1:9" ht="25.2" hidden="1" customHeight="1" outlineLevel="1" x14ac:dyDescent="0.3">
      <c r="C287" s="72" t="str">
        <f>_xlfn.CONCAT(_xlfn.XLOOKUP("[S06_VirtualVisitsInstallationsDetails][12][TypeForceMajeur]",Submission!$O:$O,Submission!$H:$N,""))</f>
        <v/>
      </c>
      <c r="D287" s="425" t="str">
        <f>_xlfn.CONCAT(_xlfn.XLOOKUP("[S06_VirtualVisitsInstallationsDetails][12][NumberOfInstallationsVV]",Submission!$O:$O,Submission!$H:$N,""))</f>
        <v/>
      </c>
      <c r="E287" s="426"/>
      <c r="F287" s="284" t="str">
        <f>_xlfn.CONCAT(_xlfn.XLOOKUP("[S06_VirtualVisitsInstallationsDetails][12][AuthorityApproval]",Submission!$O:$O,Submission!$H:$N,""))</f>
        <v/>
      </c>
      <c r="G287" s="285"/>
      <c r="H287" s="284" t="str">
        <f>_xlfn.CONCAT(_xlfn.XLOOKUP("[S06_VirtualVisitsInstallationsDetails][12][ConfirmationConditionsMet]",Submission!$O:$O,Submission!$H:$N,""))</f>
        <v/>
      </c>
      <c r="I287" s="285"/>
    </row>
    <row r="288" spans="1:9" ht="25.2" hidden="1" customHeight="1" outlineLevel="1" x14ac:dyDescent="0.3">
      <c r="C288" s="72" t="str">
        <f>_xlfn.CONCAT(_xlfn.XLOOKUP("[S06_VirtualVisitsInstallationsDetails][13][TypeForceMajeur]",Submission!$O:$O,Submission!$H:$N,""))</f>
        <v/>
      </c>
      <c r="D288" s="425" t="str">
        <f>_xlfn.CONCAT(_xlfn.XLOOKUP("[S06_VirtualVisitsInstallationsDetails][13][NumberOfInstallationsVV]",Submission!$O:$O,Submission!$H:$N,""))</f>
        <v/>
      </c>
      <c r="E288" s="426"/>
      <c r="F288" s="284" t="str">
        <f>_xlfn.CONCAT(_xlfn.XLOOKUP("[S06_VirtualVisitsInstallationsDetails][13][AuthorityApproval]",Submission!$O:$O,Submission!$H:$N,""))</f>
        <v/>
      </c>
      <c r="G288" s="285"/>
      <c r="H288" s="284" t="str">
        <f>_xlfn.CONCAT(_xlfn.XLOOKUP("[S06_VirtualVisitsInstallationsDetails][13][ConfirmationConditionsMet]",Submission!$O:$O,Submission!$H:$N,""))</f>
        <v/>
      </c>
      <c r="I288" s="285"/>
    </row>
    <row r="289" spans="1:11" ht="15.9" customHeight="1" collapsed="1" x14ac:dyDescent="0.3">
      <c r="A289" s="13"/>
      <c r="B289" s="26" t="s">
        <v>1000</v>
      </c>
      <c r="C289" s="19"/>
      <c r="D289" s="11"/>
      <c r="E289" s="11"/>
      <c r="F289" s="11"/>
      <c r="G289" s="11"/>
      <c r="H289" s="11"/>
    </row>
    <row r="290" spans="1:11" ht="15.9" customHeight="1" x14ac:dyDescent="0.3">
      <c r="A290" s="13"/>
      <c r="B290" s="427" t="s">
        <v>1078</v>
      </c>
      <c r="C290" s="428"/>
      <c r="D290" s="428"/>
      <c r="E290" s="428"/>
      <c r="F290" s="428"/>
      <c r="G290" s="428"/>
      <c r="H290" s="428"/>
      <c r="I290" s="428"/>
    </row>
    <row r="291" spans="1:11" ht="15.9" customHeight="1" x14ac:dyDescent="0.3">
      <c r="B291" s="22"/>
      <c r="C291" s="24"/>
      <c r="D291" s="24"/>
      <c r="E291" s="24"/>
      <c r="F291" s="24"/>
      <c r="G291" s="24"/>
      <c r="H291" s="24"/>
      <c r="I291" s="24"/>
    </row>
    <row r="292" spans="1:11" ht="18.899999999999999" customHeight="1" x14ac:dyDescent="0.35">
      <c r="A292" s="85" t="s">
        <v>1079</v>
      </c>
      <c r="B292" s="325" t="s">
        <v>1080</v>
      </c>
      <c r="C292" s="325"/>
      <c r="D292" s="325"/>
      <c r="E292" s="325"/>
      <c r="F292" s="325"/>
      <c r="G292" s="325"/>
      <c r="H292" s="325"/>
      <c r="I292" s="326"/>
    </row>
    <row r="293" spans="1:11" ht="33" customHeight="1" x14ac:dyDescent="0.3">
      <c r="A293" s="12" t="s">
        <v>407</v>
      </c>
      <c r="B293" s="328" t="s">
        <v>1081</v>
      </c>
      <c r="C293" s="328"/>
      <c r="D293" s="328"/>
      <c r="E293" s="328"/>
      <c r="F293" s="328"/>
      <c r="G293" s="328"/>
      <c r="H293" s="328"/>
      <c r="I293" s="328"/>
    </row>
    <row r="294" spans="1:11" ht="45.6" customHeight="1" x14ac:dyDescent="0.3">
      <c r="A294" s="13"/>
      <c r="C294" s="46" t="s">
        <v>1082</v>
      </c>
      <c r="D294" s="46" t="s">
        <v>1083</v>
      </c>
      <c r="E294" s="45" t="s">
        <v>1084</v>
      </c>
      <c r="F294" s="46" t="s">
        <v>1085</v>
      </c>
      <c r="G294" s="46" t="s">
        <v>1030</v>
      </c>
      <c r="H294" s="46" t="s">
        <v>1031</v>
      </c>
      <c r="I294" s="46" t="s">
        <v>1086</v>
      </c>
    </row>
    <row r="295" spans="1:11" ht="61.2" customHeight="1" x14ac:dyDescent="0.3">
      <c r="A295" s="13"/>
      <c r="C295" s="72" t="str">
        <f>_xlfn.CONCAT(_xlfn.XLOOKUP("[S06_AircraftOperatorsConservativeEstimates][1][AircraftOperatorID]",Submission!$O:$O,Submission!$H:$N,""))</f>
        <v>NA</v>
      </c>
      <c r="D295" s="105" t="str">
        <f>_xlfn.CONCAT(_xlfn.XLOOKUP("[S06_AircraftOperatorsConservativeEstimates][1][AircraftOperatorsAnnualEmissionsCO2e]",Submission!$O:$O,Submission!$H:$N,""))</f>
        <v/>
      </c>
      <c r="E295" s="158" t="str">
        <f>_xlfn.CONCAT(_xlfn.XLOOKUP("[S06_AircraftOperatorsConservativeEstimates][1][ReasonConservativeEstimate]",Submission!$O:$O,Submission!$H:$N,""))</f>
        <v/>
      </c>
      <c r="F295" s="136" t="str">
        <f>_xlfn.CONCAT(_xlfn.XLOOKUP("[S06_AircraftOperatorsConservativeEstimates][1][AircraftOperatorsConservativeShare]",Submission!$O:$O,Submission!$H:$N,""))</f>
        <v/>
      </c>
      <c r="G295" s="72" t="str">
        <f>_xlfn.CONCAT(_xlfn.XLOOKUP("[S06_AircraftOperatorsConservativeEstimates][1][ConservativeMethod]",Submission!$O:$O,Submission!$H:$N,""))</f>
        <v/>
      </c>
      <c r="H295" s="72" t="str">
        <f>_xlfn.CONCAT(_xlfn.XLOOKUP("[S06_AircraftOperatorsConservativeEstimates][1][FurtherAction]",Submission!$O:$O,Submission!$H:$N,""))</f>
        <v/>
      </c>
      <c r="I295" s="72" t="str">
        <f>_xlfn.CONCAT(_xlfn.XLOOKUP("[S06_AircraftOperatorsConservativeEstimates][1][FurtherActionOther]",Submission!$O:$O,Submission!$H:$N,""))</f>
        <v/>
      </c>
    </row>
    <row r="296" spans="1:11" ht="61.2" customHeight="1" x14ac:dyDescent="0.3">
      <c r="A296" s="13"/>
      <c r="C296" s="72" t="str">
        <f>_xlfn.CONCAT(_xlfn.XLOOKUP("[S06_AircraftOperatorsConservativeEstimates][2][AircraftOperatorID]",Submission!$O:$O,Submission!$H:$N,""))</f>
        <v/>
      </c>
      <c r="D296" s="105" t="str">
        <f>_xlfn.CONCAT(_xlfn.XLOOKUP("[S06_AircraftOperatorsConservativeEstimates][2][AircraftOperatorsAnnualEmissionsCO2e]",Submission!$O:$O,Submission!$H:$N,""))</f>
        <v/>
      </c>
      <c r="E296" s="158" t="str">
        <f>_xlfn.CONCAT(_xlfn.XLOOKUP("[S06_AircraftOperatorsConservativeEstimates][2][ReasonConservativeEstimate]",Submission!$O:$O,Submission!$H:$N,""))</f>
        <v/>
      </c>
      <c r="F296" s="136" t="str">
        <f>_xlfn.CONCAT(_xlfn.XLOOKUP("[S06_AircraftOperatorsConservativeEstimates][2][AircraftOperatorsConservativeShare]",Submission!$O:$O,Submission!$H:$N,""))</f>
        <v/>
      </c>
      <c r="G296" s="72" t="str">
        <f>_xlfn.CONCAT(_xlfn.XLOOKUP("[S06_AircraftOperatorsConservativeEstimates][2][ConservativeMethod]",Submission!$O:$O,Submission!$H:$N,""))</f>
        <v/>
      </c>
      <c r="H296" s="72" t="str">
        <f>_xlfn.CONCAT(_xlfn.XLOOKUP("[S06_AircraftOperatorsConservativeEstimates][2][FurtherAction]",Submission!$O:$O,Submission!$H:$N,""))</f>
        <v/>
      </c>
      <c r="I296" s="72" t="str">
        <f>_xlfn.CONCAT(_xlfn.XLOOKUP("[S06_AircraftOperatorsConservativeEstimates][2][FurtherActionOther]",Submission!$O:$O,Submission!$H:$N,""))</f>
        <v/>
      </c>
    </row>
    <row r="297" spans="1:11" ht="61.2" customHeight="1" x14ac:dyDescent="0.3">
      <c r="A297" s="13"/>
      <c r="C297" s="72" t="str">
        <f>_xlfn.CONCAT(_xlfn.XLOOKUP("[S06_AircraftOperatorsConservativeEstimates][3][AircraftOperatorID]",Submission!$O:$O,Submission!$H:$N,""))</f>
        <v/>
      </c>
      <c r="D297" s="105" t="str">
        <f>_xlfn.CONCAT(_xlfn.XLOOKUP("[S06_AircraftOperatorsConservativeEstimates][3][AircraftOperatorsAnnualEmissionsCO2e]",Submission!$O:$O,Submission!$H:$N,""))</f>
        <v/>
      </c>
      <c r="E297" s="158" t="str">
        <f>_xlfn.CONCAT(_xlfn.XLOOKUP("[S06_AircraftOperatorsConservativeEstimates][3][ReasonConservativeEstimate]",Submission!$O:$O,Submission!$H:$N,""))</f>
        <v/>
      </c>
      <c r="F297" s="136" t="str">
        <f>_xlfn.CONCAT(_xlfn.XLOOKUP("[S06_AircraftOperatorsConservativeEstimates][3][AircraftOperatorsConservativeShare]",Submission!$O:$O,Submission!$H:$N,""))</f>
        <v/>
      </c>
      <c r="G297" s="72" t="str">
        <f>_xlfn.CONCAT(_xlfn.XLOOKUP("[S06_AircraftOperatorsConservativeEstimates][3][ConservativeMethod]",Submission!$O:$O,Submission!$H:$N,""))</f>
        <v/>
      </c>
      <c r="H297" s="72" t="str">
        <f>_xlfn.CONCAT(_xlfn.XLOOKUP("[S06_AircraftOperatorsConservativeEstimates][3][FurtherAction]",Submission!$O:$O,Submission!$H:$N,""))</f>
        <v/>
      </c>
      <c r="I297" s="72" t="str">
        <f>_xlfn.CONCAT(_xlfn.XLOOKUP("[S06_AircraftOperatorsConservativeEstimates][3][FurtherActionOther]",Submission!$O:$O,Submission!$H:$N,""))</f>
        <v/>
      </c>
    </row>
    <row r="298" spans="1:11" ht="61.2" customHeight="1" x14ac:dyDescent="0.3">
      <c r="A298" s="13"/>
      <c r="C298" s="72" t="str">
        <f>_xlfn.CONCAT(_xlfn.XLOOKUP("[S06_AircraftOperatorsConservativeEstimates][4][AircraftOperatorID]",Submission!$O:$O,Submission!$H:$N,""))</f>
        <v/>
      </c>
      <c r="D298" s="105" t="str">
        <f>_xlfn.CONCAT(_xlfn.XLOOKUP("[S06_AircraftOperatorsConservativeEstimates][4][AircraftOperatorsAnnualEmissionsCO2e]",Submission!$O:$O,Submission!$H:$N,""))</f>
        <v/>
      </c>
      <c r="E298" s="158" t="str">
        <f>_xlfn.CONCAT(_xlfn.XLOOKUP("[S06_AircraftOperatorsConservativeEstimates][4][ReasonConservativeEstimate]",Submission!$O:$O,Submission!$H:$N,""))</f>
        <v/>
      </c>
      <c r="F298" s="136" t="str">
        <f>_xlfn.CONCAT(_xlfn.XLOOKUP("[S06_AircraftOperatorsConservativeEstimates][4][AircraftOperatorsConservativeShare]",Submission!$O:$O,Submission!$H:$N,""))</f>
        <v/>
      </c>
      <c r="G298" s="72" t="str">
        <f>_xlfn.CONCAT(_xlfn.XLOOKUP("[S06_AircraftOperatorsConservativeEstimates][4][ConservativeMethod]",Submission!$O:$O,Submission!$H:$N,""))</f>
        <v/>
      </c>
      <c r="H298" s="72" t="str">
        <f>_xlfn.CONCAT(_xlfn.XLOOKUP("[S06_AircraftOperatorsConservativeEstimates][4][FurtherAction]",Submission!$O:$O,Submission!$H:$N,""))</f>
        <v/>
      </c>
      <c r="I298" s="72" t="str">
        <f>_xlfn.CONCAT(_xlfn.XLOOKUP("[S06_AircraftOperatorsConservativeEstimates][4][FurtherActionOther]",Submission!$O:$O,Submission!$H:$N,""))</f>
        <v/>
      </c>
      <c r="K298" s="137"/>
    </row>
    <row r="299" spans="1:11" ht="61.2" customHeight="1" x14ac:dyDescent="0.3">
      <c r="A299" s="13"/>
      <c r="C299" s="72" t="str">
        <f>_xlfn.CONCAT(_xlfn.XLOOKUP("[S06_AircraftOperatorsConservativeEstimates][5][AircraftOperatorID]",Submission!$O:$O,Submission!$H:$N,""))</f>
        <v/>
      </c>
      <c r="D299" s="105" t="str">
        <f>_xlfn.CONCAT(_xlfn.XLOOKUP("[S06_AircraftOperatorsConservativeEstimates][5][AircraftOperatorsAnnualEmissionsCO2e]",Submission!$O:$O,Submission!$H:$N,""))</f>
        <v/>
      </c>
      <c r="E299" s="158" t="str">
        <f>_xlfn.CONCAT(_xlfn.XLOOKUP("[S06_AircraftOperatorsConservativeEstimates][5][ReasonConservativeEstimate]",Submission!$O:$O,Submission!$H:$N,""))</f>
        <v/>
      </c>
      <c r="F299" s="136" t="str">
        <f>_xlfn.CONCAT(_xlfn.XLOOKUP("[S06_AircraftOperatorsConservativeEstimates][5][AircraftOperatorsConservativeShare]",Submission!$O:$O,Submission!$H:$N,""))</f>
        <v/>
      </c>
      <c r="G299" s="72" t="str">
        <f>_xlfn.CONCAT(_xlfn.XLOOKUP("[S06_AircraftOperatorsConservativeEstimates][5][ConservativeMethod]",Submission!$O:$O,Submission!$H:$N,""))</f>
        <v/>
      </c>
      <c r="H299" s="72" t="str">
        <f>_xlfn.CONCAT(_xlfn.XLOOKUP("[S06_AircraftOperatorsConservativeEstimates][5][FurtherAction]",Submission!$O:$O,Submission!$H:$N,""))</f>
        <v/>
      </c>
      <c r="I299" s="72" t="str">
        <f>_xlfn.CONCAT(_xlfn.XLOOKUP("[S06_AircraftOperatorsConservativeEstimates][5][FurtherActionOther]",Submission!$O:$O,Submission!$H:$N,""))</f>
        <v/>
      </c>
    </row>
    <row r="300" spans="1:11" ht="61.2" hidden="1" customHeight="1" outlineLevel="1" x14ac:dyDescent="0.3">
      <c r="A300" s="13"/>
      <c r="C300" s="72" t="str">
        <f>_xlfn.CONCAT(_xlfn.XLOOKUP("[S06_AircraftOperatorsConservativeEstimates][6][AircraftOperatorID]",Submission!$O:$O,Submission!$H:$N,""))</f>
        <v/>
      </c>
      <c r="D300" s="105" t="str">
        <f>_xlfn.CONCAT(_xlfn.XLOOKUP("[S06_AircraftOperatorsConservativeEstimates][6][AircraftOperatorsAnnualEmissionsCO2e]",Submission!$O:$O,Submission!$H:$N,""))</f>
        <v/>
      </c>
      <c r="E300" s="158" t="str">
        <f>_xlfn.CONCAT(_xlfn.XLOOKUP("[S06_AircraftOperatorsConservativeEstimates][6][ReasonConservativeEstimate]",Submission!$O:$O,Submission!$H:$N,""))</f>
        <v/>
      </c>
      <c r="F300" s="134" t="str">
        <f>_xlfn.CONCAT(_xlfn.XLOOKUP("[S06_AircraftOperatorsConservativeEstimates][6][AircraftOperatorsConservativeShare]",Submission!$O:$O,Submission!$H:$N,""))</f>
        <v/>
      </c>
      <c r="G300" s="72" t="str">
        <f>_xlfn.CONCAT(_xlfn.XLOOKUP("[S06_AircraftOperatorsConservativeEstimates][6][ConservativeMethod]",Submission!$O:$O,Submission!$H:$N,""))</f>
        <v/>
      </c>
      <c r="H300" s="72" t="str">
        <f>_xlfn.CONCAT(_xlfn.XLOOKUP("[S06_AircraftOperatorsConservativeEstimates][6][FurtherAction]",Submission!$O:$O,Submission!$H:$N,""))</f>
        <v/>
      </c>
      <c r="I300" s="72" t="str">
        <f>_xlfn.CONCAT(_xlfn.XLOOKUP("[S06_AircraftOperatorsConservativeEstimates][6][FurtherActionOther]",Submission!$O:$O,Submission!$H:$N,""))</f>
        <v/>
      </c>
    </row>
    <row r="301" spans="1:11" ht="61.2" hidden="1" customHeight="1" outlineLevel="1" x14ac:dyDescent="0.3">
      <c r="A301" s="13"/>
      <c r="C301" s="72" t="str">
        <f>_xlfn.CONCAT(_xlfn.XLOOKUP("[S06_AircraftOperatorsConservativeEstimates][7][AircraftOperatorID]",Submission!$O:$O,Submission!$H:$N,""))</f>
        <v/>
      </c>
      <c r="D301" s="105" t="str">
        <f>_xlfn.CONCAT(_xlfn.XLOOKUP("[S06_AircraftOperatorsConservativeEstimates][7][AircraftOperatorsAnnualEmissionsCO2e]",Submission!$O:$O,Submission!$H:$N,""))</f>
        <v/>
      </c>
      <c r="E301" s="158" t="str">
        <f>_xlfn.CONCAT(_xlfn.XLOOKUP("[S06_AircraftOperatorsConservativeEstimates][7][ReasonConservativeEstimate]",Submission!$O:$O,Submission!$H:$N,""))</f>
        <v/>
      </c>
      <c r="F301" s="134" t="str">
        <f>_xlfn.CONCAT(_xlfn.XLOOKUP("[S06_AircraftOperatorsConservativeEstimates][7][AircraftOperatorsConservativeShare]",Submission!$O:$O,Submission!$H:$N,""))</f>
        <v/>
      </c>
      <c r="G301" s="72" t="str">
        <f>_xlfn.CONCAT(_xlfn.XLOOKUP("[S06_AircraftOperatorsConservativeEstimates][7][ConservativeMethod]",Submission!$O:$O,Submission!$H:$N,""))</f>
        <v/>
      </c>
      <c r="H301" s="72" t="str">
        <f>_xlfn.CONCAT(_xlfn.XLOOKUP("[S06_AircraftOperatorsConservativeEstimates][7][FurtherAction]",Submission!$O:$O,Submission!$H:$N,""))</f>
        <v/>
      </c>
      <c r="I301" s="72" t="str">
        <f>_xlfn.CONCAT(_xlfn.XLOOKUP("[S06_AircraftOperatorsConservativeEstimates][7][FurtherActionOther]",Submission!$O:$O,Submission!$H:$N,""))</f>
        <v/>
      </c>
    </row>
    <row r="302" spans="1:11" ht="61.2" hidden="1" customHeight="1" outlineLevel="1" x14ac:dyDescent="0.3">
      <c r="A302" s="13"/>
      <c r="C302" s="72" t="str">
        <f>_xlfn.CONCAT(_xlfn.XLOOKUP("[S06_AircraftOperatorsConservativeEstimates][8][AircraftOperatorID]",Submission!$O:$O,Submission!$H:$N,""))</f>
        <v/>
      </c>
      <c r="D302" s="105" t="str">
        <f>_xlfn.CONCAT(_xlfn.XLOOKUP("[S06_AircraftOperatorsConservativeEstimates][8][AircraftOperatorsAnnualEmissionsCO2e]",Submission!$O:$O,Submission!$H:$N,""))</f>
        <v/>
      </c>
      <c r="E302" s="158" t="str">
        <f>_xlfn.CONCAT(_xlfn.XLOOKUP("[S06_AircraftOperatorsConservativeEstimates][8][ReasonConservativeEstimate]",Submission!$O:$O,Submission!$H:$N,""))</f>
        <v/>
      </c>
      <c r="F302" s="134" t="str">
        <f>_xlfn.CONCAT(_xlfn.XLOOKUP("[S06_AircraftOperatorsConservativeEstimates][8][AircraftOperatorsConservativeShare]",Submission!$O:$O,Submission!$H:$N,""))</f>
        <v/>
      </c>
      <c r="G302" s="72" t="str">
        <f>_xlfn.CONCAT(_xlfn.XLOOKUP("[S06_AircraftOperatorsConservativeEstimates][8][ConservativeMethod]",Submission!$O:$O,Submission!$H:$N,""))</f>
        <v/>
      </c>
      <c r="H302" s="72" t="str">
        <f>_xlfn.CONCAT(_xlfn.XLOOKUP("[S06_AircraftOperatorsConservativeEstimates][8][FurtherAction]",Submission!$O:$O,Submission!$H:$N,""))</f>
        <v/>
      </c>
      <c r="I302" s="72" t="str">
        <f>_xlfn.CONCAT(_xlfn.XLOOKUP("[S06_AircraftOperatorsConservativeEstimates][8][FurtherActionOther]",Submission!$O:$O,Submission!$H:$N,""))</f>
        <v/>
      </c>
    </row>
    <row r="303" spans="1:11" ht="61.2" hidden="1" customHeight="1" outlineLevel="1" x14ac:dyDescent="0.3">
      <c r="A303" s="13"/>
      <c r="C303" s="72" t="str">
        <f>_xlfn.CONCAT(_xlfn.XLOOKUP("[S06_AircraftOperatorsConservativeEstimates][9][AircraftOperatorID]",Submission!$O:$O,Submission!$H:$N,""))</f>
        <v/>
      </c>
      <c r="D303" s="105" t="str">
        <f>_xlfn.CONCAT(_xlfn.XLOOKUP("[S06_AircraftOperatorsConservativeEstimates][9][AircraftOperatorsAnnualEmissionsCO2e]",Submission!$O:$O,Submission!$H:$N,""))</f>
        <v/>
      </c>
      <c r="E303" s="158" t="str">
        <f>_xlfn.CONCAT(_xlfn.XLOOKUP("[S06_AircraftOperatorsConservativeEstimates][9][ReasonConservativeEstimate]",Submission!$O:$O,Submission!$H:$N,""))</f>
        <v/>
      </c>
      <c r="F303" s="134" t="str">
        <f>_xlfn.CONCAT(_xlfn.XLOOKUP("[S06_AircraftOperatorsConservativeEstimates][9][AircraftOperatorsConservativeShare]",Submission!$O:$O,Submission!$H:$N,""))</f>
        <v/>
      </c>
      <c r="G303" s="72" t="str">
        <f>_xlfn.CONCAT(_xlfn.XLOOKUP("[S06_AircraftOperatorsConservativeEstimates][9][ConservativeMethod]",Submission!$O:$O,Submission!$H:$N,""))</f>
        <v/>
      </c>
      <c r="H303" s="72" t="str">
        <f>_xlfn.CONCAT(_xlfn.XLOOKUP("[S06_AircraftOperatorsConservativeEstimates][9][FurtherAction]",Submission!$O:$O,Submission!$H:$N,""))</f>
        <v/>
      </c>
      <c r="I303" s="72" t="str">
        <f>_xlfn.CONCAT(_xlfn.XLOOKUP("[S06_AircraftOperatorsConservativeEstimates][9][FurtherActionOther]",Submission!$O:$O,Submission!$H:$N,""))</f>
        <v/>
      </c>
    </row>
    <row r="304" spans="1:11" ht="61.2" hidden="1" customHeight="1" outlineLevel="1" x14ac:dyDescent="0.3">
      <c r="A304" s="13"/>
      <c r="C304" s="72" t="str">
        <f>_xlfn.CONCAT(_xlfn.XLOOKUP("[S06_AircraftOperatorsConservativeEstimates][10][AircraftOperatorID]",Submission!$O:$O,Submission!$H:$N,""))</f>
        <v/>
      </c>
      <c r="D304" s="105" t="str">
        <f>_xlfn.CONCAT(_xlfn.XLOOKUP("[S06_AircraftOperatorsConservativeEstimates][10][AircraftOperatorsAnnualEmissionsCO2e]",Submission!$O:$O,Submission!$H:$N,""))</f>
        <v/>
      </c>
      <c r="E304" s="158" t="str">
        <f>_xlfn.CONCAT(_xlfn.XLOOKUP("[S06_AircraftOperatorsConservativeEstimates][10][ReasonConservativeEstimate]",Submission!$O:$O,Submission!$H:$N,""))</f>
        <v/>
      </c>
      <c r="F304" s="134" t="str">
        <f>_xlfn.CONCAT(_xlfn.XLOOKUP("[S06_AircraftOperatorsConservativeEstimates][10][AircraftOperatorsConservativeShare]",Submission!$O:$O,Submission!$H:$N,""))</f>
        <v/>
      </c>
      <c r="G304" s="72" t="str">
        <f>_xlfn.CONCAT(_xlfn.XLOOKUP("[S06_AircraftOperatorsConservativeEstimates][10][ConservativeMethod]",Submission!$O:$O,Submission!$H:$N,""))</f>
        <v/>
      </c>
      <c r="H304" s="72" t="str">
        <f>_xlfn.CONCAT(_xlfn.XLOOKUP("[S06_AircraftOperatorsConservativeEstimates][10][FurtherAction]",Submission!$O:$O,Submission!$H:$N,""))</f>
        <v/>
      </c>
      <c r="I304" s="72" t="str">
        <f>_xlfn.CONCAT(_xlfn.XLOOKUP("[S06_AircraftOperatorsConservativeEstimates][10][FurtherActionOther]",Submission!$O:$O,Submission!$H:$N,""))</f>
        <v/>
      </c>
    </row>
    <row r="305" spans="1:9" ht="61.2" hidden="1" customHeight="1" outlineLevel="1" x14ac:dyDescent="0.3">
      <c r="A305" s="13"/>
      <c r="C305" s="72" t="str">
        <f>_xlfn.CONCAT(_xlfn.XLOOKUP("[S06_AircraftOperatorsConservativeEstimates][11][AircraftOperatorID]",Submission!$O:$O,Submission!$H:$N,""))</f>
        <v/>
      </c>
      <c r="D305" s="105" t="str">
        <f>_xlfn.CONCAT(_xlfn.XLOOKUP("[S06_AircraftOperatorsConservativeEstimates][11][AircraftOperatorsAnnualEmissionsCO2e]",Submission!$O:$O,Submission!$H:$N,""))</f>
        <v/>
      </c>
      <c r="E305" s="158" t="str">
        <f>_xlfn.CONCAT(_xlfn.XLOOKUP("[S06_AircraftOperatorsConservativeEstimates][11][ReasonConservativeEstimate]",Submission!$O:$O,Submission!$H:$N,""))</f>
        <v/>
      </c>
      <c r="F305" s="134" t="str">
        <f>_xlfn.CONCAT(_xlfn.XLOOKUP("[S06_AircraftOperatorsConservativeEstimates][11][AircraftOperatorsConservativeShare]",Submission!$O:$O,Submission!$H:$N,""))</f>
        <v/>
      </c>
      <c r="G305" s="72" t="str">
        <f>_xlfn.CONCAT(_xlfn.XLOOKUP("[S06_AircraftOperatorsConservativeEstimates][11][ConservativeMethod]",Submission!$O:$O,Submission!$H:$N,""))</f>
        <v/>
      </c>
      <c r="H305" s="72" t="str">
        <f>_xlfn.CONCAT(_xlfn.XLOOKUP("[S06_AircraftOperatorsConservativeEstimates][11][FurtherAction]",Submission!$O:$O,Submission!$H:$N,""))</f>
        <v/>
      </c>
      <c r="I305" s="72" t="str">
        <f>_xlfn.CONCAT(_xlfn.XLOOKUP("[S06_AircraftOperatorsConservativeEstimates][11][FurtherActionOther]",Submission!$O:$O,Submission!$H:$N,""))</f>
        <v/>
      </c>
    </row>
    <row r="306" spans="1:9" ht="61.2" hidden="1" customHeight="1" outlineLevel="1" x14ac:dyDescent="0.3">
      <c r="A306" s="13"/>
      <c r="C306" s="72" t="str">
        <f>_xlfn.CONCAT(_xlfn.XLOOKUP("[S06_AircraftOperatorsConservativeEstimates][12][AircraftOperatorID]",Submission!$O:$O,Submission!$H:$N,""))</f>
        <v/>
      </c>
      <c r="D306" s="105" t="str">
        <f>_xlfn.CONCAT(_xlfn.XLOOKUP("[S06_AircraftOperatorsConservativeEstimates][12][AircraftOperatorsAnnualEmissionsCO2e]",Submission!$O:$O,Submission!$H:$N,""))</f>
        <v/>
      </c>
      <c r="E306" s="158" t="str">
        <f>_xlfn.CONCAT(_xlfn.XLOOKUP("[S06_AircraftOperatorsConservativeEstimates][12][ReasonConservativeEstimate]",Submission!$O:$O,Submission!$H:$N,""))</f>
        <v/>
      </c>
      <c r="F306" s="134" t="str">
        <f>_xlfn.CONCAT(_xlfn.XLOOKUP("[S06_AircraftOperatorsConservativeEstimates][12][AircraftOperatorsConservativeShare]",Submission!$O:$O,Submission!$H:$N,""))</f>
        <v/>
      </c>
      <c r="G306" s="72" t="str">
        <f>_xlfn.CONCAT(_xlfn.XLOOKUP("[S06_AircraftOperatorsConservativeEstimates][12][ConservativeMethod]",Submission!$O:$O,Submission!$H:$N,""))</f>
        <v/>
      </c>
      <c r="H306" s="72" t="str">
        <f>_xlfn.CONCAT(_xlfn.XLOOKUP("[S06_AircraftOperatorsConservativeEstimates][12][FurtherAction]",Submission!$O:$O,Submission!$H:$N,""))</f>
        <v/>
      </c>
      <c r="I306" s="72" t="str">
        <f>_xlfn.CONCAT(_xlfn.XLOOKUP("[S06_AircraftOperatorsConservativeEstimates][12][FurtherActionOther]",Submission!$O:$O,Submission!$H:$N,""))</f>
        <v/>
      </c>
    </row>
    <row r="307" spans="1:9" ht="61.2" hidden="1" customHeight="1" outlineLevel="1" x14ac:dyDescent="0.3">
      <c r="A307" s="13"/>
      <c r="C307" s="72" t="str">
        <f>_xlfn.CONCAT(_xlfn.XLOOKUP("[S06_AircraftOperatorsConservativeEstimates][13][AircraftOperatorID]",Submission!$O:$O,Submission!$H:$N,""))</f>
        <v/>
      </c>
      <c r="D307" s="105" t="str">
        <f>_xlfn.CONCAT(_xlfn.XLOOKUP("[S06_AircraftOperatorsConservativeEstimates][13][AircraftOperatorsAnnualEmissionsCO2e]",Submission!$O:$O,Submission!$H:$N,""))</f>
        <v/>
      </c>
      <c r="E307" s="158" t="str">
        <f>_xlfn.CONCAT(_xlfn.XLOOKUP("[S06_AircraftOperatorsConservativeEstimates][13][ReasonConservativeEstimate]",Submission!$O:$O,Submission!$H:$N,""))</f>
        <v/>
      </c>
      <c r="F307" s="134" t="str">
        <f>_xlfn.CONCAT(_xlfn.XLOOKUP("[S06_AircraftOperatorsConservativeEstimates][13][AircraftOperatorsConservativeShare]",Submission!$O:$O,Submission!$H:$N,""))</f>
        <v/>
      </c>
      <c r="G307" s="72" t="str">
        <f>_xlfn.CONCAT(_xlfn.XLOOKUP("[S06_AircraftOperatorsConservativeEstimates][13][ConservativeMethod]",Submission!$O:$O,Submission!$H:$N,""))</f>
        <v/>
      </c>
      <c r="H307" s="72" t="str">
        <f>_xlfn.CONCAT(_xlfn.XLOOKUP("[S06_AircraftOperatorsConservativeEstimates][13][FurtherAction]",Submission!$O:$O,Submission!$H:$N,""))</f>
        <v/>
      </c>
      <c r="I307" s="72" t="str">
        <f>_xlfn.CONCAT(_xlfn.XLOOKUP("[S06_AircraftOperatorsConservativeEstimates][13][FurtherActionOther]",Submission!$O:$O,Submission!$H:$N,""))</f>
        <v/>
      </c>
    </row>
    <row r="308" spans="1:9" ht="61.2" hidden="1" customHeight="1" outlineLevel="1" x14ac:dyDescent="0.3">
      <c r="A308" s="13"/>
      <c r="C308" s="72" t="str">
        <f>_xlfn.CONCAT(_xlfn.XLOOKUP("[S06_AircraftOperatorsConservativeEstimates][14][AircraftOperatorID]",Submission!$O:$O,Submission!$H:$N,""))</f>
        <v/>
      </c>
      <c r="D308" s="105" t="str">
        <f>_xlfn.CONCAT(_xlfn.XLOOKUP("[S06_AircraftOperatorsConservativeEstimates][14][AircraftOperatorsAnnualEmissionsCO2e]",Submission!$O:$O,Submission!$H:$N,""))</f>
        <v/>
      </c>
      <c r="E308" s="158" t="str">
        <f>_xlfn.CONCAT(_xlfn.XLOOKUP("[S06_AircraftOperatorsConservativeEstimates][14][ReasonConservativeEstimate]",Submission!$O:$O,Submission!$H:$N,""))</f>
        <v/>
      </c>
      <c r="F308" s="134" t="str">
        <f>_xlfn.CONCAT(_xlfn.XLOOKUP("[S06_AircraftOperatorsConservativeEstimates][14][AircraftOperatorsConservativeShare]",Submission!$O:$O,Submission!$H:$N,""))</f>
        <v/>
      </c>
      <c r="G308" s="72" t="str">
        <f>_xlfn.CONCAT(_xlfn.XLOOKUP("[S06_AircraftOperatorsConservativeEstimates][14][ConservativeMethod]",Submission!$O:$O,Submission!$H:$N,""))</f>
        <v/>
      </c>
      <c r="H308" s="72" t="str">
        <f>_xlfn.CONCAT(_xlfn.XLOOKUP("[S06_AircraftOperatorsConservativeEstimates][14][FurtherAction]",Submission!$O:$O,Submission!$H:$N,""))</f>
        <v/>
      </c>
      <c r="I308" s="72" t="str">
        <f>_xlfn.CONCAT(_xlfn.XLOOKUP("[S06_AircraftOperatorsConservativeEstimates][14][FurtherActionOther]",Submission!$O:$O,Submission!$H:$N,""))</f>
        <v/>
      </c>
    </row>
    <row r="309" spans="1:9" ht="61.2" hidden="1" customHeight="1" outlineLevel="1" x14ac:dyDescent="0.3">
      <c r="A309" s="13"/>
      <c r="C309" s="72" t="str">
        <f>_xlfn.CONCAT(_xlfn.XLOOKUP("[S06_AircraftOperatorsConservativeEstimates][15][AircraftOperatorID]",Submission!$O:$O,Submission!$H:$N,""))</f>
        <v/>
      </c>
      <c r="D309" s="105" t="str">
        <f>_xlfn.CONCAT(_xlfn.XLOOKUP("[S06_AircraftOperatorsConservativeEstimates][15][AircraftOperatorsAnnualEmissionsCO2e]",Submission!$O:$O,Submission!$H:$N,""))</f>
        <v/>
      </c>
      <c r="E309" s="158" t="str">
        <f>_xlfn.CONCAT(_xlfn.XLOOKUP("[S06_AircraftOperatorsConservativeEstimates][15][ReasonConservativeEstimate]",Submission!$O:$O,Submission!$H:$N,""))</f>
        <v/>
      </c>
      <c r="F309" s="134" t="str">
        <f>_xlfn.CONCAT(_xlfn.XLOOKUP("[S06_AircraftOperatorsConservativeEstimates][15][AircraftOperatorsConservativeShare]",Submission!$O:$O,Submission!$H:$N,""))</f>
        <v/>
      </c>
      <c r="G309" s="72" t="str">
        <f>_xlfn.CONCAT(_xlfn.XLOOKUP("[S06_AircraftOperatorsConservativeEstimates][15][ConservativeMethod]",Submission!$O:$O,Submission!$H:$N,""))</f>
        <v/>
      </c>
      <c r="H309" s="72" t="str">
        <f>_xlfn.CONCAT(_xlfn.XLOOKUP("[S06_AircraftOperatorsConservativeEstimates][15][FurtherAction]",Submission!$O:$O,Submission!$H:$N,""))</f>
        <v/>
      </c>
      <c r="I309" s="72" t="str">
        <f>_xlfn.CONCAT(_xlfn.XLOOKUP("[S06_AircraftOperatorsConservativeEstimates][15][FurtherActionOther]",Submission!$O:$O,Submission!$H:$N,""))</f>
        <v/>
      </c>
    </row>
    <row r="310" spans="1:9" ht="61.2" hidden="1" customHeight="1" outlineLevel="1" x14ac:dyDescent="0.3">
      <c r="A310" s="13"/>
      <c r="C310" s="72" t="str">
        <f>_xlfn.CONCAT(_xlfn.XLOOKUP("[S06_AircraftOperatorsConservativeEstimates][16][AircraftOperatorID]",Submission!$O:$O,Submission!$H:$N,""))</f>
        <v/>
      </c>
      <c r="D310" s="105" t="str">
        <f>_xlfn.CONCAT(_xlfn.XLOOKUP("[S06_AircraftOperatorsConservativeEstimates][16][AircraftOperatorsAnnualEmissionsCO2e]",Submission!$O:$O,Submission!$H:$N,""))</f>
        <v/>
      </c>
      <c r="E310" s="158" t="str">
        <f>_xlfn.CONCAT(_xlfn.XLOOKUP("[S06_AircraftOperatorsConservativeEstimates][16][ReasonConservativeEstimate]",Submission!$O:$O,Submission!$H:$N,""))</f>
        <v/>
      </c>
      <c r="F310" s="134" t="str">
        <f>_xlfn.CONCAT(_xlfn.XLOOKUP("[S06_AircraftOperatorsConservativeEstimates][16][AircraftOperatorsConservativeShare]",Submission!$O:$O,Submission!$H:$N,""))</f>
        <v/>
      </c>
      <c r="G310" s="72" t="str">
        <f>_xlfn.CONCAT(_xlfn.XLOOKUP("[S06_AircraftOperatorsConservativeEstimates][16][ConservativeMethod]",Submission!$O:$O,Submission!$H:$N,""))</f>
        <v/>
      </c>
      <c r="H310" s="72" t="str">
        <f>_xlfn.CONCAT(_xlfn.XLOOKUP("[S06_AircraftOperatorsConservativeEstimates][16][FurtherAction]",Submission!$O:$O,Submission!$H:$N,""))</f>
        <v/>
      </c>
      <c r="I310" s="72" t="str">
        <f>_xlfn.CONCAT(_xlfn.XLOOKUP("[S06_AircraftOperatorsConservativeEstimates][16][FurtherActionOther]",Submission!$O:$O,Submission!$H:$N,""))</f>
        <v/>
      </c>
    </row>
    <row r="311" spans="1:9" ht="61.2" hidden="1" customHeight="1" outlineLevel="1" x14ac:dyDescent="0.3">
      <c r="A311" s="13"/>
      <c r="C311" s="72" t="str">
        <f>_xlfn.CONCAT(_xlfn.XLOOKUP("[S06_AircraftOperatorsConservativeEstimates][17][AircraftOperatorID]",Submission!$O:$O,Submission!$H:$N,""))</f>
        <v/>
      </c>
      <c r="D311" s="105" t="str">
        <f>_xlfn.CONCAT(_xlfn.XLOOKUP("[S06_AircraftOperatorsConservativeEstimates][17][AircraftOperatorsAnnualEmissionsCO2e]",Submission!$O:$O,Submission!$H:$N,""))</f>
        <v/>
      </c>
      <c r="E311" s="158" t="str">
        <f>_xlfn.CONCAT(_xlfn.XLOOKUP("[S06_AircraftOperatorsConservativeEstimates][17][ReasonConservativeEstimate]",Submission!$O:$O,Submission!$H:$N,""))</f>
        <v/>
      </c>
      <c r="F311" s="134" t="str">
        <f>_xlfn.CONCAT(_xlfn.XLOOKUP("[S06_AircraftOperatorsConservativeEstimates][17][AircraftOperatorsConservativeShare]",Submission!$O:$O,Submission!$H:$N,""))</f>
        <v/>
      </c>
      <c r="G311" s="72" t="str">
        <f>_xlfn.CONCAT(_xlfn.XLOOKUP("[S06_AircraftOperatorsConservativeEstimates][17][ConservativeMethod]",Submission!$O:$O,Submission!$H:$N,""))</f>
        <v/>
      </c>
      <c r="H311" s="72" t="str">
        <f>_xlfn.CONCAT(_xlfn.XLOOKUP("[S06_AircraftOperatorsConservativeEstimates][17][FurtherAction]",Submission!$O:$O,Submission!$H:$N,""))</f>
        <v/>
      </c>
      <c r="I311" s="72" t="str">
        <f>_xlfn.CONCAT(_xlfn.XLOOKUP("[S06_AircraftOperatorsConservativeEstimates][17][FurtherActionOther]",Submission!$O:$O,Submission!$H:$N,""))</f>
        <v/>
      </c>
    </row>
    <row r="312" spans="1:9" ht="61.2" hidden="1" customHeight="1" outlineLevel="1" x14ac:dyDescent="0.3">
      <c r="A312" s="13"/>
      <c r="C312" s="72" t="str">
        <f>_xlfn.CONCAT(_xlfn.XLOOKUP("[S06_AircraftOperatorsConservativeEstimates][18][AircraftOperatorID]",Submission!$O:$O,Submission!$H:$N,""))</f>
        <v/>
      </c>
      <c r="D312" s="105" t="str">
        <f>_xlfn.CONCAT(_xlfn.XLOOKUP("[S06_AircraftOperatorsConservativeEstimates][18][AircraftOperatorsAnnualEmissionsCO2e]",Submission!$O:$O,Submission!$H:$N,""))</f>
        <v/>
      </c>
      <c r="E312" s="158" t="str">
        <f>_xlfn.CONCAT(_xlfn.XLOOKUP("[S06_AircraftOperatorsConservativeEstimates][18][ReasonConservativeEstimate]",Submission!$O:$O,Submission!$H:$N,""))</f>
        <v/>
      </c>
      <c r="F312" s="134" t="str">
        <f>_xlfn.CONCAT(_xlfn.XLOOKUP("[S06_AircraftOperatorsConservativeEstimates][18][AircraftOperatorsConservativeShare]",Submission!$O:$O,Submission!$H:$N,""))</f>
        <v/>
      </c>
      <c r="G312" s="72" t="str">
        <f>_xlfn.CONCAT(_xlfn.XLOOKUP("[S06_AircraftOperatorsConservativeEstimates][18][ConservativeMethod]",Submission!$O:$O,Submission!$H:$N,""))</f>
        <v/>
      </c>
      <c r="H312" s="72" t="str">
        <f>_xlfn.CONCAT(_xlfn.XLOOKUP("[S06_AircraftOperatorsConservativeEstimates][18][FurtherAction]",Submission!$O:$O,Submission!$H:$N,""))</f>
        <v/>
      </c>
      <c r="I312" s="72" t="str">
        <f>_xlfn.CONCAT(_xlfn.XLOOKUP("[S06_AircraftOperatorsConservativeEstimates][18][FurtherActionOther]",Submission!$O:$O,Submission!$H:$N,""))</f>
        <v/>
      </c>
    </row>
    <row r="313" spans="1:9" ht="61.2" hidden="1" customHeight="1" outlineLevel="1" x14ac:dyDescent="0.3">
      <c r="A313" s="13"/>
      <c r="C313" s="72" t="str">
        <f>_xlfn.CONCAT(_xlfn.XLOOKUP("[S06_AircraftOperatorsConservativeEstimates][19][AircraftOperatorID]",Submission!$O:$O,Submission!$H:$N,""))</f>
        <v/>
      </c>
      <c r="D313" s="105" t="str">
        <f>_xlfn.CONCAT(_xlfn.XLOOKUP("[S06_AircraftOperatorsConservativeEstimates][19][AircraftOperatorsAnnualEmissionsCO2e]",Submission!$O:$O,Submission!$H:$N,""))</f>
        <v/>
      </c>
      <c r="E313" s="158" t="str">
        <f>_xlfn.CONCAT(_xlfn.XLOOKUP("[S06_AircraftOperatorsConservativeEstimates][19][ReasonConservativeEstimate]",Submission!$O:$O,Submission!$H:$N,""))</f>
        <v/>
      </c>
      <c r="F313" s="134" t="str">
        <f>_xlfn.CONCAT(_xlfn.XLOOKUP("[S06_AircraftOperatorsConservativeEstimates][19][AircraftOperatorsConservativeShare]",Submission!$O:$O,Submission!$H:$N,""))</f>
        <v/>
      </c>
      <c r="G313" s="72" t="str">
        <f>_xlfn.CONCAT(_xlfn.XLOOKUP("[S06_AircraftOperatorsConservativeEstimates][19][ConservativeMethod]",Submission!$O:$O,Submission!$H:$N,""))</f>
        <v/>
      </c>
      <c r="H313" s="72" t="str">
        <f>_xlfn.CONCAT(_xlfn.XLOOKUP("[S06_AircraftOperatorsConservativeEstimates][19][FurtherAction]",Submission!$O:$O,Submission!$H:$N,""))</f>
        <v/>
      </c>
      <c r="I313" s="72" t="str">
        <f>_xlfn.CONCAT(_xlfn.XLOOKUP("[S06_AircraftOperatorsConservativeEstimates][19][FurtherActionOther]",Submission!$O:$O,Submission!$H:$N,""))</f>
        <v/>
      </c>
    </row>
    <row r="314" spans="1:9" ht="61.2" hidden="1" customHeight="1" outlineLevel="1" x14ac:dyDescent="0.3">
      <c r="A314" s="13"/>
      <c r="C314" s="72" t="str">
        <f>_xlfn.CONCAT(_xlfn.XLOOKUP("[S06_AircraftOperatorsConservativeEstimates][20][AircraftOperatorID]",Submission!$O:$O,Submission!$H:$N,""))</f>
        <v/>
      </c>
      <c r="D314" s="105" t="str">
        <f>_xlfn.CONCAT(_xlfn.XLOOKUP("[S06_AircraftOperatorsConservativeEstimates][20][AircraftOperatorsAnnualEmissionsCO2e]",Submission!$O:$O,Submission!$H:$N,""))</f>
        <v/>
      </c>
      <c r="E314" s="158" t="str">
        <f>_xlfn.CONCAT(_xlfn.XLOOKUP("[S06_AircraftOperatorsConservativeEstimates][20][ReasonConservativeEstimate]",Submission!$O:$O,Submission!$H:$N,""))</f>
        <v/>
      </c>
      <c r="F314" s="134" t="str">
        <f>_xlfn.CONCAT(_xlfn.XLOOKUP("[S06_AircraftOperatorsConservativeEstimates][20][AircraftOperatorsConservativeShare]",Submission!$O:$O,Submission!$H:$N,""))</f>
        <v/>
      </c>
      <c r="G314" s="72" t="str">
        <f>_xlfn.CONCAT(_xlfn.XLOOKUP("[S06_AircraftOperatorsConservativeEstimates][20][ConservativeMethod]",Submission!$O:$O,Submission!$H:$N,""))</f>
        <v/>
      </c>
      <c r="H314" s="72" t="str">
        <f>_xlfn.CONCAT(_xlfn.XLOOKUP("[S06_AircraftOperatorsConservativeEstimates][20][FurtherAction]",Submission!$O:$O,Submission!$H:$N,""))</f>
        <v/>
      </c>
      <c r="I314" s="72" t="str">
        <f>_xlfn.CONCAT(_xlfn.XLOOKUP("[S06_AircraftOperatorsConservativeEstimates][20][FurtherActionOther]",Submission!$O:$O,Submission!$H:$N,""))</f>
        <v/>
      </c>
    </row>
    <row r="315" spans="1:9" ht="61.2" hidden="1" customHeight="1" outlineLevel="1" x14ac:dyDescent="0.3">
      <c r="A315" s="13"/>
      <c r="C315" s="72" t="str">
        <f>_xlfn.CONCAT(_xlfn.XLOOKUP("[S06_AircraftOperatorsConservativeEstimates][21][AircraftOperatorID]",Submission!$O:$O,Submission!$H:$N,""))</f>
        <v/>
      </c>
      <c r="D315" s="105" t="str">
        <f>_xlfn.CONCAT(_xlfn.XLOOKUP("[S06_AircraftOperatorsConservativeEstimates][21][AircraftOperatorsAnnualEmissionsCO2e]",Submission!$O:$O,Submission!$H:$N,""))</f>
        <v/>
      </c>
      <c r="E315" s="158" t="str">
        <f>_xlfn.CONCAT(_xlfn.XLOOKUP("[S06_AircraftOperatorsConservativeEstimates][21][ReasonConservativeEstimate]",Submission!$O:$O,Submission!$H:$N,""))</f>
        <v/>
      </c>
      <c r="F315" s="134" t="str">
        <f>_xlfn.CONCAT(_xlfn.XLOOKUP("[S06_AircraftOperatorsConservativeEstimates][21][AircraftOperatorsConservativeShare]",Submission!$O:$O,Submission!$H:$N,""))</f>
        <v/>
      </c>
      <c r="G315" s="72" t="str">
        <f>_xlfn.CONCAT(_xlfn.XLOOKUP("[S06_AircraftOperatorsConservativeEstimates][21][ConservativeMethod]",Submission!$O:$O,Submission!$H:$N,""))</f>
        <v/>
      </c>
      <c r="H315" s="72" t="str">
        <f>_xlfn.CONCAT(_xlfn.XLOOKUP("[S06_AircraftOperatorsConservativeEstimates][21][FurtherAction]",Submission!$O:$O,Submission!$H:$N,""))</f>
        <v/>
      </c>
      <c r="I315" s="72" t="str">
        <f>_xlfn.CONCAT(_xlfn.XLOOKUP("[S06_AircraftOperatorsConservativeEstimates][21][FurtherActionOther]",Submission!$O:$O,Submission!$H:$N,""))</f>
        <v/>
      </c>
    </row>
    <row r="316" spans="1:9" ht="15.9" customHeight="1" collapsed="1" x14ac:dyDescent="0.3">
      <c r="A316" s="13"/>
      <c r="B316" s="26" t="s">
        <v>1000</v>
      </c>
      <c r="C316" s="19"/>
      <c r="D316" s="20"/>
      <c r="E316" s="20"/>
      <c r="F316" s="20"/>
      <c r="G316" s="20"/>
      <c r="H316" s="20"/>
      <c r="I316" s="20"/>
    </row>
    <row r="317" spans="1:9" s="11" customFormat="1" ht="15" customHeight="1" x14ac:dyDescent="0.3">
      <c r="C317" s="248" t="s">
        <v>1087</v>
      </c>
      <c r="D317" s="249"/>
      <c r="E317" s="249"/>
      <c r="F317" s="249"/>
      <c r="G317" s="249"/>
      <c r="H317" s="249"/>
      <c r="I317" s="249"/>
    </row>
    <row r="318" spans="1:9" s="11" customFormat="1" ht="46.5" customHeight="1" x14ac:dyDescent="0.3">
      <c r="C318" s="367" t="s">
        <v>1088</v>
      </c>
      <c r="D318" s="380"/>
      <c r="E318" s="380"/>
      <c r="F318" s="380"/>
      <c r="G318" s="380"/>
      <c r="H318" s="380"/>
      <c r="I318" s="380"/>
    </row>
    <row r="319" spans="1:9" s="11" customFormat="1" ht="26.1" customHeight="1" x14ac:dyDescent="0.3">
      <c r="C319" s="367" t="s">
        <v>1089</v>
      </c>
      <c r="D319" s="380"/>
      <c r="E319" s="380"/>
      <c r="F319" s="380"/>
      <c r="G319" s="380"/>
      <c r="H319" s="380"/>
      <c r="I319" s="380"/>
    </row>
    <row r="320" spans="1:9" s="11" customFormat="1" ht="16.95" customHeight="1" x14ac:dyDescent="0.3">
      <c r="C320" s="19"/>
      <c r="D320" s="31"/>
      <c r="E320" s="31"/>
      <c r="F320" s="31"/>
      <c r="G320" s="31"/>
      <c r="H320" s="31"/>
      <c r="I320" s="31"/>
    </row>
    <row r="321" spans="1:9" s="11" customFormat="1" ht="18" customHeight="1" x14ac:dyDescent="0.3">
      <c r="C321" s="340" t="s">
        <v>1090</v>
      </c>
      <c r="D321" s="340"/>
      <c r="E321" s="340"/>
      <c r="F321" s="340"/>
      <c r="G321" s="340"/>
      <c r="H321" s="340"/>
      <c r="I321" s="340"/>
    </row>
    <row r="322" spans="1:9" ht="15.9" customHeight="1" x14ac:dyDescent="0.3">
      <c r="C322" s="303" t="s">
        <v>1037</v>
      </c>
      <c r="D322" s="330"/>
      <c r="E322" s="330"/>
      <c r="F322" s="330"/>
      <c r="G322" s="309"/>
      <c r="H322" s="442" t="s">
        <v>99</v>
      </c>
      <c r="I322" s="443"/>
    </row>
    <row r="323" spans="1:9" ht="15.9" customHeight="1" x14ac:dyDescent="0.3">
      <c r="C323" s="246" t="s">
        <v>1038</v>
      </c>
      <c r="D323" s="283"/>
      <c r="E323" s="283"/>
      <c r="F323" s="283"/>
      <c r="G323" s="239"/>
      <c r="H323" s="341" t="str">
        <f>_xlfn.CONCAT(_xlfn.XLOOKUP("[S06_NegativeOpinionAircraft][1][CountNegativeOpinions]",Submission!$O:$O,Submission!$H:$N,""))</f>
        <v>0</v>
      </c>
      <c r="I323" s="356"/>
    </row>
    <row r="324" spans="1:9" x14ac:dyDescent="0.3">
      <c r="C324" s="246" t="s">
        <v>1091</v>
      </c>
      <c r="D324" s="283"/>
      <c r="E324" s="283"/>
      <c r="F324" s="283"/>
      <c r="G324" s="239"/>
      <c r="H324" s="341" t="str">
        <f>_xlfn.CONCAT(_xlfn.XLOOKUP("[S06_NegativeOpinionAircraft][2][CountNegativeOpinions]",Submission!$O:$O,Submission!$H:$N,""))</f>
        <v>0</v>
      </c>
      <c r="I324" s="356"/>
    </row>
    <row r="325" spans="1:9" ht="15.9" customHeight="1" x14ac:dyDescent="0.3">
      <c r="C325" s="246" t="s">
        <v>1040</v>
      </c>
      <c r="D325" s="283"/>
      <c r="E325" s="283"/>
      <c r="F325" s="283"/>
      <c r="G325" s="239"/>
      <c r="H325" s="341" t="str">
        <f>_xlfn.CONCAT(_xlfn.XLOOKUP("[S06_NegativeOpinionAircraft][3][CountNegativeOpinions]",Submission!$O:$O,Submission!$H:$N,""))</f>
        <v>0</v>
      </c>
      <c r="I325" s="356"/>
    </row>
    <row r="326" spans="1:9" ht="18" customHeight="1" x14ac:dyDescent="0.3">
      <c r="C326" s="246" t="s">
        <v>1041</v>
      </c>
      <c r="D326" s="283"/>
      <c r="E326" s="283"/>
      <c r="F326" s="283"/>
      <c r="G326" s="239"/>
      <c r="H326" s="341" t="str">
        <f>_xlfn.CONCAT(_xlfn.XLOOKUP("[S06_NegativeOpinionAircraft][4][CountNegativeOpinions]",Submission!$O:$O,Submission!$H:$N,""))</f>
        <v>0</v>
      </c>
      <c r="I326" s="356"/>
    </row>
    <row r="327" spans="1:9" s="11" customFormat="1" ht="14.4" x14ac:dyDescent="0.3">
      <c r="C327" s="20"/>
      <c r="D327" s="24"/>
      <c r="E327" s="24"/>
      <c r="F327" s="24"/>
      <c r="G327" s="24"/>
      <c r="H327" s="24"/>
      <c r="I327" s="24"/>
    </row>
    <row r="328" spans="1:9" ht="32.1" customHeight="1" x14ac:dyDescent="0.3">
      <c r="A328" s="12" t="s">
        <v>412</v>
      </c>
      <c r="B328" s="293" t="s">
        <v>1092</v>
      </c>
      <c r="C328" s="294"/>
      <c r="D328" s="294"/>
      <c r="E328" s="294"/>
      <c r="F328" s="294"/>
      <c r="G328" s="294"/>
      <c r="H328" s="295"/>
      <c r="I328" s="41" t="str">
        <f>_xlfn.CONCAT(_xlfn.XLOOKUP("[AircraftOperatorsVerificationReportIssues][0][AircraftOperatorsVerificationReportIssues]",Submission!$O:$O,Submission!$H:$N,""))</f>
        <v>Yes</v>
      </c>
    </row>
    <row r="329" spans="1:9" ht="16.2" customHeight="1" x14ac:dyDescent="0.3">
      <c r="A329" s="12"/>
      <c r="B329" s="271" t="s">
        <v>1093</v>
      </c>
      <c r="C329" s="272"/>
      <c r="D329" s="272"/>
      <c r="E329" s="272"/>
      <c r="F329" s="272"/>
      <c r="G329" s="272"/>
      <c r="H329" s="272"/>
      <c r="I329" s="272"/>
    </row>
    <row r="330" spans="1:9" ht="15.6" customHeight="1" x14ac:dyDescent="0.3">
      <c r="A330" s="12"/>
      <c r="B330" s="22"/>
      <c r="C330" s="431" t="s">
        <v>1094</v>
      </c>
      <c r="D330" s="431"/>
      <c r="E330" s="431"/>
      <c r="F330" s="431"/>
      <c r="G330" s="431"/>
      <c r="H330" s="431"/>
      <c r="I330" s="431"/>
    </row>
    <row r="331" spans="1:9" ht="43.95" customHeight="1" x14ac:dyDescent="0.3">
      <c r="A331" s="12"/>
      <c r="B331" s="23"/>
      <c r="C331" s="303" t="s">
        <v>1044</v>
      </c>
      <c r="D331" s="304"/>
      <c r="E331" s="305"/>
      <c r="F331" s="51" t="s">
        <v>945</v>
      </c>
      <c r="G331" s="51" t="s">
        <v>1046</v>
      </c>
      <c r="H331" s="303" t="s">
        <v>1047</v>
      </c>
      <c r="I331" s="305"/>
    </row>
    <row r="332" spans="1:9" ht="15.9" customHeight="1" x14ac:dyDescent="0.3">
      <c r="A332" s="12"/>
      <c r="B332" s="23"/>
      <c r="C332" s="412" t="str">
        <f>_xlfn.CONCAT(_xlfn.XLOOKUP("[S06_AircraftOperatorsVerificationReportIssuesEmissions][1][TypeOfIssue]",Submission!$O:$O,Submission!$H:$N,""))</f>
        <v>Non-material misstatements</v>
      </c>
      <c r="D332" s="413"/>
      <c r="E332" s="414"/>
      <c r="F332" s="132" t="str">
        <f>_xlfn.CONCAT(_xlfn.XLOOKUP("[S06_AircraftOperatorsVerificationReportIssuesEmissions][1][NumberOfAircraftOperators]",Submission!$O:$O,Submission!$H:$N,""))</f>
        <v>1</v>
      </c>
      <c r="G332" s="132" t="str">
        <f>_xlfn.CONCAT(_xlfn.XLOOKUP("[S06_AircraftOperatorsVerificationReportIssuesEmissions][1][NumberOfIssues]",Submission!$O:$O,Submission!$H:$N,""))</f>
        <v>1</v>
      </c>
      <c r="H332" s="429" t="str">
        <f>_xlfn.CONCAT(_xlfn.XLOOKUP("[S06_AircraftOperatorsVerificationReportIssuesEmissions][1][ShareOfReportsConservativeEstimate]",Submission!$O:$O,Submission!$H:$N,""))</f>
        <v>0</v>
      </c>
      <c r="I332" s="430"/>
    </row>
    <row r="333" spans="1:9" ht="15.9" customHeight="1" x14ac:dyDescent="0.3">
      <c r="A333" s="12"/>
      <c r="B333" s="23"/>
      <c r="C333" s="412" t="str">
        <f>_xlfn.CONCAT(_xlfn.XLOOKUP("[S06_AircraftOperatorsVerificationReportIssuesEmissions][2][TypeOfIssue]",Submission!$O:$O,Submission!$H:$N,""))</f>
        <v>Recommendations for improvement</v>
      </c>
      <c r="D333" s="413"/>
      <c r="E333" s="414"/>
      <c r="F333" s="132" t="str">
        <f>_xlfn.CONCAT(_xlfn.XLOOKUP("[S06_AircraftOperatorsVerificationReportIssuesEmissions][2][NumberOfAircraftOperators]",Submission!$O:$O,Submission!$H:$N,""))</f>
        <v>1</v>
      </c>
      <c r="G333" s="132" t="str">
        <f>_xlfn.CONCAT(_xlfn.XLOOKUP("[S06_AircraftOperatorsVerificationReportIssuesEmissions][2][NumberOfIssues]",Submission!$O:$O,Submission!$H:$N,""))</f>
        <v>5</v>
      </c>
      <c r="H333" s="429" t="str">
        <f>_xlfn.CONCAT(_xlfn.XLOOKUP("[S06_AircraftOperatorsVerificationReportIssuesEmissions][2][ShareOfReportsConservativeEstimate]",Submission!$O:$O,Submission!$H:$N,""))</f>
        <v>0</v>
      </c>
      <c r="I333" s="430"/>
    </row>
    <row r="334" spans="1:9" ht="15.9" hidden="1" customHeight="1" outlineLevel="1" x14ac:dyDescent="0.3">
      <c r="A334" s="12"/>
      <c r="B334" s="23"/>
      <c r="C334" s="412" t="str">
        <f>_xlfn.CONCAT(_xlfn.XLOOKUP("[S06_AircraftOperatorsVerificationReportIssuesEmissions][3][TypeOfIssue]",Submission!$O:$O,Submission!$H:$N,""))</f>
        <v/>
      </c>
      <c r="D334" s="413"/>
      <c r="E334" s="414"/>
      <c r="F334" s="132" t="str">
        <f>_xlfn.CONCAT(_xlfn.XLOOKUP("[S06_AircraftOperatorsVerificationReportIssuesEmissions][3][NumberOfAircraftOperators]",Submission!$O:$O,Submission!$H:$N,""))</f>
        <v/>
      </c>
      <c r="G334" s="132" t="str">
        <f>_xlfn.CONCAT(_xlfn.XLOOKUP("[S06_AircraftOperatorsVerificationReportIssuesEmissions][3][NumberOfIssues]",Submission!$O:$O,Submission!$H:$N,""))</f>
        <v/>
      </c>
      <c r="H334" s="429" t="str">
        <f>_xlfn.CONCAT(_xlfn.XLOOKUP("[S06_AircraftOperatorsVerificationReportIssuesEmissions][3][ShareOfReportsConservativeEstimate]",Submission!$O:$O,Submission!$H:$N,""))</f>
        <v/>
      </c>
      <c r="I334" s="430"/>
    </row>
    <row r="335" spans="1:9" ht="15.9" hidden="1" customHeight="1" outlineLevel="1" x14ac:dyDescent="0.3">
      <c r="A335" s="12"/>
      <c r="B335" s="23"/>
      <c r="C335" s="412" t="str">
        <f>_xlfn.CONCAT(_xlfn.XLOOKUP("[S06_AircraftOperatorsVerificationReportIssuesEmissions][4][TypeOfIssue]",Submission!$O:$O,Submission!$H:$N,""))</f>
        <v/>
      </c>
      <c r="D335" s="413"/>
      <c r="E335" s="414"/>
      <c r="F335" s="132" t="str">
        <f>_xlfn.CONCAT(_xlfn.XLOOKUP("[S06_AircraftOperatorsVerificationReportIssuesEmissions][4][NumberOfAircraftOperators]",Submission!$O:$O,Submission!$H:$N,""))</f>
        <v/>
      </c>
      <c r="G335" s="132" t="str">
        <f>_xlfn.CONCAT(_xlfn.XLOOKUP("[S06_AircraftOperatorsVerificationReportIssuesEmissions][4][NumberOfIssues]",Submission!$O:$O,Submission!$H:$N,""))</f>
        <v/>
      </c>
      <c r="H335" s="429" t="str">
        <f>_xlfn.CONCAT(_xlfn.XLOOKUP("[S06_AircraftOperatorsVerificationReportIssuesEmissions][4][ShareOfReportsConservativeEstimate]",Submission!$O:$O,Submission!$H:$N,""))</f>
        <v/>
      </c>
      <c r="I335" s="430"/>
    </row>
    <row r="336" spans="1:9" ht="15.9" customHeight="1" collapsed="1" x14ac:dyDescent="0.3">
      <c r="A336" s="12"/>
      <c r="B336" s="26" t="s">
        <v>1000</v>
      </c>
      <c r="C336" s="19"/>
      <c r="D336" s="11"/>
      <c r="E336" s="11"/>
      <c r="F336" s="11"/>
      <c r="G336" s="11"/>
      <c r="H336" s="11"/>
    </row>
    <row r="337" spans="1:9" ht="27" customHeight="1" x14ac:dyDescent="0.3">
      <c r="A337" s="12"/>
      <c r="C337" s="248" t="s">
        <v>1095</v>
      </c>
      <c r="D337" s="249"/>
      <c r="E337" s="249"/>
      <c r="F337" s="249"/>
      <c r="G337" s="249"/>
      <c r="H337" s="249"/>
      <c r="I337" s="249"/>
    </row>
    <row r="338" spans="1:9" ht="15.9" customHeight="1" x14ac:dyDescent="0.3">
      <c r="A338" s="12"/>
      <c r="C338" s="20"/>
      <c r="D338" s="24"/>
      <c r="E338" s="24"/>
      <c r="F338" s="24"/>
      <c r="G338" s="24"/>
      <c r="H338" s="24"/>
      <c r="I338" s="24"/>
    </row>
    <row r="339" spans="1:9" ht="15.9" customHeight="1" x14ac:dyDescent="0.3">
      <c r="A339" s="12"/>
      <c r="C339" s="431" t="s">
        <v>1096</v>
      </c>
      <c r="D339" s="431"/>
      <c r="E339" s="431"/>
      <c r="F339" s="431"/>
      <c r="G339" s="431"/>
      <c r="H339" s="431"/>
      <c r="I339" s="431"/>
    </row>
    <row r="340" spans="1:9" ht="15.9" customHeight="1" x14ac:dyDescent="0.3">
      <c r="A340" s="12"/>
      <c r="B340" s="23"/>
      <c r="C340" s="303" t="s">
        <v>1044</v>
      </c>
      <c r="D340" s="304"/>
      <c r="E340" s="305"/>
      <c r="F340" s="51" t="s">
        <v>945</v>
      </c>
      <c r="G340" s="444" t="s">
        <v>1046</v>
      </c>
      <c r="H340" s="445"/>
      <c r="I340" s="446"/>
    </row>
    <row r="341" spans="1:9" ht="15.9" customHeight="1" x14ac:dyDescent="0.3">
      <c r="A341" s="12"/>
      <c r="B341" s="23"/>
      <c r="C341" s="412" t="str">
        <f>_xlfn.CONCAT(_xlfn.XLOOKUP("[S06_AircraftOperatorsVerificationReportIssuesTKM][1][TypeOfIssue]",Submission!$O:$O,Submission!$H:$N,""))</f>
        <v/>
      </c>
      <c r="D341" s="413"/>
      <c r="E341" s="414"/>
      <c r="F341" s="132" t="str">
        <f>_xlfn.CONCAT(_xlfn.XLOOKUP("[S06_AircraftOperatorsVerificationReportIssuesTKM][1][NumberOfAircraftOperators]",Submission!$O:$O,Submission!$H:$N,""))</f>
        <v/>
      </c>
      <c r="G341" s="322" t="str">
        <f>_xlfn.CONCAT(_xlfn.XLOOKUP("[S06_AircraftOperatorsVerificationReportIssuesTKM][1][NumberOfIssues]",Submission!$O:$O,Submission!$H:$N,""))</f>
        <v/>
      </c>
      <c r="H341" s="323"/>
      <c r="I341" s="324"/>
    </row>
    <row r="342" spans="1:9" ht="15.9" customHeight="1" x14ac:dyDescent="0.3">
      <c r="A342" s="12"/>
      <c r="B342" s="23"/>
      <c r="C342" s="412" t="str">
        <f>_xlfn.CONCAT(_xlfn.XLOOKUP("[S06_AircraftOperatorsVerificationReportIssuesTKM][2][TypeOfIssue]",Submission!$O:$O,Submission!$H:$N,""))</f>
        <v/>
      </c>
      <c r="D342" s="413"/>
      <c r="E342" s="414"/>
      <c r="F342" s="132" t="str">
        <f>_xlfn.CONCAT(_xlfn.XLOOKUP("[S06_AircraftOperatorsVerificationReportIssuesTKM][2][NumberOfAircraftOperators]",Submission!$O:$O,Submission!$H:$N,""))</f>
        <v/>
      </c>
      <c r="G342" s="322" t="str">
        <f>_xlfn.CONCAT(_xlfn.XLOOKUP("[S06_AircraftOperatorsVerificationReportIssuesTKM][2][NumberOfIssues]",Submission!$O:$O,Submission!$H:$N,""))</f>
        <v/>
      </c>
      <c r="H342" s="323"/>
      <c r="I342" s="324"/>
    </row>
    <row r="343" spans="1:9" ht="15.9" hidden="1" customHeight="1" outlineLevel="1" x14ac:dyDescent="0.3">
      <c r="A343" s="12"/>
      <c r="B343" s="23"/>
      <c r="C343" s="412" t="str">
        <f>_xlfn.CONCAT(_xlfn.XLOOKUP("[S06_AircraftOperatorsVerificationReportIssuesTKM][3][TypeOfIssue]",Submission!$O:$O,Submission!$H:$N,""))</f>
        <v/>
      </c>
      <c r="D343" s="413"/>
      <c r="E343" s="414"/>
      <c r="F343" s="132" t="str">
        <f>_xlfn.CONCAT(_xlfn.XLOOKUP("[S06_AircraftOperatorsVerificationReportIssuesTKM][3][NumberOfAircraftOperators]",Submission!$O:$O,Submission!$H:$N,""))</f>
        <v/>
      </c>
      <c r="G343" s="322" t="str">
        <f>_xlfn.CONCAT(_xlfn.XLOOKUP("[S06_AircraftOperatorsVerificationReportIssuesTKM][3][NumberOfIssues]",Submission!$O:$O,Submission!$H:$N,""))</f>
        <v/>
      </c>
      <c r="H343" s="323"/>
      <c r="I343" s="324"/>
    </row>
    <row r="344" spans="1:9" ht="15.9" hidden="1" customHeight="1" outlineLevel="1" x14ac:dyDescent="0.3">
      <c r="A344" s="12"/>
      <c r="B344" s="23"/>
      <c r="C344" s="412" t="str">
        <f>_xlfn.CONCAT(_xlfn.XLOOKUP("[S06_AircraftOperatorsVerificationReportIssuesTKM][4][TypeOfIssue]",Submission!$O:$O,Submission!$H:$N,""))</f>
        <v/>
      </c>
      <c r="D344" s="413"/>
      <c r="E344" s="414"/>
      <c r="F344" s="132" t="str">
        <f>_xlfn.CONCAT(_xlfn.XLOOKUP("[S06_AircraftOperatorsVerificationReportIssuesTKM][4][NumberOfAircraftOperators]",Submission!$O:$O,Submission!$H:$N,""))</f>
        <v/>
      </c>
      <c r="G344" s="322" t="str">
        <f>_xlfn.CONCAT(_xlfn.XLOOKUP("[S06_AircraftOperatorsVerificationReportIssuesTKM][4][NumberOfIssues]",Submission!$O:$O,Submission!$H:$N,""))</f>
        <v/>
      </c>
      <c r="H344" s="323"/>
      <c r="I344" s="324"/>
    </row>
    <row r="345" spans="1:9" ht="15.9" customHeight="1" collapsed="1" x14ac:dyDescent="0.3">
      <c r="A345" s="12"/>
      <c r="B345" s="26" t="s">
        <v>1000</v>
      </c>
      <c r="C345" s="19"/>
      <c r="D345" s="11"/>
      <c r="E345" s="11"/>
      <c r="F345" s="11"/>
      <c r="G345" s="11"/>
      <c r="H345" s="11"/>
    </row>
    <row r="346" spans="1:9" ht="27" customHeight="1" x14ac:dyDescent="0.3">
      <c r="A346" s="12"/>
      <c r="C346" s="248" t="s">
        <v>1095</v>
      </c>
      <c r="D346" s="249"/>
      <c r="E346" s="249"/>
      <c r="F346" s="249"/>
      <c r="G346" s="249"/>
      <c r="H346" s="249"/>
      <c r="I346" s="249"/>
    </row>
    <row r="347" spans="1:9" ht="15.9" customHeight="1" x14ac:dyDescent="0.3">
      <c r="A347" s="12"/>
      <c r="B347" s="23"/>
      <c r="D347" s="11"/>
      <c r="E347" s="11"/>
      <c r="F347" s="11"/>
    </row>
    <row r="348" spans="1:9" ht="15.9" customHeight="1" x14ac:dyDescent="0.3">
      <c r="A348" s="12" t="s">
        <v>417</v>
      </c>
      <c r="B348" s="293" t="s">
        <v>1049</v>
      </c>
      <c r="C348" s="294"/>
      <c r="D348" s="294"/>
      <c r="E348" s="294"/>
      <c r="F348" s="294"/>
      <c r="G348" s="294"/>
      <c r="H348" s="295"/>
      <c r="I348" s="41" t="str">
        <f>_xlfn.CONCAT(_xlfn.XLOOKUP("[AircraftOperatorsVerificationReportChecks][0][AircraftOperatorsVerificationReportChecks]",Submission!$O:$O,Submission!$H:$N,""))</f>
        <v/>
      </c>
    </row>
    <row r="349" spans="1:9" ht="15.9" customHeight="1" x14ac:dyDescent="0.3">
      <c r="A349" s="12"/>
      <c r="B349" s="271" t="s">
        <v>1097</v>
      </c>
      <c r="C349" s="272"/>
      <c r="D349" s="272"/>
      <c r="E349" s="272"/>
      <c r="F349" s="272"/>
      <c r="G349" s="272"/>
      <c r="H349" s="272"/>
      <c r="I349" s="272"/>
    </row>
    <row r="350" spans="1:9" ht="15.9" customHeight="1" x14ac:dyDescent="0.3">
      <c r="A350" s="12"/>
      <c r="B350" s="22"/>
      <c r="C350" s="431" t="s">
        <v>1098</v>
      </c>
      <c r="D350" s="431"/>
      <c r="E350" s="431"/>
      <c r="F350" s="431"/>
      <c r="G350" s="431"/>
      <c r="H350" s="431"/>
      <c r="I350" s="431"/>
    </row>
    <row r="351" spans="1:9" ht="15.9" customHeight="1" x14ac:dyDescent="0.3">
      <c r="A351" s="12"/>
      <c r="C351" s="315" t="s">
        <v>1099</v>
      </c>
      <c r="D351" s="316"/>
      <c r="E351" s="316"/>
      <c r="F351" s="316"/>
      <c r="G351" s="316"/>
      <c r="H351" s="316"/>
      <c r="I351" s="317"/>
    </row>
    <row r="352" spans="1:9" s="79" customFormat="1" ht="30" customHeight="1" x14ac:dyDescent="0.3">
      <c r="A352" s="131"/>
      <c r="C352" s="246" t="s">
        <v>1052</v>
      </c>
      <c r="D352" s="263"/>
      <c r="E352" s="263"/>
      <c r="F352" s="264"/>
      <c r="G352" s="138" t="str">
        <f>_xlfn.CONCAT(_xlfn.XLOOKUP("[S06_AircraftOperatorsVerificationEmissionReportChecks1][1][PercentageShare]",Submission!$O:$O,Submission!$H:$N,""))</f>
        <v>1</v>
      </c>
      <c r="H352" s="440"/>
      <c r="I352" s="441"/>
    </row>
    <row r="353" spans="1:9" s="79" customFormat="1" ht="30" customHeight="1" x14ac:dyDescent="0.3">
      <c r="A353" s="131"/>
      <c r="C353" s="246" t="s">
        <v>1053</v>
      </c>
      <c r="D353" s="263"/>
      <c r="E353" s="263"/>
      <c r="F353" s="264"/>
      <c r="G353" s="138" t="str">
        <f>_xlfn.CONCAT(_xlfn.XLOOKUP("[S06_AircraftOperatorsVerificationEmissionReportChecks1][2][PercentageShare]",Submission!$O:$O,Submission!$H:$N,""))</f>
        <v>1</v>
      </c>
      <c r="H353" s="440"/>
      <c r="I353" s="441"/>
    </row>
    <row r="354" spans="1:9" s="79" customFormat="1" ht="30" customHeight="1" x14ac:dyDescent="0.3">
      <c r="A354" s="131"/>
      <c r="C354" s="246" t="s">
        <v>1055</v>
      </c>
      <c r="D354" s="263"/>
      <c r="E354" s="263"/>
      <c r="F354" s="264"/>
      <c r="G354" s="138" t="str">
        <f>_xlfn.CONCAT(_xlfn.XLOOKUP("[S06_AircraftOperatorsVerificationEmissionReportChecks1][3][PercentageShare]",Submission!$O:$O,Submission!$H:$N,""))</f>
        <v>1</v>
      </c>
      <c r="H354" s="251" t="str">
        <f>_xlfn.CONCAT(_xlfn.XLOOKUP("[S06_AircraftOperatorsVerificationEmissionReportChecks1][3][FurtherInformation]",Submission!$O:$O,Submission!$H:$N,""))</f>
        <v>Data from EUROCONTROL, ETS Support Facility data, comparison with annual emissions reports for previous years.</v>
      </c>
      <c r="I354" s="252"/>
    </row>
    <row r="355" spans="1:9" s="79" customFormat="1" ht="43.2" customHeight="1" x14ac:dyDescent="0.3">
      <c r="A355" s="131"/>
      <c r="C355" s="246" t="s">
        <v>1100</v>
      </c>
      <c r="D355" s="263"/>
      <c r="E355" s="263"/>
      <c r="F355" s="264"/>
      <c r="G355" s="138" t="str">
        <f>_xlfn.CONCAT(_xlfn.XLOOKUP("[S06_AircraftOperatorsVerificationEmissionReportChecks1][4][PercentageShare]",Submission!$O:$O,Submission!$H:$N,""))</f>
        <v>1</v>
      </c>
      <c r="H355" s="129" t="str">
        <f>_xlfn.CONCAT(_xlfn.XLOOKUP("[S06_AircraftOperatorsVerificationEmissionReportChecks1][4][SelectingCriteria]",Submission!$O:$O,Submission!$H:$N,""))</f>
        <v/>
      </c>
      <c r="I355" s="130" t="str">
        <f>_xlfn.CONCAT(_xlfn.XLOOKUP("[S06_AircraftOperatorsVerificationEmissionReportChecks1][4][FurtherInformation]",Submission!$O:$O,Submission!$H:$N,""))</f>
        <v/>
      </c>
    </row>
    <row r="356" spans="1:9" s="79" customFormat="1" ht="30" customHeight="1" x14ac:dyDescent="0.3">
      <c r="A356" s="131"/>
      <c r="C356" s="246" t="s">
        <v>1101</v>
      </c>
      <c r="D356" s="263"/>
      <c r="E356" s="263"/>
      <c r="F356" s="264"/>
      <c r="G356" s="139" t="str">
        <f>_xlfn.CONCAT(_xlfn.XLOOKUP("[S06_AircraftOperatorsVerificationEmissionReportChecks2][1][NumberOfReports]",Submission!$O:$O,Submission!$H:$N,""))</f>
        <v>0</v>
      </c>
      <c r="H356" s="440"/>
      <c r="I356" s="441"/>
    </row>
    <row r="357" spans="1:9" s="79" customFormat="1" ht="30" customHeight="1" x14ac:dyDescent="0.3">
      <c r="A357" s="131"/>
      <c r="C357" s="246" t="s">
        <v>1102</v>
      </c>
      <c r="D357" s="263"/>
      <c r="E357" s="263"/>
      <c r="F357" s="264"/>
      <c r="G357" s="139" t="str">
        <f>_xlfn.CONCAT(_xlfn.XLOOKUP("[S06_AircraftOperatorsVerificationEmissionReportChecks2][2][NumberOfReports]",Submission!$O:$O,Submission!$H:$N,""))</f>
        <v>0</v>
      </c>
      <c r="H357" s="251" t="str">
        <f>_xlfn.CONCAT(_xlfn.XLOOKUP("[S06_AircraftOperatorsVerificationEmissionReportChecks2][2][FurtherInformation]",Submission!$O:$O,Submission!$H:$N,""))</f>
        <v/>
      </c>
      <c r="I357" s="252"/>
    </row>
    <row r="358" spans="1:9" s="79" customFormat="1" ht="30" customHeight="1" x14ac:dyDescent="0.3">
      <c r="A358" s="131"/>
      <c r="C358" s="246" t="s">
        <v>1059</v>
      </c>
      <c r="D358" s="263"/>
      <c r="E358" s="263"/>
      <c r="F358" s="264"/>
      <c r="G358" s="284" t="str">
        <f>_xlfn.CONCAT(_xlfn.XLOOKUP("[S06_AircraftOperatorsVerificationEmissionReportChecks3][1][ActionsTaken]",Submission!$O:$O,Submission!$H:$N,""))</f>
        <v>NA</v>
      </c>
      <c r="H358" s="348"/>
      <c r="I358" s="285"/>
    </row>
    <row r="359" spans="1:9" s="79" customFormat="1" ht="30" customHeight="1" x14ac:dyDescent="0.3">
      <c r="A359" s="131"/>
      <c r="C359" s="246" t="s">
        <v>1060</v>
      </c>
      <c r="D359" s="263"/>
      <c r="E359" s="263"/>
      <c r="F359" s="264"/>
      <c r="G359" s="284" t="str">
        <f>_xlfn.CONCAT(_xlfn.XLOOKUP("[S06_AircraftOperatorsVerificationEmissionReportChecks3][2][ActionsTaken]",Submission!$O:$O,Submission!$H:$N,""))</f>
        <v>NA</v>
      </c>
      <c r="H359" s="348"/>
      <c r="I359" s="285"/>
    </row>
    <row r="360" spans="1:9" ht="15.9" customHeight="1" x14ac:dyDescent="0.3">
      <c r="A360" s="12"/>
      <c r="C360" s="395" t="s">
        <v>1103</v>
      </c>
      <c r="D360" s="395"/>
      <c r="E360" s="395"/>
      <c r="F360" s="395"/>
      <c r="G360" s="395"/>
      <c r="H360" s="395"/>
      <c r="I360" s="395"/>
    </row>
    <row r="361" spans="1:9" ht="9.75" customHeight="1" x14ac:dyDescent="0.3">
      <c r="A361" s="13"/>
      <c r="C361" s="11"/>
      <c r="D361" s="11"/>
      <c r="E361" s="11"/>
      <c r="F361" s="11"/>
      <c r="G361" s="11"/>
      <c r="H361" s="11"/>
      <c r="I361" s="11"/>
    </row>
    <row r="362" spans="1:9" ht="15.9" customHeight="1" x14ac:dyDescent="0.3">
      <c r="A362" s="12"/>
      <c r="B362" s="22"/>
      <c r="C362" s="431" t="s">
        <v>1104</v>
      </c>
      <c r="D362" s="431"/>
      <c r="E362" s="431"/>
      <c r="F362" s="431"/>
      <c r="G362" s="431"/>
      <c r="H362" s="431"/>
      <c r="I362" s="431"/>
    </row>
    <row r="363" spans="1:9" ht="15.9" customHeight="1" x14ac:dyDescent="0.3">
      <c r="A363" s="12"/>
      <c r="C363" s="315" t="s">
        <v>1105</v>
      </c>
      <c r="D363" s="379"/>
      <c r="E363" s="379"/>
      <c r="F363" s="379"/>
      <c r="G363" s="379"/>
      <c r="H363" s="379"/>
      <c r="I363" s="336"/>
    </row>
    <row r="364" spans="1:9" s="58" customFormat="1" ht="29.4" customHeight="1" x14ac:dyDescent="0.3">
      <c r="A364" s="57"/>
      <c r="C364" s="246" t="s">
        <v>1106</v>
      </c>
      <c r="D364" s="263"/>
      <c r="E364" s="263"/>
      <c r="F364" s="264"/>
      <c r="G364" s="138" t="str">
        <f>_xlfn.CONCAT(_xlfn.XLOOKUP("[S06_AircraftOperatorsVerificationTKMReportChecks1][1][PercentageShare]",Submission!$O:$O,Submission!$H:$N,""))</f>
        <v>0</v>
      </c>
      <c r="H364" s="440"/>
      <c r="I364" s="441"/>
    </row>
    <row r="365" spans="1:9" s="58" customFormat="1" ht="29.4" customHeight="1" x14ac:dyDescent="0.3">
      <c r="A365" s="57"/>
      <c r="C365" s="246" t="s">
        <v>1107</v>
      </c>
      <c r="D365" s="263"/>
      <c r="E365" s="263"/>
      <c r="F365" s="264"/>
      <c r="G365" s="138" t="str">
        <f>_xlfn.CONCAT(_xlfn.XLOOKUP("[S06_AircraftOperatorsVerificationTKMReportChecks1][2][PercentageShare]",Submission!$O:$O,Submission!$H:$N,""))</f>
        <v>0</v>
      </c>
      <c r="H365" s="440"/>
      <c r="I365" s="441"/>
    </row>
    <row r="366" spans="1:9" s="58" customFormat="1" ht="29.4" customHeight="1" x14ac:dyDescent="0.3">
      <c r="A366" s="57"/>
      <c r="C366" s="246" t="s">
        <v>1108</v>
      </c>
      <c r="D366" s="263"/>
      <c r="E366" s="263"/>
      <c r="F366" s="264"/>
      <c r="G366" s="138" t="str">
        <f>_xlfn.CONCAT(_xlfn.XLOOKUP("[S06_AircraftOperatorsVerificationTKMReportChecks1][3][PercentageShare]",Submission!$O:$O,Submission!$H:$N,""))</f>
        <v>0</v>
      </c>
      <c r="H366" s="251" t="str">
        <f>_xlfn.CONCAT(_xlfn.XLOOKUP("[S06_AircraftOperatorsVerificationTKMReportChecks1][3][FurtherInformation]",Submission!$O:$O,Submission!$H:$N,""))</f>
        <v/>
      </c>
      <c r="I366" s="252"/>
    </row>
    <row r="367" spans="1:9" s="58" customFormat="1" ht="48" customHeight="1" x14ac:dyDescent="0.3">
      <c r="A367" s="57"/>
      <c r="C367" s="246" t="s">
        <v>1109</v>
      </c>
      <c r="D367" s="263"/>
      <c r="E367" s="263"/>
      <c r="F367" s="264"/>
      <c r="G367" s="138" t="str">
        <f>_xlfn.CONCAT(_xlfn.XLOOKUP("[S06_AircraftOperatorsVerificationTKMReportChecks1][4][PercentageShare]",Submission!$O:$O,Submission!$H:$N,""))</f>
        <v>0</v>
      </c>
      <c r="H367" s="129" t="str">
        <f>_xlfn.CONCAT(_xlfn.XLOOKUP("[S06_AircraftOperatorsVerificationTKMReportChecks1][4][SelectingCriteria]",Submission!$O:$O,Submission!$H:$N,""))</f>
        <v/>
      </c>
      <c r="I367" s="130" t="str">
        <f>_xlfn.CONCAT(_xlfn.XLOOKUP("[S06_AircraftOperatorsVerificationTKMReportChecks1][4][FurtherInformation]",Submission!$O:$O,Submission!$H:$N,""))</f>
        <v/>
      </c>
    </row>
    <row r="368" spans="1:9" s="58" customFormat="1" ht="29.4" customHeight="1" x14ac:dyDescent="0.3">
      <c r="A368" s="57"/>
      <c r="C368" s="246" t="s">
        <v>1110</v>
      </c>
      <c r="D368" s="263"/>
      <c r="E368" s="263"/>
      <c r="F368" s="264"/>
      <c r="G368" s="139" t="str">
        <f>_xlfn.CONCAT(_xlfn.XLOOKUP("[S06_AircraftOperatorsVerificationTKMReportChecks2][1][NumberOfReports]",Submission!$O:$O,Submission!$H:$N,""))</f>
        <v>0</v>
      </c>
      <c r="H368" s="440"/>
      <c r="I368" s="441"/>
    </row>
    <row r="369" spans="1:11" s="58" customFormat="1" ht="29.4" customHeight="1" x14ac:dyDescent="0.3">
      <c r="A369" s="57"/>
      <c r="C369" s="246" t="s">
        <v>1111</v>
      </c>
      <c r="D369" s="263"/>
      <c r="E369" s="263"/>
      <c r="F369" s="264"/>
      <c r="G369" s="139" t="str">
        <f>_xlfn.CONCAT(_xlfn.XLOOKUP("[S06_AircraftOperatorsVerificationTKMReportChecks2][2][NumberOfReports]",Submission!$O:$O,Submission!$H:$N,""))</f>
        <v>0</v>
      </c>
      <c r="H369" s="251" t="str">
        <f>_xlfn.CONCAT(_xlfn.XLOOKUP("[S06_AircraftOperatorsVerificationTKMReportChecks2][2][FurtherInformation]",Submission!$O:$O,Submission!$H:$N,""))</f>
        <v/>
      </c>
      <c r="I369" s="252"/>
    </row>
    <row r="370" spans="1:11" s="58" customFormat="1" ht="29.4" customHeight="1" x14ac:dyDescent="0.3">
      <c r="A370" s="57"/>
      <c r="C370" s="246" t="s">
        <v>1112</v>
      </c>
      <c r="D370" s="263"/>
      <c r="E370" s="263"/>
      <c r="F370" s="264"/>
      <c r="G370" s="284" t="str">
        <f>_xlfn.CONCAT(_xlfn.XLOOKUP("[S06_AircraftOperatorsVerificationTKMReportChecks3][1][ActionsTaken]",Submission!$O:$O,Submission!$H:$N,""))</f>
        <v>NA</v>
      </c>
      <c r="H370" s="348"/>
      <c r="I370" s="285"/>
    </row>
    <row r="371" spans="1:11" ht="15.9" customHeight="1" x14ac:dyDescent="0.3">
      <c r="A371" s="12"/>
      <c r="C371" s="395" t="s">
        <v>1113</v>
      </c>
      <c r="D371" s="396"/>
      <c r="E371" s="396"/>
      <c r="F371" s="396"/>
      <c r="G371" s="396"/>
      <c r="H371" s="396"/>
      <c r="I371" s="396"/>
    </row>
    <row r="372" spans="1:11" ht="15.9" customHeight="1" x14ac:dyDescent="0.3">
      <c r="A372" s="13"/>
      <c r="C372" s="29"/>
      <c r="D372" s="29"/>
      <c r="E372" s="11"/>
      <c r="F372" s="11"/>
    </row>
    <row r="373" spans="1:11" ht="15.9" customHeight="1" x14ac:dyDescent="0.3">
      <c r="A373" s="12" t="s">
        <v>423</v>
      </c>
      <c r="B373" s="293" t="s">
        <v>1114</v>
      </c>
      <c r="C373" s="294"/>
      <c r="D373" s="294"/>
      <c r="E373" s="294"/>
      <c r="F373" s="294"/>
      <c r="G373" s="294"/>
      <c r="H373" s="295"/>
      <c r="I373" s="41" t="str">
        <f>_xlfn.CONCAT(_xlfn.XLOOKUP("[AircraftOperatorsVisitsWaivedLowEmitters][0][AircraftOperatorsVisitsWaivedLowEmitters]",Submission!$O:$O,Submission!$H:$N,""))</f>
        <v>Yes</v>
      </c>
    </row>
    <row r="374" spans="1:11" ht="18.600000000000001" customHeight="1" x14ac:dyDescent="0.3">
      <c r="B374" s="293" t="s">
        <v>1115</v>
      </c>
      <c r="C374" s="294"/>
      <c r="D374" s="294"/>
      <c r="E374" s="294"/>
      <c r="F374" s="294"/>
      <c r="G374" s="294"/>
      <c r="H374" s="294"/>
      <c r="I374" s="294"/>
    </row>
    <row r="375" spans="1:11" ht="15.9" customHeight="1" x14ac:dyDescent="0.3">
      <c r="B375" s="11"/>
      <c r="C375" s="422" t="s">
        <v>1116</v>
      </c>
      <c r="D375" s="423"/>
      <c r="E375" s="423"/>
      <c r="F375" s="423"/>
      <c r="G375" s="423"/>
      <c r="H375" s="447" t="str">
        <f>_xlfn.CONCAT(_xlfn.XLOOKUP("[AircraftOperatorsVisitsWaivedLowEmittersDetail][0][AircraftOperatorsVisitsWaivedLowEmittersDetail]",Submission!$O:$O,Submission!$H:$N,""))</f>
        <v>1</v>
      </c>
      <c r="I375" s="448"/>
    </row>
    <row r="377" spans="1:11" ht="15.9" customHeight="1" x14ac:dyDescent="0.3">
      <c r="A377" s="12" t="s">
        <v>428</v>
      </c>
      <c r="B377" s="293" t="s">
        <v>1069</v>
      </c>
      <c r="C377" s="294"/>
      <c r="D377" s="294"/>
      <c r="E377" s="294"/>
      <c r="F377" s="294"/>
      <c r="G377" s="294"/>
      <c r="H377" s="295"/>
      <c r="I377" s="41" t="str">
        <f>_xlfn.CONCAT(_xlfn.XLOOKUP("[VirtualVisitsAircraft][0][VirtualVisitsAircraft]",Submission!$O:$O,Submission!$H:$N,""))</f>
        <v>No</v>
      </c>
    </row>
    <row r="378" spans="1:11" ht="15.9" customHeight="1" x14ac:dyDescent="0.3">
      <c r="B378" s="293" t="s">
        <v>1070</v>
      </c>
      <c r="C378" s="294"/>
      <c r="D378" s="294"/>
      <c r="E378" s="294"/>
      <c r="F378" s="294"/>
      <c r="G378" s="294"/>
      <c r="H378" s="294"/>
      <c r="I378" s="294"/>
    </row>
    <row r="379" spans="1:11" ht="15.9" customHeight="1" x14ac:dyDescent="0.3">
      <c r="B379" s="15" t="s">
        <v>8</v>
      </c>
      <c r="C379" s="310" t="s">
        <v>1117</v>
      </c>
      <c r="D379" s="310"/>
      <c r="E379" s="310"/>
      <c r="F379" s="310"/>
      <c r="G379" s="310"/>
      <c r="H379" s="310"/>
      <c r="I379" s="310"/>
    </row>
    <row r="380" spans="1:11" ht="15.9" customHeight="1" x14ac:dyDescent="0.3">
      <c r="B380" s="15" t="s">
        <v>8</v>
      </c>
      <c r="C380" s="310" t="s">
        <v>1072</v>
      </c>
      <c r="D380" s="310"/>
      <c r="E380" s="310"/>
      <c r="F380" s="310"/>
      <c r="G380" s="310"/>
      <c r="H380" s="310"/>
      <c r="I380" s="310"/>
      <c r="K380" s="173"/>
    </row>
    <row r="381" spans="1:11" ht="15.9" customHeight="1" x14ac:dyDescent="0.3">
      <c r="B381" s="15" t="s">
        <v>8</v>
      </c>
      <c r="C381" s="314" t="s">
        <v>1073</v>
      </c>
      <c r="D381" s="314"/>
      <c r="E381" s="314"/>
      <c r="F381" s="314"/>
      <c r="G381" s="314"/>
      <c r="H381" s="314"/>
      <c r="I381" s="314"/>
    </row>
    <row r="382" spans="1:11" ht="31.2" customHeight="1" x14ac:dyDescent="0.3">
      <c r="A382" s="12"/>
      <c r="B382" s="15"/>
      <c r="C382" s="46" t="s">
        <v>1074</v>
      </c>
      <c r="D382" s="315" t="s">
        <v>1118</v>
      </c>
      <c r="E382" s="317"/>
      <c r="F382" s="315" t="s">
        <v>1076</v>
      </c>
      <c r="G382" s="317"/>
      <c r="H382" s="315" t="s">
        <v>1077</v>
      </c>
      <c r="I382" s="317"/>
    </row>
    <row r="383" spans="1:11" ht="25.2" customHeight="1" x14ac:dyDescent="0.3">
      <c r="C383" s="72" t="str">
        <f>_xlfn.CONCAT(_xlfn.XLOOKUP("[S06_VirtualVisitsAircraftDetails][1][TypeForceMajeur]",Submission!$O:$O,Submission!$H:$N,""))</f>
        <v/>
      </c>
      <c r="D383" s="341" t="str">
        <f>_xlfn.CONCAT(_xlfn.XLOOKUP("[S06_VirtualVisitsAircraftDetails][1][NumberOfAirOperatorsVV]",Submission!$O:$O,Submission!$H:$N,""))</f>
        <v/>
      </c>
      <c r="E383" s="356"/>
      <c r="F383" s="284" t="str">
        <f>_xlfn.CONCAT(_xlfn.XLOOKUP("[S06_VirtualVisitsAircraftDetails][1][AuthorityApproval]",Submission!$O:$O,Submission!$H:$N,""))</f>
        <v/>
      </c>
      <c r="G383" s="285"/>
      <c r="H383" s="284" t="str">
        <f>_xlfn.CONCAT(_xlfn.XLOOKUP("[S06_VirtualVisitsAircraftDetails][1][ConfirmationConditionsMet]",Submission!$O:$O,Submission!$H:$N,""))</f>
        <v/>
      </c>
      <c r="I383" s="285"/>
    </row>
    <row r="384" spans="1:11" ht="25.2" customHeight="1" x14ac:dyDescent="0.3">
      <c r="C384" s="72" t="str">
        <f>_xlfn.CONCAT(_xlfn.XLOOKUP("[S06_VirtualVisitsAircraftDetails][2][TypeForceMajeur]",Submission!$O:$O,Submission!$H:$N,""))</f>
        <v/>
      </c>
      <c r="D384" s="341" t="str">
        <f>_xlfn.CONCAT(_xlfn.XLOOKUP("[S06_VirtualVisitsAircraftDetails][2][NumberOfAirOperatorsVV]",Submission!$O:$O,Submission!$H:$N,""))</f>
        <v/>
      </c>
      <c r="E384" s="356"/>
      <c r="F384" s="284" t="str">
        <f>_xlfn.CONCAT(_xlfn.XLOOKUP("[S06_VirtualVisitsAircraftDetails][2][AuthorityApproval]",Submission!$O:$O,Submission!$H:$N,""))</f>
        <v/>
      </c>
      <c r="G384" s="285"/>
      <c r="H384" s="284" t="str">
        <f>_xlfn.CONCAT(_xlfn.XLOOKUP("[S06_VirtualVisitsAircraftDetails][2][ConfirmationConditionsMet]",Submission!$O:$O,Submission!$H:$N,""))</f>
        <v/>
      </c>
      <c r="I384" s="285"/>
    </row>
    <row r="385" spans="1:9" ht="25.2" customHeight="1" x14ac:dyDescent="0.3">
      <c r="C385" s="72" t="str">
        <f>_xlfn.CONCAT(_xlfn.XLOOKUP("[S06_VirtualVisitsAircraftDetails][3][TypeForceMajeur]",Submission!$O:$O,Submission!$H:$N,""))</f>
        <v/>
      </c>
      <c r="D385" s="341" t="str">
        <f>_xlfn.CONCAT(_xlfn.XLOOKUP("[S06_VirtualVisitsAircraftDetails][3][NumberOfAirOperatorsVV]",Submission!$O:$O,Submission!$H:$N,""))</f>
        <v/>
      </c>
      <c r="E385" s="356"/>
      <c r="F385" s="284" t="str">
        <f>_xlfn.CONCAT(_xlfn.XLOOKUP("[S06_VirtualVisitsAircraftDetails][3][AuthorityApproval]",Submission!$O:$O,Submission!$H:$N,""))</f>
        <v/>
      </c>
      <c r="G385" s="285"/>
      <c r="H385" s="284" t="str">
        <f>_xlfn.CONCAT(_xlfn.XLOOKUP("[S06_VirtualVisitsAircraftDetails][3][ConfirmationConditionsMet]",Submission!$O:$O,Submission!$H:$N,""))</f>
        <v/>
      </c>
      <c r="I385" s="285"/>
    </row>
    <row r="386" spans="1:9" ht="25.2" customHeight="1" x14ac:dyDescent="0.3">
      <c r="C386" s="72" t="str">
        <f>_xlfn.CONCAT(_xlfn.XLOOKUP("[S06_VirtualVisitsAircraftDetails][4][TypeForceMajeur]",Submission!$O:$O,Submission!$H:$N,""))</f>
        <v/>
      </c>
      <c r="D386" s="341" t="str">
        <f>_xlfn.CONCAT(_xlfn.XLOOKUP("[S06_VirtualVisitsAircraftDetails][4][NumberOfAirOperatorsVV]",Submission!$O:$O,Submission!$H:$N,""))</f>
        <v/>
      </c>
      <c r="E386" s="356"/>
      <c r="F386" s="284" t="str">
        <f>_xlfn.CONCAT(_xlfn.XLOOKUP("[S06_VirtualVisitsAircraftDetails][4][AuthorityApproval]",Submission!$O:$O,Submission!$H:$N,""))</f>
        <v/>
      </c>
      <c r="G386" s="285"/>
      <c r="H386" s="284" t="str">
        <f>_xlfn.CONCAT(_xlfn.XLOOKUP("[S06_VirtualVisitsAircraftDetails][4][ConfirmationConditionsMet]",Submission!$O:$O,Submission!$H:$N,""))</f>
        <v/>
      </c>
      <c r="I386" s="285"/>
    </row>
    <row r="387" spans="1:9" ht="25.2" hidden="1" customHeight="1" outlineLevel="1" x14ac:dyDescent="0.3">
      <c r="C387" s="72" t="str">
        <f>_xlfn.CONCAT(_xlfn.XLOOKUP("[S06_VirtualVisitsAircraftDetails][5][TypeForceMajeur]",Submission!$O:$O,Submission!$H:$N,""))</f>
        <v/>
      </c>
      <c r="D387" s="341" t="str">
        <f>_xlfn.CONCAT(_xlfn.XLOOKUP("[S06_VirtualVisitsAircraftDetails][5][NumberOfAirOperatorsVV]",Submission!$O:$O,Submission!$H:$N,""))</f>
        <v/>
      </c>
      <c r="E387" s="356"/>
      <c r="F387" s="284" t="str">
        <f>_xlfn.CONCAT(_xlfn.XLOOKUP("[S06_VirtualVisitsAircraftDetails][5][AuthorityApproval]",Submission!$O:$O,Submission!$H:$N,""))</f>
        <v/>
      </c>
      <c r="G387" s="285"/>
      <c r="H387" s="284" t="str">
        <f>_xlfn.CONCAT(_xlfn.XLOOKUP("[S06_VirtualVisitsAircraftDetails][5][ConfirmationConditionsMet]",Submission!$O:$O,Submission!$H:$N,""))</f>
        <v/>
      </c>
      <c r="I387" s="285"/>
    </row>
    <row r="388" spans="1:9" ht="25.2" hidden="1" customHeight="1" outlineLevel="1" x14ac:dyDescent="0.3">
      <c r="C388" s="72" t="str">
        <f>_xlfn.CONCAT(_xlfn.XLOOKUP("[S06_VirtualVisitsAircraftDetails][6][TypeForceMajeur]",Submission!$O:$O,Submission!$H:$N,""))</f>
        <v/>
      </c>
      <c r="D388" s="341" t="str">
        <f>_xlfn.CONCAT(_xlfn.XLOOKUP("[S06_VirtualVisitsAircraftDetails][6][NumberOfAirOperatorsVV]",Submission!$O:$O,Submission!$H:$N,""))</f>
        <v/>
      </c>
      <c r="E388" s="356"/>
      <c r="F388" s="284" t="str">
        <f>_xlfn.CONCAT(_xlfn.XLOOKUP("[S06_VirtualVisitsAircraftDetails][6][AuthorityApproval]",Submission!$O:$O,Submission!$H:$N,""))</f>
        <v/>
      </c>
      <c r="G388" s="285"/>
      <c r="H388" s="284" t="str">
        <f>_xlfn.CONCAT(_xlfn.XLOOKUP("[S06_VirtualVisitsAircraftDetails][6][ConfirmationConditionsMet]",Submission!$O:$O,Submission!$H:$N,""))</f>
        <v/>
      </c>
      <c r="I388" s="285"/>
    </row>
    <row r="389" spans="1:9" ht="25.2" hidden="1" customHeight="1" outlineLevel="1" x14ac:dyDescent="0.3">
      <c r="C389" s="72" t="str">
        <f>_xlfn.CONCAT(_xlfn.XLOOKUP("[S06_VirtualVisitsAircraftDetails][7][TypeForceMajeur]",Submission!$O:$O,Submission!$H:$N,""))</f>
        <v/>
      </c>
      <c r="D389" s="341" t="str">
        <f>_xlfn.CONCAT(_xlfn.XLOOKUP("[S06_VirtualVisitsAircraftDetails][7][NumberOfAirOperatorsVV]",Submission!$O:$O,Submission!$H:$N,""))</f>
        <v/>
      </c>
      <c r="E389" s="356"/>
      <c r="F389" s="284" t="str">
        <f>_xlfn.CONCAT(_xlfn.XLOOKUP("[S06_VirtualVisitsAircraftDetails][7][AuthorityApproval]",Submission!$O:$O,Submission!$H:$N,""))</f>
        <v/>
      </c>
      <c r="G389" s="285"/>
      <c r="H389" s="284" t="str">
        <f>_xlfn.CONCAT(_xlfn.XLOOKUP("[S06_VirtualVisitsAircraftDetails][7][ConfirmationConditionsMet]",Submission!$O:$O,Submission!$H:$N,""))</f>
        <v/>
      </c>
      <c r="I389" s="285"/>
    </row>
    <row r="390" spans="1:9" ht="25.2" hidden="1" customHeight="1" outlineLevel="1" x14ac:dyDescent="0.3">
      <c r="C390" s="72" t="str">
        <f>_xlfn.CONCAT(_xlfn.XLOOKUP("[S06_VirtualVisitsAircraftDetails][8][TypeForceMajeur]",Submission!$O:$O,Submission!$H:$N,""))</f>
        <v/>
      </c>
      <c r="D390" s="341" t="str">
        <f>_xlfn.CONCAT(_xlfn.XLOOKUP("[S06_VirtualVisitsAircraftDetails][8][NumberOfAirOperatorsVV]",Submission!$O:$O,Submission!$H:$N,""))</f>
        <v/>
      </c>
      <c r="E390" s="356"/>
      <c r="F390" s="284" t="str">
        <f>_xlfn.CONCAT(_xlfn.XLOOKUP("[S06_VirtualVisitsAircraftDetails][8][AuthorityApproval]",Submission!$O:$O,Submission!$H:$N,""))</f>
        <v/>
      </c>
      <c r="G390" s="285"/>
      <c r="H390" s="284" t="str">
        <f>_xlfn.CONCAT(_xlfn.XLOOKUP("[S06_VirtualVisitsAircraftDetails][8][ConfirmationConditionsMet]",Submission!$O:$O,Submission!$H:$N,""))</f>
        <v/>
      </c>
      <c r="I390" s="285"/>
    </row>
    <row r="391" spans="1:9" ht="25.2" hidden="1" customHeight="1" outlineLevel="1" x14ac:dyDescent="0.3">
      <c r="C391" s="72" t="str">
        <f>_xlfn.CONCAT(_xlfn.XLOOKUP("[S06_VirtualVisitsAircraftDetails][9][TypeForceMajeur]",Submission!$O:$O,Submission!$H:$N,""))</f>
        <v/>
      </c>
      <c r="D391" s="341" t="str">
        <f>_xlfn.CONCAT(_xlfn.XLOOKUP("[S06_VirtualVisitsAircraftDetails][9][NumberOfAirOperatorsVV]",Submission!$O:$O,Submission!$H:$N,""))</f>
        <v/>
      </c>
      <c r="E391" s="356"/>
      <c r="F391" s="284" t="str">
        <f>_xlfn.CONCAT(_xlfn.XLOOKUP("[S06_VirtualVisitsAircraftDetails][9][AuthorityApproval]",Submission!$O:$O,Submission!$H:$N,""))</f>
        <v/>
      </c>
      <c r="G391" s="285"/>
      <c r="H391" s="284" t="str">
        <f>_xlfn.CONCAT(_xlfn.XLOOKUP("[S06_VirtualVisitsAircraftDetails][9][ConfirmationConditionsMet]",Submission!$O:$O,Submission!$H:$N,""))</f>
        <v/>
      </c>
      <c r="I391" s="285"/>
    </row>
    <row r="392" spans="1:9" ht="25.2" hidden="1" customHeight="1" outlineLevel="1" x14ac:dyDescent="0.3">
      <c r="C392" s="72" t="str">
        <f>_xlfn.CONCAT(_xlfn.XLOOKUP("[S06_VirtualVisitsAircraftDetails][10][TypeForceMajeur]",Submission!$O:$O,Submission!$H:$N,""))</f>
        <v/>
      </c>
      <c r="D392" s="341" t="str">
        <f>_xlfn.CONCAT(_xlfn.XLOOKUP("[S06_VirtualVisitsAircraftDetails][10][NumberOfAirOperatorsVV]",Submission!$O:$O,Submission!$H:$N,""))</f>
        <v/>
      </c>
      <c r="E392" s="356"/>
      <c r="F392" s="284" t="str">
        <f>_xlfn.CONCAT(_xlfn.XLOOKUP("[S06_VirtualVisitsAircraftDetails][10][AuthorityApproval]",Submission!$O:$O,Submission!$H:$N,""))</f>
        <v/>
      </c>
      <c r="G392" s="285"/>
      <c r="H392" s="284" t="str">
        <f>_xlfn.CONCAT(_xlfn.XLOOKUP("[S06_VirtualVisitsAircraftDetails][10][ConfirmationConditionsMet]",Submission!$O:$O,Submission!$H:$N,""))</f>
        <v/>
      </c>
      <c r="I392" s="285"/>
    </row>
    <row r="393" spans="1:9" ht="25.2" hidden="1" customHeight="1" outlineLevel="1" x14ac:dyDescent="0.3">
      <c r="C393" s="72" t="str">
        <f>_xlfn.CONCAT(_xlfn.XLOOKUP("[S06_VirtualVisitsAircraftDetails][11][TypeForceMajeur]",Submission!$O:$O,Submission!$H:$N,""))</f>
        <v/>
      </c>
      <c r="D393" s="341" t="str">
        <f>_xlfn.CONCAT(_xlfn.XLOOKUP("[S06_VirtualVisitsAircraftDetails][11][NumberOfAirOperatorsVV]",Submission!$O:$O,Submission!$H:$N,""))</f>
        <v/>
      </c>
      <c r="E393" s="356"/>
      <c r="F393" s="284" t="str">
        <f>_xlfn.CONCAT(_xlfn.XLOOKUP("[S06_VirtualVisitsAircraftDetails][11][AuthorityApproval]",Submission!$O:$O,Submission!$H:$N,""))</f>
        <v/>
      </c>
      <c r="G393" s="285"/>
      <c r="H393" s="284" t="str">
        <f>_xlfn.CONCAT(_xlfn.XLOOKUP("[S06_VirtualVisitsAircraftDetails][11][ConfirmationConditionsMet]",Submission!$O:$O,Submission!$H:$N,""))</f>
        <v/>
      </c>
      <c r="I393" s="285"/>
    </row>
    <row r="394" spans="1:9" ht="25.2" hidden="1" customHeight="1" outlineLevel="1" x14ac:dyDescent="0.3">
      <c r="C394" s="72" t="str">
        <f>_xlfn.CONCAT(_xlfn.XLOOKUP("[S06_VirtualVisitsAircraftDetails][12][TypeForceMajeur]",Submission!$O:$O,Submission!$H:$N,""))</f>
        <v/>
      </c>
      <c r="D394" s="341" t="str">
        <f>_xlfn.CONCAT(_xlfn.XLOOKUP("[S06_VirtualVisitsAircraftDetails][12][NumberOfAirOperatorsVV]",Submission!$O:$O,Submission!$H:$N,""))</f>
        <v/>
      </c>
      <c r="E394" s="356"/>
      <c r="F394" s="284" t="str">
        <f>_xlfn.CONCAT(_xlfn.XLOOKUP("[S06_VirtualVisitsAircraftDetails][12][AuthorityApproval]",Submission!$O:$O,Submission!$H:$N,""))</f>
        <v/>
      </c>
      <c r="G394" s="285"/>
      <c r="H394" s="284" t="str">
        <f>_xlfn.CONCAT(_xlfn.XLOOKUP("[S06_VirtualVisitsAircraftDetails][12][ConfirmationConditionsMet]",Submission!$O:$O,Submission!$H:$N,""))</f>
        <v/>
      </c>
      <c r="I394" s="285"/>
    </row>
    <row r="395" spans="1:9" ht="15.9" customHeight="1" collapsed="1" x14ac:dyDescent="0.3">
      <c r="A395" s="13"/>
      <c r="B395" s="26" t="s">
        <v>1000</v>
      </c>
      <c r="C395" s="19"/>
      <c r="D395" s="11"/>
      <c r="E395" s="11"/>
      <c r="F395" s="11"/>
      <c r="G395" s="11"/>
      <c r="H395" s="11"/>
    </row>
    <row r="396" spans="1:9" ht="15.9" customHeight="1" x14ac:dyDescent="0.3">
      <c r="A396" s="13"/>
      <c r="B396" s="449" t="s">
        <v>1078</v>
      </c>
      <c r="C396" s="449"/>
      <c r="D396" s="449"/>
      <c r="E396" s="449"/>
      <c r="F396" s="449"/>
      <c r="G396" s="449"/>
      <c r="H396" s="449"/>
      <c r="I396" s="449"/>
    </row>
  </sheetData>
  <dataConsolidate/>
  <mergeCells count="536">
    <mergeCell ref="D387:E387"/>
    <mergeCell ref="D388:E388"/>
    <mergeCell ref="D389:E389"/>
    <mergeCell ref="D390:E390"/>
    <mergeCell ref="D391:E391"/>
    <mergeCell ref="D392:E392"/>
    <mergeCell ref="D393:E393"/>
    <mergeCell ref="D394:E394"/>
    <mergeCell ref="H383:I383"/>
    <mergeCell ref="H384:I384"/>
    <mergeCell ref="H385:I385"/>
    <mergeCell ref="H386:I386"/>
    <mergeCell ref="H387:I387"/>
    <mergeCell ref="H388:I388"/>
    <mergeCell ref="H389:I389"/>
    <mergeCell ref="H390:I390"/>
    <mergeCell ref="H391:I391"/>
    <mergeCell ref="H392:I392"/>
    <mergeCell ref="H393:I393"/>
    <mergeCell ref="H394:I394"/>
    <mergeCell ref="C242:D242"/>
    <mergeCell ref="C151:D151"/>
    <mergeCell ref="E151:F151"/>
    <mergeCell ref="C152:D152"/>
    <mergeCell ref="E152:F152"/>
    <mergeCell ref="C146:D146"/>
    <mergeCell ref="E146:F146"/>
    <mergeCell ref="C147:D147"/>
    <mergeCell ref="E147:F147"/>
    <mergeCell ref="C148:D148"/>
    <mergeCell ref="E148:F148"/>
    <mergeCell ref="C149:D149"/>
    <mergeCell ref="E149:F149"/>
    <mergeCell ref="C150:D150"/>
    <mergeCell ref="E150:F150"/>
    <mergeCell ref="C169:D169"/>
    <mergeCell ref="E169:F169"/>
    <mergeCell ref="C170:D170"/>
    <mergeCell ref="E170:F170"/>
    <mergeCell ref="C171:D171"/>
    <mergeCell ref="E171:F171"/>
    <mergeCell ref="C172:D172"/>
    <mergeCell ref="E172:F172"/>
    <mergeCell ref="C183:D183"/>
    <mergeCell ref="C141:D141"/>
    <mergeCell ref="E141:F141"/>
    <mergeCell ref="C142:D142"/>
    <mergeCell ref="E142:F142"/>
    <mergeCell ref="C143:D143"/>
    <mergeCell ref="E143:F143"/>
    <mergeCell ref="C144:D144"/>
    <mergeCell ref="E144:F144"/>
    <mergeCell ref="C145:D145"/>
    <mergeCell ref="E145:F145"/>
    <mergeCell ref="C133:D133"/>
    <mergeCell ref="E133:F133"/>
    <mergeCell ref="C134:D134"/>
    <mergeCell ref="E134:F134"/>
    <mergeCell ref="C135:D135"/>
    <mergeCell ref="E135:F135"/>
    <mergeCell ref="C136:D136"/>
    <mergeCell ref="E136:F136"/>
    <mergeCell ref="C137:D137"/>
    <mergeCell ref="E137:F137"/>
    <mergeCell ref="C138:D138"/>
    <mergeCell ref="E138:F138"/>
    <mergeCell ref="C139:D139"/>
    <mergeCell ref="E139:F139"/>
    <mergeCell ref="C140:D140"/>
    <mergeCell ref="E140:F140"/>
    <mergeCell ref="B396:I396"/>
    <mergeCell ref="C36:G36"/>
    <mergeCell ref="C37:G37"/>
    <mergeCell ref="C186:D186"/>
    <mergeCell ref="E186:F186"/>
    <mergeCell ref="C187:D187"/>
    <mergeCell ref="E187:F187"/>
    <mergeCell ref="E175:F175"/>
    <mergeCell ref="C176:D176"/>
    <mergeCell ref="E176:F176"/>
    <mergeCell ref="C177:D177"/>
    <mergeCell ref="E177:F177"/>
    <mergeCell ref="C153:D153"/>
    <mergeCell ref="E153:F153"/>
    <mergeCell ref="C154:D154"/>
    <mergeCell ref="E154:F154"/>
    <mergeCell ref="C155:D155"/>
    <mergeCell ref="E155:F155"/>
    <mergeCell ref="E183:F183"/>
    <mergeCell ref="C184:D184"/>
    <mergeCell ref="E184:F184"/>
    <mergeCell ref="C185:D185"/>
    <mergeCell ref="E185:F185"/>
    <mergeCell ref="B377:H377"/>
    <mergeCell ref="B378:I378"/>
    <mergeCell ref="C379:I379"/>
    <mergeCell ref="C380:I380"/>
    <mergeCell ref="B374:I374"/>
    <mergeCell ref="C375:G375"/>
    <mergeCell ref="H375:I375"/>
    <mergeCell ref="C368:F368"/>
    <mergeCell ref="H368:I368"/>
    <mergeCell ref="C369:F369"/>
    <mergeCell ref="H369:I369"/>
    <mergeCell ref="H357:I357"/>
    <mergeCell ref="C353:F353"/>
    <mergeCell ref="H353:I353"/>
    <mergeCell ref="C354:F354"/>
    <mergeCell ref="H354:I354"/>
    <mergeCell ref="C346:I346"/>
    <mergeCell ref="B348:H348"/>
    <mergeCell ref="B349:I349"/>
    <mergeCell ref="C161:D161"/>
    <mergeCell ref="E161:F161"/>
    <mergeCell ref="C162:D162"/>
    <mergeCell ref="E162:F162"/>
    <mergeCell ref="C163:D163"/>
    <mergeCell ref="C178:D178"/>
    <mergeCell ref="E178:F178"/>
    <mergeCell ref="C179:D179"/>
    <mergeCell ref="E179:F179"/>
    <mergeCell ref="C156:D156"/>
    <mergeCell ref="E156:F156"/>
    <mergeCell ref="C157:D157"/>
    <mergeCell ref="E157:F157"/>
    <mergeCell ref="C158:D158"/>
    <mergeCell ref="E158:F158"/>
    <mergeCell ref="C159:D159"/>
    <mergeCell ref="E159:F159"/>
    <mergeCell ref="C160:D160"/>
    <mergeCell ref="E160:F160"/>
    <mergeCell ref="C16:G16"/>
    <mergeCell ref="C50:G50"/>
    <mergeCell ref="C29:G29"/>
    <mergeCell ref="C39:G39"/>
    <mergeCell ref="C30:G30"/>
    <mergeCell ref="C31:G31"/>
    <mergeCell ref="B130:H130"/>
    <mergeCell ref="B131:I131"/>
    <mergeCell ref="C132:D132"/>
    <mergeCell ref="E132:F132"/>
    <mergeCell ref="C17:G17"/>
    <mergeCell ref="C18:G18"/>
    <mergeCell ref="C19:G19"/>
    <mergeCell ref="C20:G20"/>
    <mergeCell ref="C21:G21"/>
    <mergeCell ref="C22:G22"/>
    <mergeCell ref="C23:G23"/>
    <mergeCell ref="C24:G24"/>
    <mergeCell ref="C25:G25"/>
    <mergeCell ref="C26:G26"/>
    <mergeCell ref="C27:G27"/>
    <mergeCell ref="C28:G28"/>
    <mergeCell ref="B76:I76"/>
    <mergeCell ref="C119:I119"/>
    <mergeCell ref="C32:G32"/>
    <mergeCell ref="C33:G33"/>
    <mergeCell ref="C34:G34"/>
    <mergeCell ref="C35:G35"/>
    <mergeCell ref="C38:G38"/>
    <mergeCell ref="C180:D180"/>
    <mergeCell ref="E180:F180"/>
    <mergeCell ref="C181:D181"/>
    <mergeCell ref="E181:F181"/>
    <mergeCell ref="C120:I120"/>
    <mergeCell ref="C121:I121"/>
    <mergeCell ref="B123:I123"/>
    <mergeCell ref="C124:G124"/>
    <mergeCell ref="H124:I124"/>
    <mergeCell ref="C66:F67"/>
    <mergeCell ref="C68:F69"/>
    <mergeCell ref="C70:F71"/>
    <mergeCell ref="C72:I72"/>
    <mergeCell ref="C73:I73"/>
    <mergeCell ref="B75:I75"/>
    <mergeCell ref="C59:F60"/>
    <mergeCell ref="G59:H59"/>
    <mergeCell ref="G60:H60"/>
    <mergeCell ref="C61:F62"/>
    <mergeCell ref="C182:D182"/>
    <mergeCell ref="E182:F182"/>
    <mergeCell ref="C173:D173"/>
    <mergeCell ref="E173:F173"/>
    <mergeCell ref="C174:D174"/>
    <mergeCell ref="E174:F174"/>
    <mergeCell ref="C175:D175"/>
    <mergeCell ref="E163:F163"/>
    <mergeCell ref="C367:F367"/>
    <mergeCell ref="C363:I363"/>
    <mergeCell ref="C364:F364"/>
    <mergeCell ref="H364:I364"/>
    <mergeCell ref="C365:F365"/>
    <mergeCell ref="H365:I365"/>
    <mergeCell ref="C366:F366"/>
    <mergeCell ref="H366:I366"/>
    <mergeCell ref="C359:F359"/>
    <mergeCell ref="G359:I359"/>
    <mergeCell ref="C360:I360"/>
    <mergeCell ref="C362:I362"/>
    <mergeCell ref="C355:F355"/>
    <mergeCell ref="C356:F356"/>
    <mergeCell ref="H356:I356"/>
    <mergeCell ref="C357:F357"/>
    <mergeCell ref="C330:I330"/>
    <mergeCell ref="C337:I337"/>
    <mergeCell ref="C339:I339"/>
    <mergeCell ref="C343:E343"/>
    <mergeCell ref="C344:E344"/>
    <mergeCell ref="G343:I343"/>
    <mergeCell ref="G344:I344"/>
    <mergeCell ref="C351:I351"/>
    <mergeCell ref="C352:F352"/>
    <mergeCell ref="H352:I352"/>
    <mergeCell ref="C340:E340"/>
    <mergeCell ref="C341:E341"/>
    <mergeCell ref="C342:E342"/>
    <mergeCell ref="G340:I340"/>
    <mergeCell ref="G341:I341"/>
    <mergeCell ref="G342:I342"/>
    <mergeCell ref="H331:I331"/>
    <mergeCell ref="C332:E332"/>
    <mergeCell ref="C333:E333"/>
    <mergeCell ref="C334:E334"/>
    <mergeCell ref="C335:E335"/>
    <mergeCell ref="H326:I326"/>
    <mergeCell ref="B328:H328"/>
    <mergeCell ref="B329:I329"/>
    <mergeCell ref="C322:G322"/>
    <mergeCell ref="H322:I322"/>
    <mergeCell ref="C323:G323"/>
    <mergeCell ref="H323:I323"/>
    <mergeCell ref="C324:G324"/>
    <mergeCell ref="H324:I324"/>
    <mergeCell ref="C245:D245"/>
    <mergeCell ref="E260:G260"/>
    <mergeCell ref="H260:I260"/>
    <mergeCell ref="C246:D246"/>
    <mergeCell ref="E261:G261"/>
    <mergeCell ref="H261:I261"/>
    <mergeCell ref="C248:D248"/>
    <mergeCell ref="C249:D249"/>
    <mergeCell ref="C250:D250"/>
    <mergeCell ref="C251:D251"/>
    <mergeCell ref="C252:D252"/>
    <mergeCell ref="C253:D253"/>
    <mergeCell ref="C254:D254"/>
    <mergeCell ref="C255:D255"/>
    <mergeCell ref="C256:D256"/>
    <mergeCell ref="C257:D257"/>
    <mergeCell ref="C258:D258"/>
    <mergeCell ref="C259:D259"/>
    <mergeCell ref="E248:G248"/>
    <mergeCell ref="H248:I248"/>
    <mergeCell ref="E249:G249"/>
    <mergeCell ref="H249:I249"/>
    <mergeCell ref="E250:G250"/>
    <mergeCell ref="H250:I250"/>
    <mergeCell ref="C243:D243"/>
    <mergeCell ref="E258:G258"/>
    <mergeCell ref="H258:I258"/>
    <mergeCell ref="C244:D244"/>
    <mergeCell ref="E259:G259"/>
    <mergeCell ref="H259:I259"/>
    <mergeCell ref="C237:F237"/>
    <mergeCell ref="G237:I237"/>
    <mergeCell ref="C238:I238"/>
    <mergeCell ref="B240:H240"/>
    <mergeCell ref="B241:I241"/>
    <mergeCell ref="E242:G242"/>
    <mergeCell ref="H242:I242"/>
    <mergeCell ref="E253:G253"/>
    <mergeCell ref="H253:I253"/>
    <mergeCell ref="E254:G254"/>
    <mergeCell ref="H254:I254"/>
    <mergeCell ref="E255:G255"/>
    <mergeCell ref="H255:I255"/>
    <mergeCell ref="E256:G256"/>
    <mergeCell ref="H256:I256"/>
    <mergeCell ref="E257:G257"/>
    <mergeCell ref="H257:I257"/>
    <mergeCell ref="C247:D247"/>
    <mergeCell ref="C234:F234"/>
    <mergeCell ref="H234:I234"/>
    <mergeCell ref="C235:F235"/>
    <mergeCell ref="H235:I235"/>
    <mergeCell ref="C236:F236"/>
    <mergeCell ref="G236:I236"/>
    <mergeCell ref="C231:F231"/>
    <mergeCell ref="H231:I231"/>
    <mergeCell ref="C232:F232"/>
    <mergeCell ref="H232:I232"/>
    <mergeCell ref="C233:F233"/>
    <mergeCell ref="B227:I227"/>
    <mergeCell ref="C228:I228"/>
    <mergeCell ref="C229:F229"/>
    <mergeCell ref="H229:I229"/>
    <mergeCell ref="C230:F230"/>
    <mergeCell ref="H230:I230"/>
    <mergeCell ref="C191:D191"/>
    <mergeCell ref="E191:F191"/>
    <mergeCell ref="C192:D192"/>
    <mergeCell ref="E192:F192"/>
    <mergeCell ref="C224:I224"/>
    <mergeCell ref="B226:H226"/>
    <mergeCell ref="C193:D193"/>
    <mergeCell ref="E193:F193"/>
    <mergeCell ref="C194:D194"/>
    <mergeCell ref="E194:F194"/>
    <mergeCell ref="C195:D195"/>
    <mergeCell ref="E195:F195"/>
    <mergeCell ref="C196:D196"/>
    <mergeCell ref="E196:F196"/>
    <mergeCell ref="C197:D197"/>
    <mergeCell ref="E197:F197"/>
    <mergeCell ref="C198:D198"/>
    <mergeCell ref="E198:F198"/>
    <mergeCell ref="C188:D188"/>
    <mergeCell ref="E188:F188"/>
    <mergeCell ref="C189:D189"/>
    <mergeCell ref="E189:F189"/>
    <mergeCell ref="C190:D190"/>
    <mergeCell ref="E190:F190"/>
    <mergeCell ref="C128:G128"/>
    <mergeCell ref="H128:I128"/>
    <mergeCell ref="C125:G125"/>
    <mergeCell ref="H125:I125"/>
    <mergeCell ref="C126:G126"/>
    <mergeCell ref="H126:I126"/>
    <mergeCell ref="C127:G127"/>
    <mergeCell ref="H127:I127"/>
    <mergeCell ref="C164:D164"/>
    <mergeCell ref="E164:F164"/>
    <mergeCell ref="C165:D165"/>
    <mergeCell ref="E165:F165"/>
    <mergeCell ref="C166:D166"/>
    <mergeCell ref="E166:F166"/>
    <mergeCell ref="C167:D167"/>
    <mergeCell ref="E167:F167"/>
    <mergeCell ref="C168:D168"/>
    <mergeCell ref="E168:F168"/>
    <mergeCell ref="C63:F64"/>
    <mergeCell ref="C65:F65"/>
    <mergeCell ref="G65:I65"/>
    <mergeCell ref="B53:I53"/>
    <mergeCell ref="C54:I54"/>
    <mergeCell ref="C55:F56"/>
    <mergeCell ref="G55:H55"/>
    <mergeCell ref="G56:H56"/>
    <mergeCell ref="C57:F58"/>
    <mergeCell ref="G57:H57"/>
    <mergeCell ref="G58:H58"/>
    <mergeCell ref="E251:G251"/>
    <mergeCell ref="H251:I251"/>
    <mergeCell ref="E252:G252"/>
    <mergeCell ref="H252:I252"/>
    <mergeCell ref="E243:G243"/>
    <mergeCell ref="H243:I243"/>
    <mergeCell ref="E244:G244"/>
    <mergeCell ref="H244:I244"/>
    <mergeCell ref="E245:G245"/>
    <mergeCell ref="H245:I245"/>
    <mergeCell ref="E246:G246"/>
    <mergeCell ref="H246:I246"/>
    <mergeCell ref="E247:G247"/>
    <mergeCell ref="H247:I247"/>
    <mergeCell ref="C260:D260"/>
    <mergeCell ref="C261:D261"/>
    <mergeCell ref="C262:D262"/>
    <mergeCell ref="E262:G262"/>
    <mergeCell ref="H262:I262"/>
    <mergeCell ref="C264:I264"/>
    <mergeCell ref="B266:H266"/>
    <mergeCell ref="B267:I267"/>
    <mergeCell ref="C274:I274"/>
    <mergeCell ref="D275:E275"/>
    <mergeCell ref="F275:G275"/>
    <mergeCell ref="H275:I275"/>
    <mergeCell ref="C268:G268"/>
    <mergeCell ref="H268:I268"/>
    <mergeCell ref="B270:H270"/>
    <mergeCell ref="B271:I271"/>
    <mergeCell ref="C272:I272"/>
    <mergeCell ref="C273:I273"/>
    <mergeCell ref="F276:G276"/>
    <mergeCell ref="F277:G277"/>
    <mergeCell ref="F278:G278"/>
    <mergeCell ref="F279:G279"/>
    <mergeCell ref="F280:G280"/>
    <mergeCell ref="F281:G281"/>
    <mergeCell ref="F282:G282"/>
    <mergeCell ref="F283:G283"/>
    <mergeCell ref="F284:G284"/>
    <mergeCell ref="H382:I382"/>
    <mergeCell ref="F383:G383"/>
    <mergeCell ref="F384:G384"/>
    <mergeCell ref="F385:G385"/>
    <mergeCell ref="F386:G386"/>
    <mergeCell ref="F387:G387"/>
    <mergeCell ref="F388:G388"/>
    <mergeCell ref="H335:I335"/>
    <mergeCell ref="C331:E331"/>
    <mergeCell ref="H332:I332"/>
    <mergeCell ref="H333:I333"/>
    <mergeCell ref="H334:I334"/>
    <mergeCell ref="C350:I350"/>
    <mergeCell ref="C358:F358"/>
    <mergeCell ref="G358:I358"/>
    <mergeCell ref="C381:I381"/>
    <mergeCell ref="C370:F370"/>
    <mergeCell ref="G370:I370"/>
    <mergeCell ref="C371:I371"/>
    <mergeCell ref="B373:H373"/>
    <mergeCell ref="D383:E383"/>
    <mergeCell ref="D384:E384"/>
    <mergeCell ref="D385:E385"/>
    <mergeCell ref="D386:E386"/>
    <mergeCell ref="D283:E283"/>
    <mergeCell ref="D284:E284"/>
    <mergeCell ref="F389:G389"/>
    <mergeCell ref="F390:G390"/>
    <mergeCell ref="F391:G391"/>
    <mergeCell ref="F392:G392"/>
    <mergeCell ref="F393:G393"/>
    <mergeCell ref="F394:G394"/>
    <mergeCell ref="D382:E382"/>
    <mergeCell ref="F382:G382"/>
    <mergeCell ref="F288:G288"/>
    <mergeCell ref="F285:G285"/>
    <mergeCell ref="F286:G286"/>
    <mergeCell ref="F287:G287"/>
    <mergeCell ref="C317:I317"/>
    <mergeCell ref="C318:I318"/>
    <mergeCell ref="C319:I319"/>
    <mergeCell ref="C321:I321"/>
    <mergeCell ref="B290:I290"/>
    <mergeCell ref="B292:I292"/>
    <mergeCell ref="B293:I293"/>
    <mergeCell ref="C325:G325"/>
    <mergeCell ref="H325:I325"/>
    <mergeCell ref="C326:G326"/>
    <mergeCell ref="D285:E285"/>
    <mergeCell ref="D286:E286"/>
    <mergeCell ref="D287:E287"/>
    <mergeCell ref="D288:E288"/>
    <mergeCell ref="H276:I276"/>
    <mergeCell ref="H277:I277"/>
    <mergeCell ref="H278:I278"/>
    <mergeCell ref="H279:I279"/>
    <mergeCell ref="H280:I280"/>
    <mergeCell ref="H281:I281"/>
    <mergeCell ref="H282:I282"/>
    <mergeCell ref="H283:I283"/>
    <mergeCell ref="H284:I284"/>
    <mergeCell ref="H285:I285"/>
    <mergeCell ref="H286:I286"/>
    <mergeCell ref="H287:I287"/>
    <mergeCell ref="H288:I288"/>
    <mergeCell ref="D276:E276"/>
    <mergeCell ref="D277:E277"/>
    <mergeCell ref="D278:E278"/>
    <mergeCell ref="D279:E279"/>
    <mergeCell ref="D280:E280"/>
    <mergeCell ref="D281:E281"/>
    <mergeCell ref="D282:E282"/>
    <mergeCell ref="A1:I1"/>
    <mergeCell ref="C49:G49"/>
    <mergeCell ref="C40:G40"/>
    <mergeCell ref="C41:G41"/>
    <mergeCell ref="C42:G42"/>
    <mergeCell ref="C43:G43"/>
    <mergeCell ref="C44:G44"/>
    <mergeCell ref="C45:G45"/>
    <mergeCell ref="C46:G46"/>
    <mergeCell ref="C47:G47"/>
    <mergeCell ref="C48:G48"/>
    <mergeCell ref="C8:E8"/>
    <mergeCell ref="C9:E9"/>
    <mergeCell ref="C10:E10"/>
    <mergeCell ref="C11:E11"/>
    <mergeCell ref="B12:I12"/>
    <mergeCell ref="B15:I15"/>
    <mergeCell ref="B3:I3"/>
    <mergeCell ref="B4:I4"/>
    <mergeCell ref="B5:I5"/>
    <mergeCell ref="C6:E7"/>
    <mergeCell ref="F6:G6"/>
    <mergeCell ref="H6:I6"/>
    <mergeCell ref="B13:I13"/>
    <mergeCell ref="C199:D199"/>
    <mergeCell ref="E199:F199"/>
    <mergeCell ref="C200:D200"/>
    <mergeCell ref="E200:F200"/>
    <mergeCell ref="C201:D201"/>
    <mergeCell ref="E201:F201"/>
    <mergeCell ref="C202:D202"/>
    <mergeCell ref="E202:F202"/>
    <mergeCell ref="C203:D203"/>
    <mergeCell ref="E203:F203"/>
    <mergeCell ref="C204:D204"/>
    <mergeCell ref="E204:F204"/>
    <mergeCell ref="C205:D205"/>
    <mergeCell ref="E205:F205"/>
    <mergeCell ref="C206:D206"/>
    <mergeCell ref="E206:F206"/>
    <mergeCell ref="C207:D207"/>
    <mergeCell ref="E207:F207"/>
    <mergeCell ref="C208:D208"/>
    <mergeCell ref="E208:F208"/>
    <mergeCell ref="C209:D209"/>
    <mergeCell ref="E209:F209"/>
    <mergeCell ref="C210:D210"/>
    <mergeCell ref="E210:F210"/>
    <mergeCell ref="C211:D211"/>
    <mergeCell ref="E211:F211"/>
    <mergeCell ref="C212:D212"/>
    <mergeCell ref="E212:F212"/>
    <mergeCell ref="C213:D213"/>
    <mergeCell ref="E213:F213"/>
    <mergeCell ref="C219:D219"/>
    <mergeCell ref="E219:F219"/>
    <mergeCell ref="C220:D220"/>
    <mergeCell ref="E220:F220"/>
    <mergeCell ref="C221:D221"/>
    <mergeCell ref="E221:F221"/>
    <mergeCell ref="C222:D222"/>
    <mergeCell ref="E222:F222"/>
    <mergeCell ref="C214:D214"/>
    <mergeCell ref="E214:F214"/>
    <mergeCell ref="C215:D215"/>
    <mergeCell ref="E215:F215"/>
    <mergeCell ref="C216:D216"/>
    <mergeCell ref="E216:F216"/>
    <mergeCell ref="C217:D217"/>
    <mergeCell ref="E217:F217"/>
    <mergeCell ref="C218:D218"/>
    <mergeCell ref="E218:F218"/>
  </mergeCells>
  <dataValidations count="18">
    <dataValidation type="list" allowBlank="1" showInputMessage="1" showErrorMessage="1" sqref="H78:H117" xr:uid="{00000000-0002-0000-0A00-000000000000}">
      <formula1>_6.3_col6</formula1>
    </dataValidation>
    <dataValidation type="list" allowBlank="1" showInputMessage="1" showErrorMessage="1" sqref="G56:I56 G58:I58 G60:I60" xr:uid="{00000000-0002-0000-0A00-000001000000}">
      <formula1>Yes_No_Partially</formula1>
    </dataValidation>
    <dataValidation type="list" allowBlank="1" showInputMessage="1" showErrorMessage="1" sqref="E78:E117" xr:uid="{00000000-0002-0000-0A00-000002000000}">
      <formula1>_6.3_col3</formula1>
    </dataValidation>
    <dataValidation type="list" allowBlank="1" showInputMessage="1" showErrorMessage="1" sqref="C17:C50" xr:uid="{00000000-0002-0000-0A00-000003000000}">
      <formula1>_6.1b_col1</formula1>
    </dataValidation>
    <dataValidation type="list" allowBlank="1" showInputMessage="1" showErrorMessage="1" sqref="H355 H367" xr:uid="{00000000-0002-0000-0A00-000004000000}">
      <formula1>_6.10_col4_r3</formula1>
    </dataValidation>
    <dataValidation type="list" allowBlank="1" showInputMessage="1" showErrorMessage="1" sqref="H295:H315" xr:uid="{00000000-0002-0000-0A00-000005000000}">
      <formula1>_6.8_col6</formula1>
    </dataValidation>
    <dataValidation type="list" allowBlank="1" showInputMessage="1" showErrorMessage="1" sqref="F383:F394 F276:F288" xr:uid="{00000000-0002-0000-0A00-000006000000}">
      <formula1>_6.7_col3</formula1>
    </dataValidation>
    <dataValidation type="list" allowBlank="1" showInputMessage="1" showErrorMessage="1" sqref="H233" xr:uid="{00000000-0002-0000-0A00-000007000000}">
      <formula1>_6.5_col3_r5</formula1>
    </dataValidation>
    <dataValidation type="list" allowBlank="1" showInputMessage="1" showErrorMessage="1" sqref="C332:C335 C341:C344" xr:uid="{00000000-0002-0000-0A00-000008000000}">
      <formula1>_6.9_col1</formula1>
    </dataValidation>
    <dataValidation type="list" allowBlank="1" showInputMessage="1" showErrorMessage="1" sqref="E295:E315" xr:uid="{00000000-0002-0000-0A00-000009000000}">
      <formula1>_6.8_col3</formula1>
    </dataValidation>
    <dataValidation type="list" allowBlank="1" showInputMessage="1" showErrorMessage="1" sqref="D133:E222" xr:uid="{00000000-0002-0000-0A00-00000A000000}">
      <formula1>_6.4_col2</formula1>
    </dataValidation>
    <dataValidation type="list" allowBlank="1" showInputMessage="1" showErrorMessage="1" sqref="E243:E262 C133:C222" xr:uid="{00000000-0002-0000-0A00-00000B000000}">
      <formula1>Annex_I</formula1>
    </dataValidation>
    <dataValidation type="list" allowBlank="1" showInputMessage="1" showErrorMessage="1" sqref="I240 I328 I130 I226 I373 I348 I266 I270 I377" xr:uid="{00000000-0002-0000-0A00-00000C000000}">
      <formula1>Yes_No</formula1>
    </dataValidation>
    <dataValidation type="list" allowBlank="1" showInputMessage="1" showErrorMessage="1" sqref="C243:C262" xr:uid="{00000000-0002-0000-0A00-00000D000000}">
      <formula1>_6.6_col1</formula1>
    </dataValidation>
    <dataValidation type="whole" operator="greaterThanOrEqual" allowBlank="1" showInputMessage="1" showErrorMessage="1" error="Please type a whole number greater or equal to zero" sqref="F8:F11 H17:I50 F332:G335 H8:H11 H323:I326 G62:I62 G64:I65 G67:I67 G69:I69 G71:I71 H125:I128 H375:I375 G234:G235 H243:I262 D276:E288 D383:E394 F341:I344 G356:G357 G368:G369" xr:uid="{1A2E09BC-114C-4FE7-BE6D-E0E44C385686}">
      <formula1>0</formula1>
    </dataValidation>
    <dataValidation type="decimal" operator="greaterThanOrEqual" allowBlank="1" showInputMessage="1" showErrorMessage="1" error="Please type a number greater or equal to zero" sqref="D78:D117 F295:F315 G229:G233 D295:D315 F78:F117 H332:I335 G352:G355 G364:G367" xr:uid="{F43ABD00-A2B7-49D4-B918-B8A2468050FE}">
      <formula1>0</formula1>
    </dataValidation>
    <dataValidation type="whole" operator="greaterThan" allowBlank="1" showInputMessage="1" showErrorMessage="1" error="Please type a whole number greater or equal to zero" sqref="H268:I268" xr:uid="{AE08B0D5-F85C-4994-B40A-05F993CE7003}">
      <formula1>0</formula1>
    </dataValidation>
    <dataValidation type="decimal" operator="greaterThanOrEqual" allowBlank="1" showInputMessage="1" showErrorMessage="1" sqref="G133:I222" xr:uid="{E390D04B-6359-4CE6-A39B-19A9CB31B900}">
      <formula1>0</formula1>
    </dataValidation>
  </dataValidations>
  <pageMargins left="0.7" right="0.7" top="0.75" bottom="0.75" header="0.3" footer="0.3"/>
  <pageSetup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68</vt:i4>
      </vt:variant>
    </vt:vector>
  </HeadingPairs>
  <TitlesOfParts>
    <vt:vector size="85" baseType="lpstr">
      <vt:lpstr>Submission</vt:lpstr>
      <vt:lpstr>Instructions</vt:lpstr>
      <vt:lpstr>Explanatory note</vt:lpstr>
      <vt:lpstr>Q 1</vt:lpstr>
      <vt:lpstr>Q 2</vt:lpstr>
      <vt:lpstr>Q 3</vt:lpstr>
      <vt:lpstr>Q 4</vt:lpstr>
      <vt:lpstr>Q 5</vt:lpstr>
      <vt:lpstr>Q 6</vt:lpstr>
      <vt:lpstr>Q 7</vt:lpstr>
      <vt:lpstr>Q 8</vt:lpstr>
      <vt:lpstr>Q 9</vt:lpstr>
      <vt:lpstr>Q 10</vt:lpstr>
      <vt:lpstr>Q 11</vt:lpstr>
      <vt:lpstr>Q 12</vt:lpstr>
      <vt:lpstr>Q 13</vt:lpstr>
      <vt:lpstr>Lists and version log</vt:lpstr>
      <vt:lpstr>_10.3a_col1</vt:lpstr>
      <vt:lpstr>_10.7a_col1</vt:lpstr>
      <vt:lpstr>_3.2_col1</vt:lpstr>
      <vt:lpstr>_5.09_col4</vt:lpstr>
      <vt:lpstr>_5.09_col5</vt:lpstr>
      <vt:lpstr>_5.10_col1</vt:lpstr>
      <vt:lpstr>_5.11_col2</vt:lpstr>
      <vt:lpstr>_5.11_col3</vt:lpstr>
      <vt:lpstr>_5.12_col1</vt:lpstr>
      <vt:lpstr>_5.12_col3</vt:lpstr>
      <vt:lpstr>_5.13_col1</vt:lpstr>
      <vt:lpstr>_5.17_col1</vt:lpstr>
      <vt:lpstr>_5.23_col1</vt:lpstr>
      <vt:lpstr>_5.3_col2</vt:lpstr>
      <vt:lpstr>_5.4_col1</vt:lpstr>
      <vt:lpstr>_5.6_col1</vt:lpstr>
      <vt:lpstr>_5.6_col2</vt:lpstr>
      <vt:lpstr>_5.7_col1</vt:lpstr>
      <vt:lpstr>_5.9_col3</vt:lpstr>
      <vt:lpstr>_5A.4_col1</vt:lpstr>
      <vt:lpstr>_6.10_col4_r3</vt:lpstr>
      <vt:lpstr>_6.1b_col1</vt:lpstr>
      <vt:lpstr>_6.3_col3</vt:lpstr>
      <vt:lpstr>_6.3_col6</vt:lpstr>
      <vt:lpstr>_6.4_col2</vt:lpstr>
      <vt:lpstr>_6.5_col3_r5</vt:lpstr>
      <vt:lpstr>_6.6_col1</vt:lpstr>
      <vt:lpstr>_6.7_col3</vt:lpstr>
      <vt:lpstr>_6.8_col3</vt:lpstr>
      <vt:lpstr>_6.8_col6</vt:lpstr>
      <vt:lpstr>_6.9_col1</vt:lpstr>
      <vt:lpstr>_8.13_col2</vt:lpstr>
      <vt:lpstr>_8.16_col3</vt:lpstr>
      <vt:lpstr>_8.18a_col1</vt:lpstr>
      <vt:lpstr>_8.9_col2</vt:lpstr>
      <vt:lpstr>Annex_I</vt:lpstr>
      <vt:lpstr>H6.1</vt:lpstr>
      <vt:lpstr>H6.10</vt:lpstr>
      <vt:lpstr>H6.11</vt:lpstr>
      <vt:lpstr>H6.12</vt:lpstr>
      <vt:lpstr>H6.2</vt:lpstr>
      <vt:lpstr>H6.3</vt:lpstr>
      <vt:lpstr>H6.4</vt:lpstr>
      <vt:lpstr>H6.5</vt:lpstr>
      <vt:lpstr>H6.6</vt:lpstr>
      <vt:lpstr>H6.7</vt:lpstr>
      <vt:lpstr>H6.8</vt:lpstr>
      <vt:lpstr>H6.9</vt:lpstr>
      <vt:lpstr>H8.1</vt:lpstr>
      <vt:lpstr>H8.10</vt:lpstr>
      <vt:lpstr>H8.11</vt:lpstr>
      <vt:lpstr>H8.12</vt:lpstr>
      <vt:lpstr>H8.13</vt:lpstr>
      <vt:lpstr>H8.14</vt:lpstr>
      <vt:lpstr>H8.15</vt:lpstr>
      <vt:lpstr>H8.16</vt:lpstr>
      <vt:lpstr>H8.17</vt:lpstr>
      <vt:lpstr>H8.18</vt:lpstr>
      <vt:lpstr>H8.2</vt:lpstr>
      <vt:lpstr>H8.3</vt:lpstr>
      <vt:lpstr>H8.4</vt:lpstr>
      <vt:lpstr>H8.5</vt:lpstr>
      <vt:lpstr>H8.6</vt:lpstr>
      <vt:lpstr>H8.7</vt:lpstr>
      <vt:lpstr>H8.8</vt:lpstr>
      <vt:lpstr>Penalty_type</vt:lpstr>
      <vt:lpstr>Yes_No</vt:lpstr>
      <vt:lpstr>Yes_No_Partially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Javier Esparrago</dc:creator>
  <cp:keywords/>
  <dc:description/>
  <cp:lastModifiedBy>Javier Esparrago</cp:lastModifiedBy>
  <cp:revision/>
  <dcterms:created xsi:type="dcterms:W3CDTF">2013-06-19T13:45:14Z</dcterms:created>
  <dcterms:modified xsi:type="dcterms:W3CDTF">2023-05-30T00:26:14Z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