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28E0EA91-16C9-40F6-8673-859EBF718A9F}"/>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43" i="43" l="1"/>
  <c r="O2342" i="43"/>
  <c r="O2341" i="43"/>
  <c r="O2340" i="43"/>
  <c r="O2339" i="43"/>
  <c r="O2338" i="43"/>
  <c r="O2337" i="43"/>
  <c r="O2336" i="43"/>
  <c r="O2335" i="43"/>
  <c r="O2334" i="43"/>
  <c r="O2333" i="43"/>
  <c r="O2332" i="43"/>
  <c r="O2331" i="43"/>
  <c r="O2330" i="43"/>
  <c r="O2329" i="43"/>
  <c r="O2328" i="43"/>
  <c r="O2327" i="43"/>
  <c r="O2326" i="43"/>
  <c r="O2325" i="43"/>
  <c r="O2324" i="43"/>
  <c r="O2323" i="43"/>
  <c r="O2322" i="43"/>
  <c r="O2321" i="43"/>
  <c r="O2320" i="43"/>
  <c r="O2319" i="43"/>
  <c r="O2318" i="43"/>
  <c r="O2317" i="43"/>
  <c r="O2316" i="43"/>
  <c r="O2315" i="43"/>
  <c r="O2314" i="43"/>
  <c r="O2313" i="43"/>
  <c r="O2312" i="43"/>
  <c r="O2311" i="43"/>
  <c r="O2310" i="43"/>
  <c r="O2309" i="43"/>
  <c r="O2308" i="43"/>
  <c r="O2307" i="43"/>
  <c r="O2306" i="43"/>
  <c r="O2305" i="43"/>
  <c r="O2304" i="43"/>
  <c r="O2303" i="43"/>
  <c r="O2302" i="43"/>
  <c r="O2301" i="43"/>
  <c r="O2300" i="43"/>
  <c r="O2299" i="43"/>
  <c r="O2298" i="43"/>
  <c r="O2297" i="43"/>
  <c r="O2296" i="43"/>
  <c r="O2295" i="43"/>
  <c r="O2294" i="43"/>
  <c r="O2293" i="43"/>
  <c r="O2292" i="43"/>
  <c r="O2291" i="43"/>
  <c r="O2290" i="43"/>
  <c r="O2289" i="43"/>
  <c r="O2288" i="43"/>
  <c r="O2287" i="43"/>
  <c r="O2286" i="43"/>
  <c r="O2285" i="43"/>
  <c r="O2284" i="43"/>
  <c r="O2283" i="43"/>
  <c r="O2282" i="43"/>
  <c r="O2281" i="43"/>
  <c r="O2280" i="43"/>
  <c r="O2279" i="43"/>
  <c r="O2278" i="43"/>
  <c r="O2277" i="43"/>
  <c r="O2276" i="43"/>
  <c r="O2275" i="43"/>
  <c r="O2274" i="43"/>
  <c r="O2273" i="43"/>
  <c r="O2272" i="43"/>
  <c r="O2271" i="43"/>
  <c r="O2270" i="43"/>
  <c r="O2269" i="43"/>
  <c r="O2268" i="43"/>
  <c r="O2267" i="43"/>
  <c r="O2266" i="43"/>
  <c r="O2265" i="43"/>
  <c r="O2264" i="43"/>
  <c r="O2263" i="43"/>
  <c r="O2262" i="43"/>
  <c r="O2261" i="43"/>
  <c r="O2260" i="43"/>
  <c r="O2259" i="43"/>
  <c r="O2258" i="43"/>
  <c r="O2257" i="43"/>
  <c r="O2256" i="43"/>
  <c r="O2255" i="43"/>
  <c r="O2254" i="43"/>
  <c r="O2253" i="43"/>
  <c r="O2252" i="43"/>
  <c r="O2251" i="43"/>
  <c r="O2250" i="43"/>
  <c r="O2249" i="43"/>
  <c r="O2248" i="43"/>
  <c r="O2247" i="43"/>
  <c r="O2246" i="43"/>
  <c r="O2245" i="43"/>
  <c r="O2244" i="43"/>
  <c r="O2243" i="43"/>
  <c r="O2242" i="43"/>
  <c r="O2241" i="43"/>
  <c r="O2240" i="43"/>
  <c r="O2239" i="43"/>
  <c r="O2238" i="43"/>
  <c r="O2237" i="43"/>
  <c r="O2236" i="43"/>
  <c r="O2235" i="43"/>
  <c r="O2234" i="43"/>
  <c r="O2233" i="43"/>
  <c r="O2232" i="43"/>
  <c r="O2231" i="43"/>
  <c r="O2230" i="43"/>
  <c r="O2229" i="43"/>
  <c r="O2228" i="43"/>
  <c r="O2227" i="43"/>
  <c r="O2226" i="43"/>
  <c r="O2225" i="43"/>
  <c r="O2224" i="43"/>
  <c r="O2223" i="43"/>
  <c r="O2222" i="43"/>
  <c r="O2221" i="43"/>
  <c r="O2220" i="43"/>
  <c r="O2219" i="43"/>
  <c r="O2218" i="43"/>
  <c r="O2217" i="43"/>
  <c r="O2216" i="43"/>
  <c r="O2215" i="43"/>
  <c r="O2214" i="43"/>
  <c r="O2213" i="43"/>
  <c r="O2212" i="43"/>
  <c r="O2211" i="43"/>
  <c r="O2210" i="43"/>
  <c r="O2209" i="43"/>
  <c r="O2208" i="43"/>
  <c r="O2207" i="43"/>
  <c r="O2206" i="43"/>
  <c r="O2205" i="43"/>
  <c r="O2204" i="43"/>
  <c r="O2203" i="43"/>
  <c r="O2202" i="43"/>
  <c r="O2201" i="43"/>
  <c r="O2200" i="43"/>
  <c r="O2199" i="43"/>
  <c r="O2198" i="43"/>
  <c r="O2197" i="43"/>
  <c r="O2196" i="43"/>
  <c r="O2195" i="43"/>
  <c r="O2194" i="43"/>
  <c r="O2193" i="43"/>
  <c r="O2192" i="43"/>
  <c r="O2191" i="43"/>
  <c r="O2190" i="43"/>
  <c r="O2189" i="43"/>
  <c r="O2188" i="43"/>
  <c r="O2187" i="43"/>
  <c r="O2186" i="43"/>
  <c r="O2185" i="43"/>
  <c r="O2184" i="43"/>
  <c r="O2183" i="43"/>
  <c r="O2182" i="43"/>
  <c r="O2181" i="43"/>
  <c r="O2180" i="43"/>
  <c r="O2179" i="43"/>
  <c r="O2178" i="43"/>
  <c r="O2177" i="43"/>
  <c r="O2176" i="43"/>
  <c r="O2175" i="43"/>
  <c r="O2174" i="43"/>
  <c r="O2173" i="43"/>
  <c r="O2172" i="43"/>
  <c r="O2171" i="43"/>
  <c r="O2170" i="43"/>
  <c r="O2169" i="43"/>
  <c r="O2168" i="43"/>
  <c r="O2167" i="43"/>
  <c r="O2166" i="43"/>
  <c r="O2165" i="43"/>
  <c r="O2164" i="43"/>
  <c r="O2163" i="43"/>
  <c r="O2162" i="43"/>
  <c r="O2161" i="43"/>
  <c r="O2160" i="43"/>
  <c r="O2159" i="43"/>
  <c r="O2158" i="43"/>
  <c r="O2157" i="43"/>
  <c r="O2156" i="43"/>
  <c r="O2155" i="43"/>
  <c r="O2154" i="43"/>
  <c r="O2153" i="43"/>
  <c r="O2152" i="43"/>
  <c r="O2151" i="43"/>
  <c r="O2150" i="43"/>
  <c r="O2149" i="43"/>
  <c r="O2148" i="43"/>
  <c r="O2147" i="43"/>
  <c r="O2146" i="43"/>
  <c r="O2145" i="43"/>
  <c r="O2144" i="43"/>
  <c r="O2143" i="43"/>
  <c r="O2142" i="43"/>
  <c r="O2141" i="43"/>
  <c r="O2140" i="43"/>
  <c r="O2139" i="43"/>
  <c r="O2138" i="43"/>
  <c r="O2137" i="43"/>
  <c r="O2136" i="43"/>
  <c r="O2135" i="43"/>
  <c r="O2134" i="43"/>
  <c r="O2133" i="43"/>
  <c r="O2132" i="43"/>
  <c r="O2131" i="43"/>
  <c r="O2130" i="43"/>
  <c r="O2129" i="43"/>
  <c r="O2128" i="43"/>
  <c r="O2127" i="43"/>
  <c r="O2126" i="43"/>
  <c r="O2125" i="43"/>
  <c r="O2124" i="43"/>
  <c r="O2123" i="43"/>
  <c r="O2122" i="43"/>
  <c r="O2121" i="43"/>
  <c r="O2120" i="43"/>
  <c r="O2119" i="43"/>
  <c r="O2118" i="43"/>
  <c r="O2117" i="43"/>
  <c r="O2116" i="43"/>
  <c r="O2115" i="43"/>
  <c r="O2114" i="43"/>
  <c r="O2113" i="43"/>
  <c r="O2112" i="43"/>
  <c r="O2111" i="43"/>
  <c r="O2110" i="43"/>
  <c r="O2109" i="43"/>
  <c r="O2108" i="43"/>
  <c r="O2107" i="43"/>
  <c r="O2106" i="43"/>
  <c r="O2105" i="43"/>
  <c r="O2104" i="43"/>
  <c r="O2103" i="43"/>
  <c r="O2102" i="43"/>
  <c r="O2101" i="43"/>
  <c r="O2100" i="43"/>
  <c r="O2099" i="43"/>
  <c r="O2098" i="43"/>
  <c r="O2097" i="43"/>
  <c r="O2096" i="43"/>
  <c r="O2095" i="43"/>
  <c r="O2094" i="43"/>
  <c r="O2093" i="43"/>
  <c r="O2092" i="43"/>
  <c r="O2091" i="43"/>
  <c r="O2090" i="43"/>
  <c r="O2089" i="43"/>
  <c r="O2088" i="43"/>
  <c r="O2087" i="43"/>
  <c r="O2086" i="43"/>
  <c r="O2085" i="43"/>
  <c r="O2084" i="43"/>
  <c r="O2083" i="43"/>
  <c r="O2082" i="43"/>
  <c r="O2081" i="43"/>
  <c r="O2080" i="43"/>
  <c r="O2079" i="43"/>
  <c r="O2078" i="43"/>
  <c r="O2077" i="43"/>
  <c r="O2076" i="43"/>
  <c r="O2075" i="43"/>
  <c r="O2074" i="43"/>
  <c r="O2073" i="43"/>
  <c r="O2072" i="43"/>
  <c r="O2071" i="43"/>
  <c r="O2070" i="43"/>
  <c r="O2069" i="43"/>
  <c r="O2068" i="43"/>
  <c r="O2067" i="43"/>
  <c r="O2066" i="43"/>
  <c r="O2065" i="43"/>
  <c r="O2064" i="43"/>
  <c r="O2063" i="43"/>
  <c r="O2062" i="43"/>
  <c r="O2061" i="43"/>
  <c r="O2060" i="43"/>
  <c r="O2059" i="43"/>
  <c r="O2058" i="43"/>
  <c r="O2057" i="43"/>
  <c r="O2056" i="43"/>
  <c r="O2055" i="43"/>
  <c r="O2054" i="43"/>
  <c r="O2053" i="43"/>
  <c r="O2052" i="43"/>
  <c r="O2051" i="43"/>
  <c r="O2050" i="43"/>
  <c r="O2049" i="43"/>
  <c r="O2048" i="43"/>
  <c r="O2047" i="43"/>
  <c r="O2046" i="43"/>
  <c r="O2045" i="43"/>
  <c r="O2044" i="43"/>
  <c r="O2043" i="43"/>
  <c r="O2042" i="43"/>
  <c r="O2041" i="43"/>
  <c r="O2040" i="43"/>
  <c r="O2039" i="43"/>
  <c r="O2038" i="43"/>
  <c r="O2037" i="43"/>
  <c r="O2036" i="43"/>
  <c r="O2035" i="43"/>
  <c r="O2034" i="43"/>
  <c r="O2033" i="43"/>
  <c r="O2032" i="43"/>
  <c r="O2031" i="43"/>
  <c r="O2030" i="43"/>
  <c r="O2029" i="43"/>
  <c r="O2028" i="43"/>
  <c r="O2027" i="43"/>
  <c r="O2026" i="43"/>
  <c r="O2025" i="43"/>
  <c r="O2024" i="43"/>
  <c r="O2023" i="43"/>
  <c r="O2022" i="43"/>
  <c r="O2021" i="43"/>
  <c r="O2020" i="43"/>
  <c r="O2019" i="43"/>
  <c r="O2018" i="43"/>
  <c r="O2017" i="43"/>
  <c r="O2016" i="43"/>
  <c r="O2015" i="43"/>
  <c r="O2014" i="43"/>
  <c r="O2013" i="43"/>
  <c r="O2012" i="43"/>
  <c r="O2011" i="43"/>
  <c r="O2010" i="43"/>
  <c r="O2009" i="43"/>
  <c r="O2008" i="43"/>
  <c r="O2007" i="43"/>
  <c r="O2006" i="43"/>
  <c r="O2005" i="43"/>
  <c r="O2004" i="43"/>
  <c r="O2003" i="43"/>
  <c r="O2002" i="43"/>
  <c r="O2001" i="43"/>
  <c r="O2000" i="43"/>
  <c r="O1999" i="43"/>
  <c r="O1998" i="43"/>
  <c r="O1997" i="43"/>
  <c r="O1996" i="43"/>
  <c r="O1995" i="43"/>
  <c r="O1994" i="43"/>
  <c r="O1993" i="43"/>
  <c r="O1992" i="43"/>
  <c r="O1991" i="43"/>
  <c r="O1990" i="43"/>
  <c r="O1989" i="43"/>
  <c r="O1988" i="43"/>
  <c r="O1987" i="43"/>
  <c r="O1986" i="43"/>
  <c r="O1985" i="43"/>
  <c r="O1984" i="43"/>
  <c r="O1983" i="43"/>
  <c r="O1982" i="43"/>
  <c r="O1981" i="43"/>
  <c r="O1980" i="43"/>
  <c r="O1979" i="43"/>
  <c r="O1978" i="43"/>
  <c r="O1977" i="43"/>
  <c r="O1976" i="43"/>
  <c r="O1975" i="43"/>
  <c r="O1974" i="43"/>
  <c r="O1973" i="43"/>
  <c r="O1972" i="43"/>
  <c r="O1971" i="43"/>
  <c r="O1970" i="43"/>
  <c r="O1969" i="43"/>
  <c r="O1968" i="43"/>
  <c r="O1967" i="43"/>
  <c r="O1966" i="43"/>
  <c r="O1965" i="43"/>
  <c r="O1964" i="43"/>
  <c r="O1963" i="43"/>
  <c r="O1962" i="43"/>
  <c r="O1961" i="43"/>
  <c r="O1960" i="43"/>
  <c r="O1959" i="43"/>
  <c r="O1958" i="43"/>
  <c r="O1957" i="43"/>
  <c r="O1956" i="43"/>
  <c r="O1955" i="43"/>
  <c r="O1954" i="43"/>
  <c r="O1953" i="43"/>
  <c r="O1952" i="43"/>
  <c r="O1951" i="43"/>
  <c r="O1950" i="43"/>
  <c r="O1949" i="43"/>
  <c r="O1948" i="43"/>
  <c r="O1947" i="43"/>
  <c r="O1946" i="43"/>
  <c r="O1945" i="43"/>
  <c r="O1944" i="43"/>
  <c r="O1943" i="43"/>
  <c r="O1942" i="43"/>
  <c r="O1941" i="43"/>
  <c r="O1940" i="43"/>
  <c r="O1939" i="43"/>
  <c r="O1938" i="43"/>
  <c r="O1937" i="43"/>
  <c r="O1936" i="43"/>
  <c r="O1935" i="43"/>
  <c r="O1934" i="43"/>
  <c r="O1933" i="43"/>
  <c r="O1932" i="43"/>
  <c r="O1931" i="43"/>
  <c r="O1930" i="43"/>
  <c r="O1929" i="43"/>
  <c r="O1928" i="43"/>
  <c r="O1927" i="43"/>
  <c r="O1926" i="43"/>
  <c r="O1925" i="43"/>
  <c r="O1924" i="43"/>
  <c r="O1923" i="43"/>
  <c r="O1922" i="43"/>
  <c r="O1921" i="43"/>
  <c r="O1920" i="43"/>
  <c r="O1919" i="43"/>
  <c r="O1918" i="43"/>
  <c r="O1917" i="43"/>
  <c r="O1916" i="43"/>
  <c r="O1915" i="43"/>
  <c r="O1914" i="43"/>
  <c r="O1913" i="43"/>
  <c r="O1912" i="43"/>
  <c r="O1911" i="43"/>
  <c r="O1910" i="43"/>
  <c r="O1909" i="43"/>
  <c r="O1908" i="43"/>
  <c r="O1907" i="43"/>
  <c r="O1906" i="43"/>
  <c r="O1905" i="43"/>
  <c r="O1904" i="43"/>
  <c r="O1903" i="43"/>
  <c r="O1902" i="43"/>
  <c r="O1901" i="43"/>
  <c r="O1900" i="43"/>
  <c r="O1899" i="43"/>
  <c r="O1898" i="43"/>
  <c r="O1897" i="43"/>
  <c r="O1896" i="43"/>
  <c r="O1895" i="43"/>
  <c r="O1894" i="43"/>
  <c r="O1893" i="43"/>
  <c r="O1892" i="43"/>
  <c r="O1891" i="43"/>
  <c r="O1890" i="43"/>
  <c r="O1889" i="43"/>
  <c r="O1888" i="43"/>
  <c r="O1887" i="43"/>
  <c r="O1886" i="43"/>
  <c r="O1885" i="43"/>
  <c r="O1884" i="43"/>
  <c r="O1883" i="43"/>
  <c r="O1882" i="43"/>
  <c r="O1881" i="43"/>
  <c r="O1880" i="43"/>
  <c r="O1879" i="43"/>
  <c r="O1878" i="43"/>
  <c r="O1877" i="43"/>
  <c r="O1876" i="43"/>
  <c r="O1875" i="43"/>
  <c r="O1874" i="43"/>
  <c r="O1873" i="43"/>
  <c r="O1872" i="43"/>
  <c r="O1871" i="43"/>
  <c r="O1870" i="43"/>
  <c r="O1869" i="43"/>
  <c r="O1868" i="43"/>
  <c r="O1867" i="43"/>
  <c r="O1866" i="43"/>
  <c r="O1865" i="43"/>
  <c r="O1864" i="43"/>
  <c r="O1863" i="43"/>
  <c r="O1862" i="43"/>
  <c r="O1861" i="43"/>
  <c r="O1860" i="43"/>
  <c r="O1859" i="43"/>
  <c r="O1858" i="43"/>
  <c r="O1857" i="43"/>
  <c r="O1856" i="43"/>
  <c r="O1855" i="43"/>
  <c r="O1854" i="43"/>
  <c r="O1853" i="43"/>
  <c r="O1852" i="43"/>
  <c r="O1851" i="43"/>
  <c r="O1850" i="43"/>
  <c r="O1849" i="43"/>
  <c r="O1848" i="43"/>
  <c r="O1847" i="43"/>
  <c r="O1846" i="43"/>
  <c r="O1845" i="43"/>
  <c r="O1844" i="43"/>
  <c r="O1843" i="43"/>
  <c r="O1842" i="43"/>
  <c r="O1841" i="43"/>
  <c r="O1840" i="43"/>
  <c r="O1839" i="43"/>
  <c r="O1838" i="43"/>
  <c r="O1837" i="43"/>
  <c r="O1836" i="43"/>
  <c r="O1835" i="43"/>
  <c r="O1834" i="43"/>
  <c r="O1833" i="43"/>
  <c r="O1832" i="43"/>
  <c r="O1831" i="43"/>
  <c r="O1830" i="43"/>
  <c r="O1829" i="43"/>
  <c r="O1828" i="43"/>
  <c r="O1827" i="43"/>
  <c r="O1826" i="43"/>
  <c r="O1825" i="43"/>
  <c r="O1824" i="43"/>
  <c r="O1823" i="43"/>
  <c r="O1822" i="43"/>
  <c r="O1821" i="43"/>
  <c r="O1820" i="43"/>
  <c r="O1819" i="43"/>
  <c r="O1818" i="43"/>
  <c r="O1817" i="43"/>
  <c r="O1816" i="43"/>
  <c r="O1815" i="43"/>
  <c r="O1814" i="43"/>
  <c r="O1813" i="43"/>
  <c r="O1812" i="43"/>
  <c r="O1811" i="43"/>
  <c r="O1810" i="43"/>
  <c r="O1809" i="43"/>
  <c r="O1808" i="43"/>
  <c r="O1807" i="43"/>
  <c r="O1806" i="43"/>
  <c r="O1805" i="43"/>
  <c r="O1804" i="43"/>
  <c r="O1803" i="43"/>
  <c r="O1802" i="43"/>
  <c r="O1801" i="43"/>
  <c r="O1800" i="43"/>
  <c r="O1799" i="43"/>
  <c r="O1798" i="43"/>
  <c r="O1797" i="43"/>
  <c r="O1796" i="43"/>
  <c r="O1795" i="43"/>
  <c r="O1794" i="43"/>
  <c r="O1793" i="43"/>
  <c r="O1792" i="43"/>
  <c r="O1791" i="43"/>
  <c r="O1790" i="43"/>
  <c r="O1789" i="43"/>
  <c r="O1788" i="43"/>
  <c r="O1787" i="43"/>
  <c r="O1786" i="43"/>
  <c r="O1785" i="43"/>
  <c r="O1784" i="43"/>
  <c r="O1783" i="43"/>
  <c r="O1782" i="43"/>
  <c r="O1781" i="43"/>
  <c r="O1780" i="43"/>
  <c r="O1779" i="43"/>
  <c r="O1778" i="43"/>
  <c r="O1777" i="43"/>
  <c r="O1776" i="43"/>
  <c r="O1775" i="43"/>
  <c r="O1774" i="43"/>
  <c r="O1773" i="43"/>
  <c r="O1772" i="43"/>
  <c r="O1771" i="43"/>
  <c r="O1770" i="43"/>
  <c r="O1769" i="43"/>
  <c r="O1768" i="43"/>
  <c r="O1767" i="43"/>
  <c r="O1766" i="43"/>
  <c r="O1765" i="43"/>
  <c r="O1764" i="43"/>
  <c r="O1763" i="43"/>
  <c r="O1762" i="43"/>
  <c r="O1761" i="43"/>
  <c r="O1760" i="43"/>
  <c r="O1759" i="43"/>
  <c r="O1758" i="43"/>
  <c r="O1757" i="43"/>
  <c r="O1756" i="43"/>
  <c r="O1755" i="43"/>
  <c r="O1754" i="43"/>
  <c r="O1753" i="43"/>
  <c r="O1752" i="43"/>
  <c r="O1751" i="43"/>
  <c r="O1750" i="43"/>
  <c r="O1749" i="43"/>
  <c r="O1748" i="43"/>
  <c r="O1747" i="43"/>
  <c r="O1746" i="43"/>
  <c r="O1745" i="43"/>
  <c r="O1744" i="43"/>
  <c r="O1743" i="43"/>
  <c r="O1742" i="43"/>
  <c r="O1741" i="43"/>
  <c r="O1740" i="43"/>
  <c r="O1739" i="43"/>
  <c r="O1738" i="43"/>
  <c r="O1737" i="43"/>
  <c r="O1736" i="43"/>
  <c r="O1735" i="43"/>
  <c r="O1734" i="43"/>
  <c r="O1733" i="43"/>
  <c r="O1732" i="43"/>
  <c r="O1731" i="43"/>
  <c r="O1730" i="43"/>
  <c r="O1729" i="43"/>
  <c r="O1728" i="43"/>
  <c r="O1727" i="43"/>
  <c r="O1726" i="43"/>
  <c r="O1725" i="43"/>
  <c r="O1724" i="43"/>
  <c r="O1723" i="43"/>
  <c r="O1722" i="43"/>
  <c r="O1721" i="43"/>
  <c r="O1720" i="43"/>
  <c r="O1719" i="43"/>
  <c r="O1718" i="43"/>
  <c r="O1717" i="43"/>
  <c r="O1716" i="43"/>
  <c r="O1715" i="43"/>
  <c r="O1714" i="43"/>
  <c r="O1713" i="43"/>
  <c r="O1712" i="43"/>
  <c r="O1711" i="43"/>
  <c r="O1710" i="43"/>
  <c r="O1709" i="43"/>
  <c r="O1708" i="43"/>
  <c r="O1707" i="43"/>
  <c r="O1706" i="43"/>
  <c r="O1705" i="43"/>
  <c r="O1704" i="43"/>
  <c r="O1703" i="43"/>
  <c r="O1702" i="43"/>
  <c r="O1701" i="43"/>
  <c r="O1700" i="43"/>
  <c r="O1699" i="43"/>
  <c r="O1698" i="43"/>
  <c r="O1697" i="43"/>
  <c r="O1696" i="43"/>
  <c r="O1695" i="43"/>
  <c r="O1694" i="43"/>
  <c r="O1693" i="43"/>
  <c r="O1692" i="43"/>
  <c r="O1691" i="43"/>
  <c r="O1690" i="43"/>
  <c r="O1689" i="43"/>
  <c r="O1688" i="43"/>
  <c r="O1687" i="43"/>
  <c r="O1686" i="43"/>
  <c r="O1685" i="43"/>
  <c r="O1684" i="43"/>
  <c r="O1683" i="43"/>
  <c r="O1682" i="43"/>
  <c r="O1681" i="43"/>
  <c r="O1680" i="43"/>
  <c r="O1679" i="43"/>
  <c r="O1678" i="43"/>
  <c r="O1677" i="43"/>
  <c r="O1676" i="43"/>
  <c r="O1675" i="43"/>
  <c r="O1674" i="43"/>
  <c r="O1673" i="43"/>
  <c r="O1672" i="43"/>
  <c r="O1671" i="43"/>
  <c r="O1670" i="43"/>
  <c r="O1669" i="43"/>
  <c r="O1668" i="43"/>
  <c r="O1667" i="43"/>
  <c r="O1666" i="43"/>
  <c r="O1665" i="43"/>
  <c r="O1664" i="43"/>
  <c r="O1663" i="43"/>
  <c r="O1662" i="43"/>
  <c r="O1661" i="43"/>
  <c r="O1660" i="43"/>
  <c r="O1659" i="43"/>
  <c r="O1658" i="43"/>
  <c r="O1657" i="43"/>
  <c r="O1656" i="43"/>
  <c r="O1655" i="43"/>
  <c r="O1654" i="43"/>
  <c r="O1653" i="43"/>
  <c r="O1652" i="43"/>
  <c r="O1651" i="43"/>
  <c r="O1650" i="43"/>
  <c r="O1649" i="43"/>
  <c r="O1648" i="43"/>
  <c r="O1647" i="43"/>
  <c r="O1646" i="43"/>
  <c r="O1645" i="43"/>
  <c r="O1644" i="43"/>
  <c r="O1643" i="43"/>
  <c r="O1642" i="43"/>
  <c r="O1641" i="43"/>
  <c r="O1640" i="43"/>
  <c r="O1639" i="43"/>
  <c r="O1638" i="43"/>
  <c r="O1637" i="43"/>
  <c r="O1636" i="43"/>
  <c r="O1635" i="43"/>
  <c r="O1634" i="43"/>
  <c r="O1633" i="43"/>
  <c r="O1632" i="43"/>
  <c r="O1631" i="43"/>
  <c r="O1630" i="43"/>
  <c r="O1629" i="43"/>
  <c r="O1628" i="43"/>
  <c r="O1627" i="43"/>
  <c r="O1626" i="43"/>
  <c r="O1625" i="43"/>
  <c r="O1624" i="43"/>
  <c r="O1623" i="43"/>
  <c r="O1622" i="43"/>
  <c r="O1621" i="43"/>
  <c r="O1620" i="43"/>
  <c r="O1619" i="43"/>
  <c r="O1618" i="43"/>
  <c r="O1617" i="43"/>
  <c r="O1616" i="43"/>
  <c r="O1615" i="43"/>
  <c r="O1614" i="43"/>
  <c r="O1613" i="43"/>
  <c r="O1612" i="43"/>
  <c r="O1611" i="43"/>
  <c r="O1610" i="43"/>
  <c r="O1609" i="43"/>
  <c r="O1608" i="43"/>
  <c r="O1607" i="43"/>
  <c r="O1606" i="43"/>
  <c r="O1605" i="43"/>
  <c r="O1604" i="43"/>
  <c r="O1603" i="43"/>
  <c r="O1602" i="43"/>
  <c r="O1601" i="43"/>
  <c r="O1600" i="43"/>
  <c r="O1599" i="43"/>
  <c r="O1598" i="43"/>
  <c r="O1597" i="43"/>
  <c r="O1596" i="43"/>
  <c r="O1595" i="43"/>
  <c r="O1594" i="43"/>
  <c r="O1593" i="43"/>
  <c r="O1592" i="43"/>
  <c r="O1591" i="43"/>
  <c r="O1590" i="43"/>
  <c r="O1589" i="43"/>
  <c r="O1588" i="43"/>
  <c r="O1587" i="43"/>
  <c r="O1586" i="43"/>
  <c r="O1585" i="43"/>
  <c r="O1584" i="43"/>
  <c r="O1583" i="43"/>
  <c r="O1582" i="43"/>
  <c r="O1581" i="43"/>
  <c r="O1580" i="43"/>
  <c r="O1579" i="43"/>
  <c r="O1578" i="43"/>
  <c r="O1577" i="43"/>
  <c r="O1576" i="43"/>
  <c r="O1575" i="43"/>
  <c r="O1574" i="43"/>
  <c r="O1573" i="43"/>
  <c r="O1572" i="43"/>
  <c r="O1571" i="43"/>
  <c r="O1570" i="43"/>
  <c r="O1569" i="43"/>
  <c r="O1568" i="43"/>
  <c r="O1567" i="43"/>
  <c r="O1566" i="43"/>
  <c r="O1565" i="43"/>
  <c r="O1564" i="43"/>
  <c r="O1563" i="43"/>
  <c r="O1562" i="43"/>
  <c r="O1561" i="43"/>
  <c r="O1560" i="43"/>
  <c r="O1559" i="43"/>
  <c r="O1558" i="43"/>
  <c r="O1557" i="43"/>
  <c r="O1556" i="43"/>
  <c r="O1555" i="43"/>
  <c r="O1554" i="43"/>
  <c r="O1553" i="43"/>
  <c r="O1552" i="43"/>
  <c r="O1551" i="43"/>
  <c r="O1550" i="43"/>
  <c r="O1549" i="43"/>
  <c r="O1548" i="43"/>
  <c r="O1547" i="43"/>
  <c r="O1546" i="43"/>
  <c r="O1545" i="43"/>
  <c r="O1544" i="43"/>
  <c r="O1543" i="43"/>
  <c r="O1542" i="43"/>
  <c r="O1541" i="43"/>
  <c r="O1540" i="43"/>
  <c r="O1539" i="43"/>
  <c r="O1538" i="43"/>
  <c r="O1537" i="43"/>
  <c r="O1536" i="43"/>
  <c r="O1535" i="43"/>
  <c r="O1534" i="43"/>
  <c r="O1533" i="43"/>
  <c r="O1532" i="43"/>
  <c r="O1531" i="43"/>
  <c r="O1530" i="43"/>
  <c r="O1529" i="43"/>
  <c r="O1528" i="43"/>
  <c r="O1527" i="43"/>
  <c r="O1526" i="43"/>
  <c r="O1525" i="43"/>
  <c r="O1524" i="43"/>
  <c r="O1523" i="43"/>
  <c r="O1522" i="43"/>
  <c r="O1521" i="43"/>
  <c r="O1520" i="43"/>
  <c r="O1519" i="43"/>
  <c r="O1518" i="43"/>
  <c r="O1517" i="43"/>
  <c r="O1516" i="43"/>
  <c r="O1515" i="43"/>
  <c r="O1514" i="43"/>
  <c r="O1513" i="43"/>
  <c r="O1512" i="43"/>
  <c r="O1511" i="43"/>
  <c r="O1510" i="43"/>
  <c r="O1509" i="43"/>
  <c r="O1508" i="43"/>
  <c r="O1507" i="43"/>
  <c r="O1506" i="43"/>
  <c r="O1505" i="43"/>
  <c r="O1504" i="43"/>
  <c r="O1503" i="43"/>
  <c r="O1502" i="43"/>
  <c r="O1501" i="43"/>
  <c r="O1500" i="43"/>
  <c r="O1499" i="43"/>
  <c r="O1498" i="43"/>
  <c r="O1497" i="43"/>
  <c r="O1496" i="43"/>
  <c r="O1495" i="43"/>
  <c r="O1494" i="43"/>
  <c r="O1493" i="43"/>
  <c r="O1492" i="43"/>
  <c r="O1491" i="43"/>
  <c r="O1490" i="43"/>
  <c r="O1489" i="43"/>
  <c r="O1488" i="43"/>
  <c r="O1487" i="43"/>
  <c r="O1486" i="43"/>
  <c r="O1485" i="43"/>
  <c r="O1484" i="43"/>
  <c r="O1483" i="43"/>
  <c r="O1482" i="43"/>
  <c r="O1481" i="43"/>
  <c r="O1480" i="43"/>
  <c r="O1479" i="43"/>
  <c r="O1478" i="43"/>
  <c r="O1477" i="43"/>
  <c r="O1476" i="43"/>
  <c r="O1475" i="43"/>
  <c r="O1474" i="43"/>
  <c r="O1473" i="43"/>
  <c r="O1472" i="43"/>
  <c r="O1471" i="43"/>
  <c r="O1470" i="43"/>
  <c r="O1469" i="43"/>
  <c r="O1468" i="43"/>
  <c r="O1467" i="43"/>
  <c r="O1466" i="43"/>
  <c r="O1465" i="43"/>
  <c r="O1464" i="43"/>
  <c r="O1463" i="43"/>
  <c r="O1462" i="43"/>
  <c r="O1461" i="43"/>
  <c r="O1460" i="43"/>
  <c r="O1459" i="43"/>
  <c r="O1458" i="43"/>
  <c r="O1457" i="43"/>
  <c r="O1456" i="43"/>
  <c r="O1455" i="43"/>
  <c r="O1454" i="43"/>
  <c r="O1453" i="43"/>
  <c r="O1452" i="43"/>
  <c r="O1451" i="43"/>
  <c r="O1450" i="43"/>
  <c r="O1449" i="43"/>
  <c r="O1448" i="43"/>
  <c r="O1447" i="43"/>
  <c r="O1446" i="43"/>
  <c r="O1445" i="43"/>
  <c r="O1444" i="43"/>
  <c r="O1443" i="43"/>
  <c r="O1442" i="43"/>
  <c r="O1441" i="43"/>
  <c r="O1440" i="43"/>
  <c r="O1439" i="43"/>
  <c r="O1438" i="43"/>
  <c r="O1437" i="43"/>
  <c r="O1436" i="43"/>
  <c r="O1435" i="43"/>
  <c r="O1434" i="43"/>
  <c r="O1433" i="43"/>
  <c r="O1432" i="43"/>
  <c r="O1431" i="43"/>
  <c r="O1430" i="43"/>
  <c r="O1429" i="43"/>
  <c r="O1428" i="43"/>
  <c r="O1427" i="43"/>
  <c r="O1426" i="43"/>
  <c r="O1425" i="43"/>
  <c r="O1424" i="43"/>
  <c r="O1423" i="43"/>
  <c r="O1422" i="43"/>
  <c r="O1421" i="43"/>
  <c r="O1420" i="43"/>
  <c r="O1419" i="43"/>
  <c r="O1418" i="43"/>
  <c r="O1417" i="43"/>
  <c r="O1416" i="43"/>
  <c r="O1415" i="43"/>
  <c r="O1414" i="43"/>
  <c r="O1413" i="43"/>
  <c r="O1412" i="43"/>
  <c r="O1411" i="43"/>
  <c r="O1410" i="43"/>
  <c r="O1409" i="43"/>
  <c r="O1408" i="43"/>
  <c r="O1407" i="43"/>
  <c r="O1406" i="43"/>
  <c r="O1405" i="43"/>
  <c r="O1404" i="43"/>
  <c r="O1403" i="43"/>
  <c r="O1402" i="43"/>
  <c r="O1401" i="43"/>
  <c r="O1400" i="43"/>
  <c r="O1399" i="43"/>
  <c r="O1398" i="43"/>
  <c r="O1397" i="43"/>
  <c r="O1396" i="43"/>
  <c r="O1395" i="43"/>
  <c r="O1394" i="43"/>
  <c r="O1393" i="43"/>
  <c r="O1392" i="43"/>
  <c r="O1391" i="43"/>
  <c r="O1390" i="43"/>
  <c r="O1389" i="43"/>
  <c r="O1388" i="43"/>
  <c r="O1387" i="43"/>
  <c r="O1386" i="43"/>
  <c r="O1385" i="43"/>
  <c r="O1384" i="43"/>
  <c r="O1383" i="43"/>
  <c r="O1382" i="43"/>
  <c r="O1381" i="43"/>
  <c r="O1380" i="43"/>
  <c r="O1379" i="43"/>
  <c r="O1378" i="43"/>
  <c r="O1377" i="43"/>
  <c r="O1376" i="43"/>
  <c r="O1375" i="43"/>
  <c r="O1374" i="43"/>
  <c r="O1373" i="43"/>
  <c r="O1372" i="43"/>
  <c r="O1371" i="43"/>
  <c r="O1370" i="43"/>
  <c r="O1369" i="43"/>
  <c r="O1368" i="43"/>
  <c r="O1367" i="43"/>
  <c r="O1366" i="43"/>
  <c r="O1365" i="43"/>
  <c r="O1364" i="43"/>
  <c r="O1363" i="43"/>
  <c r="O1362" i="43"/>
  <c r="O1361" i="43"/>
  <c r="O1360" i="43"/>
  <c r="O1359" i="43"/>
  <c r="O1358" i="43"/>
  <c r="O1357" i="43"/>
  <c r="O1356" i="43"/>
  <c r="O1355" i="43"/>
  <c r="O1354" i="43"/>
  <c r="O1353" i="43"/>
  <c r="O1352" i="43"/>
  <c r="O1351" i="43"/>
  <c r="O1350" i="43"/>
  <c r="O1349" i="43"/>
  <c r="O1348" i="43"/>
  <c r="O1347" i="43"/>
  <c r="O1346" i="43"/>
  <c r="O1345" i="43"/>
  <c r="O1344" i="43"/>
  <c r="O1343" i="43"/>
  <c r="O1342" i="43"/>
  <c r="O1341" i="43"/>
  <c r="O1340" i="43"/>
  <c r="O1339" i="43"/>
  <c r="O1338" i="43"/>
  <c r="O1337" i="43"/>
  <c r="O1336" i="43"/>
  <c r="O1335" i="43"/>
  <c r="O1334" i="43"/>
  <c r="O1333" i="43"/>
  <c r="O1332" i="43"/>
  <c r="O1331" i="43"/>
  <c r="O1330" i="43"/>
  <c r="O1329" i="43"/>
  <c r="O1328" i="43"/>
  <c r="O1327" i="43"/>
  <c r="O1326" i="43"/>
  <c r="O1325" i="43"/>
  <c r="O1324" i="43"/>
  <c r="O1323" i="43"/>
  <c r="O1322" i="43"/>
  <c r="O1321" i="43"/>
  <c r="O1320" i="43"/>
  <c r="O1319" i="43"/>
  <c r="O1318" i="43"/>
  <c r="O1317" i="43"/>
  <c r="O1316" i="43"/>
  <c r="O1315" i="43"/>
  <c r="O1314" i="43"/>
  <c r="O1313" i="43"/>
  <c r="O1312" i="43"/>
  <c r="O1311" i="43"/>
  <c r="O1310" i="43"/>
  <c r="O1309" i="43"/>
  <c r="O1308" i="43"/>
  <c r="O1307" i="43"/>
  <c r="O1306" i="43"/>
  <c r="O1305" i="43"/>
  <c r="O1304" i="43"/>
  <c r="O1303" i="43"/>
  <c r="O1302" i="43"/>
  <c r="O1301" i="43"/>
  <c r="O1300" i="43"/>
  <c r="O1299" i="43"/>
  <c r="O1298" i="43"/>
  <c r="O1297" i="43"/>
  <c r="O1296" i="43"/>
  <c r="O1295" i="43"/>
  <c r="O1294" i="43"/>
  <c r="O1293" i="43"/>
  <c r="O1292" i="43"/>
  <c r="O1291" i="43"/>
  <c r="O1290" i="43"/>
  <c r="O1289" i="43"/>
  <c r="O1288" i="43"/>
  <c r="O1287" i="43"/>
  <c r="O1286" i="43"/>
  <c r="O1285" i="43"/>
  <c r="O1284" i="43"/>
  <c r="O1283" i="43"/>
  <c r="O1282" i="43"/>
  <c r="O1281" i="43"/>
  <c r="O1280" i="43"/>
  <c r="O1279" i="43"/>
  <c r="O1278" i="43"/>
  <c r="O1277" i="43"/>
  <c r="O1276" i="43"/>
  <c r="O1275" i="43"/>
  <c r="O1274" i="43"/>
  <c r="O1273" i="43"/>
  <c r="O1272" i="43"/>
  <c r="O1271" i="43"/>
  <c r="O1270" i="43"/>
  <c r="O1269" i="43"/>
  <c r="O1268" i="43"/>
  <c r="O1267" i="43"/>
  <c r="O1266" i="43"/>
  <c r="O1265" i="43"/>
  <c r="O1264" i="43"/>
  <c r="O1263" i="43"/>
  <c r="O1262" i="43"/>
  <c r="O1261" i="43"/>
  <c r="O1260" i="43"/>
  <c r="O1259" i="43"/>
  <c r="O1258" i="43"/>
  <c r="O1257" i="43"/>
  <c r="O1256" i="43"/>
  <c r="O1255" i="43"/>
  <c r="O1254" i="43"/>
  <c r="O1253" i="43"/>
  <c r="O1252" i="43"/>
  <c r="O1251" i="43"/>
  <c r="O1250" i="43"/>
  <c r="O1249" i="43"/>
  <c r="O1248" i="43"/>
  <c r="O1247" i="43"/>
  <c r="O1246" i="43"/>
  <c r="O1245" i="43"/>
  <c r="O1244" i="43"/>
  <c r="O1243" i="43"/>
  <c r="O1242" i="43"/>
  <c r="O1241" i="43"/>
  <c r="O1240" i="43"/>
  <c r="O1239" i="43"/>
  <c r="O1238" i="43"/>
  <c r="O1237" i="43"/>
  <c r="O1236" i="43"/>
  <c r="O1235" i="43"/>
  <c r="O1234" i="43"/>
  <c r="O1233" i="43"/>
  <c r="O1232" i="43"/>
  <c r="O1231" i="43"/>
  <c r="O1230" i="43"/>
  <c r="O1229" i="43"/>
  <c r="O1228" i="43"/>
  <c r="O1227" i="43"/>
  <c r="O1226" i="43"/>
  <c r="O1225" i="43"/>
  <c r="O1224" i="43"/>
  <c r="O1223" i="43"/>
  <c r="O1222" i="43"/>
  <c r="O1221" i="43"/>
  <c r="O1220" i="43"/>
  <c r="O1219" i="43"/>
  <c r="O1218" i="43"/>
  <c r="O1217" i="43"/>
  <c r="O1216" i="43"/>
  <c r="O1215" i="43"/>
  <c r="O1214" i="43"/>
  <c r="O1213" i="43"/>
  <c r="O1212" i="43"/>
  <c r="O1211" i="43"/>
  <c r="O1210" i="43"/>
  <c r="O1209" i="43"/>
  <c r="O1208" i="43"/>
  <c r="O1207" i="43"/>
  <c r="O1206" i="43"/>
  <c r="O1205" i="43"/>
  <c r="O1204" i="43"/>
  <c r="O1203" i="43"/>
  <c r="O1202" i="43"/>
  <c r="O1201" i="43"/>
  <c r="O1200" i="43"/>
  <c r="O1199" i="43"/>
  <c r="O1198" i="43"/>
  <c r="O1197" i="43"/>
  <c r="O1196" i="43"/>
  <c r="O1195" i="43"/>
  <c r="O1194" i="43"/>
  <c r="O1193" i="43"/>
  <c r="O1192" i="43"/>
  <c r="O1191" i="43"/>
  <c r="O1190" i="43"/>
  <c r="O1189" i="43"/>
  <c r="O1188" i="43"/>
  <c r="O1187" i="43"/>
  <c r="O1186" i="43"/>
  <c r="O1185" i="43"/>
  <c r="O1184" i="43"/>
  <c r="O1183" i="43"/>
  <c r="O1182" i="43"/>
  <c r="O1181" i="43"/>
  <c r="O1180" i="43"/>
  <c r="O1179" i="43"/>
  <c r="O1178" i="43"/>
  <c r="O1177" i="43"/>
  <c r="O1176" i="43"/>
  <c r="O1175" i="43"/>
  <c r="O1174" i="43"/>
  <c r="O1173" i="43"/>
  <c r="O1172" i="43"/>
  <c r="O1171" i="43"/>
  <c r="O1170" i="43"/>
  <c r="O1169" i="43"/>
  <c r="O1168" i="43"/>
  <c r="O1167" i="43"/>
  <c r="O1166" i="43"/>
  <c r="O1165" i="43"/>
  <c r="O1164" i="43"/>
  <c r="O1163" i="43"/>
  <c r="O1162" i="43"/>
  <c r="O1161" i="43"/>
  <c r="O1160" i="43"/>
  <c r="O1159" i="43"/>
  <c r="O1158" i="43"/>
  <c r="O1157" i="43"/>
  <c r="O1156" i="43"/>
  <c r="O1155" i="43"/>
  <c r="O1154" i="43"/>
  <c r="O1153" i="43"/>
  <c r="O1152" i="43"/>
  <c r="O1151" i="43"/>
  <c r="O1150" i="43"/>
  <c r="O1149" i="43"/>
  <c r="O1148" i="43"/>
  <c r="O1147" i="43"/>
  <c r="O1146" i="43"/>
  <c r="O1145" i="43"/>
  <c r="O1144" i="43"/>
  <c r="O1143" i="43"/>
  <c r="O1142" i="43"/>
  <c r="O1141" i="43"/>
  <c r="O1140" i="43"/>
  <c r="O1139" i="43"/>
  <c r="O1138" i="43"/>
  <c r="O1137" i="43"/>
  <c r="O1136" i="43"/>
  <c r="O1135" i="43"/>
  <c r="O1134" i="43"/>
  <c r="O1133" i="43"/>
  <c r="O1132" i="43"/>
  <c r="O1131" i="43"/>
  <c r="O1130" i="43"/>
  <c r="O1129" i="43"/>
  <c r="O1128" i="43"/>
  <c r="O1127" i="43"/>
  <c r="O1126" i="43"/>
  <c r="O1125" i="43"/>
  <c r="O1124" i="43"/>
  <c r="O1123" i="43"/>
  <c r="O1122" i="43"/>
  <c r="O1121" i="43"/>
  <c r="O1120" i="43"/>
  <c r="O1119" i="43"/>
  <c r="O1118" i="43"/>
  <c r="O1117" i="43"/>
  <c r="O1116" i="43"/>
  <c r="O1115" i="43"/>
  <c r="O1114" i="43"/>
  <c r="O1113" i="43"/>
  <c r="O1112" i="43"/>
  <c r="O1111" i="43"/>
  <c r="O1110" i="43"/>
  <c r="O1109" i="43"/>
  <c r="O1108" i="43"/>
  <c r="O1107" i="43"/>
  <c r="O1106" i="43"/>
  <c r="O1105" i="43"/>
  <c r="O1104" i="43"/>
  <c r="O1103" i="43"/>
  <c r="O1102" i="43"/>
  <c r="O1101" i="43"/>
  <c r="O1100" i="43"/>
  <c r="O1099" i="43"/>
  <c r="O1098" i="43"/>
  <c r="O1097" i="43"/>
  <c r="O1096" i="43"/>
  <c r="O1095" i="43"/>
  <c r="O1094" i="43"/>
  <c r="O1093" i="43"/>
  <c r="O1092" i="43"/>
  <c r="O1091" i="43"/>
  <c r="O1090" i="43"/>
  <c r="O1089" i="43"/>
  <c r="O1088" i="43"/>
  <c r="O1087" i="43"/>
  <c r="O1086" i="43"/>
  <c r="O1085" i="43"/>
  <c r="O1084" i="43"/>
  <c r="O1083" i="43"/>
  <c r="O1082" i="43"/>
  <c r="O1081" i="43"/>
  <c r="O1080" i="43"/>
  <c r="O1079" i="43"/>
  <c r="O1078" i="43"/>
  <c r="O1077" i="43"/>
  <c r="O1076" i="43"/>
  <c r="O1075" i="43"/>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s="1"/>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C1313" i="10"/>
  <c r="K4445" i="40" s="1"/>
  <c r="I1311" i="10"/>
  <c r="G5025" i="40" s="1"/>
  <c r="H1310" i="10"/>
  <c r="G1309" i="10"/>
  <c r="F1308" i="10"/>
  <c r="I4731" i="40" s="1"/>
  <c r="E1307" i="10"/>
  <c r="G4633" i="40" s="1"/>
  <c r="D1306" i="10"/>
  <c r="G4535" i="40" s="1"/>
  <c r="C1305" i="10"/>
  <c r="I1303" i="10"/>
  <c r="G5017" i="40" s="1"/>
  <c r="H1302" i="10"/>
  <c r="G1301" i="10"/>
  <c r="F1300" i="10"/>
  <c r="I4723" i="40" s="1"/>
  <c r="E1299" i="10"/>
  <c r="D1298" i="10"/>
  <c r="G4527" i="40" s="1"/>
  <c r="C1297" i="10"/>
  <c r="K4429" i="40" s="1"/>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G5026" i="40" s="1"/>
  <c r="H1311" i="10"/>
  <c r="K4928" i="40" s="1"/>
  <c r="G1310" i="10"/>
  <c r="I4830" i="40" s="1"/>
  <c r="F1309" i="10"/>
  <c r="E1308" i="10"/>
  <c r="G4634" i="40" s="1"/>
  <c r="D1307" i="10"/>
  <c r="G4536" i="40" s="1"/>
  <c r="C1306" i="10"/>
  <c r="K4438" i="40" s="1"/>
  <c r="I1304" i="10"/>
  <c r="G5018" i="40" s="1"/>
  <c r="H1303" i="10"/>
  <c r="G1302" i="10"/>
  <c r="I4822" i="40" s="1"/>
  <c r="F1301" i="10"/>
  <c r="I4724" i="40" s="1"/>
  <c r="E1300" i="10"/>
  <c r="G4626" i="40" s="1"/>
  <c r="D1299" i="10"/>
  <c r="G4528" i="40" s="1"/>
  <c r="C1298" i="10"/>
  <c r="I1296" i="10"/>
  <c r="G5010" i="40" s="1"/>
  <c r="H1295" i="10"/>
  <c r="G1294" i="10"/>
  <c r="I4814" i="40" s="1"/>
  <c r="F1293" i="10"/>
  <c r="I4716" i="40" s="1"/>
  <c r="E1292" i="10"/>
  <c r="G4618" i="40" s="1"/>
  <c r="D1291" i="10"/>
  <c r="C1290" i="10"/>
  <c r="K4422" i="40" s="1"/>
  <c r="I1288" i="10"/>
  <c r="H1287" i="10"/>
  <c r="K4904" i="40" s="1"/>
  <c r="G1286" i="10"/>
  <c r="F1285" i="10"/>
  <c r="I4708" i="40" s="1"/>
  <c r="E1284" i="10"/>
  <c r="D1283" i="10"/>
  <c r="G4512" i="40" s="1"/>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K4929" i="40" s="1"/>
  <c r="G1311" i="10"/>
  <c r="F1310" i="10"/>
  <c r="I4733" i="40" s="1"/>
  <c r="E1309" i="10"/>
  <c r="G4635" i="40" s="1"/>
  <c r="D1308" i="10"/>
  <c r="G4537" i="40" s="1"/>
  <c r="C1307" i="10"/>
  <c r="I1305" i="10"/>
  <c r="H1304" i="10"/>
  <c r="K4921" i="40" s="1"/>
  <c r="G1303" i="10"/>
  <c r="F1302" i="10"/>
  <c r="I4725" i="40" s="1"/>
  <c r="E1301" i="10"/>
  <c r="G4627" i="40" s="1"/>
  <c r="D1300" i="10"/>
  <c r="G4529" i="40" s="1"/>
  <c r="C1299" i="10"/>
  <c r="K4431" i="40" s="1"/>
  <c r="I1297" i="10"/>
  <c r="H1296" i="10"/>
  <c r="K4913" i="40" s="1"/>
  <c r="G1295" i="10"/>
  <c r="F1294" i="10"/>
  <c r="I4717" i="40" s="1"/>
  <c r="E1293" i="10"/>
  <c r="D1292" i="10"/>
  <c r="G4521" i="40" s="1"/>
  <c r="C1291" i="10"/>
  <c r="I1289" i="10"/>
  <c r="G5003" i="40" s="1"/>
  <c r="H1288" i="10"/>
  <c r="G1287" i="10"/>
  <c r="F1286" i="10"/>
  <c r="E1285" i="10"/>
  <c r="G4611" i="40" s="1"/>
  <c r="D1284" i="10"/>
  <c r="G4513" i="40" s="1"/>
  <c r="C1283" i="10"/>
  <c r="K4415" i="40" s="1"/>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G5028" i="40" s="1"/>
  <c r="H1313" i="10"/>
  <c r="K4930" i="40" s="1"/>
  <c r="G1312" i="10"/>
  <c r="I4832" i="40" s="1"/>
  <c r="F1311" i="10"/>
  <c r="I4734" i="40" s="1"/>
  <c r="E1310" i="10"/>
  <c r="G4636" i="40" s="1"/>
  <c r="D1309" i="10"/>
  <c r="C1308" i="10"/>
  <c r="K4440" i="40" s="1"/>
  <c r="I1306" i="10"/>
  <c r="H1305" i="10"/>
  <c r="K4922" i="40" s="1"/>
  <c r="G1304" i="10"/>
  <c r="F1303" i="10"/>
  <c r="I4726" i="40" s="1"/>
  <c r="E1302" i="10"/>
  <c r="G4628" i="40" s="1"/>
  <c r="D1301" i="10"/>
  <c r="G4530" i="40" s="1"/>
  <c r="C1300" i="10"/>
  <c r="K4432" i="40" s="1"/>
  <c r="I1298" i="10"/>
  <c r="G5012" i="40" s="1"/>
  <c r="H1297" i="10"/>
  <c r="K4914" i="40" s="1"/>
  <c r="G1296" i="10"/>
  <c r="I4816" i="40" s="1"/>
  <c r="F1295" i="10"/>
  <c r="I4718" i="40" s="1"/>
  <c r="E1294" i="10"/>
  <c r="G4620" i="40" s="1"/>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G4539" i="40" s="1"/>
  <c r="C1309" i="10"/>
  <c r="K4441" i="40" s="1"/>
  <c r="I1307" i="10"/>
  <c r="G5021" i="40" s="1"/>
  <c r="H1306" i="10"/>
  <c r="K4923" i="40" s="1"/>
  <c r="G1305" i="10"/>
  <c r="I4825" i="40" s="1"/>
  <c r="F1304" i="10"/>
  <c r="I4727" i="40" s="1"/>
  <c r="E1303" i="10"/>
  <c r="D1302" i="10"/>
  <c r="G4531" i="40" s="1"/>
  <c r="C1301" i="10"/>
  <c r="K4433" i="40" s="1"/>
  <c r="I1299" i="10"/>
  <c r="G5013" i="40" s="1"/>
  <c r="H1298" i="10"/>
  <c r="K4915" i="40" s="1"/>
  <c r="G1297" i="10"/>
  <c r="I4817" i="40" s="1"/>
  <c r="F1296" i="10"/>
  <c r="I4719" i="40" s="1"/>
  <c r="E1295" i="10"/>
  <c r="D1294" i="10"/>
  <c r="G4523" i="40" s="1"/>
  <c r="C1293" i="10"/>
  <c r="I1291" i="10"/>
  <c r="H1290" i="10"/>
  <c r="K4907" i="40" s="1"/>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G1290" i="10"/>
  <c r="F1289" i="10"/>
  <c r="I4712" i="40" s="1"/>
  <c r="E1288" i="10"/>
  <c r="G4614" i="40" s="1"/>
  <c r="D1287" i="10"/>
  <c r="G4516" i="40" s="1"/>
  <c r="C1286" i="10"/>
  <c r="K4418" i="40" s="1"/>
  <c r="I1284" i="10"/>
  <c r="H1283" i="10"/>
  <c r="K4900" i="40" s="1"/>
  <c r="G1282" i="10"/>
  <c r="F1281" i="10"/>
  <c r="I4704" i="40" s="1"/>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I1309" i="10"/>
  <c r="G5023" i="40" s="1"/>
  <c r="H1308" i="10"/>
  <c r="G1307" i="10"/>
  <c r="I4827" i="40" s="1"/>
  <c r="F1306" i="10"/>
  <c r="I4729" i="40" s="1"/>
  <c r="E1305" i="10"/>
  <c r="G4631" i="40" s="1"/>
  <c r="D1304" i="10"/>
  <c r="G4533" i="40" s="1"/>
  <c r="C1303" i="10"/>
  <c r="K4435" i="40" s="1"/>
  <c r="I1301" i="10"/>
  <c r="G5015" i="40" s="1"/>
  <c r="H1300" i="10"/>
  <c r="K4917" i="40" s="1"/>
  <c r="G1299" i="10"/>
  <c r="I4819" i="40" s="1"/>
  <c r="F1298" i="10"/>
  <c r="I4721" i="40" s="1"/>
  <c r="E1297" i="10"/>
  <c r="G4623" i="40" s="1"/>
  <c r="D1296" i="10"/>
  <c r="G4525" i="40" s="1"/>
  <c r="C1295" i="10"/>
  <c r="K4427" i="40" s="1"/>
  <c r="I1293" i="10"/>
  <c r="G5007" i="40" s="1"/>
  <c r="H1292" i="10"/>
  <c r="G1291" i="10"/>
  <c r="I4811" i="40" s="1"/>
  <c r="F1290" i="10"/>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D1297" i="10"/>
  <c r="G4526" i="40" s="1"/>
  <c r="C1292" i="10"/>
  <c r="K4424" i="40" s="1"/>
  <c r="C1289" i="10"/>
  <c r="K4421" i="40" s="1"/>
  <c r="H1285" i="10"/>
  <c r="K4902" i="40" s="1"/>
  <c r="I1282" i="10"/>
  <c r="G4996" i="40" s="1"/>
  <c r="E1280" i="10"/>
  <c r="G4606" i="40" s="1"/>
  <c r="H1278" i="10"/>
  <c r="K4895" i="40" s="1"/>
  <c r="E1277" i="10"/>
  <c r="D1276" i="10"/>
  <c r="G4505" i="40" s="1"/>
  <c r="C1275" i="10"/>
  <c r="I1273" i="10"/>
  <c r="G4987" i="40" s="1"/>
  <c r="H1272" i="10"/>
  <c r="K4889" i="40" s="1"/>
  <c r="G1271" i="10"/>
  <c r="I4791" i="40" s="1"/>
  <c r="F1270" i="10"/>
  <c r="I4693" i="40" s="1"/>
  <c r="E1269" i="10"/>
  <c r="G4595" i="40" s="1"/>
  <c r="D1268" i="10"/>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K4428" i="40" s="1"/>
  <c r="F1291" i="10"/>
  <c r="G1288" i="10"/>
  <c r="I4808" i="40" s="1"/>
  <c r="G1285" i="10"/>
  <c r="I4805" i="40" s="1"/>
  <c r="E1282" i="10"/>
  <c r="G4608" i="40" s="1"/>
  <c r="C1280" i="10"/>
  <c r="K4412" i="40" s="1"/>
  <c r="G1278" i="10"/>
  <c r="D1277" i="10"/>
  <c r="G4506" i="40" s="1"/>
  <c r="C1276" i="10"/>
  <c r="I1274" i="10"/>
  <c r="G4988" i="40" s="1"/>
  <c r="H1273" i="10"/>
  <c r="K4890" i="40" s="1"/>
  <c r="G1272" i="10"/>
  <c r="I4792" i="40" s="1"/>
  <c r="F1271" i="10"/>
  <c r="I4694" i="40" s="1"/>
  <c r="E1270" i="10"/>
  <c r="G4596" i="40" s="1"/>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K4420" i="40" s="1"/>
  <c r="D1285" i="10"/>
  <c r="G4514" i="40" s="1"/>
  <c r="D1282" i="10"/>
  <c r="G4511" i="40" s="1"/>
  <c r="I1279" i="10"/>
  <c r="G4993" i="40" s="1"/>
  <c r="E1278" i="10"/>
  <c r="G4604" i="40" s="1"/>
  <c r="C1277" i="10"/>
  <c r="K4409" i="40" s="1"/>
  <c r="I1275" i="10"/>
  <c r="H1274" i="10"/>
  <c r="K4891" i="40" s="1"/>
  <c r="G1273" i="10"/>
  <c r="F1272" i="10"/>
  <c r="I4695" i="40" s="1"/>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K4444" i="40" s="1"/>
  <c r="I1302" i="10"/>
  <c r="G5016" i="40" s="1"/>
  <c r="H1293" i="10"/>
  <c r="K4910" i="40" s="1"/>
  <c r="I1290" i="10"/>
  <c r="G5004" i="40" s="1"/>
  <c r="I1287" i="10"/>
  <c r="G5001" i="40" s="1"/>
  <c r="G1284" i="10"/>
  <c r="I4804" i="40" s="1"/>
  <c r="H1281" i="10"/>
  <c r="H1279" i="10"/>
  <c r="K4896" i="40" s="1"/>
  <c r="D1278" i="10"/>
  <c r="I1276" i="10"/>
  <c r="H1275" i="10"/>
  <c r="K4892" i="40" s="1"/>
  <c r="G1274" i="10"/>
  <c r="I4794" i="40" s="1"/>
  <c r="F1273" i="10"/>
  <c r="I4696" i="40" s="1"/>
  <c r="E1272" i="10"/>
  <c r="G4598" i="40" s="1"/>
  <c r="D1271" i="10"/>
  <c r="G4500" i="40" s="1"/>
  <c r="C1270" i="10"/>
  <c r="K4402" i="40" s="1"/>
  <c r="I1268" i="10"/>
  <c r="H1267" i="10"/>
  <c r="K4884" i="40" s="1"/>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G4510" i="40" s="1"/>
  <c r="F1279" i="10"/>
  <c r="I4702" i="40" s="1"/>
  <c r="C1278" i="10"/>
  <c r="K4410" i="40" s="1"/>
  <c r="H1276" i="10"/>
  <c r="K4893" i="40" s="1"/>
  <c r="G1275" i="10"/>
  <c r="I4795" i="40" s="1"/>
  <c r="F1274" i="10"/>
  <c r="I4697" i="40" s="1"/>
  <c r="E1273" i="10"/>
  <c r="D1272" i="10"/>
  <c r="G4501" i="40" s="1"/>
  <c r="C1271" i="10"/>
  <c r="I1269" i="10"/>
  <c r="G4983" i="40" s="1"/>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H1277" i="10"/>
  <c r="K4894" i="40" s="1"/>
  <c r="G1276" i="10"/>
  <c r="I4796" i="40" s="1"/>
  <c r="F1275" i="10"/>
  <c r="I4698" i="40" s="1"/>
  <c r="E1274" i="10"/>
  <c r="G4600" i="40" s="1"/>
  <c r="D1273" i="10"/>
  <c r="G4502" i="40" s="1"/>
  <c r="C1272" i="10"/>
  <c r="K4404" i="40" s="1"/>
  <c r="I1270" i="10"/>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I4789" i="40" s="1"/>
  <c r="F1268" i="10"/>
  <c r="I4691" i="40" s="1"/>
  <c r="E1267" i="10"/>
  <c r="G4593" i="40" s="1"/>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G4624" i="40" s="1"/>
  <c r="F1292" i="10"/>
  <c r="D1289" i="10"/>
  <c r="E1286" i="10"/>
  <c r="G4612" i="40" s="1"/>
  <c r="E1283" i="10"/>
  <c r="G4609" i="40" s="1"/>
  <c r="F1280" i="10"/>
  <c r="I4703" i="40" s="1"/>
  <c r="I1278" i="10"/>
  <c r="G4992" i="40" s="1"/>
  <c r="F1277" i="10"/>
  <c r="I4700" i="40" s="1"/>
  <c r="E1276" i="10"/>
  <c r="G4602" i="40" s="1"/>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AK29" i="8"/>
  <c r="AK39" i="8"/>
  <c r="K4448" i="40"/>
  <c r="G4984" i="40"/>
  <c r="K4403" i="40"/>
  <c r="G4599" i="40"/>
  <c r="I4793" i="40"/>
  <c r="K4407" i="40"/>
  <c r="G4989" i="40"/>
  <c r="K4408" i="40"/>
  <c r="I4699" i="40"/>
  <c r="G4990" i="40"/>
  <c r="G4603" i="40"/>
  <c r="G4507" i="40"/>
  <c r="I4701" i="40"/>
  <c r="I4798" i="40"/>
  <c r="G4508" i="40"/>
  <c r="G4605" i="40"/>
  <c r="K4898" i="40"/>
  <c r="I4802" i="40"/>
  <c r="K4899" i="40"/>
  <c r="I4803" i="40"/>
  <c r="G4997" i="40"/>
  <c r="G4610" i="40"/>
  <c r="G4998" i="40"/>
  <c r="G4515" i="40"/>
  <c r="I4709" i="40"/>
  <c r="I4806" i="40"/>
  <c r="I4710" i="40"/>
  <c r="I4807" i="40"/>
  <c r="K4905" i="40"/>
  <c r="G5002" i="40"/>
  <c r="G4518" i="40"/>
  <c r="K4906" i="40"/>
  <c r="I4713" i="40"/>
  <c r="I4810" i="40"/>
  <c r="K4423" i="40"/>
  <c r="G4520" i="40"/>
  <c r="G4617" i="40"/>
  <c r="I4714" i="40"/>
  <c r="K4908" i="40"/>
  <c r="G5005" i="40"/>
  <c r="I4715" i="40"/>
  <c r="I4812" i="40"/>
  <c r="K4909" i="40"/>
  <c r="K4425" i="40"/>
  <c r="G4619" i="40"/>
  <c r="K4426" i="40"/>
  <c r="G4621" i="40"/>
  <c r="I4815" i="40"/>
  <c r="K4912" i="40"/>
  <c r="G5011" i="40"/>
  <c r="K4430" i="40"/>
  <c r="G4625" i="40"/>
  <c r="I4722" i="40"/>
  <c r="G5014" i="40"/>
  <c r="I4821" i="40"/>
  <c r="K4919" i="40"/>
  <c r="G4532" i="40"/>
  <c r="G4629" i="40"/>
  <c r="I4823" i="40"/>
  <c r="K4920" i="40"/>
  <c r="I4824" i="40"/>
  <c r="K4437" i="40"/>
  <c r="G5019" i="40"/>
  <c r="G4632" i="40"/>
  <c r="G5020" i="40"/>
  <c r="K4439" i="40"/>
  <c r="I4730" i="40"/>
  <c r="K4925" i="40"/>
  <c r="G4538" i="40"/>
  <c r="I4732" i="40"/>
  <c r="I4829" i="40"/>
  <c r="K4927" i="40"/>
  <c r="K4443" i="40"/>
  <c r="G4637" i="40"/>
  <c r="I4831" i="40"/>
  <c r="G4638" i="40"/>
  <c r="G5027" i="40"/>
  <c r="K4446" i="40"/>
  <c r="G4543" i="40"/>
  <c r="G4545" i="40"/>
  <c r="G4642" i="40"/>
  <c r="I4836" i="40"/>
  <c r="G4496" i="40"/>
  <c r="G4981" i="40"/>
  <c r="K4400" i="40"/>
  <c r="G4497" i="40"/>
  <c r="I4788" i="40"/>
  <c r="G4982" i="40"/>
  <c r="G4498" i="40"/>
  <c r="J8467" i="40" l="1"/>
  <c r="AK23" i="8"/>
  <c r="AK27" i="8"/>
  <c r="J8477" i="40"/>
  <c r="AK28" i="8"/>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<sst xmlns="http://schemas.openxmlformats.org/spreadsheetml/2006/main" count="77886" uniqueCount="2560">
  <si>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</si>
  <si>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</si>
  <si>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</si>
  <si>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</si>
  <si>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</si>
  <si>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</si>
  <si>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</si>
  <si>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</si>
  <si>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</si>
  <si>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</si>
  <si>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</si>
  <si>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</si>
  <si>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</si>
  <si>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</si>
  <si>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</si>
  <si>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</si>
  <si>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</si>
  <si>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</si>
  <si>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</si>
  <si>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</si>
  <si>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</si>
  <si>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</si>
  <si>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</si>
  <si>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</si>
  <si>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</si>
  <si>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</si>
  <si>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</si>
  <si>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</si>
  <si>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</si>
  <si>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</si>
  <si>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</si>
  <si>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</si>
  <si>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</si>
  <si>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</si>
  <si>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</si>
  <si>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</si>
  <si>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</si>
  <si>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</si>
  <si>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</si>
  <si>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</si>
  <si>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</si>
  <si>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</si>
  <si>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</si>
  <si>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</si>
  <si>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</si>
  <si>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</si>
  <si>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</si>
  <si>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</si>
  <si>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</si>
  <si>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</si>
  <si>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</si>
  <si>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</si>
  <si>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</si>
  <si>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</si>
  <si>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</si>
  <si>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</si>
  <si>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</si>
  <si>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</si>
  <si>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</si>
  <si>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</si>
  <si>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</si>
  <si>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</si>
  <si>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</si>
  <si>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</si>
  <si>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</si>
  <si>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</si>
  <si>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</si>
  <si>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</si>
  <si>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</si>
  <si>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</si>
  <si>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</si>
  <si>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</si>
  <si>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</si>
  <si>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</si>
  <si>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</si>
  <si>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</si>
  <si>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</si>
  <si>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</si>
  <si>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</si>
  <si>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</si>
  <si>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</si>
  <si>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</si>
  <si>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</si>
  <si>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</si>
  <si>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</si>
  <si>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</si>
  <si>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</si>
  <si>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</si>
  <si>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</si>
  <si>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</si>
  <si>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</si>
  <si>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</si>
  <si>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</si>
  <si>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</si>
  <si>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</si>
  <si>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</si>
  <si>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</si>
  <si>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</si>
  <si>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</si>
  <si>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</si>
  <si>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</si>
  <si>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</si>
  <si>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</si>
  <si>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</si>
  <si>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</si>
  <si>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</si>
  <si>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</si>
  <si>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</si>
  <si>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</si>
  <si>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</si>
  <si>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</si>
  <si>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</si>
  <si>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</si>
  <si>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</si>
  <si>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</si>
  <si>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</si>
  <si>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</si>
  <si>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</si>
  <si>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</si>
  <si>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</si>
  <si>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</si>
  <si>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</si>
  <si>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</si>
  <si>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</si>
  <si>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</si>
  <si>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</si>
  <si>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</si>
  <si>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</si>
  <si>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</si>
  <si>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</si>
  <si>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</si>
  <si>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</si>
  <si>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</si>
  <si>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</si>
  <si>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</si>
  <si>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</si>
  <si>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</si>
  <si>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</si>
  <si>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</si>
  <si>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</si>
  <si>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</si>
  <si>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</si>
  <si>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</si>
  <si>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</si>
  <si>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</si>
  <si>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</si>
  <si>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</si>
  <si>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</si>
  <si>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</si>
  <si>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</si>
  <si>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</si>
  <si>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</si>
  <si>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</si>
  <si>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</si>
  <si>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</si>
  <si>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</si>
  <si>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</si>
  <si>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</si>
  <si>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</si>
  <si>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</si>
  <si>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</si>
  <si>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</si>
  <si>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</si>
  <si>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</si>
  <si>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</si>
  <si>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</si>
  <si>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</si>
  <si>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</si>
  <si>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</si>
  <si>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</si>
  <si>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</si>
  <si>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</si>
  <si>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</si>
  <si>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</si>
  <si>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</si>
  <si>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</si>
  <si>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</si>
  <si>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</si>
  <si>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</si>
  <si>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</si>
  <si>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</si>
  <si>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</si>
  <si>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</si>
  <si>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</si>
  <si>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</si>
  <si>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</si>
  <si>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</si>
  <si>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</si>
  <si>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</si>
  <si>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</si>
  <si>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</si>
  <si>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</si>
  <si>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</si>
  <si>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</si>
  <si>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</si>
  <si>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</si>
  <si>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</si>
  <si>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</si>
  <si>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</si>
  <si>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</si>
  <si>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</si>
  <si>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</si>
  <si>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</si>
  <si>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</si>
  <si>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</si>
  <si>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</si>
  <si>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</si>
  <si>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</si>
  <si>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</si>
  <si>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</si>
  <si>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</si>
  <si>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</si>
  <si>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</si>
  <si>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</si>
  <si>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</si>
  <si>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</si>
  <si>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</si>
  <si>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</si>
  <si>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</si>
  <si>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</si>
  <si>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</si>
  <si>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</si>
  <si>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</si>
  <si>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</si>
  <si>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</si>
  <si>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</si>
  <si>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</si>
  <si>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</si>
  <si>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</si>
  <si>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</si>
  <si>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</si>
  <si>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</si>
  <si>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</si>
  <si>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</si>
  <si>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</si>
  <si>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</si>
  <si>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</si>
  <si>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</si>
  <si>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</si>
  <si>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</si>
  <si>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</si>
  <si>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</si>
  <si>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</si>
  <si>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</si>
  <si>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</si>
  <si>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</si>
  <si>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</si>
  <si>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</si>
  <si>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</si>
  <si>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</si>
  <si>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</si>
  <si>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</si>
  <si>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</si>
  <si>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</si>
  <si>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</si>
  <si>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</si>
  <si>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</si>
  <si>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</si>
  <si>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</si>
  <si>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</si>
  <si>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</si>
  <si>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</si>
  <si>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</si>
  <si>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</si>
  <si>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</si>
  <si>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</si>
  <si>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</si>
  <si>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</si>
  <si>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</si>
  <si>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</si>
  <si>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</si>
  <si>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</si>
  <si>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</si>
  <si>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</si>
  <si>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</si>
  <si>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</si>
  <si>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</si>
  <si>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</si>
  <si>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</si>
  <si>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</si>
  <si>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</si>
  <si>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</si>
  <si>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</si>
  <si>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</si>
  <si>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</si>
  <si>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</si>
  <si>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</si>
  <si>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</si>
  <si>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</si>
  <si>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</si>
  <si>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</si>
  <si>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</si>
  <si>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</si>
  <si>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</si>
  <si>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</si>
  <si>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</si>
  <si>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</si>
  <si>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</si>
  <si>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</si>
  <si>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</si>
  <si>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</si>
  <si>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</si>
  <si>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</si>
  <si>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</si>
  <si>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</si>
  <si>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</si>
  <si>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</si>
  <si>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</si>
  <si>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</si>
  <si>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</si>
  <si>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</si>
  <si>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</si>
  <si>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</si>
  <si>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</si>
  <si>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</si>
  <si>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</si>
  <si>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</si>
  <si>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</si>
  <si>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</si>
  <si>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</si>
  <si>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</si>
  <si>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</si>
  <si>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</si>
  <si>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</si>
  <si>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</si>
  <si>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</si>
  <si>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</si>
  <si>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</si>
  <si>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</si>
  <si>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</si>
  <si>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</si>
  <si>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</si>
  <si>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</si>
  <si>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</si>
  <si>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</si>
  <si>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</si>
  <si>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</si>
  <si>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</si>
  <si>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</si>
  <si>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</si>
  <si>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</si>
  <si>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</si>
  <si>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</si>
  <si>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</si>
  <si>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</si>
  <si>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</si>
  <si>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</si>
  <si>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</si>
  <si>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</si>
  <si>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</si>
  <si>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</si>
  <si>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</si>
  <si>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</si>
  <si>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</si>
  <si>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</si>
  <si>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</si>
  <si>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</si>
  <si>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</si>
  <si>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</si>
  <si>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</si>
  <si>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</si>
  <si>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</si>
  <si>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</si>
  <si>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</si>
  <si>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</si>
  <si>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</si>
  <si>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</si>
  <si>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</si>
  <si>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</si>
  <si>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</si>
  <si>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</si>
  <si>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</si>
  <si>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</si>
  <si>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</si>
  <si>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</si>
  <si>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</si>
  <si>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</si>
  <si>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</si>
  <si>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</si>
  <si>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</si>
  <si>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</si>
  <si>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</si>
  <si>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</si>
  <si>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</si>
  <si>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</si>
  <si>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</si>
  <si>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</si>
  <si>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</si>
  <si>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</si>
  <si>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</si>
  <si>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</si>
  <si>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</si>
  <si>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</si>
  <si>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</si>
  <si>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</si>
  <si>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</si>
  <si>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</si>
  <si>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</si>
  <si>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</si>
  <si>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</si>
  <si>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</si>
  <si>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</si>
  <si>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</si>
  <si>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</si>
  <si>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</si>
  <si>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</si>
  <si>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</si>
  <si>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</si>
  <si>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</si>
  <si>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</si>
  <si>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</si>
  <si>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</si>
  <si>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</si>
  <si>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</si>
  <si>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</si>
  <si>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</si>
  <si>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</si>
  <si>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</si>
  <si>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</si>
  <si>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</si>
  <si>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</si>
  <si>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</si>
  <si>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</si>
  <si>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</si>
  <si>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</si>
  <si>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</si>
  <si>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</si>
  <si>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</si>
  <si>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</si>
  <si>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</si>
  <si>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</si>
  <si>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</si>
  <si>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</si>
  <si>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</si>
  <si>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</si>
  <si>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</si>
  <si>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</si>
  <si>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</si>
  <si>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</si>
  <si>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</si>
  <si>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</si>
  <si>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</si>
  <si>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</si>
  <si>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</si>
  <si>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</si>
  <si>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</si>
  <si>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</si>
  <si>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</si>
  <si>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</si>
  <si>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</si>
  <si>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</si>
  <si>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</si>
  <si>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</si>
  <si>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</si>
  <si>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</si>
  <si>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</si>
  <si>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</si>
  <si>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</si>
  <si>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</si>
  <si>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</si>
  <si>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</si>
  <si>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</si>
  <si>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</si>
  <si>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</si>
  <si>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</si>
  <si>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</si>
  <si>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</si>
  <si>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</si>
  <si>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</si>
  <si>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</si>
  <si>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</si>
  <si>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</si>
  <si>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</si>
  <si>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</si>
  <si>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</si>
  <si>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</si>
  <si>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</si>
  <si>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</si>
  <si>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</si>
  <si>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</si>
  <si>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</si>
  <si>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</si>
  <si>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</si>
  <si>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</si>
  <si>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</si>
  <si>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</si>
  <si>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</si>
  <si>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</si>
  <si>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</si>
  <si>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</si>
  <si>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</si>
  <si>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</si>
  <si>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</si>
  <si>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</si>
  <si>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</si>
  <si>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</si>
  <si>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</si>
  <si>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</si>
  <si>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</si>
  <si>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</si>
  <si>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</si>
  <si>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</si>
  <si>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</si>
  <si>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</si>
  <si>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</si>
  <si>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</si>
  <si>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</si>
  <si>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</si>
  <si>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</si>
  <si>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</si>
  <si>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</si>
  <si>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</si>
  <si>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</si>
  <si>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</si>
  <si>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</si>
  <si>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</si>
  <si>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</si>
  <si>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</si>
  <si>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</si>
  <si>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</si>
  <si>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</si>
  <si>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</si>
  <si>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</si>
  <si>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</si>
  <si>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</si>
  <si>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</si>
  <si>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</si>
  <si>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</si>
  <si>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</si>
  <si>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</si>
  <si>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</si>
  <si>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</si>
  <si>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</si>
  <si>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</si>
  <si>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</si>
  <si>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</si>
  <si>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</si>
  <si>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</si>
  <si>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</si>
  <si>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</si>
  <si>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</si>
  <si>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</si>
  <si>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</si>
  <si>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</si>
  <si>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</si>
  <si>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</si>
  <si>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</si>
  <si>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</si>
  <si>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</si>
  <si>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</si>
  <si>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</si>
  <si>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</si>
  <si>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</si>
  <si>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</si>
  <si>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</si>
  <si>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</si>
  <si>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</si>
  <si>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</si>
  <si>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</si>
  <si>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</si>
  <si>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</si>
  <si>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</si>
  <si>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</si>
  <si>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</si>
  <si>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</si>
  <si>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</si>
  <si>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</si>
  <si>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</si>
  <si>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</si>
  <si>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</si>
  <si>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</si>
  <si>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</si>
  <si>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</si>
  <si>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</si>
  <si>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</si>
  <si>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</si>
  <si>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</si>
  <si>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</si>
  <si>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</si>
  <si>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</si>
  <si>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</si>
  <si>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</si>
  <si>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</si>
  <si>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</si>
  <si>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</si>
  <si>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</si>
  <si>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</si>
  <si>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</si>
  <si>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</si>
  <si>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</si>
  <si>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</si>
  <si>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</si>
  <si>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</si>
  <si>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</si>
  <si>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</si>
  <si>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</si>
  <si>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</si>
  <si>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</si>
  <si>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</si>
  <si>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</si>
  <si>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</si>
  <si>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</si>
  <si>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</si>
  <si>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</si>
  <si>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</si>
  <si>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</si>
  <si>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</si>
  <si>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</si>
  <si>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</si>
  <si>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</si>
  <si>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</si>
  <si>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</si>
  <si>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</si>
  <si>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</si>
  <si>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</si>
  <si>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</si>
  <si>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</si>
  <si>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</si>
  <si>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</si>
  <si>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</si>
  <si>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</si>
  <si>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</si>
  <si>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</si>
  <si>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</si>
  <si>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</si>
  <si>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</si>
  <si>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</si>
  <si>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</si>
  <si>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</si>
  <si>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</si>
  <si>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</si>
  <si>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</si>
  <si>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</si>
  <si>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</si>
  <si>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</si>
  <si>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</si>
  <si>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</si>
  <si>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</si>
  <si>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</si>
  <si>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</si>
  <si>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</si>
  <si>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</si>
  <si>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</si>
  <si>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</si>
  <si>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</si>
  <si>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</si>
  <si>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</si>
  <si>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</si>
  <si>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</si>
  <si>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</si>
  <si>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</si>
  <si>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</si>
  <si>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</si>
  <si>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</si>
  <si>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</si>
  <si>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</si>
  <si>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</si>
  <si>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</si>
  <si>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</si>
  <si>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</si>
  <si>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</si>
  <si>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</si>
  <si>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</si>
  <si>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</si>
  <si>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</si>
  <si>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</si>
  <si>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</si>
  <si>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</si>
  <si>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</si>
  <si>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</si>
  <si>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</si>
  <si>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</si>
  <si>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</si>
  <si>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</si>
  <si>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</si>
  <si>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</si>
  <si>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</si>
  <si>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</si>
  <si>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</si>
  <si>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</si>
  <si>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</si>
  <si>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</si>
  <si>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</si>
  <si>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</si>
  <si>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</si>
  <si>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</si>
  <si>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</si>
  <si>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</si>
  <si>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</si>
  <si>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</si>
  <si>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</si>
  <si>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</si>
  <si>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</si>
  <si>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</si>
  <si>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</si>
  <si>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</si>
  <si>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</si>
  <si>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</si>
  <si>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</si>
  <si>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</si>
  <si>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</si>
  <si>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</si>
  <si>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</si>
  <si>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</si>
  <si>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</si>
  <si>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</si>
  <si>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</si>
  <si>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</si>
  <si>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</si>
  <si>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</si>
  <si>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</si>
  <si>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</si>
  <si>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</si>
  <si>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</si>
  <si>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</si>
  <si>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</si>
  <si>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</si>
  <si>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</si>
  <si>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</si>
  <si>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</si>
  <si>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</si>
  <si>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</si>
  <si>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</si>
  <si>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</si>
  <si>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</si>
  <si>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</si>
  <si>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</si>
  <si>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</si>
  <si>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</si>
  <si>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</si>
  <si>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</si>
  <si>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</si>
  <si>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</si>
  <si>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</si>
  <si>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</si>
  <si>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</si>
  <si>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</si>
  <si>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</si>
  <si>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</si>
  <si>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</si>
  <si>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</si>
  <si>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</si>
  <si>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</si>
  <si>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</si>
  <si>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</si>
  <si>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</si>
  <si>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</si>
  <si>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</si>
  <si>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</si>
  <si>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</si>
  <si>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</si>
  <si>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</si>
  <si>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</si>
  <si>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</si>
  <si>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</si>
  <si>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</si>
  <si>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</si>
  <si>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</si>
  <si>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</si>
  <si>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</si>
  <si>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</si>
  <si>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</si>
  <si>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</si>
  <si>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</si>
  <si>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</si>
  <si>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</si>
  <si>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</si>
  <si>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</si>
  <si>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</si>
  <si>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</si>
  <si>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</si>
  <si>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</si>
  <si>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</si>
  <si>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</si>
  <si>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</si>
  <si>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</si>
  <si>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</si>
  <si>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</si>
  <si>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</si>
  <si>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</si>
  <si>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</si>
  <si>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</si>
  <si>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</si>
  <si>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</si>
  <si>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</si>
  <si>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</si>
  <si>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</si>
  <si>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</si>
  <si>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</si>
  <si>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</si>
  <si>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</si>
  <si>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</si>
  <si>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</si>
  <si>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</si>
  <si>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</si>
  <si>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</si>
  <si>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</si>
  <si>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</si>
  <si>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</si>
  <si>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</si>
  <si>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</si>
  <si>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</si>
  <si>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</si>
  <si>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</si>
  <si>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</si>
  <si>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</si>
  <si>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</si>
  <si>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</si>
  <si>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</si>
  <si>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</si>
  <si>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</si>
  <si>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</si>
  <si>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</si>
  <si>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</si>
  <si>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</si>
  <si>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</si>
  <si>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</si>
  <si>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</si>
  <si>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</si>
  <si>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</si>
  <si>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</si>
  <si>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</si>
  <si>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</si>
  <si>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</si>
  <si>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</si>
  <si>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</si>
  <si>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</si>
  <si>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</si>
  <si>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</si>
  <si>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</si>
  <si>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</si>
  <si>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</si>
  <si>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</si>
  <si>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</si>
  <si>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</si>
  <si>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</si>
  <si>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</si>
  <si>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</si>
  <si>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</si>
  <si>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</si>
  <si>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</si>
  <si>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</si>
  <si>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</si>
  <si>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</si>
  <si>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</si>
  <si>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</si>
  <si>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</si>
  <si>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</si>
  <si>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</si>
  <si>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</si>
  <si>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</si>
  <si>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</si>
  <si>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</si>
  <si>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</si>
  <si>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</si>
  <si>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</si>
  <si>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</si>
  <si>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</si>
  <si>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</si>
  <si>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</si>
  <si>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</si>
  <si>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</si>
  <si>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</si>
  <si>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</si>
  <si>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</si>
  <si>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</si>
  <si>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</si>
  <si>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</si>
  <si>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</si>
  <si>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</si>
  <si>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</si>
  <si>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</si>
  <si>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</si>
  <si>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</si>
  <si>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</si>
  <si>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</si>
  <si>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</si>
  <si>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</si>
  <si>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</si>
  <si>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</si>
  <si>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</si>
  <si>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</si>
  <si>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</si>
  <si>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</si>
  <si>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</si>
  <si>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</si>
  <si>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</si>
  <si>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</si>
  <si>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</si>
  <si>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</si>
  <si>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</si>
  <si>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</si>
  <si>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</si>
  <si>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</si>
  <si>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</si>
  <si>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</si>
  <si>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</si>
  <si>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</si>
  <si>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</si>
  <si>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</si>
  <si>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</si>
  <si>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</si>
  <si>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</si>
  <si>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</si>
  <si>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</si>
  <si>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</si>
  <si>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</si>
  <si>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</si>
  <si>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</si>
  <si>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</si>
  <si>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</si>
  <si>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</si>
  <si>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</si>
  <si>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</si>
  <si>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</si>
  <si>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</si>
  <si>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</si>
  <si>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</si>
  <si>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</si>
  <si>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</si>
  <si>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</si>
  <si>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</si>
  <si>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</si>
  <si>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</si>
  <si>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</si>
  <si>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</si>
  <si>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</si>
  <si>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</si>
  <si>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</si>
  <si>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</si>
  <si>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</si>
  <si>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</si>
  <si>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</si>
  <si>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</si>
  <si>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</si>
  <si>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</si>
  <si>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</si>
  <si>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</si>
  <si>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</si>
  <si>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</si>
  <si>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</si>
  <si>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</si>
  <si>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</si>
  <si>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</si>
  <si>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</si>
  <si>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</si>
  <si>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</si>
  <si>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</si>
  <si>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</si>
  <si>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</si>
  <si>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</si>
  <si>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</si>
  <si>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</si>
  <si>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</si>
  <si>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</si>
  <si>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</si>
  <si>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</si>
  <si>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</si>
  <si>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</si>
  <si>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</si>
  <si>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</si>
  <si>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</si>
  <si>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</si>
  <si>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</si>
  <si>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</si>
  <si>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</si>
  <si>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</si>
  <si>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</si>
  <si>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</si>
  <si>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</si>
  <si>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</si>
  <si>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</si>
  <si>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</si>
  <si>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</si>
  <si>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</si>
  <si>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</si>
  <si>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</si>
  <si>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</si>
  <si>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</si>
  <si>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</si>
  <si>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</si>
  <si>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</si>
  <si>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</si>
  <si>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</si>
  <si>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</si>
  <si>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</si>
  <si>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</si>
  <si>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</si>
  <si>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</si>
  <si>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</si>
  <si>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</si>
  <si>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</si>
  <si>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</si>
  <si>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</si>
  <si>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</si>
  <si>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</si>
  <si>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</si>
  <si>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</si>
  <si>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</si>
  <si>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</si>
  <si>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</si>
  <si>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</si>
  <si>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</si>
  <si>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</si>
  <si>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</si>
  <si>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</si>
  <si>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</si>
  <si>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</si>
  <si>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</si>
  <si>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</si>
  <si>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</si>
  <si>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</si>
  <si>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</si>
  <si>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</si>
  <si>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</si>
  <si>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</si>
  <si>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</si>
  <si>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</si>
  <si>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</si>
  <si>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</si>
  <si>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</si>
  <si>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</si>
  <si>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</si>
  <si>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</si>
  <si>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</si>
  <si>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</si>
  <si>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</si>
  <si>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</si>
  <si>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</si>
  <si>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</si>
  <si>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</si>
  <si>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</si>
  <si>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</si>
  <si>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</si>
  <si>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</si>
  <si>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</si>
  <si>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</si>
  <si>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</si>
  <si>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</si>
  <si>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</si>
  <si>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</si>
  <si>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</si>
  <si>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</si>
  <si>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</si>
  <si>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</si>
  <si>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</si>
  <si>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</si>
  <si>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</si>
  <si>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</si>
  <si>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</si>
  <si>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</si>
  <si>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</si>
  <si>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</si>
  <si>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</si>
  <si>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</si>
  <si>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</si>
  <si>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</si>
  <si>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</si>
  <si>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</si>
  <si>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</si>
  <si>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</si>
  <si>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</si>
  <si>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</si>
  <si>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</si>
  <si>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</si>
  <si>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</si>
  <si>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</si>
  <si>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</si>
  <si>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</si>
  <si>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</si>
  <si>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</si>
  <si>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</si>
  <si>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</si>
  <si>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</si>
  <si>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</si>
  <si>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</si>
  <si>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</si>
  <si>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</si>
  <si>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</si>
  <si>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</si>
  <si>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</si>
  <si>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</si>
  <si>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</si>
  <si>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</si>
  <si>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</si>
  <si>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</si>
  <si>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</si>
  <si>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</si>
  <si>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</si>
  <si>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</si>
  <si>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</si>
  <si>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</si>
  <si>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</si>
  <si>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</si>
  <si>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</si>
  <si>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</si>
  <si>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</si>
  <si>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</si>
  <si>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</si>
  <si>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</si>
  <si>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</si>
  <si>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</si>
  <si>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</si>
  <si>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</si>
  <si>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</si>
  <si>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</si>
  <si>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</si>
  <si>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</si>
  <si>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</si>
  <si>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</si>
  <si>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</si>
  <si>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</si>
  <si>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</si>
  <si>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</si>
  <si>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</si>
  <si>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</si>
  <si>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</si>
  <si>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</si>
  <si>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</si>
  <si>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</si>
  <si>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</si>
  <si>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</si>
  <si>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</si>
  <si>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</si>
  <si>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</si>
  <si>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</si>
  <si>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</si>
  <si>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</si>
  <si>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</si>
  <si>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</si>
  <si>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</si>
  <si>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</si>
  <si>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</si>
  <si>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</si>
  <si>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</si>
  <si>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</si>
  <si>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</si>
  <si>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</si>
  <si>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</si>
  <si>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</si>
  <si>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</si>
  <si>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</si>
  <si>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</si>
  <si>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</si>
  <si>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</si>
  <si>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</si>
  <si>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</si>
  <si>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</si>
  <si>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</si>
  <si>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</si>
  <si>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</si>
  <si>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</si>
  <si>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</si>
  <si>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</si>
  <si>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</si>
  <si>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</si>
  <si>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</si>
  <si>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</si>
  <si>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</si>
  <si>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</si>
  <si>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</si>
  <si>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</si>
  <si>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</si>
  <si>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</si>
  <si>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</si>
  <si>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</si>
  <si>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</si>
  <si>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</si>
  <si>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</si>
  <si>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</si>
  <si>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</si>
  <si>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</si>
  <si>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</si>
  <si>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</si>
  <si>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</si>
  <si>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</si>
  <si>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</si>
  <si>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</si>
  <si>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</si>
  <si>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</si>
  <si>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</si>
  <si>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</si>
  <si>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</si>
  <si>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</si>
  <si>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</si>
  <si>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</si>
  <si>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</si>
  <si>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</si>
  <si>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</si>
  <si>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</si>
  <si>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</si>
  <si>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</si>
  <si>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</si>
  <si>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</si>
  <si>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</si>
  <si>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</si>
  <si>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</si>
  <si>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</si>
  <si>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</si>
  <si>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</si>
  <si>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</si>
  <si>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</si>
  <si>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</si>
  <si>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</si>
  <si>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</si>
  <si>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</si>
  <si>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</si>
  <si>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</si>
  <si>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</si>
  <si>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</si>
  <si>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</si>
  <si>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</si>
  <si>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</si>
  <si>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</si>
  <si>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</si>
  <si>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</si>
  <si>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</si>
  <si>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</si>
  <si>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</si>
  <si>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</si>
  <si>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</si>
  <si>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</si>
  <si>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</si>
  <si>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</si>
  <si>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</si>
  <si>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</si>
  <si>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</si>
  <si>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</si>
  <si>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</si>
  <si>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</si>
  <si>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</si>
  <si>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</si>
  <si>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</si>
  <si>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</si>
  <si>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</si>
  <si>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</si>
  <si>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</si>
  <si>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</si>
  <si>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</si>
  <si>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</si>
  <si>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</si>
  <si>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</si>
  <si>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</si>
  <si>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</si>
  <si>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</si>
  <si>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</si>
  <si>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</si>
  <si>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</si>
  <si>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</si>
  <si>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</si>
  <si>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</si>
  <si>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</si>
  <si>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</si>
  <si>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</si>
  <si>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</si>
  <si>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</si>
  <si>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</si>
  <si>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</si>
  <si>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</si>
  <si>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</si>
  <si>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</si>
  <si>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</si>
  <si>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</si>
  <si>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</si>
  <si>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</si>
  <si>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</si>
  <si>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</si>
  <si>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</si>
  <si>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</si>
  <si>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</si>
  <si>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</si>
  <si>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</si>
  <si>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</si>
  <si>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</si>
  <si>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</si>
  <si>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</si>
  <si>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</si>
  <si>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</si>
  <si>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</si>
  <si>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</si>
  <si>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</si>
  <si>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</si>
  <si>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</si>
  <si>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</si>
  <si>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</si>
  <si>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</si>
  <si>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</si>
  <si>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</si>
  <si>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</si>
  <si>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</si>
  <si>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</si>
  <si>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</si>
  <si>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</si>
  <si>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</si>
  <si>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</si>
  <si>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</si>
  <si>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</si>
  <si>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</si>
  <si>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</si>
  <si>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</si>
  <si>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</si>
  <si>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</si>
  <si>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</si>
  <si>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</si>
  <si>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</si>
  <si>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</si>
  <si>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</si>
  <si>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</si>
  <si>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</si>
  <si>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</si>
  <si>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</si>
  <si>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</si>
  <si>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</si>
  <si>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</si>
  <si>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</si>
  <si>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</si>
  <si>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</si>
  <si>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</si>
  <si>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</si>
  <si>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</si>
  <si>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</si>
  <si>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</si>
  <si>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</si>
  <si>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</si>
  <si>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</si>
  <si>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</si>
  <si>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</si>
  <si>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</si>
  <si>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</si>
  <si>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</si>
  <si>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</si>
  <si>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</si>
  <si>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</si>
  <si>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</si>
  <si>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</si>
  <si>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</si>
  <si>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</si>
  <si>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</si>
  <si>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</si>
  <si>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</si>
  <si>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</si>
  <si>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</si>
  <si>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</si>
  <si>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</si>
  <si>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</si>
  <si>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</si>
  <si>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</si>
  <si>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</si>
  <si>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</si>
  <si>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</si>
  <si>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</si>
  <si>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</si>
  <si>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</si>
  <si>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</si>
  <si>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</si>
  <si>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</si>
  <si>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</si>
  <si>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</si>
  <si>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</si>
  <si>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</si>
  <si>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</si>
  <si>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</si>
  <si>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</si>
  <si>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</si>
  <si>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</si>
  <si>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</si>
  <si>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</si>
  <si>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</si>
  <si>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</si>
  <si>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</si>
  <si>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</si>
  <si>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</si>
  <si>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</si>
  <si>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</si>
  <si>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</si>
  <si>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</si>
  <si>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</si>
  <si>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</si>
  <si>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</si>
  <si>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</si>
  <si>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</si>
  <si>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</si>
  <si>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</si>
  <si>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</si>
  <si>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</si>
  <si>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</si>
  <si>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</si>
  <si>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</si>
  <si>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</si>
  <si>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</si>
  <si>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</si>
  <si>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</si>
  <si>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</si>
  <si>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</si>
  <si>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</si>
  <si>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</si>
  <si>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</si>
  <si>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</si>
  <si>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</si>
  <si>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</si>
  <si>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</si>
  <si>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</si>
  <si>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</si>
  <si>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</si>
  <si>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</si>
  <si>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</si>
  <si>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</si>
  <si>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</si>
  <si>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</si>
  <si>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</si>
  <si>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</si>
  <si>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</si>
  <si>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</si>
  <si>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</si>
  <si>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</si>
  <si>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</si>
  <si>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</si>
  <si>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</si>
  <si>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</si>
  <si>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</si>
  <si>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</si>
  <si>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</si>
  <si>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</si>
  <si>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</si>
  <si>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</si>
  <si>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</si>
  <si>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</si>
  <si>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</si>
  <si>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</si>
  <si>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</si>
  <si>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</si>
  <si>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</si>
  <si>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</si>
  <si>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</si>
  <si>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</si>
  <si>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</si>
  <si>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</si>
  <si>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</si>
  <si>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</si>
  <si>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</si>
  <si>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</si>
  <si>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</si>
  <si>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</si>
  <si>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</si>
  <si>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</si>
  <si>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</si>
  <si>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</si>
  <si>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</si>
  <si>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</si>
  <si>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</si>
  <si>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</si>
  <si>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</si>
  <si>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</si>
  <si>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</si>
  <si>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</si>
  <si>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</si>
  <si>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</si>
  <si>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</si>
  <si>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</si>
  <si>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</si>
  <si>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</si>
  <si>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</si>
  <si>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</si>
  <si>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</si>
  <si>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</si>
  <si>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</si>
  <si>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</si>
  <si>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</si>
  <si>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</si>
  <si>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</si>
  <si>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</si>
  <si>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</si>
  <si>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</si>
  <si>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</si>
  <si>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</si>
  <si>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</si>
  <si>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</si>
  <si>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</si>
  <si>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</si>
  <si>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</si>
  <si>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</si>
  <si>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</si>
  <si>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</si>
  <si>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</si>
  <si>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</si>
  <si>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</si>
  <si>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</si>
  <si>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</si>
  <si>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</si>
  <si>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</si>
  <si>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</si>
  <si>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</si>
  <si>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</si>
  <si>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</si>
  <si>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</si>
  <si>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</si>
  <si>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</si>
  <si>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</si>
  <si>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</si>
  <si>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</si>
  <si>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</si>
  <si>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</si>
  <si>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</si>
  <si>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</si>
  <si>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</si>
  <si>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</si>
  <si>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</si>
  <si>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</si>
  <si>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</si>
  <si>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</si>
  <si>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</si>
  <si>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</si>
  <si>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</si>
  <si>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</si>
  <si>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</si>
  <si>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</si>
  <si>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</si>
  <si>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</si>
  <si>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</si>
  <si>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</si>
  <si>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</si>
  <si>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</si>
  <si>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</si>
  <si>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</si>
  <si>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</si>
  <si>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</si>
  <si>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</si>
  <si>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</si>
  <si>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</si>
  <si>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</si>
  <si>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</si>
  <si>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</si>
  <si>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</si>
  <si>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</si>
  <si>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</si>
  <si>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</si>
  <si>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</si>
  <si>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</si>
  <si>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</si>
  <si>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</si>
  <si>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</si>
  <si>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</si>
  <si>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</si>
  <si>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</si>
  <si>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</si>
  <si>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</si>
  <si>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</si>
  <si>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</si>
  <si>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</si>
  <si>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</si>
  <si>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</si>
  <si>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</si>
  <si>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</si>
  <si>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</si>
  <si>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</si>
  <si>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</si>
  <si>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</si>
  <si>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</si>
  <si>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</si>
  <si>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</si>
  <si>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</si>
  <si>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</si>
  <si>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</si>
  <si>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</si>
  <si>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</si>
  <si>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</si>
  <si>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</si>
  <si>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</si>
  <si>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</si>
  <si>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</si>
  <si>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</si>
  <si>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</si>
  <si>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</si>
  <si>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</si>
  <si>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</si>
  <si>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</si>
  <si>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</si>
  <si>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</si>
  <si>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</si>
  <si>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</si>
  <si>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</si>
  <si>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</si>
  <si>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</si>
  <si>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</si>
  <si>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</si>
  <si>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</si>
  <si>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</si>
  <si>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</si>
  <si>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</si>
  <si>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</si>
  <si>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</si>
  <si>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</si>
  <si>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</si>
  <si>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</si>
  <si>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</si>
  <si>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</si>
  <si>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</si>
  <si>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</si>
  <si>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</si>
  <si>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</si>
  <si>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</si>
  <si>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</si>
  <si>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</si>
  <si>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</si>
  <si>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</si>
  <si>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</si>
  <si>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</si>
  <si>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</si>
  <si>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</si>
  <si>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</si>
  <si>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</si>
  <si>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</si>
  <si>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</si>
  <si>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</si>
  <si>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</si>
  <si>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</si>
  <si>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</si>
  <si>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</si>
  <si>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</si>
  <si>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</si>
  <si>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</si>
  <si>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</si>
  <si>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</si>
  <si>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</si>
  <si>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</si>
  <si>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</si>
  <si>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</si>
  <si>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</si>
  <si>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</si>
  <si>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</si>
  <si>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</si>
  <si>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</si>
  <si>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</si>
  <si>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</si>
  <si>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</si>
  <si>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</si>
  <si>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</si>
  <si>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</si>
  <si>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</si>
  <si>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</si>
  <si>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</si>
  <si>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</si>
  <si>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</si>
  <si>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</si>
  <si>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</si>
  <si>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</si>
  <si>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</si>
  <si>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</si>
  <si>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</si>
  <si>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</si>
  <si>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</si>
  <si>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</si>
  <si>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</si>
  <si>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</si>
  <si>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</si>
  <si>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</si>
  <si>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</si>
  <si>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</si>
  <si>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</si>
  <si>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</si>
  <si>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</si>
  <si>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</si>
  <si>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</si>
  <si>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</si>
  <si>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</si>
  <si>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</si>
  <si>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</si>
  <si>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</si>
  <si>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</si>
  <si>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</si>
  <si>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</si>
  <si>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</si>
  <si>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</si>
  <si>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</si>
  <si>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</si>
  <si>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</si>
  <si>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</si>
  <si>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</si>
  <si>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</si>
  <si>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</si>
  <si>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</si>
  <si>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</si>
  <si>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</si>
  <si>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</si>
  <si>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</si>
  <si>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</si>
  <si>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</si>
  <si>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</si>
  <si>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</si>
  <si>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</si>
  <si>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</si>
  <si>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</si>
  <si>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</si>
  <si>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</si>
  <si>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</si>
  <si>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</si>
  <si>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</si>
  <si>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</si>
  <si>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</si>
  <si>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</si>
  <si>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</si>
  <si>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</si>
  <si>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</si>
  <si>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</si>
  <si>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</si>
  <si>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</si>
  <si>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</si>
  <si>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</si>
  <si>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</si>
  <si>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</si>
  <si>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</si>
  <si>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</si>
  <si>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</si>
  <si>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</si>
  <si>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</si>
  <si>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</si>
  <si>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</si>
  <si>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</si>
  <si>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</si>
  <si>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</si>
  <si>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</si>
  <si>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</si>
  <si>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</si>
  <si>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</si>
  <si>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</si>
  <si>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</si>
  <si>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</si>
  <si>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</si>
  <si>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</si>
  <si>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</si>
  <si>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</si>
  <si>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</si>
  <si>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</si>
  <si>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</si>
  <si>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</si>
  <si>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</si>
  <si>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</si>
  <si>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</si>
  <si>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</si>
  <si>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</si>
  <si>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</si>
  <si>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</si>
  <si>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</si>
  <si>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</si>
  <si>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</si>
  <si>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</si>
  <si>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</si>
  <si>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</si>
  <si>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</si>
  <si>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</si>
  <si>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</si>
  <si>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</si>
  <si>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</si>
  <si>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</si>
  <si>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</si>
  <si>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</si>
  <si>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</si>
  <si>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</si>
  <si>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</si>
  <si>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</si>
  <si>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</si>
  <si>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</si>
  <si>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</si>
  <si>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</si>
  <si>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</si>
  <si>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</si>
  <si>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</si>
  <si>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</si>
  <si>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</si>
  <si>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</si>
  <si>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</si>
  <si>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</si>
  <si>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</si>
  <si>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</si>
  <si>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</si>
  <si>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</si>
  <si>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</si>
  <si>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</si>
  <si>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</si>
  <si>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</si>
  <si>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</si>
  <si>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</si>
  <si>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</si>
  <si>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</si>
  <si>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</si>
  <si>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</si>
  <si>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</si>
  <si>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</si>
  <si>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</si>
  <si>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</si>
  <si>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</si>
  <si>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</si>
  <si>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</si>
  <si>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</si>
  <si>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</si>
  <si>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</si>
  <si>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</si>
  <si>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</si>
  <si>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</si>
  <si>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</si>
  <si>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</si>
  <si>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</si>
  <si>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</si>
  <si>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</si>
  <si>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</si>
  <si>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</si>
  <si>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</si>
  <si>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</si>
  <si>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</si>
  <si>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</si>
  <si>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</si>
  <si>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</si>
  <si>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</si>
  <si>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</si>
  <si>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</si>
  <si>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</si>
  <si>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</si>
  <si>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</si>
  <si>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</si>
  <si>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</si>
  <si>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</si>
  <si>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</si>
  <si>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</si>
  <si>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</si>
  <si>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</si>
  <si>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</si>
  <si>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</si>
  <si>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</si>
  <si>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</si>
  <si>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</si>
  <si>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</si>
  <si>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</si>
  <si>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</si>
  <si>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</si>
  <si>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</si>
  <si>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</si>
  <si>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</si>
  <si>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</si>
  <si>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</si>
  <si>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</si>
  <si>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</si>
  <si>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</si>
  <si>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</si>
  <si>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</si>
  <si>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</si>
  <si>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</si>
  <si>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</si>
  <si>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</si>
  <si>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</si>
  <si>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</si>
  <si>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</si>
  <si>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</si>
  <si>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</si>
  <si>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</si>
  <si>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</si>
  <si>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</si>
  <si>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</si>
  <si>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</si>
  <si>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</si>
  <si>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</si>
  <si>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</si>
  <si>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</si>
  <si>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</si>
  <si>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</si>
  <si>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</si>
  <si>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</si>
  <si>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</si>
  <si>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</si>
  <si>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</si>
  <si>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</si>
  <si>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</si>
  <si>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</si>
  <si>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</si>
  <si>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</si>
  <si>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</si>
  <si>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</si>
  <si>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</si>
  <si>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</si>
  <si>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</si>
  <si>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</si>
  <si>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</si>
  <si>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</si>
  <si>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</si>
  <si>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</si>
  <si>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</si>
  <si>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</si>
  <si>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</si>
  <si>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</si>
  <si>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</si>
  <si>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</si>
  <si>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</si>
  <si>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</si>
  <si>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</si>
  <si>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</si>
  <si>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</si>
  <si>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</si>
  <si>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</si>
  <si>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</si>
  <si>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</si>
  <si>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</si>
  <si>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</si>
  <si>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</si>
  <si>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</si>
  <si>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</si>
  <si>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</si>
  <si>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</si>
  <si>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</si>
  <si>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</si>
  <si>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</si>
  <si>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</si>
  <si>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</si>
  <si>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</si>
  <si>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</si>
  <si>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</si>
  <si>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</si>
  <si>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</si>
  <si>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</si>
  <si>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</si>
  <si>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</si>
  <si>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</si>
  <si>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</si>
  <si>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</si>
  <si>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</si>
  <si>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</si>
  <si>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</si>
  <si>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</si>
  <si>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</si>
  <si>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</si>
  <si>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</si>
  <si>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</si>
  <si>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</si>
  <si>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</si>
  <si>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</si>
  <si>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</si>
  <si>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</si>
  <si>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</si>
  <si>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</si>
  <si>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</si>
  <si>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</si>
  <si>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</si>
  <si>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</si>
  <si>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</si>
  <si>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</si>
  <si>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</si>
  <si>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</si>
  <si>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</si>
  <si>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</si>
  <si>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</si>
  <si>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</si>
  <si>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</si>
  <si>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</si>
  <si>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</si>
  <si>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</si>
  <si>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</si>
  <si>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</si>
  <si>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</si>
  <si>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</si>
  <si>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</si>
  <si>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</si>
  <si>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</si>
  <si>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</si>
  <si>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</si>
  <si>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</si>
  <si>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</si>
  <si>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</si>
  <si>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</si>
  <si>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</si>
  <si>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</si>
  <si>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</si>
  <si>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</si>
  <si>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</si>
  <si>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</si>
  <si>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</si>
  <si>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</si>
  <si>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</si>
  <si>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</si>
  <si>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</si>
  <si>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</si>
  <si>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</si>
  <si>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</si>
  <si>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</si>
  <si>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</si>
  <si>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</si>
  <si>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</si>
  <si>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</si>
  <si>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</si>
  <si>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</si>
  <si>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</si>
  <si>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</si>
  <si>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</si>
  <si>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</si>
  <si>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</si>
  <si>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</si>
  <si>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</si>
  <si>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</si>
  <si>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</si>
  <si>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</si>
  <si>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</si>
  <si>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</si>
  <si>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</si>
  <si>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</si>
  <si>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</si>
  <si>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</si>
  <si>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</si>
  <si>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</si>
  <si>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</si>
  <si>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</si>
  <si>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</si>
  <si>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</si>
  <si>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</si>
  <si>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</si>
  <si>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</si>
  <si>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</si>
  <si>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</si>
  <si>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</si>
  <si>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</si>
  <si>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</si>
  <si>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</si>
  <si>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</si>
  <si>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</si>
  <si>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</si>
  <si>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</si>
  <si>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</si>
  <si>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</si>
  <si>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</si>
  <si>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</si>
  <si>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</si>
  <si>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</si>
  <si>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</si>
  <si>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</si>
  <si>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</si>
  <si>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</si>
  <si>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</si>
  <si>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</si>
  <si>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</si>
  <si>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</si>
  <si>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</si>
  <si>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</si>
  <si>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</si>
  <si>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</si>
  <si>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</si>
  <si>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</si>
  <si>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</si>
  <si>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</si>
  <si>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</si>
  <si>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</si>
  <si>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</si>
  <si>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</si>
  <si>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</si>
  <si>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</si>
  <si>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</si>
  <si>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</si>
  <si>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</si>
  <si>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</si>
  <si>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</si>
  <si>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</si>
  <si>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</si>
  <si>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</si>
  <si>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</si>
  <si>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</si>
  <si>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</si>
  <si>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</si>
  <si>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</si>
  <si>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</si>
  <si>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</si>
  <si>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</si>
  <si>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</si>
  <si>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</si>
  <si>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</si>
  <si>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</si>
  <si>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</si>
  <si>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</si>
  <si>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</si>
  <si>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</si>
  <si>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</si>
  <si>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</si>
  <si>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</si>
  <si>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</si>
  <si>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</si>
  <si>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</si>
  <si>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</si>
  <si>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</si>
  <si>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</si>
  <si>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</si>
  <si>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</si>
  <si>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</si>
  <si>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</si>
  <si>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</si>
  <si>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</si>
  <si>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</si>
  <si>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</si>
  <si>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</si>
  <si>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</si>
  <si>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</si>
  <si>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</si>
  <si>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</si>
  <si>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</si>
  <si>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</si>
  <si>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</si>
  <si>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</si>
  <si>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</si>
  <si>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</si>
  <si>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</si>
  <si>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</si>
  <si>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</si>
  <si>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</si>
  <si>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</si>
  <si>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</si>
  <si>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</si>
  <si>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</si>
  <si>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</si>
  <si>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</si>
  <si>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</si>
  <si>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</si>
  <si>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</si>
  <si>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</si>
  <si>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</si>
  <si>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</si>
  <si>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</si>
  <si>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</si>
  <si>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</si>
  <si>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</si>
  <si>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</si>
  <si>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</si>
  <si>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</si>
  <si>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</si>
  <si>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</si>
  <si>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</si>
  <si>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</si>
  <si>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</si>
  <si>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</si>
  <si>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</si>
  <si>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</si>
  <si>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</si>
  <si>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</si>
  <si>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</si>
  <si>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</si>
  <si>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</si>
  <si>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</si>
  <si>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</si>
  <si>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</si>
  <si>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</si>
  <si>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</si>
  <si>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</si>
  <si>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</si>
  <si>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</si>
  <si>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</si>
  <si>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</si>
  <si>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</si>
  <si>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</si>
  <si>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</si>
  <si>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</si>
  <si>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</si>
  <si>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</si>
  <si>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</si>
  <si>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</si>
  <si>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</si>
  <si>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</si>
  <si>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</si>
  <si>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</si>
  <si>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</si>
  <si>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</si>
  <si>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</si>
  <si>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</si>
  <si>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</si>
  <si>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</si>
  <si>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</si>
  <si>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</si>
  <si>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</si>
  <si>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</si>
  <si>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</si>
  <si>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</si>
  <si>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</si>
  <si>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</si>
  <si>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</si>
  <si>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</si>
  <si>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</si>
  <si>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</si>
  <si>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</si>
  <si>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</si>
  <si>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</si>
  <si>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</si>
  <si>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</si>
  <si>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</si>
  <si>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</si>
  <si>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</si>
  <si>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</si>
  <si>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</si>
  <si>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</si>
  <si>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</si>
  <si>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</si>
  <si>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</si>
  <si>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</si>
  <si>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</si>
  <si>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</si>
  <si>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</si>
  <si>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</si>
  <si>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</si>
  <si>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</si>
  <si>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</si>
  <si>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</si>
  <si>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</si>
  <si>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</si>
  <si>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</si>
  <si>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</si>
  <si>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</si>
  <si>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</si>
  <si>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</si>
  <si>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</si>
  <si>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</si>
  <si>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</si>
  <si>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</si>
  <si>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</si>
  <si>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</si>
  <si>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</si>
  <si>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</si>
  <si>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</si>
  <si>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</si>
  <si>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</si>
  <si>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</si>
  <si>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</si>
  <si>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</si>
  <si>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</si>
  <si>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</si>
  <si>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</si>
  <si>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</si>
  <si>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</si>
  <si>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</si>
  <si>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</si>
  <si>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</si>
  <si>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</si>
  <si>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</si>
  <si>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</si>
  <si>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</si>
  <si>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</si>
  <si>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</si>
  <si>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</si>
  <si>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</si>
  <si>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</si>
  <si>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</si>
  <si>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</si>
  <si>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</si>
  <si>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</si>
  <si>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</si>
  <si>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</si>
  <si>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</si>
  <si>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</si>
  <si>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</si>
  <si>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</si>
  <si>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</si>
  <si>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</si>
  <si>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</si>
  <si>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</si>
  <si>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</si>
  <si>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</si>
  <si>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</si>
  <si>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</si>
  <si>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</si>
  <si>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</si>
  <si>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</si>
  <si>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</si>
  <si>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</si>
  <si>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</si>
  <si>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</si>
  <si>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</si>
  <si>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</si>
  <si>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</si>
  <si>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</si>
  <si>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</si>
  <si>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</si>
  <si>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</si>
  <si>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</si>
  <si>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</si>
  <si>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</si>
  <si>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</si>
  <si>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</si>
  <si>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</si>
  <si>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FR</t>
  </si>
  <si>
    <t>Ministère de la transition énergétique</t>
  </si>
  <si>
    <t/>
  </si>
  <si>
    <t>Anaïs Vedovati</t>
  </si>
  <si>
    <t>Policy Officer</t>
  </si>
  <si>
    <t>Tour Séquoia 92055 La Défense CEDEX</t>
  </si>
  <si>
    <t>+33 (0)1 40 81 97 71</t>
  </si>
  <si>
    <t>anais.vedovati@developpement-durable.gouv.fr</t>
  </si>
  <si>
    <t>Anaïs VEDOVATI (Direction générale de l'énergie et du climat)</t>
  </si>
  <si>
    <t>Anne-Laure FAUQUET (Direction générale de l'énergie et du climat)</t>
  </si>
  <si>
    <t>Direction générale de l'aviation civile</t>
  </si>
  <si>
    <t>Cécile COSSON</t>
  </si>
  <si>
    <t>Guillaume DELAGE</t>
  </si>
  <si>
    <t>Philippe CASSAN</t>
  </si>
  <si>
    <t>Malick MBATH</t>
  </si>
  <si>
    <t>Autorité de sûreté nucléaire</t>
  </si>
  <si>
    <t>Direction générale des entreprises</t>
  </si>
  <si>
    <t>Agence France Trésor</t>
  </si>
  <si>
    <t>Directions Régionales de l'Aménagement et du Logement</t>
  </si>
  <si>
    <t>MTE-DGEC</t>
  </si>
  <si>
    <t>MTE-DGAC</t>
  </si>
  <si>
    <t>COFRAC</t>
  </si>
  <si>
    <t>CDC</t>
  </si>
  <si>
    <t>ASN</t>
  </si>
  <si>
    <t>DGE</t>
  </si>
  <si>
    <t>AFT</t>
  </si>
  <si>
    <t>DREAL</t>
  </si>
  <si>
    <t>13</t>
  </si>
  <si>
    <t>+33 1 40 81 97 71</t>
  </si>
  <si>
    <t>+33 1 40 81 70 71</t>
  </si>
  <si>
    <t>+33 1 58 09 41 90</t>
  </si>
  <si>
    <t>+33 1 44 68 64 69</t>
  </si>
  <si>
    <t>+33 6 13 01 67 10</t>
  </si>
  <si>
    <t>/</t>
  </si>
  <si>
    <t>anne-laure.fauquet@developpement-durable.gouv.fr</t>
  </si>
  <si>
    <t>cecile.cosson@cofrac.fr</t>
  </si>
  <si>
    <t>guillaume.delage@cofrac.fr</t>
  </si>
  <si>
    <t>philippe.cassan@cofrac.fr</t>
  </si>
  <si>
    <t>malick.mbath@caissedesdepots.fr</t>
  </si>
  <si>
    <t>https://www.ecologie.gouv.fr/</t>
  </si>
  <si>
    <t>www.cofrac.fr</t>
  </si>
  <si>
    <t>https://politiques-sociales.caissedesdepots.fr/SERINGAS/accueil-seringas</t>
  </si>
  <si>
    <t>https://www.asn.fr/</t>
  </si>
  <si>
    <t>https://www.entreprises.gouv.fr/fr</t>
  </si>
  <si>
    <t>https://www.aft.gouv.fr/</t>
  </si>
  <si>
    <t>Comité français d'accréditation
COSSON Cécile  / DELAGE Guillaume / CASSAN Philippe</t>
  </si>
  <si>
    <t>cecile.cosson@cofrac.fr / philippe.cassan@cofrac.fr / guillaume.delage@cofrac.fr</t>
  </si>
  <si>
    <t>https://www.cofrac.fr/</t>
  </si>
  <si>
    <t xml:space="preserve">Caisse des dépôts et consignations
MBATH Malick </t>
  </si>
  <si>
    <t>DREAL, ASN</t>
  </si>
  <si>
    <t>MTE-DGEC, DREAL</t>
  </si>
  <si>
    <t>Direction générale de l'énergie et du climat (for installations)
Direction générale de l'aviation civile (for aircrafts)</t>
  </si>
  <si>
    <t>MTE-DGEC
MTE-DGAC</t>
  </si>
  <si>
    <t>The working group meetings usually occur twice a year (one before the campaigns to discuss important issues to harmonize the implementatino, and one after the campaigns to get feedbacks)</t>
  </si>
  <si>
    <t>IED and ETS legislation do not contain provisions for withdrawing permits but the operation of the installation may be suspended in case of infringment.</t>
  </si>
  <si>
    <t>There is no case of expiration of a permit in the French legislation</t>
  </si>
  <si>
    <t>When there is a physical change and the change is significant</t>
  </si>
  <si>
    <t>A permit is never changed due to a change of monitoring plans</t>
  </si>
  <si>
    <t>Modalities for approval of monitoring plans / default emission factors at national level / reporting deadlines for emissions / use of the reporting platform</t>
  </si>
  <si>
    <t>Assessing monitoring plans and annual emission reports</t>
  </si>
  <si>
    <t>EU ETS data are used for compiling the GHG inventory, for the major part of ETS sectors (which are estimated in bottom-up in the inventory) except for some sectors (for instance district heating, or food industry) where data come usually from another source (national statistics).</t>
  </si>
  <si>
    <t>GHG inventory compilers compare EU ETS emission reports and the national energy balance. EU ETS emissions reports can also be used to add special fuels which are not in the national energy balance</t>
  </si>
  <si>
    <t xml:space="preserve">On the French reporting platform, automatic checks were implemented that compare some E-PRTR and EU ETS data </t>
  </si>
  <si>
    <t>EU ETS data are used as validation : the data are compared with other data available for GHG inventory preparation (for instance combustion emissions for LCP or MCP Directives).
EU ETS data are used as quality assurance : it enables to check the completeness of emissions from industries, and more generally to check the consistency of the data (for instance, checking that calculation factors are correct in comparison to the IPCC default factors...)</t>
  </si>
  <si>
    <t>The same online reporting platform is used by operators to report EU ETS data, but also E-PRTR, LCP/MCP, and IED data</t>
  </si>
  <si>
    <t>GHG inventory compilers are linked by contract (as a State Operator) to E-PRTR and EU ETS competent authorities</t>
  </si>
  <si>
    <t>In Phase 4, the use of templates developped by the Commission is mandatory (by ministerial order), in Excel format.</t>
  </si>
  <si>
    <t>We added a specific part on EU ETS in the French reporting tool used already by operators to report their national emissions for other legislations. All requirements in Article 75(1) and (2) are implemented in the French online reporting platform.</t>
  </si>
  <si>
    <t>Electrodes Four et APC</t>
  </si>
  <si>
    <t>Fonte</t>
  </si>
  <si>
    <t xml:space="preserve">Aciers </t>
  </si>
  <si>
    <t>Castine</t>
  </si>
  <si>
    <t>GP-SFF-oht</t>
  </si>
  <si>
    <t>FLUX CF</t>
  </si>
  <si>
    <t>FLUX EVENT LAVEURS</t>
  </si>
  <si>
    <t xml:space="preserve">FLUX EVENT D121 </t>
  </si>
  <si>
    <t>FLUX EVENT D116</t>
  </si>
  <si>
    <t>FLUX EVENT CMS</t>
  </si>
  <si>
    <t>charbon importé</t>
  </si>
  <si>
    <t>charbon cendreux</t>
  </si>
  <si>
    <t xml:space="preserve"> F6 Gaz Rés. OXO (GR OXO)</t>
  </si>
  <si>
    <t>Purge PE (torche)</t>
  </si>
  <si>
    <t>Purge PE (chaudières RC4)</t>
  </si>
  <si>
    <t>Purge PE</t>
  </si>
  <si>
    <t>Fuel gaz</t>
  </si>
  <si>
    <t>FR000000000000259</t>
  </si>
  <si>
    <t>FR000000000000368</t>
  </si>
  <si>
    <t>FR000000000000427</t>
  </si>
  <si>
    <t>FR000000000000616</t>
  </si>
  <si>
    <t>FR000000000000622</t>
  </si>
  <si>
    <t>FR000000000000627</t>
  </si>
  <si>
    <t>FR000000000000937</t>
  </si>
  <si>
    <t>FR000000000000534</t>
  </si>
  <si>
    <t>FCC Coke (F2)</t>
  </si>
  <si>
    <t>Combustion of non-reusable used tire (F12)</t>
  </si>
  <si>
    <t>Refinery fuel gas (F1)</t>
  </si>
  <si>
    <t>stream cracker fuel gas (F2)</t>
  </si>
  <si>
    <t>FCC Coke (F3)</t>
  </si>
  <si>
    <t>Combustion : Flaring (F4)</t>
  </si>
  <si>
    <t>Combustion : Refinery Fuel Gas (F10)</t>
  </si>
  <si>
    <t>Refinery fuel gas (F3)</t>
  </si>
  <si>
    <t>Industrial Waste : DIB/Textile</t>
  </si>
  <si>
    <t>Combustion of non-reusable used tire (F7)</t>
  </si>
  <si>
    <t>Combustion fluff préca (F14)</t>
  </si>
  <si>
    <t>4</t>
  </si>
  <si>
    <t>3</t>
  </si>
  <si>
    <t>FR000000000000033</t>
  </si>
  <si>
    <t>FR000000000000349</t>
  </si>
  <si>
    <t>FR000000000000953</t>
  </si>
  <si>
    <t>FR000000000001064</t>
  </si>
  <si>
    <t>FR000000000001083</t>
  </si>
  <si>
    <t>FR000000000205706</t>
  </si>
  <si>
    <t>FR000000000000329</t>
  </si>
  <si>
    <t>FR000000000000338</t>
  </si>
  <si>
    <t>FR000000000000501</t>
  </si>
  <si>
    <t>FR000000000000956</t>
  </si>
  <si>
    <t>FR000000000001143</t>
  </si>
  <si>
    <t>FR000000000205748</t>
  </si>
  <si>
    <t>Non EU-ETS consumer</t>
  </si>
  <si>
    <t>FR000000000000988</t>
  </si>
  <si>
    <t>FR000000000000177</t>
  </si>
  <si>
    <t>-</t>
  </si>
  <si>
    <t>FR000000000203838</t>
  </si>
  <si>
    <t>FR000000000203841</t>
  </si>
  <si>
    <t>FR000000000000559</t>
  </si>
  <si>
    <t>FR000000000000827</t>
  </si>
  <si>
    <t>FR000000000205532</t>
  </si>
  <si>
    <t>FR000000000204782</t>
  </si>
  <si>
    <t>FR000000000000072</t>
  </si>
  <si>
    <t>FR000000000204210</t>
  </si>
  <si>
    <t>FR000000000001132</t>
  </si>
  <si>
    <t>FR000000000204205</t>
  </si>
  <si>
    <t>FR000000000204209</t>
  </si>
  <si>
    <t>FR000000000206232</t>
  </si>
  <si>
    <t>Use of voluntary schemes recognised by the European Commission</t>
  </si>
  <si>
    <t>ES</t>
  </si>
  <si>
    <t>FR000000000000924</t>
  </si>
  <si>
    <t>FR000000000000077</t>
  </si>
  <si>
    <t>FR000000000000441</t>
  </si>
  <si>
    <t>FR000000000205948</t>
  </si>
  <si>
    <t>FR-new-03205118</t>
  </si>
  <si>
    <t>FR000000000000040</t>
  </si>
  <si>
    <t>FR000000000001158</t>
  </si>
  <si>
    <t>FR000000000205769</t>
  </si>
  <si>
    <t>FR000000000206502</t>
  </si>
  <si>
    <t>FR000000000206503</t>
  </si>
  <si>
    <t>Use of operator's data</t>
  </si>
  <si>
    <t>Use of operator's data, and default factors or analysed calculation factors</t>
  </si>
  <si>
    <t>Formal notice</t>
  </si>
  <si>
    <t>Cross check with data from combustion emissions reported for MCP or LCP Directive automatically in the French reporting platform</t>
  </si>
  <si>
    <t>If the inspector did find some inconsistencies and decided to go further into verification</t>
  </si>
  <si>
    <t>Non conformities and non-approved monitoring plans</t>
  </si>
  <si>
    <t>Re-submission from the operator if possible with corrected data, or conservative estimation of emission</t>
  </si>
  <si>
    <t>Inspections</t>
  </si>
  <si>
    <t>Covid-19</t>
  </si>
  <si>
    <t>Strike (with violence) and curfew in an outermost region</t>
  </si>
  <si>
    <t>48731</t>
  </si>
  <si>
    <t>43240</t>
  </si>
  <si>
    <t>30513</t>
  </si>
  <si>
    <t>1065</t>
  </si>
  <si>
    <t>33962</t>
  </si>
  <si>
    <t>35668</t>
  </si>
  <si>
    <t>37893</t>
  </si>
  <si>
    <t>44896</t>
  </si>
  <si>
    <t>42857</t>
  </si>
  <si>
    <t>22524</t>
  </si>
  <si>
    <t>3932</t>
  </si>
  <si>
    <t>ETS-SF</t>
  </si>
  <si>
    <t>Eurocontrol ETS6SF</t>
  </si>
  <si>
    <t>no rejection</t>
  </si>
  <si>
    <t>no check of tonne-kilometre reports</t>
  </si>
  <si>
    <t>22230</t>
  </si>
  <si>
    <t>37923</t>
  </si>
  <si>
    <t>35455</t>
  </si>
  <si>
    <t>31025</t>
  </si>
  <si>
    <t>44178</t>
  </si>
  <si>
    <t>44931</t>
  </si>
  <si>
    <t>31488</t>
  </si>
  <si>
    <t>39587</t>
  </si>
  <si>
    <t>f14311</t>
  </si>
  <si>
    <t>37249</t>
  </si>
  <si>
    <t>42839</t>
  </si>
  <si>
    <t>4999</t>
  </si>
  <si>
    <t>30051</t>
  </si>
  <si>
    <t>40036</t>
  </si>
  <si>
    <t>24571</t>
  </si>
  <si>
    <t>31595</t>
  </si>
  <si>
    <t>35426</t>
  </si>
  <si>
    <t xml:space="preserve">f10497 </t>
  </si>
  <si>
    <t>38579</t>
  </si>
  <si>
    <t>5362</t>
  </si>
  <si>
    <t>40684</t>
  </si>
  <si>
    <t>799</t>
  </si>
  <si>
    <t>36894</t>
  </si>
  <si>
    <t>36155</t>
  </si>
  <si>
    <t>31081</t>
  </si>
  <si>
    <t>18982</t>
  </si>
  <si>
    <t>31199</t>
  </si>
  <si>
    <t>9122</t>
  </si>
  <si>
    <t>9170</t>
  </si>
  <si>
    <t>30733</t>
  </si>
  <si>
    <t>22252</t>
  </si>
  <si>
    <t>f10420</t>
  </si>
  <si>
    <t>34201</t>
  </si>
  <si>
    <t>43301</t>
  </si>
  <si>
    <t>38406</t>
  </si>
  <si>
    <t>BANCO SAFRA</t>
  </si>
  <si>
    <t>LA AVIATION</t>
  </si>
  <si>
    <t>MONT BLANC AVIATION</t>
  </si>
  <si>
    <t>NATASHA ESTABLISMENT</t>
  </si>
  <si>
    <t>SYMPHONY MASTER (JERSEY) LTD</t>
  </si>
  <si>
    <t>AB AIR HOLDINGS</t>
  </si>
  <si>
    <t>YYA AVIATION</t>
  </si>
  <si>
    <t>M-EDIA AVIATION LTD</t>
  </si>
  <si>
    <t>Malridge Investments Ltd</t>
  </si>
  <si>
    <t>IP AVIATION L.P</t>
  </si>
  <si>
    <t>DP WORLD FZE</t>
  </si>
  <si>
    <t>ARAMCO SAUDI ARABIA</t>
  </si>
  <si>
    <t>COSTA AZZOURA LTD</t>
  </si>
  <si>
    <t>YYA MANAGEMENT LTD</t>
  </si>
  <si>
    <t>DSWA</t>
  </si>
  <si>
    <t>JSC Premier Avia</t>
  </si>
  <si>
    <t>FTC CONSULTING AG</t>
  </si>
  <si>
    <t>DALLAH ALBARAKA</t>
  </si>
  <si>
    <t>THE YUCAIPA COMPANIES LLC</t>
  </si>
  <si>
    <t>SINO JET MANAGEMENT LIMITED</t>
  </si>
  <si>
    <t>HALLIBURTON</t>
  </si>
  <si>
    <t>AMERICAN FLYING JET INC.</t>
  </si>
  <si>
    <t>THE COCA COLA COMPANY</t>
  </si>
  <si>
    <t>THORN AIR LIMITED</t>
  </si>
  <si>
    <t>AL-ATHEER TRADING COMPANY</t>
  </si>
  <si>
    <t>INTERFACE OPS LLC</t>
  </si>
  <si>
    <t>AIRFLITE</t>
  </si>
  <si>
    <t>NISSAN NORTH AMERICA INC.</t>
  </si>
  <si>
    <t>CARTIER EUROPE B.V.</t>
  </si>
  <si>
    <t>BEL AIR LIMITED</t>
  </si>
  <si>
    <t>JETSTEFF AVIATION LIMITED</t>
  </si>
  <si>
    <t>EAGLE AIRCRAFT AND TRANSPORTATION MANAGEMENT INC.</t>
  </si>
  <si>
    <t xml:space="preserve">MARMALADE SKIES LLC </t>
  </si>
  <si>
    <t>ALPHA STAR AVIATION SERVICES</t>
  </si>
  <si>
    <t>SKY PRIME AVIATION SERVICES</t>
  </si>
  <si>
    <t>PARADOX INTERNATIONAL BIRDS</t>
  </si>
  <si>
    <t>31 January</t>
  </si>
  <si>
    <t>material misstatement / non conformities / No annual activity level report submitted by 31 March</t>
  </si>
  <si>
    <t>Establishment of conservative estimation</t>
  </si>
  <si>
    <t>Inspection</t>
  </si>
  <si>
    <t>formal notice</t>
  </si>
  <si>
    <t>account opening fee for operator holding account</t>
  </si>
  <si>
    <t>account opening fee for aircraft operator holding account</t>
  </si>
  <si>
    <t>account opening fee for trading account</t>
  </si>
  <si>
    <t>account opening fee for person holding account</t>
  </si>
  <si>
    <t>annual management fee for operator holding account for VEs of 2019 fewer than 25000 tons</t>
  </si>
  <si>
    <t>annual management fee for operator holding account with VEs more or equal to 25000 tons</t>
  </si>
  <si>
    <t>annual management fee for aircraft operators holding account (non excluded in 2021)</t>
  </si>
  <si>
    <t>annual management fee for trading account</t>
  </si>
  <si>
    <t>annual management fee for person holding account</t>
  </si>
  <si>
    <t xml:space="preserve">per ton of VE in 2020 for operator holding account </t>
  </si>
  <si>
    <t>per ton of VE in 2021 for aircratf operator holding account</t>
  </si>
  <si>
    <t>In 2021, a workshop occured to explain to operators the main changes with Phase 4. No regular trainings or workshops are in place at national levels for operators, but regional competent authorities do help operators understand regulation during emissions and activity level campaign.</t>
  </si>
  <si>
    <t>Not possible to operate without a permit</t>
  </si>
  <si>
    <t>Formal notice, conservative estimation of emissions</t>
  </si>
  <si>
    <t>Article L. 229-10 II and L. 229-8 of the Environmental Code</t>
  </si>
  <si>
    <t>The allowances are chattels (personal/tangible/moveable asset) whose property is materialised by an entry in the account of the holder in the registry (Article L. 229-11 of the Environmental Code).</t>
  </si>
  <si>
    <t>There are two different regimes depending on the model of the person in question ("production" model, or "trading" model).
"Production" (installations) :
- Allowances are recorded in inventory accounts (purchase value or zero for the free allocation); 
- They are substracted from the stocks when CO2 is emitted, in return for a production charge; 
- In case of shortage of allowances: recognition of a liability (the subsequent purchase of allowances puts an end to the liability). 
"Trading" (intermediaries) : 
- Allowances are recorded at their acquisition cost; 
- If the current value is less than their carrying amount, the latter is reduced to the present value through an impairment; 
- Gains and losses are recognized in the income statement.</t>
  </si>
  <si>
    <t>There is no special arrangement specifically for free allocation of allowances. TRACFIN is the financial intelligence unit in France. Its mission is to fight against illegal financial channels, money laundering and the financing of terrorism. It is under the authority of the Ministry of Finance (competent authority). Persons falling within the scope of TRACFIN have an obligation to report activities that they know, suspect or have reasonable grounds to suspect that they might be fraudulent.</t>
  </si>
  <si>
    <t>There is no special arrangement specifically for free allocation of allowances. In the course of its investigations, TRACFIN has powers which are provided in the monetary and financial code in terms of access to information and intervention in transactions.</t>
  </si>
  <si>
    <t>In cases related to tax fraud, the author can be punishable: € 500,000 fine and 5 years imprisonment. These penalties are increased to € 2 million fine and seven years' imprisonment where the offense was committed by an organized gang or through: opening accounts or subscription contracts with entities established abroad the interposition of persons or foreign-based screen agencies, the use of a false identity or forged documents (or any falsification) a debit or a fictitious or artificial abroad act."</t>
  </si>
  <si>
    <t>The competent authority for the EU ETS has regular contacts and exchanges with the AMLD competent authority and with the registry, which itself has regular contacts with TRACFIN (French financial intelligence unit).</t>
  </si>
  <si>
    <t>See answer to the first question</t>
  </si>
  <si>
    <t>The EU ETS teams in the DREAL are usually regional competent authorities. But for 2 regions, some assessments of emissions and annual activity level reports were performed by the "Unités départementales", local competent authorities.</t>
  </si>
  <si>
    <t>Compared with last year: 
Q5.6 is based on the work done for MMR-Annex V (in compliance with Regulation (EU) No 525/2013) and provided in March 2022. The ratios used for 2020 ETS data are applied on 2021 ETS emissions.
ETS emissions allocated to 2D3 are now allocated in 2H (because 2D3 is not in the list anymore).
ETS emissions from iron and steel, combining 1A1c, 1A2a and 2C1 are now allocated in majority in 2C1, in compliance with the IPCC guidelines, in particular for integrated steel plants (with coke production, iron production and steel production with blast furnaces).</t>
  </si>
  <si>
    <t xml:space="preserve">We do not have the means to answer this question </t>
  </si>
  <si>
    <t>Information is very difficult to collect and it is very time-consuming because it needs an analysis of all monitoring plan (1040).</t>
  </si>
  <si>
    <t>The data on improvement report in 2021 is different from other years. Indeed, competent authorities asked all operators to send a new monitoring plan for Phase 4 using the template from the Commission for September 2021. Therefore all operators has sent new monitoring plans, instead of an improvement report, most of them taking into account the remarks from the verifiers. It is difficult to check that all comments from verifiers were indeed included in the modified monitoring plan at a national level. Some cases where neither improvement report or monitoring plan were received are sometimes cases of cessations or merging of installations.</t>
  </si>
  <si>
    <t>11 source streams with emissions from sustainable biomass had no associated energy content (2 were estimated). 
We also included process emissions in this question.</t>
  </si>
  <si>
    <t>We are currently waiting for the conservative estimation of emissions for 3 installations</t>
  </si>
  <si>
    <t>Regarding the column "number of issues" : we use data from our online reporting platform and we cannot know the number of issues for each installation, only the type of issue encountered. The number of issue is therefore understated.</t>
  </si>
  <si>
    <t>36 AOHA use a mandate (out of a total of 135  AOHA opened  at the end of 2021)</t>
  </si>
  <si>
    <t xml:space="preserve">All allowances were suspended until the assement by the competent authority. </t>
  </si>
  <si>
    <t>We do not have the means to answer this question</t>
  </si>
  <si>
    <t>We cannot differentiate virtual site visits carried out for emission and activity levels in 2021. Usually, during the pandemic, both emissions and activity levels were checked virtually by the verifier for the affected installations.</t>
  </si>
  <si>
    <t>The financial sanction is very dissuasive and in the facts, it is not necessary to implement it since operators respect the obligation of returning the excess allowances.</t>
  </si>
  <si>
    <t>Questions 10.5 to 10.9: no penalties were imposed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</si>
</sst>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2343"/>
  <sheetViews>
    <sheetView workbookViewId="0">
      <selection activeCell="A2" sqref="A2:XFD2343"/>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2021</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4</v>
      </c>
      <c r="E12" t="s">
        <v>1447</v>
      </c>
      <c r="F12" t="s">
        <v>1751</v>
      </c>
      <c r="G12" t="s">
        <v>1741</v>
      </c>
      <c r="H12" t="s">
        <v>2288</v>
      </c>
      <c r="I12" t="s">
        <v>2279</v>
      </c>
      <c r="J12" t="s">
        <v>2279</v>
      </c>
      <c r="K12" t="s">
        <v>2279</v>
      </c>
      <c r="L12" t="s">
        <v>2279</v>
      </c>
      <c r="M12" t="s">
        <v>2279</v>
      </c>
      <c r="N12" t="s">
        <v>2279</v>
      </c>
      <c r="O12" s="190" t="str">
        <f>"["&amp;$C12&amp;"]["&amp;$D12&amp;"]["&amp;$F12&amp;"]"</f>
        <v>[S02_CompetentAuthority][4][CAName]</v>
      </c>
    </row>
    <row r="13" spans="1:18" x14ac:dyDescent="0.3">
      <c r="A13" t="s">
        <v>2277</v>
      </c>
      <c r="B13" t="s">
        <v>1749</v>
      </c>
      <c r="C13" t="s">
        <v>1750</v>
      </c>
      <c r="D13">
        <v>5</v>
      </c>
      <c r="E13" t="s">
        <v>1447</v>
      </c>
      <c r="F13" t="s">
        <v>1751</v>
      </c>
      <c r="G13" t="s">
        <v>1741</v>
      </c>
      <c r="H13" t="s">
        <v>2289</v>
      </c>
      <c r="I13" t="s">
        <v>2279</v>
      </c>
      <c r="J13" t="s">
        <v>2279</v>
      </c>
      <c r="K13" t="s">
        <v>2279</v>
      </c>
      <c r="L13" t="s">
        <v>2279</v>
      </c>
      <c r="M13" t="s">
        <v>2279</v>
      </c>
      <c r="N13" t="s">
        <v>2279</v>
      </c>
      <c r="O13" s="190" t="str">
        <f>"["&amp;$C13&amp;"]["&amp;$D13&amp;"]["&amp;$F13&amp;"]"</f>
        <v>[S02_CompetentAuthority][5][CAName]</v>
      </c>
    </row>
    <row r="14" spans="1:18" x14ac:dyDescent="0.3">
      <c r="A14" t="s">
        <v>2277</v>
      </c>
      <c r="B14" t="s">
        <v>1749</v>
      </c>
      <c r="C14" t="s">
        <v>1750</v>
      </c>
      <c r="D14">
        <v>6</v>
      </c>
      <c r="E14" t="s">
        <v>1447</v>
      </c>
      <c r="F14" t="s">
        <v>1751</v>
      </c>
      <c r="G14" t="s">
        <v>1741</v>
      </c>
      <c r="H14" t="s">
        <v>2290</v>
      </c>
      <c r="I14" t="s">
        <v>2279</v>
      </c>
      <c r="J14" t="s">
        <v>2279</v>
      </c>
      <c r="K14" t="s">
        <v>2279</v>
      </c>
      <c r="L14" t="s">
        <v>2279</v>
      </c>
      <c r="M14" t="s">
        <v>2279</v>
      </c>
      <c r="N14" t="s">
        <v>2279</v>
      </c>
      <c r="O14" s="190" t="str">
        <f>"["&amp;$C14&amp;"]["&amp;$D14&amp;"]["&amp;$F14&amp;"]"</f>
        <v>[S02_CompetentAuthority][6][CAName]</v>
      </c>
    </row>
    <row r="15" spans="1:18" x14ac:dyDescent="0.3">
      <c r="A15" t="s">
        <v>2277</v>
      </c>
      <c r="B15" t="s">
        <v>1749</v>
      </c>
      <c r="C15" t="s">
        <v>1750</v>
      </c>
      <c r="D15">
        <v>7</v>
      </c>
      <c r="E15" t="s">
        <v>1447</v>
      </c>
      <c r="F15" t="s">
        <v>1751</v>
      </c>
      <c r="G15" t="s">
        <v>1741</v>
      </c>
      <c r="H15" t="s">
        <v>2291</v>
      </c>
      <c r="I15" t="s">
        <v>2279</v>
      </c>
      <c r="J15" t="s">
        <v>2279</v>
      </c>
      <c r="K15" t="s">
        <v>2279</v>
      </c>
      <c r="L15" t="s">
        <v>2279</v>
      </c>
      <c r="M15" t="s">
        <v>2279</v>
      </c>
      <c r="N15" t="s">
        <v>2279</v>
      </c>
      <c r="O15" s="190" t="str">
        <f>"["&amp;$C15&amp;"]["&amp;$D15&amp;"]["&amp;$F15&amp;"]"</f>
        <v>[S02_CompetentAuthority][7][CAName]</v>
      </c>
    </row>
    <row r="16" spans="1:18" x14ac:dyDescent="0.3">
      <c r="A16" t="s">
        <v>2277</v>
      </c>
      <c r="B16" t="s">
        <v>1749</v>
      </c>
      <c r="C16" t="s">
        <v>1750</v>
      </c>
      <c r="D16">
        <v>8</v>
      </c>
      <c r="E16" t="s">
        <v>1447</v>
      </c>
      <c r="F16" t="s">
        <v>1751</v>
      </c>
      <c r="G16" t="s">
        <v>1741</v>
      </c>
      <c r="H16" t="s">
        <v>2292</v>
      </c>
      <c r="I16" t="s">
        <v>2279</v>
      </c>
      <c r="J16" t="s">
        <v>2279</v>
      </c>
      <c r="K16" t="s">
        <v>2279</v>
      </c>
      <c r="L16" t="s">
        <v>2279</v>
      </c>
      <c r="M16" t="s">
        <v>2279</v>
      </c>
      <c r="N16" t="s">
        <v>2279</v>
      </c>
      <c r="O16" s="190" t="str">
        <f>"["&amp;$C16&amp;"]["&amp;$D16&amp;"]["&amp;$F16&amp;"]"</f>
        <v>[S02_CompetentAuthority][8][CAName]</v>
      </c>
    </row>
    <row r="17" spans="1:15" x14ac:dyDescent="0.3">
      <c r="A17" t="s">
        <v>2277</v>
      </c>
      <c r="B17" t="s">
        <v>1749</v>
      </c>
      <c r="C17" t="s">
        <v>1750</v>
      </c>
      <c r="D17">
        <v>9</v>
      </c>
      <c r="E17" t="s">
        <v>1447</v>
      </c>
      <c r="F17" t="s">
        <v>1751</v>
      </c>
      <c r="G17" t="s">
        <v>1741</v>
      </c>
      <c r="H17" t="s">
        <v>2293</v>
      </c>
      <c r="I17" t="s">
        <v>2279</v>
      </c>
      <c r="J17" t="s">
        <v>2279</v>
      </c>
      <c r="K17" t="s">
        <v>2279</v>
      </c>
      <c r="L17" t="s">
        <v>2279</v>
      </c>
      <c r="M17" t="s">
        <v>2279</v>
      </c>
      <c r="N17" t="s">
        <v>2279</v>
      </c>
      <c r="O17" s="190" t="str">
        <f>"["&amp;$C17&amp;"]["&amp;$D17&amp;"]["&amp;$F17&amp;"]"</f>
        <v>[S02_CompetentAuthority][9][CAName]</v>
      </c>
    </row>
    <row r="18" spans="1:15" x14ac:dyDescent="0.3">
      <c r="A18" t="s">
        <v>2277</v>
      </c>
      <c r="B18" t="s">
        <v>1749</v>
      </c>
      <c r="C18" t="s">
        <v>1750</v>
      </c>
      <c r="D18">
        <v>10</v>
      </c>
      <c r="E18" t="s">
        <v>1447</v>
      </c>
      <c r="F18" t="s">
        <v>1751</v>
      </c>
      <c r="G18" t="s">
        <v>1741</v>
      </c>
      <c r="H18" t="s">
        <v>2294</v>
      </c>
      <c r="I18" t="s">
        <v>2279</v>
      </c>
      <c r="J18" t="s">
        <v>2279</v>
      </c>
      <c r="K18" t="s">
        <v>2279</v>
      </c>
      <c r="L18" t="s">
        <v>2279</v>
      </c>
      <c r="M18" t="s">
        <v>2279</v>
      </c>
      <c r="N18" t="s">
        <v>2279</v>
      </c>
      <c r="O18" s="190" t="str">
        <f>"["&amp;$C18&amp;"]["&amp;$D18&amp;"]["&amp;$F18&amp;"]"</f>
        <v>[S02_CompetentAuthority][10][CAName]</v>
      </c>
    </row>
    <row r="19" spans="1:15" x14ac:dyDescent="0.3">
      <c r="A19" t="s">
        <v>2277</v>
      </c>
      <c r="B19" t="s">
        <v>1749</v>
      </c>
      <c r="C19" t="s">
        <v>1750</v>
      </c>
      <c r="D19">
        <v>11</v>
      </c>
      <c r="E19" t="s">
        <v>1447</v>
      </c>
      <c r="F19" t="s">
        <v>1751</v>
      </c>
      <c r="G19" t="s">
        <v>1741</v>
      </c>
      <c r="H19" t="s">
        <v>2295</v>
      </c>
      <c r="I19" t="s">
        <v>2279</v>
      </c>
      <c r="J19" t="s">
        <v>2279</v>
      </c>
      <c r="K19" t="s">
        <v>2279</v>
      </c>
      <c r="L19" t="s">
        <v>2279</v>
      </c>
      <c r="M19" t="s">
        <v>2279</v>
      </c>
      <c r="N19" t="s">
        <v>2279</v>
      </c>
      <c r="O19" s="190" t="str">
        <f>"["&amp;$C19&amp;"]["&amp;$D19&amp;"]["&amp;$F19&amp;"]"</f>
        <v>[S02_CompetentAuthority][11][CAName]</v>
      </c>
    </row>
    <row r="20" spans="1:15" x14ac:dyDescent="0.3">
      <c r="A20" t="s">
        <v>2277</v>
      </c>
      <c r="B20" t="s">
        <v>1749</v>
      </c>
      <c r="C20" t="s">
        <v>1750</v>
      </c>
      <c r="D20">
        <v>1</v>
      </c>
      <c r="E20" t="s">
        <v>1447</v>
      </c>
      <c r="F20" t="s">
        <v>1752</v>
      </c>
      <c r="G20" t="s">
        <v>1741</v>
      </c>
      <c r="H20" t="s">
        <v>2296</v>
      </c>
      <c r="I20" t="s">
        <v>2279</v>
      </c>
      <c r="J20" t="s">
        <v>2279</v>
      </c>
      <c r="K20" t="s">
        <v>2279</v>
      </c>
      <c r="L20" t="s">
        <v>2279</v>
      </c>
      <c r="M20" t="s">
        <v>2279</v>
      </c>
      <c r="N20" t="s">
        <v>2279</v>
      </c>
      <c r="O20" s="190" t="str">
        <f>"["&amp;$C20&amp;"]["&amp;$D20&amp;"]["&amp;$F20&amp;"]"</f>
        <v>[S02_CompetentAuthority][1][CAAbbreviation]</v>
      </c>
    </row>
    <row r="21" spans="1:15" x14ac:dyDescent="0.3">
      <c r="A21" t="s">
        <v>2277</v>
      </c>
      <c r="B21" t="s">
        <v>1749</v>
      </c>
      <c r="C21" t="s">
        <v>1750</v>
      </c>
      <c r="D21">
        <v>2</v>
      </c>
      <c r="E21" t="s">
        <v>1447</v>
      </c>
      <c r="F21" t="s">
        <v>1752</v>
      </c>
      <c r="G21" t="s">
        <v>1741</v>
      </c>
      <c r="H21" t="s">
        <v>2296</v>
      </c>
      <c r="I21" t="s">
        <v>2279</v>
      </c>
      <c r="J21" t="s">
        <v>2279</v>
      </c>
      <c r="K21" t="s">
        <v>2279</v>
      </c>
      <c r="L21" t="s">
        <v>2279</v>
      </c>
      <c r="M21" t="s">
        <v>2279</v>
      </c>
      <c r="N21" t="s">
        <v>2279</v>
      </c>
      <c r="O21" s="190" t="str">
        <f>"["&amp;$C21&amp;"]["&amp;$D21&amp;"]["&amp;$F21&amp;"]"</f>
        <v>[S02_CompetentAuthority][2][CAAbbreviation]</v>
      </c>
    </row>
    <row r="22" spans="1:15" x14ac:dyDescent="0.3">
      <c r="A22" t="s">
        <v>2277</v>
      </c>
      <c r="B22" t="s">
        <v>1749</v>
      </c>
      <c r="C22" t="s">
        <v>1750</v>
      </c>
      <c r="D22">
        <v>3</v>
      </c>
      <c r="E22" t="s">
        <v>1447</v>
      </c>
      <c r="F22" t="s">
        <v>1752</v>
      </c>
      <c r="G22" t="s">
        <v>1741</v>
      </c>
      <c r="H22" t="s">
        <v>2297</v>
      </c>
      <c r="I22" t="s">
        <v>2279</v>
      </c>
      <c r="J22" t="s">
        <v>2279</v>
      </c>
      <c r="K22" t="s">
        <v>2279</v>
      </c>
      <c r="L22" t="s">
        <v>2279</v>
      </c>
      <c r="M22" t="s">
        <v>2279</v>
      </c>
      <c r="N22" t="s">
        <v>2279</v>
      </c>
      <c r="O22" s="190" t="str">
        <f>"["&amp;$C22&amp;"]["&amp;$D22&amp;"]["&amp;$F22&amp;"]"</f>
        <v>[S02_CompetentAuthority][3][CAAbbreviation]</v>
      </c>
    </row>
    <row r="23" spans="1:15" x14ac:dyDescent="0.3">
      <c r="A23" t="s">
        <v>2277</v>
      </c>
      <c r="B23" t="s">
        <v>1749</v>
      </c>
      <c r="C23" t="s">
        <v>1750</v>
      </c>
      <c r="D23">
        <v>4</v>
      </c>
      <c r="E23" t="s">
        <v>1447</v>
      </c>
      <c r="F23" t="s">
        <v>1752</v>
      </c>
      <c r="G23" t="s">
        <v>1741</v>
      </c>
      <c r="H23" t="s">
        <v>2298</v>
      </c>
      <c r="I23" t="s">
        <v>2279</v>
      </c>
      <c r="J23" t="s">
        <v>2279</v>
      </c>
      <c r="K23" t="s">
        <v>2279</v>
      </c>
      <c r="L23" t="s">
        <v>2279</v>
      </c>
      <c r="M23" t="s">
        <v>2279</v>
      </c>
      <c r="N23" t="s">
        <v>2279</v>
      </c>
      <c r="O23" s="190" t="str">
        <f>"["&amp;$C23&amp;"]["&amp;$D23&amp;"]["&amp;$F23&amp;"]"</f>
        <v>[S02_CompetentAuthority][4][CAAbbreviation]</v>
      </c>
    </row>
    <row r="24" spans="1:15" x14ac:dyDescent="0.3">
      <c r="A24" t="s">
        <v>2277</v>
      </c>
      <c r="B24" t="s">
        <v>1749</v>
      </c>
      <c r="C24" t="s">
        <v>1750</v>
      </c>
      <c r="D24">
        <v>5</v>
      </c>
      <c r="E24" t="s">
        <v>1447</v>
      </c>
      <c r="F24" t="s">
        <v>1752</v>
      </c>
      <c r="G24" t="s">
        <v>1741</v>
      </c>
      <c r="H24" t="s">
        <v>2298</v>
      </c>
      <c r="I24" t="s">
        <v>2279</v>
      </c>
      <c r="J24" t="s">
        <v>2279</v>
      </c>
      <c r="K24" t="s">
        <v>2279</v>
      </c>
      <c r="L24" t="s">
        <v>2279</v>
      </c>
      <c r="M24" t="s">
        <v>2279</v>
      </c>
      <c r="N24" t="s">
        <v>2279</v>
      </c>
      <c r="O24" s="190" t="str">
        <f>"["&amp;$C24&amp;"]["&amp;$D24&amp;"]["&amp;$F24&amp;"]"</f>
        <v>[S02_CompetentAuthority][5][CAAbbreviation]</v>
      </c>
    </row>
    <row r="25" spans="1:15" x14ac:dyDescent="0.3">
      <c r="A25" t="s">
        <v>2277</v>
      </c>
      <c r="B25" t="s">
        <v>1749</v>
      </c>
      <c r="C25" t="s">
        <v>1750</v>
      </c>
      <c r="D25">
        <v>6</v>
      </c>
      <c r="E25" t="s">
        <v>1447</v>
      </c>
      <c r="F25" t="s">
        <v>1752</v>
      </c>
      <c r="G25" t="s">
        <v>1741</v>
      </c>
      <c r="H25" t="s">
        <v>2298</v>
      </c>
      <c r="I25" t="s">
        <v>2279</v>
      </c>
      <c r="J25" t="s">
        <v>2279</v>
      </c>
      <c r="K25" t="s">
        <v>2279</v>
      </c>
      <c r="L25" t="s">
        <v>2279</v>
      </c>
      <c r="M25" t="s">
        <v>2279</v>
      </c>
      <c r="N25" t="s">
        <v>2279</v>
      </c>
      <c r="O25" s="190" t="str">
        <f>"["&amp;$C25&amp;"]["&amp;$D25&amp;"]["&amp;$F25&amp;"]"</f>
        <v>[S02_CompetentAuthority][6][CAAbbreviation]</v>
      </c>
    </row>
    <row r="26" spans="1:15" x14ac:dyDescent="0.3">
      <c r="A26" t="s">
        <v>2277</v>
      </c>
      <c r="B26" t="s">
        <v>1749</v>
      </c>
      <c r="C26" t="s">
        <v>1750</v>
      </c>
      <c r="D26">
        <v>7</v>
      </c>
      <c r="E26" t="s">
        <v>1447</v>
      </c>
      <c r="F26" t="s">
        <v>1752</v>
      </c>
      <c r="G26" t="s">
        <v>1741</v>
      </c>
      <c r="H26" t="s">
        <v>2299</v>
      </c>
      <c r="I26" t="s">
        <v>2279</v>
      </c>
      <c r="J26" t="s">
        <v>2279</v>
      </c>
      <c r="K26" t="s">
        <v>2279</v>
      </c>
      <c r="L26" t="s">
        <v>2279</v>
      </c>
      <c r="M26" t="s">
        <v>2279</v>
      </c>
      <c r="N26" t="s">
        <v>2279</v>
      </c>
      <c r="O26" s="190" t="str">
        <f>"["&amp;$C26&amp;"]["&amp;$D26&amp;"]["&amp;$F26&amp;"]"</f>
        <v>[S02_CompetentAuthority][7][CAAbbreviation]</v>
      </c>
    </row>
    <row r="27" spans="1:15" x14ac:dyDescent="0.3">
      <c r="A27" t="s">
        <v>2277</v>
      </c>
      <c r="B27" t="s">
        <v>1749</v>
      </c>
      <c r="C27" t="s">
        <v>1750</v>
      </c>
      <c r="D27">
        <v>8</v>
      </c>
      <c r="E27" t="s">
        <v>1447</v>
      </c>
      <c r="F27" t="s">
        <v>1752</v>
      </c>
      <c r="G27" t="s">
        <v>1741</v>
      </c>
      <c r="H27" t="s">
        <v>2300</v>
      </c>
      <c r="I27" t="s">
        <v>2279</v>
      </c>
      <c r="J27" t="s">
        <v>2279</v>
      </c>
      <c r="K27" t="s">
        <v>2279</v>
      </c>
      <c r="L27" t="s">
        <v>2279</v>
      </c>
      <c r="M27" t="s">
        <v>2279</v>
      </c>
      <c r="N27" t="s">
        <v>2279</v>
      </c>
      <c r="O27" s="190" t="str">
        <f>"["&amp;$C27&amp;"]["&amp;$D27&amp;"]["&amp;$F27&amp;"]"</f>
        <v>[S02_CompetentAuthority][8][CAAbbreviation]</v>
      </c>
    </row>
    <row r="28" spans="1:15" x14ac:dyDescent="0.3">
      <c r="A28" t="s">
        <v>2277</v>
      </c>
      <c r="B28" t="s">
        <v>1749</v>
      </c>
      <c r="C28" t="s">
        <v>1750</v>
      </c>
      <c r="D28">
        <v>9</v>
      </c>
      <c r="E28" t="s">
        <v>1447</v>
      </c>
      <c r="F28" t="s">
        <v>1752</v>
      </c>
      <c r="G28" t="s">
        <v>1741</v>
      </c>
      <c r="H28" t="s">
        <v>2301</v>
      </c>
      <c r="I28" t="s">
        <v>2279</v>
      </c>
      <c r="J28" t="s">
        <v>2279</v>
      </c>
      <c r="K28" t="s">
        <v>2279</v>
      </c>
      <c r="L28" t="s">
        <v>2279</v>
      </c>
      <c r="M28" t="s">
        <v>2279</v>
      </c>
      <c r="N28" t="s">
        <v>2279</v>
      </c>
      <c r="O28" s="190" t="str">
        <f>"["&amp;$C28&amp;"]["&amp;$D28&amp;"]["&amp;$F28&amp;"]"</f>
        <v>[S02_CompetentAuthority][9][CAAbbreviation]</v>
      </c>
    </row>
    <row r="29" spans="1:15" x14ac:dyDescent="0.3">
      <c r="A29" t="s">
        <v>2277</v>
      </c>
      <c r="B29" t="s">
        <v>1749</v>
      </c>
      <c r="C29" t="s">
        <v>1750</v>
      </c>
      <c r="D29">
        <v>10</v>
      </c>
      <c r="E29" t="s">
        <v>1447</v>
      </c>
      <c r="F29" t="s">
        <v>1752</v>
      </c>
      <c r="G29" t="s">
        <v>1741</v>
      </c>
      <c r="H29" t="s">
        <v>2302</v>
      </c>
      <c r="I29" t="s">
        <v>2279</v>
      </c>
      <c r="J29" t="s">
        <v>2279</v>
      </c>
      <c r="K29" t="s">
        <v>2279</v>
      </c>
      <c r="L29" t="s">
        <v>2279</v>
      </c>
      <c r="M29" t="s">
        <v>2279</v>
      </c>
      <c r="N29" t="s">
        <v>2279</v>
      </c>
      <c r="O29" s="190" t="str">
        <f>"["&amp;$C29&amp;"]["&amp;$D29&amp;"]["&amp;$F29&amp;"]"</f>
        <v>[S02_CompetentAuthority][10][CAAbbreviation]</v>
      </c>
    </row>
    <row r="30" spans="1:15" x14ac:dyDescent="0.3">
      <c r="A30" t="s">
        <v>2277</v>
      </c>
      <c r="B30" t="s">
        <v>1749</v>
      </c>
      <c r="C30" t="s">
        <v>1750</v>
      </c>
      <c r="D30">
        <v>11</v>
      </c>
      <c r="E30" t="s">
        <v>1447</v>
      </c>
      <c r="F30" t="s">
        <v>1752</v>
      </c>
      <c r="G30" t="s">
        <v>1741</v>
      </c>
      <c r="H30" t="s">
        <v>2303</v>
      </c>
      <c r="I30" t="s">
        <v>2279</v>
      </c>
      <c r="J30" t="s">
        <v>2279</v>
      </c>
      <c r="K30" t="s">
        <v>2279</v>
      </c>
      <c r="L30" t="s">
        <v>2279</v>
      </c>
      <c r="M30" t="s">
        <v>2279</v>
      </c>
      <c r="N30" t="s">
        <v>2279</v>
      </c>
      <c r="O30" s="190" t="str">
        <f>"["&amp;$C30&amp;"]["&amp;$D30&amp;"]["&amp;$F30&amp;"]"</f>
        <v>[S02_CompetentAuthority][11][CAAbbreviation]</v>
      </c>
    </row>
    <row r="31" spans="1:15" x14ac:dyDescent="0.3">
      <c r="A31" t="s">
        <v>2277</v>
      </c>
      <c r="B31" t="s">
        <v>1749</v>
      </c>
      <c r="C31" t="s">
        <v>1750</v>
      </c>
      <c r="D31">
        <v>1</v>
      </c>
      <c r="E31" t="s">
        <v>1447</v>
      </c>
      <c r="F31" t="s">
        <v>1753</v>
      </c>
      <c r="G31" t="s">
        <v>1741</v>
      </c>
      <c r="H31" t="s">
        <v>1422</v>
      </c>
      <c r="I31" t="s">
        <v>2279</v>
      </c>
      <c r="J31" t="s">
        <v>2279</v>
      </c>
      <c r="K31" t="s">
        <v>2279</v>
      </c>
      <c r="L31" t="s">
        <v>2279</v>
      </c>
      <c r="M31" t="s">
        <v>2279</v>
      </c>
      <c r="N31" t="s">
        <v>2279</v>
      </c>
      <c r="O31" s="190" t="str">
        <f>"["&amp;$C31&amp;"]["&amp;$D31&amp;"]["&amp;$F31&amp;"]"</f>
        <v>[S02_CompetentAuthority][1][CAType]</v>
      </c>
    </row>
    <row r="32" spans="1:15" x14ac:dyDescent="0.3">
      <c r="A32" t="s">
        <v>2277</v>
      </c>
      <c r="B32" t="s">
        <v>1749</v>
      </c>
      <c r="C32" t="s">
        <v>1750</v>
      </c>
      <c r="D32">
        <v>2</v>
      </c>
      <c r="E32" t="s">
        <v>1447</v>
      </c>
      <c r="F32" t="s">
        <v>1753</v>
      </c>
      <c r="G32" t="s">
        <v>1741</v>
      </c>
      <c r="H32" t="s">
        <v>1422</v>
      </c>
      <c r="I32" t="s">
        <v>2279</v>
      </c>
      <c r="J32" t="s">
        <v>2279</v>
      </c>
      <c r="K32" t="s">
        <v>2279</v>
      </c>
      <c r="L32" t="s">
        <v>2279</v>
      </c>
      <c r="M32" t="s">
        <v>2279</v>
      </c>
      <c r="N32" t="s">
        <v>2279</v>
      </c>
      <c r="O32" s="190" t="str">
        <f>"["&amp;$C32&amp;"]["&amp;$D32&amp;"]["&amp;$F32&amp;"]"</f>
        <v>[S02_CompetentAuthority][2][CAType]</v>
      </c>
    </row>
    <row r="33" spans="1:15" x14ac:dyDescent="0.3">
      <c r="A33" t="s">
        <v>2277</v>
      </c>
      <c r="B33" t="s">
        <v>1749</v>
      </c>
      <c r="C33" t="s">
        <v>1750</v>
      </c>
      <c r="D33">
        <v>3</v>
      </c>
      <c r="E33" t="s">
        <v>1447</v>
      </c>
      <c r="F33" t="s">
        <v>1753</v>
      </c>
      <c r="G33" t="s">
        <v>1741</v>
      </c>
      <c r="H33" t="s">
        <v>1422</v>
      </c>
      <c r="I33" t="s">
        <v>2279</v>
      </c>
      <c r="J33" t="s">
        <v>2279</v>
      </c>
      <c r="K33" t="s">
        <v>2279</v>
      </c>
      <c r="L33" t="s">
        <v>2279</v>
      </c>
      <c r="M33" t="s">
        <v>2279</v>
      </c>
      <c r="N33" t="s">
        <v>2279</v>
      </c>
      <c r="O33" s="190" t="str">
        <f>"["&amp;$C33&amp;"]["&amp;$D33&amp;"]["&amp;$F33&amp;"]"</f>
        <v>[S02_CompetentAuthority][3][CAType]</v>
      </c>
    </row>
    <row r="34" spans="1:15" x14ac:dyDescent="0.3">
      <c r="A34" t="s">
        <v>2277</v>
      </c>
      <c r="B34" t="s">
        <v>1749</v>
      </c>
      <c r="C34" t="s">
        <v>1750</v>
      </c>
      <c r="D34">
        <v>4</v>
      </c>
      <c r="E34" t="s">
        <v>1447</v>
      </c>
      <c r="F34" t="s">
        <v>1753</v>
      </c>
      <c r="G34" t="s">
        <v>1741</v>
      </c>
      <c r="H34" t="s">
        <v>1227</v>
      </c>
      <c r="I34" t="s">
        <v>2279</v>
      </c>
      <c r="J34" t="s">
        <v>2279</v>
      </c>
      <c r="K34" t="s">
        <v>2279</v>
      </c>
      <c r="L34" t="s">
        <v>2279</v>
      </c>
      <c r="M34" t="s">
        <v>2279</v>
      </c>
      <c r="N34" t="s">
        <v>2279</v>
      </c>
      <c r="O34" s="190" t="str">
        <f>"["&amp;$C34&amp;"]["&amp;$D34&amp;"]["&amp;$F34&amp;"]"</f>
        <v>[S02_CompetentAuthority][4][CAType]</v>
      </c>
    </row>
    <row r="35" spans="1:15" x14ac:dyDescent="0.3">
      <c r="A35" t="s">
        <v>2277</v>
      </c>
      <c r="B35" t="s">
        <v>1749</v>
      </c>
      <c r="C35" t="s">
        <v>1750</v>
      </c>
      <c r="D35">
        <v>5</v>
      </c>
      <c r="E35" t="s">
        <v>1447</v>
      </c>
      <c r="F35" t="s">
        <v>1753</v>
      </c>
      <c r="G35" t="s">
        <v>1741</v>
      </c>
      <c r="H35" t="s">
        <v>1227</v>
      </c>
      <c r="I35" t="s">
        <v>2279</v>
      </c>
      <c r="J35" t="s">
        <v>2279</v>
      </c>
      <c r="K35" t="s">
        <v>2279</v>
      </c>
      <c r="L35" t="s">
        <v>2279</v>
      </c>
      <c r="M35" t="s">
        <v>2279</v>
      </c>
      <c r="N35" t="s">
        <v>2279</v>
      </c>
      <c r="O35" s="190" t="str">
        <f>"["&amp;$C35&amp;"]["&amp;$D35&amp;"]["&amp;$F35&amp;"]"</f>
        <v>[S02_CompetentAuthority][5][CAType]</v>
      </c>
    </row>
    <row r="36" spans="1:15" x14ac:dyDescent="0.3">
      <c r="A36" t="s">
        <v>2277</v>
      </c>
      <c r="B36" t="s">
        <v>1749</v>
      </c>
      <c r="C36" t="s">
        <v>1750</v>
      </c>
      <c r="D36">
        <v>6</v>
      </c>
      <c r="E36" t="s">
        <v>1447</v>
      </c>
      <c r="F36" t="s">
        <v>1753</v>
      </c>
      <c r="G36" t="s">
        <v>1741</v>
      </c>
      <c r="H36" t="s">
        <v>1227</v>
      </c>
      <c r="I36" t="s">
        <v>2279</v>
      </c>
      <c r="J36" t="s">
        <v>2279</v>
      </c>
      <c r="K36" t="s">
        <v>2279</v>
      </c>
      <c r="L36" t="s">
        <v>2279</v>
      </c>
      <c r="M36" t="s">
        <v>2279</v>
      </c>
      <c r="N36" t="s">
        <v>2279</v>
      </c>
      <c r="O36" s="190" t="str">
        <f>"["&amp;$C36&amp;"]["&amp;$D36&amp;"]["&amp;$F36&amp;"]"</f>
        <v>[S02_CompetentAuthority][6][CAType]</v>
      </c>
    </row>
    <row r="37" spans="1:15" x14ac:dyDescent="0.3">
      <c r="A37" t="s">
        <v>2277</v>
      </c>
      <c r="B37" t="s">
        <v>1749</v>
      </c>
      <c r="C37" t="s">
        <v>1750</v>
      </c>
      <c r="D37">
        <v>7</v>
      </c>
      <c r="E37" t="s">
        <v>1447</v>
      </c>
      <c r="F37" t="s">
        <v>1753</v>
      </c>
      <c r="G37" t="s">
        <v>1741</v>
      </c>
      <c r="H37" t="s">
        <v>1227</v>
      </c>
      <c r="I37" t="s">
        <v>2279</v>
      </c>
      <c r="J37" t="s">
        <v>2279</v>
      </c>
      <c r="K37" t="s">
        <v>2279</v>
      </c>
      <c r="L37" t="s">
        <v>2279</v>
      </c>
      <c r="M37" t="s">
        <v>2279</v>
      </c>
      <c r="N37" t="s">
        <v>2279</v>
      </c>
      <c r="O37" s="190" t="str">
        <f>"["&amp;$C37&amp;"]["&amp;$D37&amp;"]["&amp;$F37&amp;"]"</f>
        <v>[S02_CompetentAuthority][7][CAType]</v>
      </c>
    </row>
    <row r="38" spans="1:15" x14ac:dyDescent="0.3">
      <c r="A38" t="s">
        <v>2277</v>
      </c>
      <c r="B38" t="s">
        <v>1749</v>
      </c>
      <c r="C38" t="s">
        <v>1750</v>
      </c>
      <c r="D38">
        <v>8</v>
      </c>
      <c r="E38" t="s">
        <v>1447</v>
      </c>
      <c r="F38" t="s">
        <v>1753</v>
      </c>
      <c r="G38" t="s">
        <v>1741</v>
      </c>
      <c r="H38" t="s">
        <v>1422</v>
      </c>
      <c r="I38" t="s">
        <v>2279</v>
      </c>
      <c r="J38" t="s">
        <v>2279</v>
      </c>
      <c r="K38" t="s">
        <v>2279</v>
      </c>
      <c r="L38" t="s">
        <v>2279</v>
      </c>
      <c r="M38" t="s">
        <v>2279</v>
      </c>
      <c r="N38" t="s">
        <v>2279</v>
      </c>
      <c r="O38" s="190" t="str">
        <f>"["&amp;$C38&amp;"]["&amp;$D38&amp;"]["&amp;$F38&amp;"]"</f>
        <v>[S02_CompetentAuthority][8][CAType]</v>
      </c>
    </row>
    <row r="39" spans="1:15" x14ac:dyDescent="0.3">
      <c r="A39" t="s">
        <v>2277</v>
      </c>
      <c r="B39" t="s">
        <v>1749</v>
      </c>
      <c r="C39" t="s">
        <v>1750</v>
      </c>
      <c r="D39">
        <v>9</v>
      </c>
      <c r="E39" t="s">
        <v>1447</v>
      </c>
      <c r="F39" t="s">
        <v>1753</v>
      </c>
      <c r="G39" t="s">
        <v>1741</v>
      </c>
      <c r="H39" t="s">
        <v>1227</v>
      </c>
      <c r="I39" t="s">
        <v>2279</v>
      </c>
      <c r="J39" t="s">
        <v>2279</v>
      </c>
      <c r="K39" t="s">
        <v>2279</v>
      </c>
      <c r="L39" t="s">
        <v>2279</v>
      </c>
      <c r="M39" t="s">
        <v>2279</v>
      </c>
      <c r="N39" t="s">
        <v>2279</v>
      </c>
      <c r="O39" s="190" t="str">
        <f>"["&amp;$C39&amp;"]["&amp;$D39&amp;"]["&amp;$F39&amp;"]"</f>
        <v>[S02_CompetentAuthority][9][CAType]</v>
      </c>
    </row>
    <row r="40" spans="1:15" x14ac:dyDescent="0.3">
      <c r="A40" t="s">
        <v>2277</v>
      </c>
      <c r="B40" t="s">
        <v>1749</v>
      </c>
      <c r="C40" t="s">
        <v>1750</v>
      </c>
      <c r="D40">
        <v>10</v>
      </c>
      <c r="E40" t="s">
        <v>1447</v>
      </c>
      <c r="F40" t="s">
        <v>1753</v>
      </c>
      <c r="G40" t="s">
        <v>1741</v>
      </c>
      <c r="H40" t="s">
        <v>1227</v>
      </c>
      <c r="I40" t="s">
        <v>2279</v>
      </c>
      <c r="J40" t="s">
        <v>2279</v>
      </c>
      <c r="K40" t="s">
        <v>2279</v>
      </c>
      <c r="L40" t="s">
        <v>2279</v>
      </c>
      <c r="M40" t="s">
        <v>2279</v>
      </c>
      <c r="N40" t="s">
        <v>2279</v>
      </c>
      <c r="O40" s="190" t="str">
        <f>"["&amp;$C40&amp;"]["&amp;$D40&amp;"]["&amp;$F40&amp;"]"</f>
        <v>[S02_CompetentAuthority][10][CAType]</v>
      </c>
    </row>
    <row r="41" spans="1:15" x14ac:dyDescent="0.3">
      <c r="A41" t="s">
        <v>2277</v>
      </c>
      <c r="B41" t="s">
        <v>1749</v>
      </c>
      <c r="C41" t="s">
        <v>1750</v>
      </c>
      <c r="D41">
        <v>11</v>
      </c>
      <c r="E41" t="s">
        <v>1447</v>
      </c>
      <c r="F41" t="s">
        <v>1753</v>
      </c>
      <c r="G41" t="s">
        <v>1741</v>
      </c>
      <c r="H41" t="s">
        <v>1450</v>
      </c>
      <c r="I41" t="s">
        <v>2279</v>
      </c>
      <c r="J41" t="s">
        <v>2279</v>
      </c>
      <c r="K41" t="s">
        <v>2279</v>
      </c>
      <c r="L41" t="s">
        <v>2279</v>
      </c>
      <c r="M41" t="s">
        <v>2279</v>
      </c>
      <c r="N41" t="s">
        <v>2279</v>
      </c>
      <c r="O41" s="190" t="str">
        <f>"["&amp;$C41&amp;"]["&amp;$D41&amp;"]["&amp;$F41&amp;"]"</f>
        <v>[S02_CompetentAuthority][11][CAType]</v>
      </c>
    </row>
    <row r="42" spans="1:15" x14ac:dyDescent="0.3">
      <c r="A42" t="s">
        <v>2277</v>
      </c>
      <c r="B42" t="s">
        <v>1749</v>
      </c>
      <c r="C42" t="s">
        <v>1750</v>
      </c>
      <c r="D42">
        <v>11</v>
      </c>
      <c r="E42" t="s">
        <v>1447</v>
      </c>
      <c r="F42" t="s">
        <v>1754</v>
      </c>
      <c r="G42" t="s">
        <v>1741</v>
      </c>
      <c r="H42" t="s">
        <v>2304</v>
      </c>
      <c r="I42" t="s">
        <v>2279</v>
      </c>
      <c r="J42" t="s">
        <v>2279</v>
      </c>
      <c r="K42" t="s">
        <v>2279</v>
      </c>
      <c r="L42" t="s">
        <v>2279</v>
      </c>
      <c r="M42" t="s">
        <v>2279</v>
      </c>
      <c r="N42" t="s">
        <v>2279</v>
      </c>
      <c r="O42" s="190" t="str">
        <f>"["&amp;$C42&amp;"]["&amp;$D42&amp;"]["&amp;$F42&amp;"]"</f>
        <v>[S02_CompetentAuthority][11][CANumber]</v>
      </c>
    </row>
    <row r="43" spans="1:15" x14ac:dyDescent="0.3">
      <c r="A43" t="s">
        <v>2277</v>
      </c>
      <c r="B43" t="s">
        <v>1749</v>
      </c>
      <c r="C43" t="s">
        <v>1750</v>
      </c>
      <c r="D43">
        <v>1</v>
      </c>
      <c r="E43" t="s">
        <v>1447</v>
      </c>
      <c r="F43" t="s">
        <v>1755</v>
      </c>
      <c r="G43" t="s">
        <v>1741</v>
      </c>
      <c r="H43" t="s">
        <v>2305</v>
      </c>
      <c r="I43" t="s">
        <v>2279</v>
      </c>
      <c r="J43" t="s">
        <v>2279</v>
      </c>
      <c r="K43" t="s">
        <v>2279</v>
      </c>
      <c r="L43" t="s">
        <v>2279</v>
      </c>
      <c r="M43" t="s">
        <v>2279</v>
      </c>
      <c r="N43" t="s">
        <v>2279</v>
      </c>
      <c r="O43" s="190" t="str">
        <f>"["&amp;$C43&amp;"]["&amp;$D43&amp;"]["&amp;$F43&amp;"]"</f>
        <v>[S02_CompetentAuthority][1][CATelephone]</v>
      </c>
    </row>
    <row r="44" spans="1:15" x14ac:dyDescent="0.3">
      <c r="A44" t="s">
        <v>2277</v>
      </c>
      <c r="B44" t="s">
        <v>1749</v>
      </c>
      <c r="C44" t="s">
        <v>1750</v>
      </c>
      <c r="D44">
        <v>2</v>
      </c>
      <c r="E44" t="s">
        <v>1447</v>
      </c>
      <c r="F44" t="s">
        <v>1755</v>
      </c>
      <c r="G44" t="s">
        <v>1741</v>
      </c>
      <c r="H44" t="s">
        <v>2306</v>
      </c>
      <c r="I44" t="s">
        <v>2279</v>
      </c>
      <c r="J44" t="s">
        <v>2279</v>
      </c>
      <c r="K44" t="s">
        <v>2279</v>
      </c>
      <c r="L44" t="s">
        <v>2279</v>
      </c>
      <c r="M44" t="s">
        <v>2279</v>
      </c>
      <c r="N44" t="s">
        <v>2279</v>
      </c>
      <c r="O44" s="190" t="str">
        <f>"["&amp;$C44&amp;"]["&amp;$D44&amp;"]["&amp;$F44&amp;"]"</f>
        <v>[S02_CompetentAuthority][2][CATelephone]</v>
      </c>
    </row>
    <row r="45" spans="1:15" x14ac:dyDescent="0.3">
      <c r="A45" t="s">
        <v>2277</v>
      </c>
      <c r="B45" t="s">
        <v>1749</v>
      </c>
      <c r="C45" t="s">
        <v>1750</v>
      </c>
      <c r="D45">
        <v>3</v>
      </c>
      <c r="E45" t="s">
        <v>1447</v>
      </c>
      <c r="F45" t="s">
        <v>1755</v>
      </c>
      <c r="G45" t="s">
        <v>1741</v>
      </c>
      <c r="H45" t="s">
        <v>2307</v>
      </c>
      <c r="I45" t="s">
        <v>2279</v>
      </c>
      <c r="J45" t="s">
        <v>2279</v>
      </c>
      <c r="K45" t="s">
        <v>2279</v>
      </c>
      <c r="L45" t="s">
        <v>2279</v>
      </c>
      <c r="M45" t="s">
        <v>2279</v>
      </c>
      <c r="N45" t="s">
        <v>2279</v>
      </c>
      <c r="O45" s="190" t="str">
        <f>"["&amp;$C45&amp;"]["&amp;$D45&amp;"]["&amp;$F45&amp;"]"</f>
        <v>[S02_CompetentAuthority][3][CATelephone]</v>
      </c>
    </row>
    <row r="46" spans="1:15" x14ac:dyDescent="0.3">
      <c r="A46" t="s">
        <v>2277</v>
      </c>
      <c r="B46" t="s">
        <v>1749</v>
      </c>
      <c r="C46" t="s">
        <v>1750</v>
      </c>
      <c r="D46">
        <v>4</v>
      </c>
      <c r="E46" t="s">
        <v>1447</v>
      </c>
      <c r="F46" t="s">
        <v>1755</v>
      </c>
      <c r="G46" t="s">
        <v>1741</v>
      </c>
      <c r="H46" t="s">
        <v>2308</v>
      </c>
      <c r="I46" t="s">
        <v>2279</v>
      </c>
      <c r="J46" t="s">
        <v>2279</v>
      </c>
      <c r="K46" t="s">
        <v>2279</v>
      </c>
      <c r="L46" t="s">
        <v>2279</v>
      </c>
      <c r="M46" t="s">
        <v>2279</v>
      </c>
      <c r="N46" t="s">
        <v>2279</v>
      </c>
      <c r="O46" s="190" t="str">
        <f>"["&amp;$C46&amp;"]["&amp;$D46&amp;"]["&amp;$F46&amp;"]"</f>
        <v>[S02_CompetentAuthority][4][CATelephone]</v>
      </c>
    </row>
    <row r="47" spans="1:15" x14ac:dyDescent="0.3">
      <c r="A47" t="s">
        <v>2277</v>
      </c>
      <c r="B47" t="s">
        <v>1749</v>
      </c>
      <c r="C47" t="s">
        <v>1750</v>
      </c>
      <c r="D47">
        <v>5</v>
      </c>
      <c r="E47" t="s">
        <v>1447</v>
      </c>
      <c r="F47" t="s">
        <v>1755</v>
      </c>
      <c r="G47" t="s">
        <v>1741</v>
      </c>
      <c r="H47" t="s">
        <v>2308</v>
      </c>
      <c r="I47" t="s">
        <v>2279</v>
      </c>
      <c r="J47" t="s">
        <v>2279</v>
      </c>
      <c r="K47" t="s">
        <v>2279</v>
      </c>
      <c r="L47" t="s">
        <v>2279</v>
      </c>
      <c r="M47" t="s">
        <v>2279</v>
      </c>
      <c r="N47" t="s">
        <v>2279</v>
      </c>
      <c r="O47" s="190" t="str">
        <f>"["&amp;$C47&amp;"]["&amp;$D47&amp;"]["&amp;$F47&amp;"]"</f>
        <v>[S02_CompetentAuthority][5][CATelephone]</v>
      </c>
    </row>
    <row r="48" spans="1:15" x14ac:dyDescent="0.3">
      <c r="A48" t="s">
        <v>2277</v>
      </c>
      <c r="B48" t="s">
        <v>1749</v>
      </c>
      <c r="C48" t="s">
        <v>1750</v>
      </c>
      <c r="D48">
        <v>6</v>
      </c>
      <c r="E48" t="s">
        <v>1447</v>
      </c>
      <c r="F48" t="s">
        <v>1755</v>
      </c>
      <c r="G48" t="s">
        <v>1741</v>
      </c>
      <c r="H48" t="s">
        <v>2308</v>
      </c>
      <c r="I48" t="s">
        <v>2279</v>
      </c>
      <c r="J48" t="s">
        <v>2279</v>
      </c>
      <c r="K48" t="s">
        <v>2279</v>
      </c>
      <c r="L48" t="s">
        <v>2279</v>
      </c>
      <c r="M48" t="s">
        <v>2279</v>
      </c>
      <c r="N48" t="s">
        <v>2279</v>
      </c>
      <c r="O48" s="190" t="str">
        <f>"["&amp;$C48&amp;"]["&amp;$D48&amp;"]["&amp;$F48&amp;"]"</f>
        <v>[S02_CompetentAuthority][6][CATelephone]</v>
      </c>
    </row>
    <row r="49" spans="1:15" x14ac:dyDescent="0.3">
      <c r="A49" t="s">
        <v>2277</v>
      </c>
      <c r="B49" t="s">
        <v>1749</v>
      </c>
      <c r="C49" t="s">
        <v>1750</v>
      </c>
      <c r="D49">
        <v>7</v>
      </c>
      <c r="E49" t="s">
        <v>1447</v>
      </c>
      <c r="F49" t="s">
        <v>1755</v>
      </c>
      <c r="G49" t="s">
        <v>1741</v>
      </c>
      <c r="H49" t="s">
        <v>2309</v>
      </c>
      <c r="I49" t="s">
        <v>2279</v>
      </c>
      <c r="J49" t="s">
        <v>2279</v>
      </c>
      <c r="K49" t="s">
        <v>2279</v>
      </c>
      <c r="L49" t="s">
        <v>2279</v>
      </c>
      <c r="M49" t="s">
        <v>2279</v>
      </c>
      <c r="N49" t="s">
        <v>2279</v>
      </c>
      <c r="O49" s="190" t="str">
        <f>"["&amp;$C49&amp;"]["&amp;$D49&amp;"]["&amp;$F49&amp;"]"</f>
        <v>[S02_CompetentAuthority][7][CATelephone]</v>
      </c>
    </row>
    <row r="50" spans="1:15" x14ac:dyDescent="0.3">
      <c r="A50" t="s">
        <v>2277</v>
      </c>
      <c r="B50" t="s">
        <v>1749</v>
      </c>
      <c r="C50" t="s">
        <v>1750</v>
      </c>
      <c r="D50">
        <v>8</v>
      </c>
      <c r="E50" t="s">
        <v>1447</v>
      </c>
      <c r="F50" t="s">
        <v>1755</v>
      </c>
      <c r="G50" t="s">
        <v>1741</v>
      </c>
      <c r="H50" t="s">
        <v>2310</v>
      </c>
      <c r="I50" t="s">
        <v>2279</v>
      </c>
      <c r="J50" t="s">
        <v>2279</v>
      </c>
      <c r="K50" t="s">
        <v>2279</v>
      </c>
      <c r="L50" t="s">
        <v>2279</v>
      </c>
      <c r="M50" t="s">
        <v>2279</v>
      </c>
      <c r="N50" t="s">
        <v>2279</v>
      </c>
      <c r="O50" s="190" t="str">
        <f>"["&amp;$C50&amp;"]["&amp;$D50&amp;"]["&amp;$F50&amp;"]"</f>
        <v>[S02_CompetentAuthority][8][CATelephone]</v>
      </c>
    </row>
    <row r="51" spans="1:15" x14ac:dyDescent="0.3">
      <c r="A51" t="s">
        <v>2277</v>
      </c>
      <c r="B51" t="s">
        <v>1749</v>
      </c>
      <c r="C51" t="s">
        <v>1750</v>
      </c>
      <c r="D51">
        <v>9</v>
      </c>
      <c r="E51" t="s">
        <v>1447</v>
      </c>
      <c r="F51" t="s">
        <v>1755</v>
      </c>
      <c r="G51" t="s">
        <v>1741</v>
      </c>
      <c r="H51" t="s">
        <v>2310</v>
      </c>
      <c r="I51" t="s">
        <v>2279</v>
      </c>
      <c r="J51" t="s">
        <v>2279</v>
      </c>
      <c r="K51" t="s">
        <v>2279</v>
      </c>
      <c r="L51" t="s">
        <v>2279</v>
      </c>
      <c r="M51" t="s">
        <v>2279</v>
      </c>
      <c r="N51" t="s">
        <v>2279</v>
      </c>
      <c r="O51" s="190" t="str">
        <f>"["&amp;$C51&amp;"]["&amp;$D51&amp;"]["&amp;$F51&amp;"]"</f>
        <v>[S02_CompetentAuthority][9][CATelephone]</v>
      </c>
    </row>
    <row r="52" spans="1:15" x14ac:dyDescent="0.3">
      <c r="A52" t="s">
        <v>2277</v>
      </c>
      <c r="B52" t="s">
        <v>1749</v>
      </c>
      <c r="C52" t="s">
        <v>1750</v>
      </c>
      <c r="D52">
        <v>10</v>
      </c>
      <c r="E52" t="s">
        <v>1447</v>
      </c>
      <c r="F52" t="s">
        <v>1755</v>
      </c>
      <c r="G52" t="s">
        <v>1741</v>
      </c>
      <c r="H52" t="s">
        <v>2310</v>
      </c>
      <c r="I52" t="s">
        <v>2279</v>
      </c>
      <c r="J52" t="s">
        <v>2279</v>
      </c>
      <c r="K52" t="s">
        <v>2279</v>
      </c>
      <c r="L52" t="s">
        <v>2279</v>
      </c>
      <c r="M52" t="s">
        <v>2279</v>
      </c>
      <c r="N52" t="s">
        <v>2279</v>
      </c>
      <c r="O52" s="190" t="str">
        <f>"["&amp;$C52&amp;"]["&amp;$D52&amp;"]["&amp;$F52&amp;"]"</f>
        <v>[S02_CompetentAuthority][10][CATelephone]</v>
      </c>
    </row>
    <row r="53" spans="1:15" x14ac:dyDescent="0.3">
      <c r="A53" t="s">
        <v>2277</v>
      </c>
      <c r="B53" t="s">
        <v>1749</v>
      </c>
      <c r="C53" t="s">
        <v>1750</v>
      </c>
      <c r="D53">
        <v>11</v>
      </c>
      <c r="E53" t="s">
        <v>1447</v>
      </c>
      <c r="F53" t="s">
        <v>1755</v>
      </c>
      <c r="G53" t="s">
        <v>1741</v>
      </c>
      <c r="H53" t="s">
        <v>2310</v>
      </c>
      <c r="I53" t="s">
        <v>2279</v>
      </c>
      <c r="J53" t="s">
        <v>2279</v>
      </c>
      <c r="K53" t="s">
        <v>2279</v>
      </c>
      <c r="L53" t="s">
        <v>2279</v>
      </c>
      <c r="M53" t="s">
        <v>2279</v>
      </c>
      <c r="N53" t="s">
        <v>2279</v>
      </c>
      <c r="O53" s="190" t="str">
        <f>"["&amp;$C53&amp;"]["&amp;$D53&amp;"]["&amp;$F53&amp;"]"</f>
        <v>[S02_CompetentAuthority][11][CATelephone]</v>
      </c>
    </row>
    <row r="54" spans="1:15" x14ac:dyDescent="0.3">
      <c r="A54" t="s">
        <v>2277</v>
      </c>
      <c r="B54" t="s">
        <v>1749</v>
      </c>
      <c r="C54" t="s">
        <v>1750</v>
      </c>
      <c r="D54">
        <v>1</v>
      </c>
      <c r="E54" t="s">
        <v>1447</v>
      </c>
      <c r="F54" t="s">
        <v>1756</v>
      </c>
      <c r="G54" t="s">
        <v>1741</v>
      </c>
      <c r="H54" t="s">
        <v>2284</v>
      </c>
      <c r="I54" t="s">
        <v>2279</v>
      </c>
      <c r="J54" t="s">
        <v>2279</v>
      </c>
      <c r="K54" t="s">
        <v>2279</v>
      </c>
      <c r="L54" t="s">
        <v>2279</v>
      </c>
      <c r="M54" t="s">
        <v>2279</v>
      </c>
      <c r="N54" t="s">
        <v>2279</v>
      </c>
      <c r="O54" s="190" t="str">
        <f>"["&amp;$C54&amp;"]["&amp;$D54&amp;"]["&amp;$F54&amp;"]"</f>
        <v>[S02_CompetentAuthority][1][CAEmail]</v>
      </c>
    </row>
    <row r="55" spans="1:15" x14ac:dyDescent="0.3">
      <c r="A55" t="s">
        <v>2277</v>
      </c>
      <c r="B55" t="s">
        <v>1749</v>
      </c>
      <c r="C55" t="s">
        <v>1750</v>
      </c>
      <c r="D55">
        <v>2</v>
      </c>
      <c r="E55" t="s">
        <v>1447</v>
      </c>
      <c r="F55" t="s">
        <v>1756</v>
      </c>
      <c r="G55" t="s">
        <v>1741</v>
      </c>
      <c r="H55" t="s">
        <v>2311</v>
      </c>
      <c r="I55" t="s">
        <v>2279</v>
      </c>
      <c r="J55" t="s">
        <v>2279</v>
      </c>
      <c r="K55" t="s">
        <v>2279</v>
      </c>
      <c r="L55" t="s">
        <v>2279</v>
      </c>
      <c r="M55" t="s">
        <v>2279</v>
      </c>
      <c r="N55" t="s">
        <v>2279</v>
      </c>
      <c r="O55" s="190" t="str">
        <f>"["&amp;$C55&amp;"]["&amp;$D55&amp;"]["&amp;$F55&amp;"]"</f>
        <v>[S02_CompetentAuthority][2][CAEmail]</v>
      </c>
    </row>
    <row r="56" spans="1:15" x14ac:dyDescent="0.3">
      <c r="A56" t="s">
        <v>2277</v>
      </c>
      <c r="B56" t="s">
        <v>1749</v>
      </c>
      <c r="C56" t="s">
        <v>1750</v>
      </c>
      <c r="D56">
        <v>4</v>
      </c>
      <c r="E56" t="s">
        <v>1447</v>
      </c>
      <c r="F56" t="s">
        <v>1756</v>
      </c>
      <c r="G56" t="s">
        <v>1741</v>
      </c>
      <c r="H56" t="s">
        <v>2312</v>
      </c>
      <c r="I56" t="s">
        <v>2279</v>
      </c>
      <c r="J56" t="s">
        <v>2279</v>
      </c>
      <c r="K56" t="s">
        <v>2279</v>
      </c>
      <c r="L56" t="s">
        <v>2279</v>
      </c>
      <c r="M56" t="s">
        <v>2279</v>
      </c>
      <c r="N56" t="s">
        <v>2279</v>
      </c>
      <c r="O56" s="190" t="str">
        <f>"["&amp;$C56&amp;"]["&amp;$D56&amp;"]["&amp;$F56&amp;"]"</f>
        <v>[S02_CompetentAuthority][4][CAEmail]</v>
      </c>
    </row>
    <row r="57" spans="1:15" x14ac:dyDescent="0.3">
      <c r="A57" t="s">
        <v>2277</v>
      </c>
      <c r="B57" t="s">
        <v>1749</v>
      </c>
      <c r="C57" t="s">
        <v>1750</v>
      </c>
      <c r="D57">
        <v>5</v>
      </c>
      <c r="E57" t="s">
        <v>1447</v>
      </c>
      <c r="F57" t="s">
        <v>1756</v>
      </c>
      <c r="G57" t="s">
        <v>1741</v>
      </c>
      <c r="H57" t="s">
        <v>2313</v>
      </c>
      <c r="I57" t="s">
        <v>2279</v>
      </c>
      <c r="J57" t="s">
        <v>2279</v>
      </c>
      <c r="K57" t="s">
        <v>2279</v>
      </c>
      <c r="L57" t="s">
        <v>2279</v>
      </c>
      <c r="M57" t="s">
        <v>2279</v>
      </c>
      <c r="N57" t="s">
        <v>2279</v>
      </c>
      <c r="O57" s="190" t="str">
        <f>"["&amp;$C57&amp;"]["&amp;$D57&amp;"]["&amp;$F57&amp;"]"</f>
        <v>[S02_CompetentAuthority][5][CAEmail]</v>
      </c>
    </row>
    <row r="58" spans="1:15" x14ac:dyDescent="0.3">
      <c r="A58" t="s">
        <v>2277</v>
      </c>
      <c r="B58" t="s">
        <v>1749</v>
      </c>
      <c r="C58" t="s">
        <v>1750</v>
      </c>
      <c r="D58">
        <v>6</v>
      </c>
      <c r="E58" t="s">
        <v>1447</v>
      </c>
      <c r="F58" t="s">
        <v>1756</v>
      </c>
      <c r="G58" t="s">
        <v>1741</v>
      </c>
      <c r="H58" t="s">
        <v>2314</v>
      </c>
      <c r="I58" t="s">
        <v>2279</v>
      </c>
      <c r="J58" t="s">
        <v>2279</v>
      </c>
      <c r="K58" t="s">
        <v>2279</v>
      </c>
      <c r="L58" t="s">
        <v>2279</v>
      </c>
      <c r="M58" t="s">
        <v>2279</v>
      </c>
      <c r="N58" t="s">
        <v>2279</v>
      </c>
      <c r="O58" s="190" t="str">
        <f>"["&amp;$C58&amp;"]["&amp;$D58&amp;"]["&amp;$F58&amp;"]"</f>
        <v>[S02_CompetentAuthority][6][CAEmail]</v>
      </c>
    </row>
    <row r="59" spans="1:15" x14ac:dyDescent="0.3">
      <c r="A59" t="s">
        <v>2277</v>
      </c>
      <c r="B59" t="s">
        <v>1749</v>
      </c>
      <c r="C59" t="s">
        <v>1750</v>
      </c>
      <c r="D59">
        <v>7</v>
      </c>
      <c r="E59" t="s">
        <v>1447</v>
      </c>
      <c r="F59" t="s">
        <v>1756</v>
      </c>
      <c r="G59" t="s">
        <v>1741</v>
      </c>
      <c r="H59" t="s">
        <v>2315</v>
      </c>
      <c r="I59" t="s">
        <v>2279</v>
      </c>
      <c r="J59" t="s">
        <v>2279</v>
      </c>
      <c r="K59" t="s">
        <v>2279</v>
      </c>
      <c r="L59" t="s">
        <v>2279</v>
      </c>
      <c r="M59" t="s">
        <v>2279</v>
      </c>
      <c r="N59" t="s">
        <v>2279</v>
      </c>
      <c r="O59" s="190" t="str">
        <f>"["&amp;$C59&amp;"]["&amp;$D59&amp;"]["&amp;$F59&amp;"]"</f>
        <v>[S02_CompetentAuthority][7][CAEmail]</v>
      </c>
    </row>
    <row r="60" spans="1:15" x14ac:dyDescent="0.3">
      <c r="A60" t="s">
        <v>2277</v>
      </c>
      <c r="B60" t="s">
        <v>1749</v>
      </c>
      <c r="C60" t="s">
        <v>1750</v>
      </c>
      <c r="D60">
        <v>8</v>
      </c>
      <c r="E60" t="s">
        <v>1447</v>
      </c>
      <c r="F60" t="s">
        <v>1756</v>
      </c>
      <c r="G60" t="s">
        <v>1741</v>
      </c>
      <c r="H60" t="s">
        <v>2310</v>
      </c>
      <c r="I60" t="s">
        <v>2279</v>
      </c>
      <c r="J60" t="s">
        <v>2279</v>
      </c>
      <c r="K60" t="s">
        <v>2279</v>
      </c>
      <c r="L60" t="s">
        <v>2279</v>
      </c>
      <c r="M60" t="s">
        <v>2279</v>
      </c>
      <c r="N60" t="s">
        <v>2279</v>
      </c>
      <c r="O60" s="190" t="str">
        <f>"["&amp;$C60&amp;"]["&amp;$D60&amp;"]["&amp;$F60&amp;"]"</f>
        <v>[S02_CompetentAuthority][8][CAEmail]</v>
      </c>
    </row>
    <row r="61" spans="1:15" x14ac:dyDescent="0.3">
      <c r="A61" t="s">
        <v>2277</v>
      </c>
      <c r="B61" t="s">
        <v>1749</v>
      </c>
      <c r="C61" t="s">
        <v>1750</v>
      </c>
      <c r="D61">
        <v>9</v>
      </c>
      <c r="E61" t="s">
        <v>1447</v>
      </c>
      <c r="F61" t="s">
        <v>1756</v>
      </c>
      <c r="G61" t="s">
        <v>1741</v>
      </c>
      <c r="H61" t="s">
        <v>2310</v>
      </c>
      <c r="I61" t="s">
        <v>2279</v>
      </c>
      <c r="J61" t="s">
        <v>2279</v>
      </c>
      <c r="K61" t="s">
        <v>2279</v>
      </c>
      <c r="L61" t="s">
        <v>2279</v>
      </c>
      <c r="M61" t="s">
        <v>2279</v>
      </c>
      <c r="N61" t="s">
        <v>2279</v>
      </c>
      <c r="O61" s="190" t="str">
        <f>"["&amp;$C61&amp;"]["&amp;$D61&amp;"]["&amp;$F61&amp;"]"</f>
        <v>[S02_CompetentAuthority][9][CAEmail]</v>
      </c>
    </row>
    <row r="62" spans="1:15" x14ac:dyDescent="0.3">
      <c r="A62" t="s">
        <v>2277</v>
      </c>
      <c r="B62" t="s">
        <v>1749</v>
      </c>
      <c r="C62" t="s">
        <v>1750</v>
      </c>
      <c r="D62">
        <v>10</v>
      </c>
      <c r="E62" t="s">
        <v>1447</v>
      </c>
      <c r="F62" t="s">
        <v>1756</v>
      </c>
      <c r="G62" t="s">
        <v>1741</v>
      </c>
      <c r="H62" t="s">
        <v>2310</v>
      </c>
      <c r="I62" t="s">
        <v>2279</v>
      </c>
      <c r="J62" t="s">
        <v>2279</v>
      </c>
      <c r="K62" t="s">
        <v>2279</v>
      </c>
      <c r="L62" t="s">
        <v>2279</v>
      </c>
      <c r="M62" t="s">
        <v>2279</v>
      </c>
      <c r="N62" t="s">
        <v>2279</v>
      </c>
      <c r="O62" s="190" t="str">
        <f>"["&amp;$C62&amp;"]["&amp;$D62&amp;"]["&amp;$F62&amp;"]"</f>
        <v>[S02_CompetentAuthority][10][CAEmail]</v>
      </c>
    </row>
    <row r="63" spans="1:15" x14ac:dyDescent="0.3">
      <c r="A63" t="s">
        <v>2277</v>
      </c>
      <c r="B63" t="s">
        <v>1749</v>
      </c>
      <c r="C63" t="s">
        <v>1750</v>
      </c>
      <c r="D63">
        <v>11</v>
      </c>
      <c r="E63" t="s">
        <v>1447</v>
      </c>
      <c r="F63" t="s">
        <v>1756</v>
      </c>
      <c r="G63" t="s">
        <v>1741</v>
      </c>
      <c r="H63" t="s">
        <v>2310</v>
      </c>
      <c r="I63" t="s">
        <v>2279</v>
      </c>
      <c r="J63" t="s">
        <v>2279</v>
      </c>
      <c r="K63" t="s">
        <v>2279</v>
      </c>
      <c r="L63" t="s">
        <v>2279</v>
      </c>
      <c r="M63" t="s">
        <v>2279</v>
      </c>
      <c r="N63" t="s">
        <v>2279</v>
      </c>
      <c r="O63" s="190" t="str">
        <f>"["&amp;$C63&amp;"]["&amp;$D63&amp;"]["&amp;$F63&amp;"]"</f>
        <v>[S02_CompetentAuthority][11][CAEmail]</v>
      </c>
    </row>
    <row r="64" spans="1:15" x14ac:dyDescent="0.3">
      <c r="A64" t="s">
        <v>2277</v>
      </c>
      <c r="B64" t="s">
        <v>1749</v>
      </c>
      <c r="C64" t="s">
        <v>1750</v>
      </c>
      <c r="D64">
        <v>1</v>
      </c>
      <c r="E64" t="s">
        <v>1447</v>
      </c>
      <c r="F64" t="s">
        <v>1757</v>
      </c>
      <c r="G64" t="s">
        <v>1741</v>
      </c>
      <c r="H64" t="s">
        <v>2316</v>
      </c>
      <c r="I64" t="s">
        <v>2279</v>
      </c>
      <c r="J64" t="s">
        <v>2279</v>
      </c>
      <c r="K64" t="s">
        <v>2279</v>
      </c>
      <c r="L64" t="s">
        <v>2279</v>
      </c>
      <c r="M64" t="s">
        <v>2279</v>
      </c>
      <c r="N64" t="s">
        <v>2279</v>
      </c>
      <c r="O64" s="190" t="str">
        <f>"["&amp;$C64&amp;"]["&amp;$D64&amp;"]["&amp;$F64&amp;"]"</f>
        <v>[S02_CompetentAuthority][1][CAWebsite]</v>
      </c>
    </row>
    <row r="65" spans="1:15" x14ac:dyDescent="0.3">
      <c r="A65" t="s">
        <v>2277</v>
      </c>
      <c r="B65" t="s">
        <v>1749</v>
      </c>
      <c r="C65" t="s">
        <v>1750</v>
      </c>
      <c r="D65">
        <v>2</v>
      </c>
      <c r="E65" t="s">
        <v>1447</v>
      </c>
      <c r="F65" t="s">
        <v>1757</v>
      </c>
      <c r="G65" t="s">
        <v>1741</v>
      </c>
      <c r="H65" t="s">
        <v>2316</v>
      </c>
      <c r="I65" t="s">
        <v>2279</v>
      </c>
      <c r="J65" t="s">
        <v>2279</v>
      </c>
      <c r="K65" t="s">
        <v>2279</v>
      </c>
      <c r="L65" t="s">
        <v>2279</v>
      </c>
      <c r="M65" t="s">
        <v>2279</v>
      </c>
      <c r="N65" t="s">
        <v>2279</v>
      </c>
      <c r="O65" s="190" t="str">
        <f>"["&amp;$C65&amp;"]["&amp;$D65&amp;"]["&amp;$F65&amp;"]"</f>
        <v>[S02_CompetentAuthority][2][CAWebsite]</v>
      </c>
    </row>
    <row r="66" spans="1:15" x14ac:dyDescent="0.3">
      <c r="A66" t="s">
        <v>2277</v>
      </c>
      <c r="B66" t="s">
        <v>1749</v>
      </c>
      <c r="C66" t="s">
        <v>1750</v>
      </c>
      <c r="D66">
        <v>3</v>
      </c>
      <c r="E66" t="s">
        <v>1447</v>
      </c>
      <c r="F66" t="s">
        <v>1757</v>
      </c>
      <c r="G66" t="s">
        <v>1741</v>
      </c>
      <c r="H66" t="s">
        <v>2316</v>
      </c>
      <c r="I66" t="s">
        <v>2279</v>
      </c>
      <c r="J66" t="s">
        <v>2279</v>
      </c>
      <c r="K66" t="s">
        <v>2279</v>
      </c>
      <c r="L66" t="s">
        <v>2279</v>
      </c>
      <c r="M66" t="s">
        <v>2279</v>
      </c>
      <c r="N66" t="s">
        <v>2279</v>
      </c>
      <c r="O66" s="190" t="str">
        <f>"["&amp;$C66&amp;"]["&amp;$D66&amp;"]["&amp;$F66&amp;"]"</f>
        <v>[S02_CompetentAuthority][3][CAWebsite]</v>
      </c>
    </row>
    <row r="67" spans="1:15" x14ac:dyDescent="0.3">
      <c r="A67" t="s">
        <v>2277</v>
      </c>
      <c r="B67" t="s">
        <v>1749</v>
      </c>
      <c r="C67" t="s">
        <v>1750</v>
      </c>
      <c r="D67">
        <v>4</v>
      </c>
      <c r="E67" t="s">
        <v>1447</v>
      </c>
      <c r="F67" t="s">
        <v>1757</v>
      </c>
      <c r="G67" t="s">
        <v>1741</v>
      </c>
      <c r="H67" t="s">
        <v>2317</v>
      </c>
      <c r="I67" t="s">
        <v>2279</v>
      </c>
      <c r="J67" t="s">
        <v>2279</v>
      </c>
      <c r="K67" t="s">
        <v>2279</v>
      </c>
      <c r="L67" t="s">
        <v>2279</v>
      </c>
      <c r="M67" t="s">
        <v>2279</v>
      </c>
      <c r="N67" t="s">
        <v>2279</v>
      </c>
      <c r="O67" s="190" t="str">
        <f>"["&amp;$C67&amp;"]["&amp;$D67&amp;"]["&amp;$F67&amp;"]"</f>
        <v>[S02_CompetentAuthority][4][CAWebsite]</v>
      </c>
    </row>
    <row r="68" spans="1:15" x14ac:dyDescent="0.3">
      <c r="A68" t="s">
        <v>2277</v>
      </c>
      <c r="B68" t="s">
        <v>1749</v>
      </c>
      <c r="C68" t="s">
        <v>1750</v>
      </c>
      <c r="D68">
        <v>5</v>
      </c>
      <c r="E68" t="s">
        <v>1447</v>
      </c>
      <c r="F68" t="s">
        <v>1757</v>
      </c>
      <c r="G68" t="s">
        <v>1741</v>
      </c>
      <c r="H68" t="s">
        <v>2317</v>
      </c>
      <c r="I68" t="s">
        <v>2279</v>
      </c>
      <c r="J68" t="s">
        <v>2279</v>
      </c>
      <c r="K68" t="s">
        <v>2279</v>
      </c>
      <c r="L68" t="s">
        <v>2279</v>
      </c>
      <c r="M68" t="s">
        <v>2279</v>
      </c>
      <c r="N68" t="s">
        <v>2279</v>
      </c>
      <c r="O68" s="190" t="str">
        <f>"["&amp;$C68&amp;"]["&amp;$D68&amp;"]["&amp;$F68&amp;"]"</f>
        <v>[S02_CompetentAuthority][5][CAWebsite]</v>
      </c>
    </row>
    <row r="69" spans="1:15" x14ac:dyDescent="0.3">
      <c r="A69" t="s">
        <v>2277</v>
      </c>
      <c r="B69" t="s">
        <v>1749</v>
      </c>
      <c r="C69" t="s">
        <v>1750</v>
      </c>
      <c r="D69">
        <v>6</v>
      </c>
      <c r="E69" t="s">
        <v>1447</v>
      </c>
      <c r="F69" t="s">
        <v>1757</v>
      </c>
      <c r="G69" t="s">
        <v>1741</v>
      </c>
      <c r="H69" t="s">
        <v>2317</v>
      </c>
      <c r="I69" t="s">
        <v>2279</v>
      </c>
      <c r="J69" t="s">
        <v>2279</v>
      </c>
      <c r="K69" t="s">
        <v>2279</v>
      </c>
      <c r="L69" t="s">
        <v>2279</v>
      </c>
      <c r="M69" t="s">
        <v>2279</v>
      </c>
      <c r="N69" t="s">
        <v>2279</v>
      </c>
      <c r="O69" s="190" t="str">
        <f>"["&amp;$C69&amp;"]["&amp;$D69&amp;"]["&amp;$F69&amp;"]"</f>
        <v>[S02_CompetentAuthority][6][CAWebsite]</v>
      </c>
    </row>
    <row r="70" spans="1:15" x14ac:dyDescent="0.3">
      <c r="A70" t="s">
        <v>2277</v>
      </c>
      <c r="B70" t="s">
        <v>1749</v>
      </c>
      <c r="C70" t="s">
        <v>1750</v>
      </c>
      <c r="D70">
        <v>7</v>
      </c>
      <c r="E70" t="s">
        <v>1447</v>
      </c>
      <c r="F70" t="s">
        <v>1757</v>
      </c>
      <c r="G70" t="s">
        <v>1741</v>
      </c>
      <c r="H70" t="s">
        <v>2318</v>
      </c>
      <c r="I70" t="s">
        <v>2279</v>
      </c>
      <c r="J70" t="s">
        <v>2279</v>
      </c>
      <c r="K70" t="s">
        <v>2279</v>
      </c>
      <c r="L70" t="s">
        <v>2279</v>
      </c>
      <c r="M70" t="s">
        <v>2279</v>
      </c>
      <c r="N70" t="s">
        <v>2279</v>
      </c>
      <c r="O70" s="190" t="str">
        <f>"["&amp;$C70&amp;"]["&amp;$D70&amp;"]["&amp;$F70&amp;"]"</f>
        <v>[S02_CompetentAuthority][7][CAWebsite]</v>
      </c>
    </row>
    <row r="71" spans="1:15" x14ac:dyDescent="0.3">
      <c r="A71" t="s">
        <v>2277</v>
      </c>
      <c r="B71" t="s">
        <v>1749</v>
      </c>
      <c r="C71" t="s">
        <v>1750</v>
      </c>
      <c r="D71">
        <v>8</v>
      </c>
      <c r="E71" t="s">
        <v>1447</v>
      </c>
      <c r="F71" t="s">
        <v>1757</v>
      </c>
      <c r="G71" t="s">
        <v>1741</v>
      </c>
      <c r="H71" t="s">
        <v>2319</v>
      </c>
      <c r="I71" t="s">
        <v>2279</v>
      </c>
      <c r="J71" t="s">
        <v>2279</v>
      </c>
      <c r="K71" t="s">
        <v>2279</v>
      </c>
      <c r="L71" t="s">
        <v>2279</v>
      </c>
      <c r="M71" t="s">
        <v>2279</v>
      </c>
      <c r="N71" t="s">
        <v>2279</v>
      </c>
      <c r="O71" s="190" t="str">
        <f>"["&amp;$C71&amp;"]["&amp;$D71&amp;"]["&amp;$F71&amp;"]"</f>
        <v>[S02_CompetentAuthority][8][CAWebsite]</v>
      </c>
    </row>
    <row r="72" spans="1:15" x14ac:dyDescent="0.3">
      <c r="A72" t="s">
        <v>2277</v>
      </c>
      <c r="B72" t="s">
        <v>1749</v>
      </c>
      <c r="C72" t="s">
        <v>1750</v>
      </c>
      <c r="D72">
        <v>9</v>
      </c>
      <c r="E72" t="s">
        <v>1447</v>
      </c>
      <c r="F72" t="s">
        <v>1757</v>
      </c>
      <c r="G72" t="s">
        <v>1741</v>
      </c>
      <c r="H72" t="s">
        <v>2320</v>
      </c>
      <c r="I72" t="s">
        <v>2279</v>
      </c>
      <c r="J72" t="s">
        <v>2279</v>
      </c>
      <c r="K72" t="s">
        <v>2279</v>
      </c>
      <c r="L72" t="s">
        <v>2279</v>
      </c>
      <c r="M72" t="s">
        <v>2279</v>
      </c>
      <c r="N72" t="s">
        <v>2279</v>
      </c>
      <c r="O72" s="190" t="str">
        <f>"["&amp;$C72&amp;"]["&amp;$D72&amp;"]["&amp;$F72&amp;"]"</f>
        <v>[S02_CompetentAuthority][9][CAWebsite]</v>
      </c>
    </row>
    <row r="73" spans="1:15" x14ac:dyDescent="0.3">
      <c r="A73" t="s">
        <v>2277</v>
      </c>
      <c r="B73" t="s">
        <v>1749</v>
      </c>
      <c r="C73" t="s">
        <v>1750</v>
      </c>
      <c r="D73">
        <v>10</v>
      </c>
      <c r="E73" t="s">
        <v>1447</v>
      </c>
      <c r="F73" t="s">
        <v>1757</v>
      </c>
      <c r="G73" t="s">
        <v>1741</v>
      </c>
      <c r="H73" t="s">
        <v>2321</v>
      </c>
      <c r="I73" t="s">
        <v>2279</v>
      </c>
      <c r="J73" t="s">
        <v>2279</v>
      </c>
      <c r="K73" t="s">
        <v>2279</v>
      </c>
      <c r="L73" t="s">
        <v>2279</v>
      </c>
      <c r="M73" t="s">
        <v>2279</v>
      </c>
      <c r="N73" t="s">
        <v>2279</v>
      </c>
      <c r="O73" s="190" t="str">
        <f>"["&amp;$C73&amp;"]["&amp;$D73&amp;"]["&amp;$F73&amp;"]"</f>
        <v>[S02_CompetentAuthority][10][CAWebsite]</v>
      </c>
    </row>
    <row r="74" spans="1:15" x14ac:dyDescent="0.3">
      <c r="A74" t="s">
        <v>2277</v>
      </c>
      <c r="B74" t="s">
        <v>1749</v>
      </c>
      <c r="C74" t="s">
        <v>1750</v>
      </c>
      <c r="D74">
        <v>11</v>
      </c>
      <c r="E74" t="s">
        <v>1447</v>
      </c>
      <c r="F74" t="s">
        <v>1757</v>
      </c>
      <c r="G74" t="s">
        <v>1741</v>
      </c>
      <c r="H74" t="s">
        <v>2310</v>
      </c>
      <c r="I74" t="s">
        <v>2279</v>
      </c>
      <c r="J74" t="s">
        <v>2279</v>
      </c>
      <c r="K74" t="s">
        <v>2279</v>
      </c>
      <c r="L74" t="s">
        <v>2279</v>
      </c>
      <c r="M74" t="s">
        <v>2279</v>
      </c>
      <c r="N74" t="s">
        <v>2279</v>
      </c>
      <c r="O74" s="190" t="str">
        <f>"["&amp;$C74&amp;"]["&amp;$D74&amp;"]["&amp;$F74&amp;"]"</f>
        <v>[S02_CompetentAuthority][11][CAWebsite]</v>
      </c>
    </row>
    <row r="75" spans="1:15" x14ac:dyDescent="0.3">
      <c r="A75" t="s">
        <v>2277</v>
      </c>
      <c r="B75" t="s">
        <v>1749</v>
      </c>
      <c r="C75" t="s">
        <v>1758</v>
      </c>
      <c r="D75">
        <v>0</v>
      </c>
      <c r="E75" t="s">
        <v>1447</v>
      </c>
      <c r="F75" t="s">
        <v>1758</v>
      </c>
      <c r="G75" t="s">
        <v>1759</v>
      </c>
      <c r="H75" t="s">
        <v>2279</v>
      </c>
      <c r="I75" t="s">
        <v>2279</v>
      </c>
      <c r="J75" t="s">
        <v>2279</v>
      </c>
      <c r="K75" t="s">
        <v>2279</v>
      </c>
      <c r="L75" t="s">
        <v>1419</v>
      </c>
      <c r="M75" t="s">
        <v>2279</v>
      </c>
      <c r="N75" t="s">
        <v>2279</v>
      </c>
      <c r="O75" s="190" t="str">
        <f>"["&amp;$C75&amp;"]["&amp;$D75&amp;"]["&amp;$F75&amp;"]"</f>
        <v>[S02_AccreditationBodyYesNo][0][S02_AccreditationBodyYesNo]</v>
      </c>
    </row>
    <row r="76" spans="1:15" x14ac:dyDescent="0.3">
      <c r="A76" t="s">
        <v>2277</v>
      </c>
      <c r="B76" t="s">
        <v>1749</v>
      </c>
      <c r="C76" t="s">
        <v>1760</v>
      </c>
      <c r="D76">
        <v>1</v>
      </c>
      <c r="E76" t="s">
        <v>1447</v>
      </c>
      <c r="F76" t="s">
        <v>1761</v>
      </c>
      <c r="G76" t="s">
        <v>1741</v>
      </c>
      <c r="H76" t="s">
        <v>2322</v>
      </c>
      <c r="I76" t="s">
        <v>2279</v>
      </c>
      <c r="J76" t="s">
        <v>2279</v>
      </c>
      <c r="K76" t="s">
        <v>2279</v>
      </c>
      <c r="L76" t="s">
        <v>2279</v>
      </c>
      <c r="M76" t="s">
        <v>2279</v>
      </c>
      <c r="N76" t="s">
        <v>2279</v>
      </c>
      <c r="O76" s="190" t="str">
        <f>"["&amp;$C76&amp;"]["&amp;$D76&amp;"]["&amp;$F76&amp;"]"</f>
        <v>[S02_AccreditationBody][1][AccBodyName]</v>
      </c>
    </row>
    <row r="77" spans="1:15" x14ac:dyDescent="0.3">
      <c r="A77" t="s">
        <v>2277</v>
      </c>
      <c r="B77" t="s">
        <v>1749</v>
      </c>
      <c r="C77" t="s">
        <v>1760</v>
      </c>
      <c r="D77">
        <v>1</v>
      </c>
      <c r="E77" t="s">
        <v>1447</v>
      </c>
      <c r="F77" t="s">
        <v>1762</v>
      </c>
      <c r="G77" t="s">
        <v>1741</v>
      </c>
      <c r="H77" t="s">
        <v>2298</v>
      </c>
      <c r="I77" t="s">
        <v>2279</v>
      </c>
      <c r="J77" t="s">
        <v>2279</v>
      </c>
      <c r="K77" t="s">
        <v>2279</v>
      </c>
      <c r="L77" t="s">
        <v>2279</v>
      </c>
      <c r="M77" t="s">
        <v>2279</v>
      </c>
      <c r="N77" t="s">
        <v>2279</v>
      </c>
      <c r="O77" s="190" t="str">
        <f>"["&amp;$C77&amp;"]["&amp;$D77&amp;"]["&amp;$F77&amp;"]"</f>
        <v>[S02_AccreditationBody][1][AccBodyAbbreviation]</v>
      </c>
    </row>
    <row r="78" spans="1:15" x14ac:dyDescent="0.3">
      <c r="A78" t="s">
        <v>2277</v>
      </c>
      <c r="B78" t="s">
        <v>1749</v>
      </c>
      <c r="C78" t="s">
        <v>1760</v>
      </c>
      <c r="D78">
        <v>1</v>
      </c>
      <c r="E78" t="s">
        <v>1447</v>
      </c>
      <c r="F78" t="s">
        <v>1763</v>
      </c>
      <c r="G78" t="s">
        <v>1741</v>
      </c>
      <c r="H78" t="s">
        <v>2308</v>
      </c>
      <c r="I78" t="s">
        <v>2279</v>
      </c>
      <c r="J78" t="s">
        <v>2279</v>
      </c>
      <c r="K78" t="s">
        <v>2279</v>
      </c>
      <c r="L78" t="s">
        <v>2279</v>
      </c>
      <c r="M78" t="s">
        <v>2279</v>
      </c>
      <c r="N78" t="s">
        <v>2279</v>
      </c>
      <c r="O78" s="190" t="str">
        <f>"["&amp;$C78&amp;"]["&amp;$D78&amp;"]["&amp;$F78&amp;"]"</f>
        <v>[S02_AccreditationBody][1][AccBodyTelephone]</v>
      </c>
    </row>
    <row r="79" spans="1:15" x14ac:dyDescent="0.3">
      <c r="A79" t="s">
        <v>2277</v>
      </c>
      <c r="B79" t="s">
        <v>1749</v>
      </c>
      <c r="C79" t="s">
        <v>1760</v>
      </c>
      <c r="D79">
        <v>1</v>
      </c>
      <c r="E79" t="s">
        <v>1447</v>
      </c>
      <c r="F79" t="s">
        <v>1764</v>
      </c>
      <c r="G79" t="s">
        <v>1741</v>
      </c>
      <c r="H79" t="s">
        <v>2323</v>
      </c>
      <c r="I79" t="s">
        <v>2279</v>
      </c>
      <c r="J79" t="s">
        <v>2279</v>
      </c>
      <c r="K79" t="s">
        <v>2279</v>
      </c>
      <c r="L79" t="s">
        <v>2279</v>
      </c>
      <c r="M79" t="s">
        <v>2279</v>
      </c>
      <c r="N79" t="s">
        <v>2279</v>
      </c>
      <c r="O79" s="190" t="str">
        <f>"["&amp;$C79&amp;"]["&amp;$D79&amp;"]["&amp;$F79&amp;"]"</f>
        <v>[S02_AccreditationBody][1][AccBodyEmail]</v>
      </c>
    </row>
    <row r="80" spans="1:15" x14ac:dyDescent="0.3">
      <c r="A80" t="s">
        <v>2277</v>
      </c>
      <c r="B80" t="s">
        <v>1749</v>
      </c>
      <c r="C80" t="s">
        <v>1760</v>
      </c>
      <c r="D80">
        <v>1</v>
      </c>
      <c r="E80" t="s">
        <v>1447</v>
      </c>
      <c r="F80" t="s">
        <v>1765</v>
      </c>
      <c r="G80" t="s">
        <v>1741</v>
      </c>
      <c r="H80" t="s">
        <v>2324</v>
      </c>
      <c r="I80" t="s">
        <v>2279</v>
      </c>
      <c r="J80" t="s">
        <v>2279</v>
      </c>
      <c r="K80" t="s">
        <v>2279</v>
      </c>
      <c r="L80" t="s">
        <v>2279</v>
      </c>
      <c r="M80" t="s">
        <v>2279</v>
      </c>
      <c r="N80" t="s">
        <v>2279</v>
      </c>
      <c r="O80" s="190" t="str">
        <f>"["&amp;$C80&amp;"]["&amp;$D80&amp;"]["&amp;$F80&amp;"]"</f>
        <v>[S02_AccreditationBody][1][AccBodyWebsite]</v>
      </c>
    </row>
    <row r="81" spans="1:15" x14ac:dyDescent="0.3">
      <c r="A81" t="s">
        <v>2277</v>
      </c>
      <c r="B81" t="s">
        <v>1749</v>
      </c>
      <c r="C81" t="s">
        <v>1766</v>
      </c>
      <c r="D81">
        <v>0</v>
      </c>
      <c r="E81" t="s">
        <v>1447</v>
      </c>
      <c r="F81" t="s">
        <v>1766</v>
      </c>
      <c r="G81" t="s">
        <v>1759</v>
      </c>
      <c r="H81" t="s">
        <v>2279</v>
      </c>
      <c r="I81" t="s">
        <v>2279</v>
      </c>
      <c r="J81" t="s">
        <v>2279</v>
      </c>
      <c r="K81" t="s">
        <v>2279</v>
      </c>
      <c r="L81" t="s">
        <v>1447</v>
      </c>
      <c r="M81" t="s">
        <v>2279</v>
      </c>
      <c r="N81" t="s">
        <v>2279</v>
      </c>
      <c r="O81" s="190" t="str">
        <f>"["&amp;$C81&amp;"]["&amp;$D81&amp;"]["&amp;$F81&amp;"]"</f>
        <v>[CertificationBodySetUp][0][CertificationBodySetUp]</v>
      </c>
    </row>
    <row r="82" spans="1:15" x14ac:dyDescent="0.3">
      <c r="A82" t="s">
        <v>2277</v>
      </c>
      <c r="B82" t="s">
        <v>1749</v>
      </c>
      <c r="C82" t="s">
        <v>1773</v>
      </c>
      <c r="D82">
        <v>1</v>
      </c>
      <c r="E82" t="s">
        <v>1447</v>
      </c>
      <c r="F82" t="s">
        <v>1774</v>
      </c>
      <c r="G82" t="s">
        <v>1741</v>
      </c>
      <c r="H82" t="s">
        <v>2325</v>
      </c>
      <c r="I82" t="s">
        <v>2279</v>
      </c>
      <c r="J82" t="s">
        <v>2279</v>
      </c>
      <c r="K82" t="s">
        <v>2279</v>
      </c>
      <c r="L82" t="s">
        <v>2279</v>
      </c>
      <c r="M82" t="s">
        <v>2279</v>
      </c>
      <c r="N82" t="s">
        <v>2279</v>
      </c>
      <c r="O82" s="190" t="str">
        <f>"["&amp;$C82&amp;"]["&amp;$D82&amp;"]["&amp;$F82&amp;"]"</f>
        <v>[S02_RegistryAdministrator][1][RegAdminName]</v>
      </c>
    </row>
    <row r="83" spans="1:15" x14ac:dyDescent="0.3">
      <c r="A83" t="s">
        <v>2277</v>
      </c>
      <c r="B83" t="s">
        <v>1749</v>
      </c>
      <c r="C83" t="s">
        <v>1773</v>
      </c>
      <c r="D83">
        <v>1</v>
      </c>
      <c r="E83" t="s">
        <v>1447</v>
      </c>
      <c r="F83" t="s">
        <v>1775</v>
      </c>
      <c r="G83" t="s">
        <v>1741</v>
      </c>
      <c r="H83" t="s">
        <v>2299</v>
      </c>
      <c r="I83" t="s">
        <v>2279</v>
      </c>
      <c r="J83" t="s">
        <v>2279</v>
      </c>
      <c r="K83" t="s">
        <v>2279</v>
      </c>
      <c r="L83" t="s">
        <v>2279</v>
      </c>
      <c r="M83" t="s">
        <v>2279</v>
      </c>
      <c r="N83" t="s">
        <v>2279</v>
      </c>
      <c r="O83" s="190" t="str">
        <f>"["&amp;$C83&amp;"]["&amp;$D83&amp;"]["&amp;$F83&amp;"]"</f>
        <v>[S02_RegistryAdministrator][1][RegAdminAbbreviation]</v>
      </c>
    </row>
    <row r="84" spans="1:15" x14ac:dyDescent="0.3">
      <c r="A84" t="s">
        <v>2277</v>
      </c>
      <c r="B84" t="s">
        <v>1749</v>
      </c>
      <c r="C84" t="s">
        <v>1773</v>
      </c>
      <c r="D84">
        <v>1</v>
      </c>
      <c r="E84" t="s">
        <v>1447</v>
      </c>
      <c r="F84" t="s">
        <v>1776</v>
      </c>
      <c r="G84" t="s">
        <v>1741</v>
      </c>
      <c r="H84" t="s">
        <v>2309</v>
      </c>
      <c r="I84" t="s">
        <v>2279</v>
      </c>
      <c r="J84" t="s">
        <v>2279</v>
      </c>
      <c r="K84" t="s">
        <v>2279</v>
      </c>
      <c r="L84" t="s">
        <v>2279</v>
      </c>
      <c r="M84" t="s">
        <v>2279</v>
      </c>
      <c r="N84" t="s">
        <v>2279</v>
      </c>
      <c r="O84" s="190" t="str">
        <f>"["&amp;$C84&amp;"]["&amp;$D84&amp;"]["&amp;$F84&amp;"]"</f>
        <v>[S02_RegistryAdministrator][1][RegAdminTelephone]</v>
      </c>
    </row>
    <row r="85" spans="1:15" x14ac:dyDescent="0.3">
      <c r="A85" t="s">
        <v>2277</v>
      </c>
      <c r="B85" t="s">
        <v>1749</v>
      </c>
      <c r="C85" t="s">
        <v>1773</v>
      </c>
      <c r="D85">
        <v>1</v>
      </c>
      <c r="E85" t="s">
        <v>1447</v>
      </c>
      <c r="F85" t="s">
        <v>1777</v>
      </c>
      <c r="G85" t="s">
        <v>1741</v>
      </c>
      <c r="H85" t="s">
        <v>2315</v>
      </c>
      <c r="I85" t="s">
        <v>2279</v>
      </c>
      <c r="J85" t="s">
        <v>2279</v>
      </c>
      <c r="K85" t="s">
        <v>2279</v>
      </c>
      <c r="L85" t="s">
        <v>2279</v>
      </c>
      <c r="M85" t="s">
        <v>2279</v>
      </c>
      <c r="N85" t="s">
        <v>2279</v>
      </c>
      <c r="O85" s="190" t="str">
        <f>"["&amp;$C85&amp;"]["&amp;$D85&amp;"]["&amp;$F85&amp;"]"</f>
        <v>[S02_RegistryAdministrator][1][RegAdminEmail]</v>
      </c>
    </row>
    <row r="86" spans="1:15" x14ac:dyDescent="0.3">
      <c r="A86" t="s">
        <v>2277</v>
      </c>
      <c r="B86" t="s">
        <v>1749</v>
      </c>
      <c r="C86" t="s">
        <v>1773</v>
      </c>
      <c r="D86">
        <v>1</v>
      </c>
      <c r="E86" t="s">
        <v>1447</v>
      </c>
      <c r="F86" t="s">
        <v>1778</v>
      </c>
      <c r="G86" t="s">
        <v>1741</v>
      </c>
      <c r="H86" t="s">
        <v>2318</v>
      </c>
      <c r="I86" t="s">
        <v>2279</v>
      </c>
      <c r="J86" t="s">
        <v>2279</v>
      </c>
      <c r="K86" t="s">
        <v>2279</v>
      </c>
      <c r="L86" t="s">
        <v>2279</v>
      </c>
      <c r="M86" t="s">
        <v>2279</v>
      </c>
      <c r="N86" t="s">
        <v>2279</v>
      </c>
      <c r="O86" s="190" t="str">
        <f>"["&amp;$C86&amp;"]["&amp;$D86&amp;"]["&amp;$F86&amp;"]"</f>
        <v>[S02_RegistryAdministrator][1][RegAdminWebsite]</v>
      </c>
    </row>
    <row r="87" spans="1:15" x14ac:dyDescent="0.3">
      <c r="A87" t="s">
        <v>2277</v>
      </c>
      <c r="B87" t="s">
        <v>1779</v>
      </c>
      <c r="C87" t="s">
        <v>1780</v>
      </c>
      <c r="D87">
        <v>1</v>
      </c>
      <c r="E87" t="s">
        <v>1447</v>
      </c>
      <c r="F87" t="s">
        <v>1781</v>
      </c>
      <c r="G87" t="s">
        <v>1741</v>
      </c>
      <c r="H87" t="s">
        <v>2326</v>
      </c>
      <c r="I87" t="s">
        <v>2279</v>
      </c>
      <c r="J87" t="s">
        <v>2279</v>
      </c>
      <c r="K87" t="s">
        <v>2279</v>
      </c>
      <c r="L87" t="s">
        <v>2279</v>
      </c>
      <c r="M87" t="s">
        <v>2279</v>
      </c>
      <c r="N87" t="s">
        <v>2279</v>
      </c>
      <c r="O87" s="190" t="str">
        <f>"["&amp;$C87&amp;"]["&amp;$D87&amp;"]["&amp;$F87&amp;"]"</f>
        <v>[S02_CompetentAuthorityRoles][1][CAForInstallationTask]</v>
      </c>
    </row>
    <row r="88" spans="1:15" x14ac:dyDescent="0.3">
      <c r="A88" t="s">
        <v>2277</v>
      </c>
      <c r="B88" t="s">
        <v>1779</v>
      </c>
      <c r="C88" t="s">
        <v>1780</v>
      </c>
      <c r="D88">
        <v>2</v>
      </c>
      <c r="E88" t="s">
        <v>1447</v>
      </c>
      <c r="F88" t="s">
        <v>1781</v>
      </c>
      <c r="G88" t="s">
        <v>1741</v>
      </c>
      <c r="H88" t="s">
        <v>2326</v>
      </c>
      <c r="I88" t="s">
        <v>2279</v>
      </c>
      <c r="J88" t="s">
        <v>2279</v>
      </c>
      <c r="K88" t="s">
        <v>2279</v>
      </c>
      <c r="L88" t="s">
        <v>2279</v>
      </c>
      <c r="M88" t="s">
        <v>2279</v>
      </c>
      <c r="N88" t="s">
        <v>2279</v>
      </c>
      <c r="O88" s="190" t="str">
        <f>"["&amp;$C88&amp;"]["&amp;$D88&amp;"]["&amp;$F88&amp;"]"</f>
        <v>[S02_CompetentAuthorityRoles][2][CAForInstallationTask]</v>
      </c>
    </row>
    <row r="89" spans="1:15" x14ac:dyDescent="0.3">
      <c r="A89" t="s">
        <v>2277</v>
      </c>
      <c r="B89" t="s">
        <v>1779</v>
      </c>
      <c r="C89" t="s">
        <v>1780</v>
      </c>
      <c r="D89">
        <v>3</v>
      </c>
      <c r="E89" t="s">
        <v>1447</v>
      </c>
      <c r="F89" t="s">
        <v>1781</v>
      </c>
      <c r="G89" t="s">
        <v>1741</v>
      </c>
      <c r="H89" t="s">
        <v>2326</v>
      </c>
      <c r="I89" t="s">
        <v>2279</v>
      </c>
      <c r="J89" t="s">
        <v>2279</v>
      </c>
      <c r="K89" t="s">
        <v>2279</v>
      </c>
      <c r="L89" t="s">
        <v>2279</v>
      </c>
      <c r="M89" t="s">
        <v>2279</v>
      </c>
      <c r="N89" t="s">
        <v>2279</v>
      </c>
      <c r="O89" s="190" t="str">
        <f>"["&amp;$C89&amp;"]["&amp;$D89&amp;"]["&amp;$F89&amp;"]"</f>
        <v>[S02_CompetentAuthorityRoles][3][CAForInstallationTask]</v>
      </c>
    </row>
    <row r="90" spans="1:15" x14ac:dyDescent="0.3">
      <c r="A90" t="s">
        <v>2277</v>
      </c>
      <c r="B90" t="s">
        <v>1779</v>
      </c>
      <c r="C90" t="s">
        <v>1780</v>
      </c>
      <c r="D90">
        <v>4</v>
      </c>
      <c r="E90" t="s">
        <v>1447</v>
      </c>
      <c r="F90" t="s">
        <v>1781</v>
      </c>
      <c r="G90" t="s">
        <v>1741</v>
      </c>
      <c r="H90" t="s">
        <v>2326</v>
      </c>
      <c r="I90" t="s">
        <v>2279</v>
      </c>
      <c r="J90" t="s">
        <v>2279</v>
      </c>
      <c r="K90" t="s">
        <v>2279</v>
      </c>
      <c r="L90" t="s">
        <v>2279</v>
      </c>
      <c r="M90" t="s">
        <v>2279</v>
      </c>
      <c r="N90" t="s">
        <v>2279</v>
      </c>
      <c r="O90" s="190" t="str">
        <f>"["&amp;$C90&amp;"]["&amp;$D90&amp;"]["&amp;$F90&amp;"]"</f>
        <v>[S02_CompetentAuthorityRoles][4][CAForInstallationTask]</v>
      </c>
    </row>
    <row r="91" spans="1:15" x14ac:dyDescent="0.3">
      <c r="A91" t="s">
        <v>2277</v>
      </c>
      <c r="B91" t="s">
        <v>1779</v>
      </c>
      <c r="C91" t="s">
        <v>1780</v>
      </c>
      <c r="D91">
        <v>6</v>
      </c>
      <c r="E91" t="s">
        <v>1447</v>
      </c>
      <c r="F91" t="s">
        <v>1781</v>
      </c>
      <c r="G91" t="s">
        <v>1741</v>
      </c>
      <c r="H91" t="s">
        <v>2302</v>
      </c>
      <c r="I91" t="s">
        <v>2279</v>
      </c>
      <c r="J91" t="s">
        <v>2279</v>
      </c>
      <c r="K91" t="s">
        <v>2279</v>
      </c>
      <c r="L91" t="s">
        <v>2279</v>
      </c>
      <c r="M91" t="s">
        <v>2279</v>
      </c>
      <c r="N91" t="s">
        <v>2279</v>
      </c>
      <c r="O91" s="190" t="str">
        <f>"["&amp;$C91&amp;"]["&amp;$D91&amp;"]["&amp;$F91&amp;"]"</f>
        <v>[S02_CompetentAuthorityRoles][6][CAForInstallationTask]</v>
      </c>
    </row>
    <row r="92" spans="1:15" x14ac:dyDescent="0.3">
      <c r="A92" t="s">
        <v>2277</v>
      </c>
      <c r="B92" t="s">
        <v>1779</v>
      </c>
      <c r="C92" t="s">
        <v>1780</v>
      </c>
      <c r="D92">
        <v>7</v>
      </c>
      <c r="E92" t="s">
        <v>1447</v>
      </c>
      <c r="F92" t="s">
        <v>1781</v>
      </c>
      <c r="G92" t="s">
        <v>1741</v>
      </c>
      <c r="H92" t="s">
        <v>2299</v>
      </c>
      <c r="I92" t="s">
        <v>2279</v>
      </c>
      <c r="J92" t="s">
        <v>2279</v>
      </c>
      <c r="K92" t="s">
        <v>2279</v>
      </c>
      <c r="L92" t="s">
        <v>2279</v>
      </c>
      <c r="M92" t="s">
        <v>2279</v>
      </c>
      <c r="N92" t="s">
        <v>2279</v>
      </c>
      <c r="O92" s="190" t="str">
        <f>"["&amp;$C92&amp;"]["&amp;$D92&amp;"]["&amp;$F92&amp;"]"</f>
        <v>[S02_CompetentAuthorityRoles][7][CAForInstallationTask]</v>
      </c>
    </row>
    <row r="93" spans="1:15" x14ac:dyDescent="0.3">
      <c r="A93" t="s">
        <v>2277</v>
      </c>
      <c r="B93" t="s">
        <v>1779</v>
      </c>
      <c r="C93" t="s">
        <v>1780</v>
      </c>
      <c r="D93">
        <v>8</v>
      </c>
      <c r="E93" t="s">
        <v>1447</v>
      </c>
      <c r="F93" t="s">
        <v>1781</v>
      </c>
      <c r="G93" t="s">
        <v>1741</v>
      </c>
      <c r="H93" t="s">
        <v>2326</v>
      </c>
      <c r="I93" t="s">
        <v>2279</v>
      </c>
      <c r="J93" t="s">
        <v>2279</v>
      </c>
      <c r="K93" t="s">
        <v>2279</v>
      </c>
      <c r="L93" t="s">
        <v>2279</v>
      </c>
      <c r="M93" t="s">
        <v>2279</v>
      </c>
      <c r="N93" t="s">
        <v>2279</v>
      </c>
      <c r="O93" s="190" t="str">
        <f>"["&amp;$C93&amp;"]["&amp;$D93&amp;"]["&amp;$F93&amp;"]"</f>
        <v>[S02_CompetentAuthorityRoles][8][CAForInstallationTask]</v>
      </c>
    </row>
    <row r="94" spans="1:15" x14ac:dyDescent="0.3">
      <c r="A94" t="s">
        <v>2277</v>
      </c>
      <c r="B94" t="s">
        <v>1779</v>
      </c>
      <c r="C94" t="s">
        <v>1780</v>
      </c>
      <c r="D94">
        <v>9</v>
      </c>
      <c r="E94" t="s">
        <v>1447</v>
      </c>
      <c r="F94" t="s">
        <v>1781</v>
      </c>
      <c r="G94" t="s">
        <v>1741</v>
      </c>
      <c r="H94" t="s">
        <v>2326</v>
      </c>
      <c r="I94" t="s">
        <v>2279</v>
      </c>
      <c r="J94" t="s">
        <v>2279</v>
      </c>
      <c r="K94" t="s">
        <v>2279</v>
      </c>
      <c r="L94" t="s">
        <v>2279</v>
      </c>
      <c r="M94" t="s">
        <v>2279</v>
      </c>
      <c r="N94" t="s">
        <v>2279</v>
      </c>
      <c r="O94" s="190" t="str">
        <f>"["&amp;$C94&amp;"]["&amp;$D94&amp;"]["&amp;$F94&amp;"]"</f>
        <v>[S02_CompetentAuthorityRoles][9][CAForInstallationTask]</v>
      </c>
    </row>
    <row r="95" spans="1:15" x14ac:dyDescent="0.3">
      <c r="A95" t="s">
        <v>2277</v>
      </c>
      <c r="B95" t="s">
        <v>1779</v>
      </c>
      <c r="C95" t="s">
        <v>1780</v>
      </c>
      <c r="D95">
        <v>10</v>
      </c>
      <c r="E95" t="s">
        <v>1447</v>
      </c>
      <c r="F95" t="s">
        <v>1781</v>
      </c>
      <c r="G95" t="s">
        <v>1741</v>
      </c>
      <c r="H95" t="s">
        <v>2326</v>
      </c>
      <c r="I95" t="s">
        <v>2279</v>
      </c>
      <c r="J95" t="s">
        <v>2279</v>
      </c>
      <c r="K95" t="s">
        <v>2279</v>
      </c>
      <c r="L95" t="s">
        <v>2279</v>
      </c>
      <c r="M95" t="s">
        <v>2279</v>
      </c>
      <c r="N95" t="s">
        <v>2279</v>
      </c>
      <c r="O95" s="190" t="str">
        <f>"["&amp;$C95&amp;"]["&amp;$D95&amp;"]["&amp;$F95&amp;"]"</f>
        <v>[S02_CompetentAuthorityRoles][10][CAForInstallationTask]</v>
      </c>
    </row>
    <row r="96" spans="1:15" x14ac:dyDescent="0.3">
      <c r="A96" t="s">
        <v>2277</v>
      </c>
      <c r="B96" t="s">
        <v>1779</v>
      </c>
      <c r="C96" t="s">
        <v>1780</v>
      </c>
      <c r="D96">
        <v>11</v>
      </c>
      <c r="E96" t="s">
        <v>1447</v>
      </c>
      <c r="F96" t="s">
        <v>1781</v>
      </c>
      <c r="G96" t="s">
        <v>1741</v>
      </c>
      <c r="H96" t="s">
        <v>2326</v>
      </c>
      <c r="I96" t="s">
        <v>2279</v>
      </c>
      <c r="J96" t="s">
        <v>2279</v>
      </c>
      <c r="K96" t="s">
        <v>2279</v>
      </c>
      <c r="L96" t="s">
        <v>2279</v>
      </c>
      <c r="M96" t="s">
        <v>2279</v>
      </c>
      <c r="N96" t="s">
        <v>2279</v>
      </c>
      <c r="O96" s="190" t="str">
        <f>"["&amp;$C96&amp;"]["&amp;$D96&amp;"]["&amp;$F96&amp;"]"</f>
        <v>[S02_CompetentAuthorityRoles][11][CAForInstallationTask]</v>
      </c>
    </row>
    <row r="97" spans="1:15" x14ac:dyDescent="0.3">
      <c r="A97" t="s">
        <v>2277</v>
      </c>
      <c r="B97" t="s">
        <v>1779</v>
      </c>
      <c r="C97" t="s">
        <v>1780</v>
      </c>
      <c r="D97">
        <v>12</v>
      </c>
      <c r="E97" t="s">
        <v>1447</v>
      </c>
      <c r="F97" t="s">
        <v>1781</v>
      </c>
      <c r="G97" t="s">
        <v>1741</v>
      </c>
      <c r="H97" t="s">
        <v>2310</v>
      </c>
      <c r="I97" t="s">
        <v>2279</v>
      </c>
      <c r="J97" t="s">
        <v>2279</v>
      </c>
      <c r="K97" t="s">
        <v>2279</v>
      </c>
      <c r="L97" t="s">
        <v>2279</v>
      </c>
      <c r="M97" t="s">
        <v>2279</v>
      </c>
      <c r="N97" t="s">
        <v>2279</v>
      </c>
      <c r="O97" s="190" t="str">
        <f>"["&amp;$C97&amp;"]["&amp;$D97&amp;"]["&amp;$F97&amp;"]"</f>
        <v>[S02_CompetentAuthorityRoles][12][CAForInstallationTask]</v>
      </c>
    </row>
    <row r="98" spans="1:15" x14ac:dyDescent="0.3">
      <c r="A98" t="s">
        <v>2277</v>
      </c>
      <c r="B98" t="s">
        <v>1779</v>
      </c>
      <c r="C98" t="s">
        <v>1780</v>
      </c>
      <c r="D98">
        <v>13</v>
      </c>
      <c r="E98" t="s">
        <v>1447</v>
      </c>
      <c r="F98" t="s">
        <v>1781</v>
      </c>
      <c r="G98" t="s">
        <v>1741</v>
      </c>
      <c r="H98" t="s">
        <v>2327</v>
      </c>
      <c r="I98" t="s">
        <v>2279</v>
      </c>
      <c r="J98" t="s">
        <v>2279</v>
      </c>
      <c r="K98" t="s">
        <v>2279</v>
      </c>
      <c r="L98" t="s">
        <v>2279</v>
      </c>
      <c r="M98" t="s">
        <v>2279</v>
      </c>
      <c r="N98" t="s">
        <v>2279</v>
      </c>
      <c r="O98" s="190" t="str">
        <f>"["&amp;$C98&amp;"]["&amp;$D98&amp;"]["&amp;$F98&amp;"]"</f>
        <v>[S02_CompetentAuthorityRoles][13][CAForInstallationTask]</v>
      </c>
    </row>
    <row r="99" spans="1:15" x14ac:dyDescent="0.3">
      <c r="A99" t="s">
        <v>2277</v>
      </c>
      <c r="B99" t="s">
        <v>1779</v>
      </c>
      <c r="C99" t="s">
        <v>1780</v>
      </c>
      <c r="D99">
        <v>5</v>
      </c>
      <c r="E99" t="s">
        <v>1447</v>
      </c>
      <c r="F99" t="s">
        <v>1782</v>
      </c>
      <c r="G99" t="s">
        <v>1741</v>
      </c>
      <c r="H99" t="s">
        <v>2297</v>
      </c>
      <c r="I99" t="s">
        <v>2279</v>
      </c>
      <c r="J99" t="s">
        <v>2279</v>
      </c>
      <c r="K99" t="s">
        <v>2279</v>
      </c>
      <c r="L99" t="s">
        <v>2279</v>
      </c>
      <c r="M99" t="s">
        <v>2279</v>
      </c>
      <c r="N99" t="s">
        <v>2279</v>
      </c>
      <c r="O99" s="190" t="str">
        <f>"["&amp;$C99&amp;"]["&amp;$D99&amp;"]["&amp;$F99&amp;"]"</f>
        <v>[S02_CompetentAuthorityRoles][5][CAForAviationTask]</v>
      </c>
    </row>
    <row r="100" spans="1:15" x14ac:dyDescent="0.3">
      <c r="A100" t="s">
        <v>2277</v>
      </c>
      <c r="B100" t="s">
        <v>1779</v>
      </c>
      <c r="C100" t="s">
        <v>1780</v>
      </c>
      <c r="D100">
        <v>7</v>
      </c>
      <c r="E100" t="s">
        <v>1447</v>
      </c>
      <c r="F100" t="s">
        <v>1782</v>
      </c>
      <c r="G100" t="s">
        <v>1741</v>
      </c>
      <c r="H100" t="s">
        <v>2297</v>
      </c>
      <c r="I100" t="s">
        <v>2279</v>
      </c>
      <c r="J100" t="s">
        <v>2279</v>
      </c>
      <c r="K100" t="s">
        <v>2279</v>
      </c>
      <c r="L100" t="s">
        <v>2279</v>
      </c>
      <c r="M100" t="s">
        <v>2279</v>
      </c>
      <c r="N100" t="s">
        <v>2279</v>
      </c>
      <c r="O100" s="190" t="str">
        <f>"["&amp;$C100&amp;"]["&amp;$D100&amp;"]["&amp;$F100&amp;"]"</f>
        <v>[S02_CompetentAuthorityRoles][7][CAForAviationTask]</v>
      </c>
    </row>
    <row r="101" spans="1:15" x14ac:dyDescent="0.3">
      <c r="A101" t="s">
        <v>2277</v>
      </c>
      <c r="B101" t="s">
        <v>1779</v>
      </c>
      <c r="C101" t="s">
        <v>1780</v>
      </c>
      <c r="D101">
        <v>8</v>
      </c>
      <c r="E101" t="s">
        <v>1447</v>
      </c>
      <c r="F101" t="s">
        <v>1782</v>
      </c>
      <c r="G101" t="s">
        <v>1741</v>
      </c>
      <c r="H101" t="s">
        <v>2297</v>
      </c>
      <c r="I101" t="s">
        <v>2279</v>
      </c>
      <c r="J101" t="s">
        <v>2279</v>
      </c>
      <c r="K101" t="s">
        <v>2279</v>
      </c>
      <c r="L101" t="s">
        <v>2279</v>
      </c>
      <c r="M101" t="s">
        <v>2279</v>
      </c>
      <c r="N101" t="s">
        <v>2279</v>
      </c>
      <c r="O101" s="190" t="str">
        <f>"["&amp;$C101&amp;"]["&amp;$D101&amp;"]["&amp;$F101&amp;"]"</f>
        <v>[S02_CompetentAuthorityRoles][8][CAForAviationTask]</v>
      </c>
    </row>
    <row r="102" spans="1:15" x14ac:dyDescent="0.3">
      <c r="A102" t="s">
        <v>2277</v>
      </c>
      <c r="B102" t="s">
        <v>1779</v>
      </c>
      <c r="C102" t="s">
        <v>1780</v>
      </c>
      <c r="D102">
        <v>9</v>
      </c>
      <c r="E102" t="s">
        <v>1447</v>
      </c>
      <c r="F102" t="s">
        <v>1782</v>
      </c>
      <c r="G102" t="s">
        <v>1741</v>
      </c>
      <c r="H102" t="s">
        <v>2297</v>
      </c>
      <c r="I102" t="s">
        <v>2279</v>
      </c>
      <c r="J102" t="s">
        <v>2279</v>
      </c>
      <c r="K102" t="s">
        <v>2279</v>
      </c>
      <c r="L102" t="s">
        <v>2279</v>
      </c>
      <c r="M102" t="s">
        <v>2279</v>
      </c>
      <c r="N102" t="s">
        <v>2279</v>
      </c>
      <c r="O102" s="190" t="str">
        <f>"["&amp;$C102&amp;"]["&amp;$D102&amp;"]["&amp;$F102&amp;"]"</f>
        <v>[S02_CompetentAuthorityRoles][9][CAForAviationTask]</v>
      </c>
    </row>
    <row r="103" spans="1:15" x14ac:dyDescent="0.3">
      <c r="A103" t="s">
        <v>2277</v>
      </c>
      <c r="B103" t="s">
        <v>1779</v>
      </c>
      <c r="C103" t="s">
        <v>1780</v>
      </c>
      <c r="D103">
        <v>10</v>
      </c>
      <c r="E103" t="s">
        <v>1447</v>
      </c>
      <c r="F103" t="s">
        <v>1782</v>
      </c>
      <c r="G103" t="s">
        <v>1741</v>
      </c>
      <c r="H103" t="s">
        <v>2297</v>
      </c>
      <c r="I103" t="s">
        <v>2279</v>
      </c>
      <c r="J103" t="s">
        <v>2279</v>
      </c>
      <c r="K103" t="s">
        <v>2279</v>
      </c>
      <c r="L103" t="s">
        <v>2279</v>
      </c>
      <c r="M103" t="s">
        <v>2279</v>
      </c>
      <c r="N103" t="s">
        <v>2279</v>
      </c>
      <c r="O103" s="190" t="str">
        <f>"["&amp;$C103&amp;"]["&amp;$D103&amp;"]["&amp;$F103&amp;"]"</f>
        <v>[S02_CompetentAuthorityRoles][10][CAForAviationTask]</v>
      </c>
    </row>
    <row r="104" spans="1:15" x14ac:dyDescent="0.3">
      <c r="A104" t="s">
        <v>2277</v>
      </c>
      <c r="B104" t="s">
        <v>1779</v>
      </c>
      <c r="C104" t="s">
        <v>1780</v>
      </c>
      <c r="D104">
        <v>11</v>
      </c>
      <c r="E104" t="s">
        <v>1447</v>
      </c>
      <c r="F104" t="s">
        <v>1782</v>
      </c>
      <c r="G104" t="s">
        <v>1741</v>
      </c>
      <c r="H104" t="s">
        <v>2297</v>
      </c>
      <c r="I104" t="s">
        <v>2279</v>
      </c>
      <c r="J104" t="s">
        <v>2279</v>
      </c>
      <c r="K104" t="s">
        <v>2279</v>
      </c>
      <c r="L104" t="s">
        <v>2279</v>
      </c>
      <c r="M104" t="s">
        <v>2279</v>
      </c>
      <c r="N104" t="s">
        <v>2279</v>
      </c>
      <c r="O104" s="190" t="str">
        <f>"["&amp;$C104&amp;"]["&amp;$D104&amp;"]["&amp;$F104&amp;"]"</f>
        <v>[S02_CompetentAuthorityRoles][11][CAForAviationTask]</v>
      </c>
    </row>
    <row r="105" spans="1:15" x14ac:dyDescent="0.3">
      <c r="A105" t="s">
        <v>2277</v>
      </c>
      <c r="B105" t="s">
        <v>1784</v>
      </c>
      <c r="C105" t="s">
        <v>1785</v>
      </c>
      <c r="D105">
        <v>0</v>
      </c>
      <c r="E105" t="s">
        <v>1447</v>
      </c>
      <c r="F105" t="s">
        <v>1786</v>
      </c>
      <c r="G105" t="s">
        <v>1741</v>
      </c>
      <c r="H105" t="s">
        <v>2328</v>
      </c>
      <c r="I105" t="s">
        <v>2279</v>
      </c>
      <c r="J105" t="s">
        <v>2279</v>
      </c>
      <c r="K105" t="s">
        <v>2279</v>
      </c>
      <c r="L105" t="s">
        <v>2279</v>
      </c>
      <c r="M105" t="s">
        <v>2279</v>
      </c>
      <c r="N105" t="s">
        <v>2279</v>
      </c>
      <c r="O105" s="190" t="str">
        <f>"["&amp;$C105&amp;"]["&amp;$D105&amp;"]["&amp;$F105&amp;"]"</f>
        <v>[S02_CAFocalPoint][0][CAArt70]</v>
      </c>
    </row>
    <row r="106" spans="1:15" x14ac:dyDescent="0.3">
      <c r="A106" t="s">
        <v>2277</v>
      </c>
      <c r="B106" t="s">
        <v>1784</v>
      </c>
      <c r="C106" t="s">
        <v>1785</v>
      </c>
      <c r="D106">
        <v>0</v>
      </c>
      <c r="E106" t="s">
        <v>1447</v>
      </c>
      <c r="F106" t="s">
        <v>1787</v>
      </c>
      <c r="G106" t="s">
        <v>1741</v>
      </c>
      <c r="H106" t="s">
        <v>2329</v>
      </c>
      <c r="I106" t="s">
        <v>2279</v>
      </c>
      <c r="J106" t="s">
        <v>2279</v>
      </c>
      <c r="K106" t="s">
        <v>2279</v>
      </c>
      <c r="L106" t="s">
        <v>2279</v>
      </c>
      <c r="M106" t="s">
        <v>2279</v>
      </c>
      <c r="N106" t="s">
        <v>2279</v>
      </c>
      <c r="O106" s="190" t="str">
        <f>"["&amp;$C106&amp;"]["&amp;$D106&amp;"]["&amp;$F106&amp;"]"</f>
        <v>[S02_CAFocalPoint][0][CAArt70Abbrev]</v>
      </c>
    </row>
    <row r="107" spans="1:15" x14ac:dyDescent="0.3">
      <c r="A107" t="s">
        <v>2277</v>
      </c>
      <c r="B107" t="s">
        <v>1784</v>
      </c>
      <c r="C107" t="s">
        <v>1788</v>
      </c>
      <c r="D107">
        <v>1</v>
      </c>
      <c r="E107" t="s">
        <v>1447</v>
      </c>
      <c r="F107" t="s">
        <v>1789</v>
      </c>
      <c r="G107" t="s">
        <v>1759</v>
      </c>
      <c r="H107" t="s">
        <v>2279</v>
      </c>
      <c r="I107" t="s">
        <v>2279</v>
      </c>
      <c r="J107" t="s">
        <v>2279</v>
      </c>
      <c r="K107" t="s">
        <v>2279</v>
      </c>
      <c r="L107" t="s">
        <v>1447</v>
      </c>
      <c r="M107" t="s">
        <v>2279</v>
      </c>
      <c r="N107" t="s">
        <v>2279</v>
      </c>
      <c r="O107" s="190" t="str">
        <f>"["&amp;$C107&amp;"]["&amp;$D107&amp;"]["&amp;$F107&amp;"]"</f>
        <v>[S02_CompetentAuthorityCoordination][1][CACoordinationYesNo]</v>
      </c>
    </row>
    <row r="108" spans="1:15" x14ac:dyDescent="0.3">
      <c r="A108" t="s">
        <v>2277</v>
      </c>
      <c r="B108" t="s">
        <v>1784</v>
      </c>
      <c r="C108" t="s">
        <v>1788</v>
      </c>
      <c r="D108">
        <v>2</v>
      </c>
      <c r="E108" t="s">
        <v>1447</v>
      </c>
      <c r="F108" t="s">
        <v>1789</v>
      </c>
      <c r="G108" t="s">
        <v>1759</v>
      </c>
      <c r="H108" t="s">
        <v>2279</v>
      </c>
      <c r="I108" t="s">
        <v>2279</v>
      </c>
      <c r="J108" t="s">
        <v>2279</v>
      </c>
      <c r="K108" t="s">
        <v>2279</v>
      </c>
      <c r="L108" t="s">
        <v>1419</v>
      </c>
      <c r="M108" t="s">
        <v>2279</v>
      </c>
      <c r="N108" t="s">
        <v>2279</v>
      </c>
      <c r="O108" s="190" t="str">
        <f>"["&amp;$C108&amp;"]["&amp;$D108&amp;"]["&amp;$F108&amp;"]"</f>
        <v>[S02_CompetentAuthorityCoordination][2][CACoordinationYesNo]</v>
      </c>
    </row>
    <row r="109" spans="1:15" x14ac:dyDescent="0.3">
      <c r="A109" t="s">
        <v>2277</v>
      </c>
      <c r="B109" t="s">
        <v>1784</v>
      </c>
      <c r="C109" t="s">
        <v>1788</v>
      </c>
      <c r="D109">
        <v>3</v>
      </c>
      <c r="E109" t="s">
        <v>1447</v>
      </c>
      <c r="F109" t="s">
        <v>1789</v>
      </c>
      <c r="G109" t="s">
        <v>1759</v>
      </c>
      <c r="H109" t="s">
        <v>2279</v>
      </c>
      <c r="I109" t="s">
        <v>2279</v>
      </c>
      <c r="J109" t="s">
        <v>2279</v>
      </c>
      <c r="K109" t="s">
        <v>2279</v>
      </c>
      <c r="L109" t="s">
        <v>1419</v>
      </c>
      <c r="M109" t="s">
        <v>2279</v>
      </c>
      <c r="N109" t="s">
        <v>2279</v>
      </c>
      <c r="O109" s="190" t="str">
        <f>"["&amp;$C109&amp;"]["&amp;$D109&amp;"]["&amp;$F109&amp;"]"</f>
        <v>[S02_CompetentAuthorityCoordination][3][CACoordinationYesNo]</v>
      </c>
    </row>
    <row r="110" spans="1:15" x14ac:dyDescent="0.3">
      <c r="A110" t="s">
        <v>2277</v>
      </c>
      <c r="B110" t="s">
        <v>1784</v>
      </c>
      <c r="C110" t="s">
        <v>1788</v>
      </c>
      <c r="D110">
        <v>4</v>
      </c>
      <c r="E110" t="s">
        <v>1447</v>
      </c>
      <c r="F110" t="s">
        <v>1789</v>
      </c>
      <c r="G110" t="s">
        <v>1759</v>
      </c>
      <c r="H110" t="s">
        <v>2279</v>
      </c>
      <c r="I110" t="s">
        <v>2279</v>
      </c>
      <c r="J110" t="s">
        <v>2279</v>
      </c>
      <c r="K110" t="s">
        <v>2279</v>
      </c>
      <c r="L110" t="s">
        <v>1419</v>
      </c>
      <c r="M110" t="s">
        <v>2279</v>
      </c>
      <c r="N110" t="s">
        <v>2279</v>
      </c>
      <c r="O110" s="190" t="str">
        <f>"["&amp;$C110&amp;"]["&amp;$D110&amp;"]["&amp;$F110&amp;"]"</f>
        <v>[S02_CompetentAuthorityCoordination][4][CACoordinationYesNo]</v>
      </c>
    </row>
    <row r="111" spans="1:15" x14ac:dyDescent="0.3">
      <c r="A111" t="s">
        <v>2277</v>
      </c>
      <c r="B111" t="s">
        <v>1784</v>
      </c>
      <c r="C111" t="s">
        <v>1788</v>
      </c>
      <c r="D111">
        <v>5</v>
      </c>
      <c r="E111" t="s">
        <v>1447</v>
      </c>
      <c r="F111" t="s">
        <v>1789</v>
      </c>
      <c r="G111" t="s">
        <v>1759</v>
      </c>
      <c r="H111" t="s">
        <v>2279</v>
      </c>
      <c r="I111" t="s">
        <v>2279</v>
      </c>
      <c r="J111" t="s">
        <v>2279</v>
      </c>
      <c r="K111" t="s">
        <v>2279</v>
      </c>
      <c r="L111" t="s">
        <v>1419</v>
      </c>
      <c r="M111" t="s">
        <v>2279</v>
      </c>
      <c r="N111" t="s">
        <v>2279</v>
      </c>
      <c r="O111" s="190" t="str">
        <f>"["&amp;$C111&amp;"]["&amp;$D111&amp;"]["&amp;$F111&amp;"]"</f>
        <v>[S02_CompetentAuthorityCoordination][5][CACoordinationYesNo]</v>
      </c>
    </row>
    <row r="112" spans="1:15" x14ac:dyDescent="0.3">
      <c r="A112" t="s">
        <v>2277</v>
      </c>
      <c r="B112" t="s">
        <v>1784</v>
      </c>
      <c r="C112" t="s">
        <v>1788</v>
      </c>
      <c r="D112">
        <v>6</v>
      </c>
      <c r="E112" t="s">
        <v>1447</v>
      </c>
      <c r="F112" t="s">
        <v>1789</v>
      </c>
      <c r="G112" t="s">
        <v>1759</v>
      </c>
      <c r="H112" t="s">
        <v>2279</v>
      </c>
      <c r="I112" t="s">
        <v>2279</v>
      </c>
      <c r="J112" t="s">
        <v>2279</v>
      </c>
      <c r="K112" t="s">
        <v>2279</v>
      </c>
      <c r="L112" t="s">
        <v>1419</v>
      </c>
      <c r="M112" t="s">
        <v>2279</v>
      </c>
      <c r="N112" t="s">
        <v>2279</v>
      </c>
      <c r="O112" s="190" t="str">
        <f>"["&amp;$C112&amp;"]["&amp;$D112&amp;"]["&amp;$F112&amp;"]"</f>
        <v>[S02_CompetentAuthorityCoordination][6][CACoordinationYesNo]</v>
      </c>
    </row>
    <row r="113" spans="1:15" x14ac:dyDescent="0.3">
      <c r="A113" t="s">
        <v>2277</v>
      </c>
      <c r="B113" t="s">
        <v>1792</v>
      </c>
      <c r="C113" t="s">
        <v>1793</v>
      </c>
      <c r="D113">
        <v>1</v>
      </c>
      <c r="E113" t="s">
        <v>1447</v>
      </c>
      <c r="F113" t="s">
        <v>1794</v>
      </c>
      <c r="G113" t="s">
        <v>1759</v>
      </c>
      <c r="H113" t="s">
        <v>2279</v>
      </c>
      <c r="I113" t="s">
        <v>2279</v>
      </c>
      <c r="J113" t="s">
        <v>2279</v>
      </c>
      <c r="K113" t="s">
        <v>2279</v>
      </c>
      <c r="L113" t="s">
        <v>1419</v>
      </c>
      <c r="M113" t="s">
        <v>2279</v>
      </c>
      <c r="N113" t="s">
        <v>2279</v>
      </c>
      <c r="O113" s="190" t="str">
        <f>"["&amp;$C113&amp;"]["&amp;$D113&amp;"]["&amp;$F113&amp;"]"</f>
        <v>[S02_InformationExchangeAccBodyAndCA][1][InfoExchangeYesNo]</v>
      </c>
    </row>
    <row r="114" spans="1:15" x14ac:dyDescent="0.3">
      <c r="A114" t="s">
        <v>2277</v>
      </c>
      <c r="B114" t="s">
        <v>1792</v>
      </c>
      <c r="C114" t="s">
        <v>1793</v>
      </c>
      <c r="D114">
        <v>2</v>
      </c>
      <c r="E114" t="s">
        <v>1447</v>
      </c>
      <c r="F114" t="s">
        <v>1794</v>
      </c>
      <c r="G114" t="s">
        <v>1759</v>
      </c>
      <c r="H114" t="s">
        <v>2279</v>
      </c>
      <c r="I114" t="s">
        <v>2279</v>
      </c>
      <c r="J114" t="s">
        <v>2279</v>
      </c>
      <c r="K114" t="s">
        <v>2279</v>
      </c>
      <c r="L114" t="s">
        <v>1419</v>
      </c>
      <c r="M114" t="s">
        <v>2279</v>
      </c>
      <c r="N114" t="s">
        <v>2279</v>
      </c>
      <c r="O114" s="190" t="str">
        <f>"["&amp;$C114&amp;"]["&amp;$D114&amp;"]["&amp;$F114&amp;"]"</f>
        <v>[S02_InformationExchangeAccBodyAndCA][2][InfoExchangeYesNo]</v>
      </c>
    </row>
    <row r="115" spans="1:15" x14ac:dyDescent="0.3">
      <c r="A115" t="s">
        <v>2277</v>
      </c>
      <c r="B115" t="s">
        <v>1792</v>
      </c>
      <c r="C115" t="s">
        <v>1793</v>
      </c>
      <c r="D115">
        <v>3</v>
      </c>
      <c r="E115" t="s">
        <v>1447</v>
      </c>
      <c r="F115" t="s">
        <v>1794</v>
      </c>
      <c r="G115" t="s">
        <v>1759</v>
      </c>
      <c r="H115" t="s">
        <v>2279</v>
      </c>
      <c r="I115" t="s">
        <v>2279</v>
      </c>
      <c r="J115" t="s">
        <v>2279</v>
      </c>
      <c r="K115" t="s">
        <v>2279</v>
      </c>
      <c r="L115" t="s">
        <v>1419</v>
      </c>
      <c r="M115" t="s">
        <v>2279</v>
      </c>
      <c r="N115" t="s">
        <v>2279</v>
      </c>
      <c r="O115" s="190" t="str">
        <f>"["&amp;$C115&amp;"]["&amp;$D115&amp;"]["&amp;$F115&amp;"]"</f>
        <v>[S02_InformationExchangeAccBodyAndCA][3][InfoExchangeYesNo]</v>
      </c>
    </row>
    <row r="116" spans="1:15" x14ac:dyDescent="0.3">
      <c r="A116" t="s">
        <v>2277</v>
      </c>
      <c r="B116" t="s">
        <v>1792</v>
      </c>
      <c r="C116" t="s">
        <v>1793</v>
      </c>
      <c r="D116">
        <v>2</v>
      </c>
      <c r="E116" t="s">
        <v>1447</v>
      </c>
      <c r="F116" t="s">
        <v>1795</v>
      </c>
      <c r="G116" t="s">
        <v>1791</v>
      </c>
      <c r="H116" t="s">
        <v>2279</v>
      </c>
      <c r="I116" t="s">
        <v>2279</v>
      </c>
      <c r="J116" t="s">
        <v>2279</v>
      </c>
      <c r="K116" t="s">
        <v>2330</v>
      </c>
      <c r="L116" t="s">
        <v>2279</v>
      </c>
      <c r="M116" t="s">
        <v>2279</v>
      </c>
      <c r="N116" t="s">
        <v>2279</v>
      </c>
      <c r="O116" s="190" t="str">
        <f>"["&amp;$C116&amp;"]["&amp;$D116&amp;"]["&amp;$F116&amp;"]"</f>
        <v>[S02_InformationExchangeAccBodyAndCA][2][InfoExchangeComment]</v>
      </c>
    </row>
    <row r="117" spans="1:15" x14ac:dyDescent="0.3">
      <c r="A117" t="s">
        <v>2277</v>
      </c>
      <c r="B117" t="s">
        <v>1796</v>
      </c>
      <c r="C117" t="s">
        <v>1797</v>
      </c>
      <c r="D117">
        <v>1</v>
      </c>
      <c r="E117" t="s">
        <v>1447</v>
      </c>
      <c r="F117" t="s">
        <v>1798</v>
      </c>
      <c r="G117" t="s">
        <v>1748</v>
      </c>
      <c r="H117" t="s">
        <v>2279</v>
      </c>
      <c r="I117">
        <v>1040</v>
      </c>
      <c r="J117" t="s">
        <v>2279</v>
      </c>
      <c r="K117" t="s">
        <v>2279</v>
      </c>
      <c r="L117" t="s">
        <v>2279</v>
      </c>
      <c r="M117" t="s">
        <v>2279</v>
      </c>
      <c r="N117" t="s">
        <v>2279</v>
      </c>
      <c r="O117" s="190" t="str">
        <f>"["&amp;$C117&amp;"]["&amp;$D117&amp;"]["&amp;$F117&amp;"]"</f>
        <v>[S03_EmittingInstallations][1][NumberOfInstallations]</v>
      </c>
    </row>
    <row r="118" spans="1:15" x14ac:dyDescent="0.3">
      <c r="A118" t="s">
        <v>2277</v>
      </c>
      <c r="B118" t="s">
        <v>1796</v>
      </c>
      <c r="C118" t="s">
        <v>1797</v>
      </c>
      <c r="D118">
        <v>2</v>
      </c>
      <c r="E118" t="s">
        <v>1447</v>
      </c>
      <c r="F118" t="s">
        <v>1798</v>
      </c>
      <c r="G118" t="s">
        <v>1748</v>
      </c>
      <c r="H118" t="s">
        <v>2279</v>
      </c>
      <c r="I118">
        <v>810</v>
      </c>
      <c r="J118" t="s">
        <v>2279</v>
      </c>
      <c r="K118" t="s">
        <v>2279</v>
      </c>
      <c r="L118" t="s">
        <v>2279</v>
      </c>
      <c r="M118" t="s">
        <v>2279</v>
      </c>
      <c r="N118" t="s">
        <v>2279</v>
      </c>
      <c r="O118" s="190" t="str">
        <f>"["&amp;$C118&amp;"]["&amp;$D118&amp;"]["&amp;$F118&amp;"]"</f>
        <v>[S03_EmittingInstallations][2][NumberOfInstallations]</v>
      </c>
    </row>
    <row r="119" spans="1:15" x14ac:dyDescent="0.3">
      <c r="A119" t="s">
        <v>2277</v>
      </c>
      <c r="B119" t="s">
        <v>1796</v>
      </c>
      <c r="C119" t="s">
        <v>1797</v>
      </c>
      <c r="D119">
        <v>3</v>
      </c>
      <c r="E119" t="s">
        <v>1447</v>
      </c>
      <c r="F119" t="s">
        <v>1798</v>
      </c>
      <c r="G119" t="s">
        <v>1748</v>
      </c>
      <c r="H119" t="s">
        <v>2279</v>
      </c>
      <c r="I119">
        <v>186</v>
      </c>
      <c r="J119" t="s">
        <v>2279</v>
      </c>
      <c r="K119" t="s">
        <v>2279</v>
      </c>
      <c r="L119" t="s">
        <v>2279</v>
      </c>
      <c r="M119" t="s">
        <v>2279</v>
      </c>
      <c r="N119" t="s">
        <v>2279</v>
      </c>
      <c r="O119" s="190" t="str">
        <f>"["&amp;$C119&amp;"]["&amp;$D119&amp;"]["&amp;$F119&amp;"]"</f>
        <v>[S03_EmittingInstallations][3][NumberOfInstallations]</v>
      </c>
    </row>
    <row r="120" spans="1:15" x14ac:dyDescent="0.3">
      <c r="A120" t="s">
        <v>2277</v>
      </c>
      <c r="B120" t="s">
        <v>1796</v>
      </c>
      <c r="C120" t="s">
        <v>1797</v>
      </c>
      <c r="D120">
        <v>4</v>
      </c>
      <c r="E120" t="s">
        <v>1447</v>
      </c>
      <c r="F120" t="s">
        <v>1798</v>
      </c>
      <c r="G120" t="s">
        <v>1748</v>
      </c>
      <c r="H120" t="s">
        <v>2279</v>
      </c>
      <c r="I120">
        <v>44</v>
      </c>
      <c r="J120" t="s">
        <v>2279</v>
      </c>
      <c r="K120" t="s">
        <v>2279</v>
      </c>
      <c r="L120" t="s">
        <v>2279</v>
      </c>
      <c r="M120" t="s">
        <v>2279</v>
      </c>
      <c r="N120" t="s">
        <v>2279</v>
      </c>
      <c r="O120" s="190" t="str">
        <f>"["&amp;$C120&amp;"]["&amp;$D120&amp;"]["&amp;$F120&amp;"]"</f>
        <v>[S03_EmittingInstallations][4][NumberOfInstallations]</v>
      </c>
    </row>
    <row r="121" spans="1:15" x14ac:dyDescent="0.3">
      <c r="A121" t="s">
        <v>2277</v>
      </c>
      <c r="B121" t="s">
        <v>1796</v>
      </c>
      <c r="C121" t="s">
        <v>1797</v>
      </c>
      <c r="D121">
        <v>5</v>
      </c>
      <c r="E121" t="s">
        <v>1447</v>
      </c>
      <c r="F121" t="s">
        <v>1798</v>
      </c>
      <c r="G121" t="s">
        <v>1748</v>
      </c>
      <c r="H121" t="s">
        <v>2279</v>
      </c>
      <c r="I121">
        <v>598</v>
      </c>
      <c r="J121" t="s">
        <v>2279</v>
      </c>
      <c r="K121" t="s">
        <v>2279</v>
      </c>
      <c r="L121" t="s">
        <v>2279</v>
      </c>
      <c r="M121" t="s">
        <v>2279</v>
      </c>
      <c r="N121" t="s">
        <v>2279</v>
      </c>
      <c r="O121" s="190" t="str">
        <f>"["&amp;$C121&amp;"]["&amp;$D121&amp;"]["&amp;$F121&amp;"]"</f>
        <v>[S03_EmittingInstallations][5][NumberOfInstallations]</v>
      </c>
    </row>
    <row r="122" spans="1:15" x14ac:dyDescent="0.3">
      <c r="A122" t="s">
        <v>2277</v>
      </c>
      <c r="B122" t="s">
        <v>1796</v>
      </c>
      <c r="C122" t="s">
        <v>1799</v>
      </c>
      <c r="D122">
        <v>1</v>
      </c>
      <c r="E122" t="s">
        <v>1447</v>
      </c>
      <c r="F122" t="s">
        <v>1800</v>
      </c>
      <c r="G122" t="s">
        <v>1759</v>
      </c>
      <c r="H122" t="s">
        <v>2279</v>
      </c>
      <c r="I122" t="s">
        <v>2279</v>
      </c>
      <c r="J122" t="s">
        <v>2279</v>
      </c>
      <c r="K122" t="s">
        <v>2279</v>
      </c>
      <c r="L122" t="s">
        <v>1419</v>
      </c>
      <c r="M122" t="s">
        <v>2279</v>
      </c>
      <c r="N122" t="s">
        <v>2279</v>
      </c>
      <c r="O122" s="190" t="str">
        <f>"["&amp;$C122&amp;"]["&amp;$D122&amp;"]["&amp;$F122&amp;"]"</f>
        <v>[S03_ActivityPermits][1][ActivityPermitsIssued]</v>
      </c>
    </row>
    <row r="123" spans="1:15" x14ac:dyDescent="0.3">
      <c r="A123" t="s">
        <v>2277</v>
      </c>
      <c r="B123" t="s">
        <v>1796</v>
      </c>
      <c r="C123" t="s">
        <v>1799</v>
      </c>
      <c r="D123">
        <v>2</v>
      </c>
      <c r="E123" t="s">
        <v>1447</v>
      </c>
      <c r="F123" t="s">
        <v>1800</v>
      </c>
      <c r="G123" t="s">
        <v>1759</v>
      </c>
      <c r="H123" t="s">
        <v>2279</v>
      </c>
      <c r="I123" t="s">
        <v>2279</v>
      </c>
      <c r="J123" t="s">
        <v>2279</v>
      </c>
      <c r="K123" t="s">
        <v>2279</v>
      </c>
      <c r="L123" t="s">
        <v>1419</v>
      </c>
      <c r="M123" t="s">
        <v>2279</v>
      </c>
      <c r="N123" t="s">
        <v>2279</v>
      </c>
      <c r="O123" s="190" t="str">
        <f>"["&amp;$C123&amp;"]["&amp;$D123&amp;"]["&amp;$F123&amp;"]"</f>
        <v>[S03_ActivityPermits][2][ActivityPermitsIssued]</v>
      </c>
    </row>
    <row r="124" spans="1:15" x14ac:dyDescent="0.3">
      <c r="A124" t="s">
        <v>2277</v>
      </c>
      <c r="B124" t="s">
        <v>1796</v>
      </c>
      <c r="C124" t="s">
        <v>1799</v>
      </c>
      <c r="D124">
        <v>3</v>
      </c>
      <c r="E124" t="s">
        <v>1447</v>
      </c>
      <c r="F124" t="s">
        <v>1800</v>
      </c>
      <c r="G124" t="s">
        <v>1759</v>
      </c>
      <c r="H124" t="s">
        <v>2279</v>
      </c>
      <c r="I124" t="s">
        <v>2279</v>
      </c>
      <c r="J124" t="s">
        <v>2279</v>
      </c>
      <c r="K124" t="s">
        <v>2279</v>
      </c>
      <c r="L124" t="s">
        <v>1419</v>
      </c>
      <c r="M124" t="s">
        <v>2279</v>
      </c>
      <c r="N124" t="s">
        <v>2279</v>
      </c>
      <c r="O124" s="190" t="str">
        <f>"["&amp;$C124&amp;"]["&amp;$D124&amp;"]["&amp;$F124&amp;"]"</f>
        <v>[S03_ActivityPermits][3][ActivityPermitsIssued]</v>
      </c>
    </row>
    <row r="125" spans="1:15" x14ac:dyDescent="0.3">
      <c r="A125" t="s">
        <v>2277</v>
      </c>
      <c r="B125" t="s">
        <v>1796</v>
      </c>
      <c r="C125" t="s">
        <v>1799</v>
      </c>
      <c r="D125">
        <v>4</v>
      </c>
      <c r="E125" t="s">
        <v>1447</v>
      </c>
      <c r="F125" t="s">
        <v>1800</v>
      </c>
      <c r="G125" t="s">
        <v>1759</v>
      </c>
      <c r="H125" t="s">
        <v>2279</v>
      </c>
      <c r="I125" t="s">
        <v>2279</v>
      </c>
      <c r="J125" t="s">
        <v>2279</v>
      </c>
      <c r="K125" t="s">
        <v>2279</v>
      </c>
      <c r="L125" t="s">
        <v>1419</v>
      </c>
      <c r="M125" t="s">
        <v>2279</v>
      </c>
      <c r="N125" t="s">
        <v>2279</v>
      </c>
      <c r="O125" s="190" t="str">
        <f>"["&amp;$C125&amp;"]["&amp;$D125&amp;"]["&amp;$F125&amp;"]"</f>
        <v>[S03_ActivityPermits][4][ActivityPermitsIssued]</v>
      </c>
    </row>
    <row r="126" spans="1:15" x14ac:dyDescent="0.3">
      <c r="A126" t="s">
        <v>2277</v>
      </c>
      <c r="B126" t="s">
        <v>1796</v>
      </c>
      <c r="C126" t="s">
        <v>1799</v>
      </c>
      <c r="D126">
        <v>5</v>
      </c>
      <c r="E126" t="s">
        <v>1447</v>
      </c>
      <c r="F126" t="s">
        <v>1800</v>
      </c>
      <c r="G126" t="s">
        <v>1759</v>
      </c>
      <c r="H126" t="s">
        <v>2279</v>
      </c>
      <c r="I126" t="s">
        <v>2279</v>
      </c>
      <c r="J126" t="s">
        <v>2279</v>
      </c>
      <c r="K126" t="s">
        <v>2279</v>
      </c>
      <c r="L126" t="s">
        <v>1419</v>
      </c>
      <c r="M126" t="s">
        <v>2279</v>
      </c>
      <c r="N126" t="s">
        <v>2279</v>
      </c>
      <c r="O126" s="190" t="str">
        <f>"["&amp;$C126&amp;"]["&amp;$D126&amp;"]["&amp;$F126&amp;"]"</f>
        <v>[S03_ActivityPermits][5][ActivityPermitsIssued]</v>
      </c>
    </row>
    <row r="127" spans="1:15" x14ac:dyDescent="0.3">
      <c r="A127" t="s">
        <v>2277</v>
      </c>
      <c r="B127" t="s">
        <v>1796</v>
      </c>
      <c r="C127" t="s">
        <v>1799</v>
      </c>
      <c r="D127">
        <v>6</v>
      </c>
      <c r="E127" t="s">
        <v>1447</v>
      </c>
      <c r="F127" t="s">
        <v>1800</v>
      </c>
      <c r="G127" t="s">
        <v>1759</v>
      </c>
      <c r="H127" t="s">
        <v>2279</v>
      </c>
      <c r="I127" t="s">
        <v>2279</v>
      </c>
      <c r="J127" t="s">
        <v>2279</v>
      </c>
      <c r="K127" t="s">
        <v>2279</v>
      </c>
      <c r="L127" t="s">
        <v>1419</v>
      </c>
      <c r="M127" t="s">
        <v>2279</v>
      </c>
      <c r="N127" t="s">
        <v>2279</v>
      </c>
      <c r="O127" s="190" t="str">
        <f>"["&amp;$C127&amp;"]["&amp;$D127&amp;"]["&amp;$F127&amp;"]"</f>
        <v>[S03_ActivityPermits][6][ActivityPermitsIssued]</v>
      </c>
    </row>
    <row r="128" spans="1:15" x14ac:dyDescent="0.3">
      <c r="A128" t="s">
        <v>2277</v>
      </c>
      <c r="B128" t="s">
        <v>1796</v>
      </c>
      <c r="C128" t="s">
        <v>1799</v>
      </c>
      <c r="D128">
        <v>7</v>
      </c>
      <c r="E128" t="s">
        <v>1447</v>
      </c>
      <c r="F128" t="s">
        <v>1800</v>
      </c>
      <c r="G128" t="s">
        <v>1759</v>
      </c>
      <c r="H128" t="s">
        <v>2279</v>
      </c>
      <c r="I128" t="s">
        <v>2279</v>
      </c>
      <c r="J128" t="s">
        <v>2279</v>
      </c>
      <c r="K128" t="s">
        <v>2279</v>
      </c>
      <c r="L128" t="s">
        <v>1419</v>
      </c>
      <c r="M128" t="s">
        <v>2279</v>
      </c>
      <c r="N128" t="s">
        <v>2279</v>
      </c>
      <c r="O128" s="190" t="str">
        <f>"["&amp;$C128&amp;"]["&amp;$D128&amp;"]["&amp;$F128&amp;"]"</f>
        <v>[S03_ActivityPermits][7][ActivityPermitsIssued]</v>
      </c>
    </row>
    <row r="129" spans="1:15" x14ac:dyDescent="0.3">
      <c r="A129" t="s">
        <v>2277</v>
      </c>
      <c r="B129" t="s">
        <v>1796</v>
      </c>
      <c r="C129" t="s">
        <v>1799</v>
      </c>
      <c r="D129">
        <v>8</v>
      </c>
      <c r="E129" t="s">
        <v>1447</v>
      </c>
      <c r="F129" t="s">
        <v>1800</v>
      </c>
      <c r="G129" t="s">
        <v>1759</v>
      </c>
      <c r="H129" t="s">
        <v>2279</v>
      </c>
      <c r="I129" t="s">
        <v>2279</v>
      </c>
      <c r="J129" t="s">
        <v>2279</v>
      </c>
      <c r="K129" t="s">
        <v>2279</v>
      </c>
      <c r="L129" t="s">
        <v>1419</v>
      </c>
      <c r="M129" t="s">
        <v>2279</v>
      </c>
      <c r="N129" t="s">
        <v>2279</v>
      </c>
      <c r="O129" s="190" t="str">
        <f>"["&amp;$C129&amp;"]["&amp;$D129&amp;"]["&amp;$F129&amp;"]"</f>
        <v>[S03_ActivityPermits][8][ActivityPermitsIssued]</v>
      </c>
    </row>
    <row r="130" spans="1:15" x14ac:dyDescent="0.3">
      <c r="A130" t="s">
        <v>2277</v>
      </c>
      <c r="B130" t="s">
        <v>1796</v>
      </c>
      <c r="C130" t="s">
        <v>1799</v>
      </c>
      <c r="D130">
        <v>9</v>
      </c>
      <c r="E130" t="s">
        <v>1447</v>
      </c>
      <c r="F130" t="s">
        <v>1800</v>
      </c>
      <c r="G130" t="s">
        <v>1759</v>
      </c>
      <c r="H130" t="s">
        <v>2279</v>
      </c>
      <c r="I130" t="s">
        <v>2279</v>
      </c>
      <c r="J130" t="s">
        <v>2279</v>
      </c>
      <c r="K130" t="s">
        <v>2279</v>
      </c>
      <c r="L130" t="s">
        <v>1419</v>
      </c>
      <c r="M130" t="s">
        <v>2279</v>
      </c>
      <c r="N130" t="s">
        <v>2279</v>
      </c>
      <c r="O130" s="190" t="str">
        <f>"["&amp;$C130&amp;"]["&amp;$D130&amp;"]["&amp;$F130&amp;"]"</f>
        <v>[S03_ActivityPermits][9][ActivityPermitsIssued]</v>
      </c>
    </row>
    <row r="131" spans="1:15" x14ac:dyDescent="0.3">
      <c r="A131" t="s">
        <v>2277</v>
      </c>
      <c r="B131" t="s">
        <v>1796</v>
      </c>
      <c r="C131" t="s">
        <v>1799</v>
      </c>
      <c r="D131">
        <v>10</v>
      </c>
      <c r="E131" t="s">
        <v>1447</v>
      </c>
      <c r="F131" t="s">
        <v>1800</v>
      </c>
      <c r="G131" t="s">
        <v>1759</v>
      </c>
      <c r="H131" t="s">
        <v>2279</v>
      </c>
      <c r="I131" t="s">
        <v>2279</v>
      </c>
      <c r="J131" t="s">
        <v>2279</v>
      </c>
      <c r="K131" t="s">
        <v>2279</v>
      </c>
      <c r="L131" t="s">
        <v>1419</v>
      </c>
      <c r="M131" t="s">
        <v>2279</v>
      </c>
      <c r="N131" t="s">
        <v>2279</v>
      </c>
      <c r="O131" s="190" t="str">
        <f>"["&amp;$C131&amp;"]["&amp;$D131&amp;"]["&amp;$F131&amp;"]"</f>
        <v>[S03_ActivityPermits][10][ActivityPermitsIssued]</v>
      </c>
    </row>
    <row r="132" spans="1:15" x14ac:dyDescent="0.3">
      <c r="A132" t="s">
        <v>2277</v>
      </c>
      <c r="B132" t="s">
        <v>1796</v>
      </c>
      <c r="C132" t="s">
        <v>1799</v>
      </c>
      <c r="D132">
        <v>11</v>
      </c>
      <c r="E132" t="s">
        <v>1447</v>
      </c>
      <c r="F132" t="s">
        <v>1800</v>
      </c>
      <c r="G132" t="s">
        <v>1759</v>
      </c>
      <c r="H132" t="s">
        <v>2279</v>
      </c>
      <c r="I132" t="s">
        <v>2279</v>
      </c>
      <c r="J132" t="s">
        <v>2279</v>
      </c>
      <c r="K132" t="s">
        <v>2279</v>
      </c>
      <c r="L132" t="s">
        <v>1419</v>
      </c>
      <c r="M132" t="s">
        <v>2279</v>
      </c>
      <c r="N132" t="s">
        <v>2279</v>
      </c>
      <c r="O132" s="190" t="str">
        <f>"["&amp;$C132&amp;"]["&amp;$D132&amp;"]["&amp;$F132&amp;"]"</f>
        <v>[S03_ActivityPermits][11][ActivityPermitsIssued]</v>
      </c>
    </row>
    <row r="133" spans="1:15" x14ac:dyDescent="0.3">
      <c r="A133" t="s">
        <v>2277</v>
      </c>
      <c r="B133" t="s">
        <v>1796</v>
      </c>
      <c r="C133" t="s">
        <v>1799</v>
      </c>
      <c r="D133">
        <v>12</v>
      </c>
      <c r="E133" t="s">
        <v>1447</v>
      </c>
      <c r="F133" t="s">
        <v>1800</v>
      </c>
      <c r="G133" t="s">
        <v>1759</v>
      </c>
      <c r="H133" t="s">
        <v>2279</v>
      </c>
      <c r="I133" t="s">
        <v>2279</v>
      </c>
      <c r="J133" t="s">
        <v>2279</v>
      </c>
      <c r="K133" t="s">
        <v>2279</v>
      </c>
      <c r="L133" t="s">
        <v>1419</v>
      </c>
      <c r="M133" t="s">
        <v>2279</v>
      </c>
      <c r="N133" t="s">
        <v>2279</v>
      </c>
      <c r="O133" s="190" t="str">
        <f>"["&amp;$C133&amp;"]["&amp;$D133&amp;"]["&amp;$F133&amp;"]"</f>
        <v>[S03_ActivityPermits][12][ActivityPermitsIssued]</v>
      </c>
    </row>
    <row r="134" spans="1:15" x14ac:dyDescent="0.3">
      <c r="A134" t="s">
        <v>2277</v>
      </c>
      <c r="B134" t="s">
        <v>1796</v>
      </c>
      <c r="C134" t="s">
        <v>1799</v>
      </c>
      <c r="D134">
        <v>13</v>
      </c>
      <c r="E134" t="s">
        <v>1447</v>
      </c>
      <c r="F134" t="s">
        <v>1800</v>
      </c>
      <c r="G134" t="s">
        <v>1759</v>
      </c>
      <c r="H134" t="s">
        <v>2279</v>
      </c>
      <c r="I134" t="s">
        <v>2279</v>
      </c>
      <c r="J134" t="s">
        <v>2279</v>
      </c>
      <c r="K134" t="s">
        <v>2279</v>
      </c>
      <c r="L134" t="s">
        <v>1419</v>
      </c>
      <c r="M134" t="s">
        <v>2279</v>
      </c>
      <c r="N134" t="s">
        <v>2279</v>
      </c>
      <c r="O134" s="190" t="str">
        <f>"["&amp;$C134&amp;"]["&amp;$D134&amp;"]["&amp;$F134&amp;"]"</f>
        <v>[S03_ActivityPermits][13][ActivityPermitsIssued]</v>
      </c>
    </row>
    <row r="135" spans="1:15" x14ac:dyDescent="0.3">
      <c r="A135" t="s">
        <v>2277</v>
      </c>
      <c r="B135" t="s">
        <v>1796</v>
      </c>
      <c r="C135" t="s">
        <v>1799</v>
      </c>
      <c r="D135">
        <v>14</v>
      </c>
      <c r="E135" t="s">
        <v>1447</v>
      </c>
      <c r="F135" t="s">
        <v>1800</v>
      </c>
      <c r="G135" t="s">
        <v>1759</v>
      </c>
      <c r="H135" t="s">
        <v>2279</v>
      </c>
      <c r="I135" t="s">
        <v>2279</v>
      </c>
      <c r="J135" t="s">
        <v>2279</v>
      </c>
      <c r="K135" t="s">
        <v>2279</v>
      </c>
      <c r="L135" t="s">
        <v>1419</v>
      </c>
      <c r="M135" t="s">
        <v>2279</v>
      </c>
      <c r="N135" t="s">
        <v>2279</v>
      </c>
      <c r="O135" s="190" t="str">
        <f>"["&amp;$C135&amp;"]["&amp;$D135&amp;"]["&amp;$F135&amp;"]"</f>
        <v>[S03_ActivityPermits][14][ActivityPermitsIssued]</v>
      </c>
    </row>
    <row r="136" spans="1:15" x14ac:dyDescent="0.3">
      <c r="A136" t="s">
        <v>2277</v>
      </c>
      <c r="B136" t="s">
        <v>1796</v>
      </c>
      <c r="C136" t="s">
        <v>1799</v>
      </c>
      <c r="D136">
        <v>15</v>
      </c>
      <c r="E136" t="s">
        <v>1447</v>
      </c>
      <c r="F136" t="s">
        <v>1800</v>
      </c>
      <c r="G136" t="s">
        <v>1759</v>
      </c>
      <c r="H136" t="s">
        <v>2279</v>
      </c>
      <c r="I136" t="s">
        <v>2279</v>
      </c>
      <c r="J136" t="s">
        <v>2279</v>
      </c>
      <c r="K136" t="s">
        <v>2279</v>
      </c>
      <c r="L136" t="s">
        <v>1419</v>
      </c>
      <c r="M136" t="s">
        <v>2279</v>
      </c>
      <c r="N136" t="s">
        <v>2279</v>
      </c>
      <c r="O136" s="190" t="str">
        <f>"["&amp;$C136&amp;"]["&amp;$D136&amp;"]["&amp;$F136&amp;"]"</f>
        <v>[S03_ActivityPermits][15][ActivityPermitsIssued]</v>
      </c>
    </row>
    <row r="137" spans="1:15" x14ac:dyDescent="0.3">
      <c r="A137" t="s">
        <v>2277</v>
      </c>
      <c r="B137" t="s">
        <v>1796</v>
      </c>
      <c r="C137" t="s">
        <v>1799</v>
      </c>
      <c r="D137">
        <v>16</v>
      </c>
      <c r="E137" t="s">
        <v>1447</v>
      </c>
      <c r="F137" t="s">
        <v>1800</v>
      </c>
      <c r="G137" t="s">
        <v>1759</v>
      </c>
      <c r="H137" t="s">
        <v>2279</v>
      </c>
      <c r="I137" t="s">
        <v>2279</v>
      </c>
      <c r="J137" t="s">
        <v>2279</v>
      </c>
      <c r="K137" t="s">
        <v>2279</v>
      </c>
      <c r="L137" t="s">
        <v>1419</v>
      </c>
      <c r="M137" t="s">
        <v>2279</v>
      </c>
      <c r="N137" t="s">
        <v>2279</v>
      </c>
      <c r="O137" s="190" t="str">
        <f>"["&amp;$C137&amp;"]["&amp;$D137&amp;"]["&amp;$F137&amp;"]"</f>
        <v>[S03_ActivityPermits][16][ActivityPermitsIssued]</v>
      </c>
    </row>
    <row r="138" spans="1:15" x14ac:dyDescent="0.3">
      <c r="A138" t="s">
        <v>2277</v>
      </c>
      <c r="B138" t="s">
        <v>1796</v>
      </c>
      <c r="C138" t="s">
        <v>1799</v>
      </c>
      <c r="D138">
        <v>17</v>
      </c>
      <c r="E138" t="s">
        <v>1447</v>
      </c>
      <c r="F138" t="s">
        <v>1800</v>
      </c>
      <c r="G138" t="s">
        <v>1759</v>
      </c>
      <c r="H138" t="s">
        <v>2279</v>
      </c>
      <c r="I138" t="s">
        <v>2279</v>
      </c>
      <c r="J138" t="s">
        <v>2279</v>
      </c>
      <c r="K138" t="s">
        <v>2279</v>
      </c>
      <c r="L138" t="s">
        <v>1419</v>
      </c>
      <c r="M138" t="s">
        <v>2279</v>
      </c>
      <c r="N138" t="s">
        <v>2279</v>
      </c>
      <c r="O138" s="190" t="str">
        <f>"["&amp;$C138&amp;"]["&amp;$D138&amp;"]["&amp;$F138&amp;"]"</f>
        <v>[S03_ActivityPermits][17][ActivityPermitsIssued]</v>
      </c>
    </row>
    <row r="139" spans="1:15" x14ac:dyDescent="0.3">
      <c r="A139" t="s">
        <v>2277</v>
      </c>
      <c r="B139" t="s">
        <v>1796</v>
      </c>
      <c r="C139" t="s">
        <v>1799</v>
      </c>
      <c r="D139">
        <v>18</v>
      </c>
      <c r="E139" t="s">
        <v>1447</v>
      </c>
      <c r="F139" t="s">
        <v>1800</v>
      </c>
      <c r="G139" t="s">
        <v>1759</v>
      </c>
      <c r="H139" t="s">
        <v>2279</v>
      </c>
      <c r="I139" t="s">
        <v>2279</v>
      </c>
      <c r="J139" t="s">
        <v>2279</v>
      </c>
      <c r="K139" t="s">
        <v>2279</v>
      </c>
      <c r="L139" t="s">
        <v>1419</v>
      </c>
      <c r="M139" t="s">
        <v>2279</v>
      </c>
      <c r="N139" t="s">
        <v>2279</v>
      </c>
      <c r="O139" s="190" t="str">
        <f>"["&amp;$C139&amp;"]["&amp;$D139&amp;"]["&amp;$F139&amp;"]"</f>
        <v>[S03_ActivityPermits][18][ActivityPermitsIssued]</v>
      </c>
    </row>
    <row r="140" spans="1:15" x14ac:dyDescent="0.3">
      <c r="A140" t="s">
        <v>2277</v>
      </c>
      <c r="B140" t="s">
        <v>1796</v>
      </c>
      <c r="C140" t="s">
        <v>1799</v>
      </c>
      <c r="D140">
        <v>19</v>
      </c>
      <c r="E140" t="s">
        <v>1447</v>
      </c>
      <c r="F140" t="s">
        <v>1800</v>
      </c>
      <c r="G140" t="s">
        <v>1759</v>
      </c>
      <c r="H140" t="s">
        <v>2279</v>
      </c>
      <c r="I140" t="s">
        <v>2279</v>
      </c>
      <c r="J140" t="s">
        <v>2279</v>
      </c>
      <c r="K140" t="s">
        <v>2279</v>
      </c>
      <c r="L140" t="s">
        <v>1419</v>
      </c>
      <c r="M140" t="s">
        <v>2279</v>
      </c>
      <c r="N140" t="s">
        <v>2279</v>
      </c>
      <c r="O140" s="190" t="str">
        <f>"["&amp;$C140&amp;"]["&amp;$D140&amp;"]["&amp;$F140&amp;"]"</f>
        <v>[S03_ActivityPermits][19][ActivityPermitsIssued]</v>
      </c>
    </row>
    <row r="141" spans="1:15" x14ac:dyDescent="0.3">
      <c r="A141" t="s">
        <v>2277</v>
      </c>
      <c r="B141" t="s">
        <v>1796</v>
      </c>
      <c r="C141" t="s">
        <v>1799</v>
      </c>
      <c r="D141">
        <v>20</v>
      </c>
      <c r="E141" t="s">
        <v>1447</v>
      </c>
      <c r="F141" t="s">
        <v>1800</v>
      </c>
      <c r="G141" t="s">
        <v>1759</v>
      </c>
      <c r="H141" t="s">
        <v>2279</v>
      </c>
      <c r="I141" t="s">
        <v>2279</v>
      </c>
      <c r="J141" t="s">
        <v>2279</v>
      </c>
      <c r="K141" t="s">
        <v>2279</v>
      </c>
      <c r="L141" t="s">
        <v>1419</v>
      </c>
      <c r="M141" t="s">
        <v>2279</v>
      </c>
      <c r="N141" t="s">
        <v>2279</v>
      </c>
      <c r="O141" s="190" t="str">
        <f>"["&amp;$C141&amp;"]["&amp;$D141&amp;"]["&amp;$F141&amp;"]"</f>
        <v>[S03_ActivityPermits][20][ActivityPermitsIssued]</v>
      </c>
    </row>
    <row r="142" spans="1:15" x14ac:dyDescent="0.3">
      <c r="A142" t="s">
        <v>2277</v>
      </c>
      <c r="B142" t="s">
        <v>1796</v>
      </c>
      <c r="C142" t="s">
        <v>1799</v>
      </c>
      <c r="D142">
        <v>21</v>
      </c>
      <c r="E142" t="s">
        <v>1447</v>
      </c>
      <c r="F142" t="s">
        <v>1800</v>
      </c>
      <c r="G142" t="s">
        <v>1759</v>
      </c>
      <c r="H142" t="s">
        <v>2279</v>
      </c>
      <c r="I142" t="s">
        <v>2279</v>
      </c>
      <c r="J142" t="s">
        <v>2279</v>
      </c>
      <c r="K142" t="s">
        <v>2279</v>
      </c>
      <c r="L142" t="s">
        <v>1419</v>
      </c>
      <c r="M142" t="s">
        <v>2279</v>
      </c>
      <c r="N142" t="s">
        <v>2279</v>
      </c>
      <c r="O142" s="190" t="str">
        <f>"["&amp;$C142&amp;"]["&amp;$D142&amp;"]["&amp;$F142&amp;"]"</f>
        <v>[S03_ActivityPermits][21][ActivityPermitsIssued]</v>
      </c>
    </row>
    <row r="143" spans="1:15" x14ac:dyDescent="0.3">
      <c r="A143" t="s">
        <v>2277</v>
      </c>
      <c r="B143" t="s">
        <v>1796</v>
      </c>
      <c r="C143" t="s">
        <v>1799</v>
      </c>
      <c r="D143">
        <v>22</v>
      </c>
      <c r="E143" t="s">
        <v>1447</v>
      </c>
      <c r="F143" t="s">
        <v>1800</v>
      </c>
      <c r="G143" t="s">
        <v>1759</v>
      </c>
      <c r="H143" t="s">
        <v>2279</v>
      </c>
      <c r="I143" t="s">
        <v>2279</v>
      </c>
      <c r="J143" t="s">
        <v>2279</v>
      </c>
      <c r="K143" t="s">
        <v>2279</v>
      </c>
      <c r="L143" t="s">
        <v>1419</v>
      </c>
      <c r="M143" t="s">
        <v>2279</v>
      </c>
      <c r="N143" t="s">
        <v>2279</v>
      </c>
      <c r="O143" s="190" t="str">
        <f>"["&amp;$C143&amp;"]["&amp;$D143&amp;"]["&amp;$F143&amp;"]"</f>
        <v>[S03_ActivityPermits][22][ActivityPermitsIssued]</v>
      </c>
    </row>
    <row r="144" spans="1:15" x14ac:dyDescent="0.3">
      <c r="A144" t="s">
        <v>2277</v>
      </c>
      <c r="B144" t="s">
        <v>1796</v>
      </c>
      <c r="C144" t="s">
        <v>1799</v>
      </c>
      <c r="D144">
        <v>23</v>
      </c>
      <c r="E144" t="s">
        <v>1447</v>
      </c>
      <c r="F144" t="s">
        <v>1800</v>
      </c>
      <c r="G144" t="s">
        <v>1759</v>
      </c>
      <c r="H144" t="s">
        <v>2279</v>
      </c>
      <c r="I144" t="s">
        <v>2279</v>
      </c>
      <c r="J144" t="s">
        <v>2279</v>
      </c>
      <c r="K144" t="s">
        <v>2279</v>
      </c>
      <c r="L144" t="s">
        <v>1419</v>
      </c>
      <c r="M144" t="s">
        <v>2279</v>
      </c>
      <c r="N144" t="s">
        <v>2279</v>
      </c>
      <c r="O144" s="190" t="str">
        <f>"["&amp;$C144&amp;"]["&amp;$D144&amp;"]["&amp;$F144&amp;"]"</f>
        <v>[S03_ActivityPermits][23][ActivityPermitsIssued]</v>
      </c>
    </row>
    <row r="145" spans="1:15" x14ac:dyDescent="0.3">
      <c r="A145" t="s">
        <v>2277</v>
      </c>
      <c r="B145" t="s">
        <v>1796</v>
      </c>
      <c r="C145" t="s">
        <v>1799</v>
      </c>
      <c r="D145">
        <v>24</v>
      </c>
      <c r="E145" t="s">
        <v>1447</v>
      </c>
      <c r="F145" t="s">
        <v>1800</v>
      </c>
      <c r="G145" t="s">
        <v>1759</v>
      </c>
      <c r="H145" t="s">
        <v>2279</v>
      </c>
      <c r="I145" t="s">
        <v>2279</v>
      </c>
      <c r="J145" t="s">
        <v>2279</v>
      </c>
      <c r="K145" t="s">
        <v>2279</v>
      </c>
      <c r="L145" t="s">
        <v>1419</v>
      </c>
      <c r="M145" t="s">
        <v>2279</v>
      </c>
      <c r="N145" t="s">
        <v>2279</v>
      </c>
      <c r="O145" s="190" t="str">
        <f>"["&amp;$C145&amp;"]["&amp;$D145&amp;"]["&amp;$F145&amp;"]"</f>
        <v>[S03_ActivityPermits][24][ActivityPermitsIssued]</v>
      </c>
    </row>
    <row r="146" spans="1:15" x14ac:dyDescent="0.3">
      <c r="A146" t="s">
        <v>2277</v>
      </c>
      <c r="B146" t="s">
        <v>1796</v>
      </c>
      <c r="C146" t="s">
        <v>1799</v>
      </c>
      <c r="D146">
        <v>25</v>
      </c>
      <c r="E146" t="s">
        <v>1447</v>
      </c>
      <c r="F146" t="s">
        <v>1800</v>
      </c>
      <c r="G146" t="s">
        <v>1759</v>
      </c>
      <c r="H146" t="s">
        <v>2279</v>
      </c>
      <c r="I146" t="s">
        <v>2279</v>
      </c>
      <c r="J146" t="s">
        <v>2279</v>
      </c>
      <c r="K146" t="s">
        <v>2279</v>
      </c>
      <c r="L146" t="s">
        <v>1419</v>
      </c>
      <c r="M146" t="s">
        <v>2279</v>
      </c>
      <c r="N146" t="s">
        <v>2279</v>
      </c>
      <c r="O146" s="190" t="str">
        <f>"["&amp;$C146&amp;"]["&amp;$D146&amp;"]["&amp;$F146&amp;"]"</f>
        <v>[S03_ActivityPermits][25][ActivityPermitsIssued]</v>
      </c>
    </row>
    <row r="147" spans="1:15" x14ac:dyDescent="0.3">
      <c r="A147" t="s">
        <v>2277</v>
      </c>
      <c r="B147" t="s">
        <v>1796</v>
      </c>
      <c r="C147" t="s">
        <v>1799</v>
      </c>
      <c r="D147">
        <v>26</v>
      </c>
      <c r="E147" t="s">
        <v>1447</v>
      </c>
      <c r="F147" t="s">
        <v>1800</v>
      </c>
      <c r="G147" t="s">
        <v>1759</v>
      </c>
      <c r="H147" t="s">
        <v>2279</v>
      </c>
      <c r="I147" t="s">
        <v>2279</v>
      </c>
      <c r="J147" t="s">
        <v>2279</v>
      </c>
      <c r="K147" t="s">
        <v>2279</v>
      </c>
      <c r="L147" t="s">
        <v>1447</v>
      </c>
      <c r="M147" t="s">
        <v>2279</v>
      </c>
      <c r="N147" t="s">
        <v>2279</v>
      </c>
      <c r="O147" s="190" t="str">
        <f>"["&amp;$C147&amp;"]["&amp;$D147&amp;"]["&amp;$F147&amp;"]"</f>
        <v>[S03_ActivityPermits][26][ActivityPermitsIssued]</v>
      </c>
    </row>
    <row r="148" spans="1:15" x14ac:dyDescent="0.3">
      <c r="A148" t="s">
        <v>2277</v>
      </c>
      <c r="B148" t="s">
        <v>1796</v>
      </c>
      <c r="C148" t="s">
        <v>1799</v>
      </c>
      <c r="D148">
        <v>27</v>
      </c>
      <c r="E148" t="s">
        <v>1447</v>
      </c>
      <c r="F148" t="s">
        <v>1800</v>
      </c>
      <c r="G148" t="s">
        <v>1759</v>
      </c>
      <c r="H148" t="s">
        <v>2279</v>
      </c>
      <c r="I148" t="s">
        <v>2279</v>
      </c>
      <c r="J148" t="s">
        <v>2279</v>
      </c>
      <c r="K148" t="s">
        <v>2279</v>
      </c>
      <c r="L148" t="s">
        <v>1447</v>
      </c>
      <c r="M148" t="s">
        <v>2279</v>
      </c>
      <c r="N148" t="s">
        <v>2279</v>
      </c>
      <c r="O148" s="190" t="str">
        <f>"["&amp;$C148&amp;"]["&amp;$D148&amp;"]["&amp;$F148&amp;"]"</f>
        <v>[S03_ActivityPermits][27][ActivityPermitsIssued]</v>
      </c>
    </row>
    <row r="149" spans="1:15" x14ac:dyDescent="0.3">
      <c r="A149" t="s">
        <v>2277</v>
      </c>
      <c r="B149" t="s">
        <v>1796</v>
      </c>
      <c r="C149" t="s">
        <v>1799</v>
      </c>
      <c r="D149">
        <v>28</v>
      </c>
      <c r="E149" t="s">
        <v>1447</v>
      </c>
      <c r="F149" t="s">
        <v>1800</v>
      </c>
      <c r="G149" t="s">
        <v>1759</v>
      </c>
      <c r="H149" t="s">
        <v>2279</v>
      </c>
      <c r="I149" t="s">
        <v>2279</v>
      </c>
      <c r="J149" t="s">
        <v>2279</v>
      </c>
      <c r="K149" t="s">
        <v>2279</v>
      </c>
      <c r="L149" t="s">
        <v>1447</v>
      </c>
      <c r="M149" t="s">
        <v>2279</v>
      </c>
      <c r="N149" t="s">
        <v>2279</v>
      </c>
      <c r="O149" s="190" t="str">
        <f>"["&amp;$C149&amp;"]["&amp;$D149&amp;"]["&amp;$F149&amp;"]"</f>
        <v>[S03_ActivityPermits][28][ActivityPermitsIssued]</v>
      </c>
    </row>
    <row r="150" spans="1:15" x14ac:dyDescent="0.3">
      <c r="A150" t="s">
        <v>2277</v>
      </c>
      <c r="B150" t="s">
        <v>1801</v>
      </c>
      <c r="C150" t="s">
        <v>1802</v>
      </c>
      <c r="D150">
        <v>0</v>
      </c>
      <c r="E150" t="s">
        <v>1447</v>
      </c>
      <c r="F150" t="s">
        <v>1802</v>
      </c>
      <c r="G150" t="s">
        <v>1759</v>
      </c>
      <c r="H150" t="s">
        <v>2279</v>
      </c>
      <c r="I150" t="s">
        <v>2279</v>
      </c>
      <c r="J150" t="s">
        <v>2279</v>
      </c>
      <c r="K150" t="s">
        <v>2279</v>
      </c>
      <c r="L150" t="s">
        <v>1419</v>
      </c>
      <c r="M150" t="s">
        <v>2279</v>
      </c>
      <c r="N150" t="s">
        <v>2279</v>
      </c>
      <c r="O150" s="190" t="str">
        <f>"["&amp;$C150&amp;"]["&amp;$D150&amp;"]["&amp;$F150&amp;"]"</f>
        <v>[InstallationsExcludedArt27][0][InstallationsExcludedArt27]</v>
      </c>
    </row>
    <row r="151" spans="1:15" x14ac:dyDescent="0.3">
      <c r="A151" t="s">
        <v>2277</v>
      </c>
      <c r="B151" t="s">
        <v>1801</v>
      </c>
      <c r="C151" t="s">
        <v>1803</v>
      </c>
      <c r="D151">
        <v>1</v>
      </c>
      <c r="E151" t="s">
        <v>1447</v>
      </c>
      <c r="F151" t="s">
        <v>1804</v>
      </c>
      <c r="G151" t="s">
        <v>1737</v>
      </c>
      <c r="H151" t="s">
        <v>2279</v>
      </c>
      <c r="I151" t="s">
        <v>2279</v>
      </c>
      <c r="J151" t="s">
        <v>2279</v>
      </c>
      <c r="K151" t="s">
        <v>2279</v>
      </c>
      <c r="L151" t="s">
        <v>1423</v>
      </c>
      <c r="M151" t="s">
        <v>2279</v>
      </c>
      <c r="N151" t="s">
        <v>2279</v>
      </c>
      <c r="O151" s="190" t="str">
        <f>"["&amp;$C151&amp;"]["&amp;$D151&amp;"]["&amp;$F151&amp;"]"</f>
        <v>[S03_InstallationsExcludedArt27Detail][1][ExclusionArticle]</v>
      </c>
    </row>
    <row r="152" spans="1:15" x14ac:dyDescent="0.3">
      <c r="A152" t="s">
        <v>2277</v>
      </c>
      <c r="B152" t="s">
        <v>1801</v>
      </c>
      <c r="C152" t="s">
        <v>1803</v>
      </c>
      <c r="D152">
        <v>2</v>
      </c>
      <c r="E152" t="s">
        <v>1447</v>
      </c>
      <c r="F152" t="s">
        <v>1804</v>
      </c>
      <c r="G152" t="s">
        <v>1737</v>
      </c>
      <c r="H152" t="s">
        <v>2279</v>
      </c>
      <c r="I152" t="s">
        <v>2279</v>
      </c>
      <c r="J152" t="s">
        <v>2279</v>
      </c>
      <c r="K152" t="s">
        <v>2279</v>
      </c>
      <c r="L152" t="s">
        <v>1451</v>
      </c>
      <c r="M152" t="s">
        <v>2279</v>
      </c>
      <c r="N152" t="s">
        <v>2279</v>
      </c>
      <c r="O152" s="190" t="str">
        <f>"["&amp;$C152&amp;"]["&amp;$D152&amp;"]["&amp;$F152&amp;"]"</f>
        <v>[S03_InstallationsExcludedArt27Detail][2][ExclusionArticle]</v>
      </c>
    </row>
    <row r="153" spans="1:15" x14ac:dyDescent="0.3">
      <c r="A153" t="s">
        <v>2277</v>
      </c>
      <c r="B153" t="s">
        <v>1801</v>
      </c>
      <c r="C153" t="s">
        <v>1803</v>
      </c>
      <c r="D153">
        <v>3</v>
      </c>
      <c r="E153" t="s">
        <v>1447</v>
      </c>
      <c r="F153" t="s">
        <v>1804</v>
      </c>
      <c r="G153" t="s">
        <v>1737</v>
      </c>
      <c r="H153" t="s">
        <v>2279</v>
      </c>
      <c r="I153" t="s">
        <v>2279</v>
      </c>
      <c r="J153" t="s">
        <v>2279</v>
      </c>
      <c r="K153" t="s">
        <v>2279</v>
      </c>
      <c r="L153" t="s">
        <v>1480</v>
      </c>
      <c r="M153" t="s">
        <v>2279</v>
      </c>
      <c r="N153" t="s">
        <v>2279</v>
      </c>
      <c r="O153" s="190" t="str">
        <f>"["&amp;$C153&amp;"]["&amp;$D153&amp;"]["&amp;$F153&amp;"]"</f>
        <v>[S03_InstallationsExcludedArt27Detail][3][ExclusionArticle]</v>
      </c>
    </row>
    <row r="154" spans="1:15" x14ac:dyDescent="0.3">
      <c r="A154" t="s">
        <v>2277</v>
      </c>
      <c r="B154" t="s">
        <v>1801</v>
      </c>
      <c r="C154" t="s">
        <v>1803</v>
      </c>
      <c r="D154">
        <v>1</v>
      </c>
      <c r="E154" t="s">
        <v>1447</v>
      </c>
      <c r="F154" t="s">
        <v>1805</v>
      </c>
      <c r="G154" t="s">
        <v>1806</v>
      </c>
      <c r="H154" t="s">
        <v>2279</v>
      </c>
      <c r="I154" t="s">
        <v>2279</v>
      </c>
      <c r="J154">
        <v>20952</v>
      </c>
      <c r="K154" t="s">
        <v>2279</v>
      </c>
      <c r="L154" t="s">
        <v>2279</v>
      </c>
      <c r="M154" t="s">
        <v>2279</v>
      </c>
      <c r="N154" t="s">
        <v>2279</v>
      </c>
      <c r="O154" s="190" t="str">
        <f>"["&amp;$C154&amp;"]["&amp;$D154&amp;"]["&amp;$F154&amp;"]"</f>
        <v>[S03_InstallationsExcludedArt27Detail][1][InstallationsExcludedEmissions]</v>
      </c>
    </row>
    <row r="155" spans="1:15" x14ac:dyDescent="0.3">
      <c r="A155" t="s">
        <v>2277</v>
      </c>
      <c r="B155" t="s">
        <v>1801</v>
      </c>
      <c r="C155" t="s">
        <v>1803</v>
      </c>
      <c r="D155">
        <v>2</v>
      </c>
      <c r="E155" t="s">
        <v>1447</v>
      </c>
      <c r="F155" t="s">
        <v>1805</v>
      </c>
      <c r="G155" t="s">
        <v>1806</v>
      </c>
      <c r="H155" t="s">
        <v>2279</v>
      </c>
      <c r="I155" t="s">
        <v>2279</v>
      </c>
      <c r="J155">
        <v>16992</v>
      </c>
      <c r="K155" t="s">
        <v>2279</v>
      </c>
      <c r="L155" t="s">
        <v>2279</v>
      </c>
      <c r="M155" t="s">
        <v>2279</v>
      </c>
      <c r="N155" t="s">
        <v>2279</v>
      </c>
      <c r="O155" s="190" t="str">
        <f>"["&amp;$C155&amp;"]["&amp;$D155&amp;"]["&amp;$F155&amp;"]"</f>
        <v>[S03_InstallationsExcludedArt27Detail][2][InstallationsExcludedEmissions]</v>
      </c>
    </row>
    <row r="156" spans="1:15" x14ac:dyDescent="0.3">
      <c r="A156" t="s">
        <v>2277</v>
      </c>
      <c r="B156" t="s">
        <v>1801</v>
      </c>
      <c r="C156" t="s">
        <v>1803</v>
      </c>
      <c r="D156">
        <v>3</v>
      </c>
      <c r="E156" t="s">
        <v>1447</v>
      </c>
      <c r="F156" t="s">
        <v>1805</v>
      </c>
      <c r="G156" t="s">
        <v>1806</v>
      </c>
      <c r="H156" t="s">
        <v>2279</v>
      </c>
      <c r="I156" t="s">
        <v>2279</v>
      </c>
      <c r="J156">
        <v>0</v>
      </c>
      <c r="K156" t="s">
        <v>2279</v>
      </c>
      <c r="L156" t="s">
        <v>2279</v>
      </c>
      <c r="M156" t="s">
        <v>2279</v>
      </c>
      <c r="N156" t="s">
        <v>2279</v>
      </c>
      <c r="O156" s="190" t="str">
        <f>"["&amp;$C156&amp;"]["&amp;$D156&amp;"]["&amp;$F156&amp;"]"</f>
        <v>[S03_InstallationsExcludedArt27Detail][3][InstallationsExcludedEmissions]</v>
      </c>
    </row>
    <row r="157" spans="1:15" x14ac:dyDescent="0.3">
      <c r="A157" t="s">
        <v>2277</v>
      </c>
      <c r="B157" t="s">
        <v>1801</v>
      </c>
      <c r="C157" t="s">
        <v>1803</v>
      </c>
      <c r="D157">
        <v>1</v>
      </c>
      <c r="E157" t="s">
        <v>1447</v>
      </c>
      <c r="F157" t="s">
        <v>1807</v>
      </c>
      <c r="G157" t="s">
        <v>1748</v>
      </c>
      <c r="H157" t="s">
        <v>2279</v>
      </c>
      <c r="I157">
        <v>0</v>
      </c>
      <c r="J157" t="s">
        <v>2279</v>
      </c>
      <c r="K157" t="s">
        <v>2279</v>
      </c>
      <c r="L157" t="s">
        <v>2279</v>
      </c>
      <c r="M157" t="s">
        <v>2279</v>
      </c>
      <c r="N157" t="s">
        <v>2279</v>
      </c>
      <c r="O157" s="190" t="str">
        <f>"["&amp;$C157&amp;"]["&amp;$D157&amp;"]["&amp;$F157&amp;"]"</f>
        <v>[S03_InstallationsExcludedArt27Detail][1][InstallationsExceededThreshold]</v>
      </c>
    </row>
    <row r="158" spans="1:15" x14ac:dyDescent="0.3">
      <c r="A158" t="s">
        <v>2277</v>
      </c>
      <c r="B158" t="s">
        <v>1801</v>
      </c>
      <c r="C158" t="s">
        <v>1803</v>
      </c>
      <c r="D158">
        <v>2</v>
      </c>
      <c r="E158" t="s">
        <v>1447</v>
      </c>
      <c r="F158" t="s">
        <v>1807</v>
      </c>
      <c r="G158" t="s">
        <v>1748</v>
      </c>
      <c r="H158" t="s">
        <v>2279</v>
      </c>
      <c r="I158">
        <v>0</v>
      </c>
      <c r="J158" t="s">
        <v>2279</v>
      </c>
      <c r="K158" t="s">
        <v>2279</v>
      </c>
      <c r="L158" t="s">
        <v>2279</v>
      </c>
      <c r="M158" t="s">
        <v>2279</v>
      </c>
      <c r="N158" t="s">
        <v>2279</v>
      </c>
      <c r="O158" s="190" t="str">
        <f>"["&amp;$C158&amp;"]["&amp;$D158&amp;"]["&amp;$F158&amp;"]"</f>
        <v>[S03_InstallationsExcludedArt27Detail][2][InstallationsExceededThreshold]</v>
      </c>
    </row>
    <row r="159" spans="1:15" x14ac:dyDescent="0.3">
      <c r="A159" t="s">
        <v>2277</v>
      </c>
      <c r="B159" t="s">
        <v>1801</v>
      </c>
      <c r="C159" t="s">
        <v>1803</v>
      </c>
      <c r="D159">
        <v>3</v>
      </c>
      <c r="E159" t="s">
        <v>1447</v>
      </c>
      <c r="F159" t="s">
        <v>1807</v>
      </c>
      <c r="G159" t="s">
        <v>1748</v>
      </c>
      <c r="H159" t="s">
        <v>2279</v>
      </c>
      <c r="I159">
        <v>0</v>
      </c>
      <c r="J159" t="s">
        <v>2279</v>
      </c>
      <c r="K159" t="s">
        <v>2279</v>
      </c>
      <c r="L159" t="s">
        <v>2279</v>
      </c>
      <c r="M159" t="s">
        <v>2279</v>
      </c>
      <c r="N159" t="s">
        <v>2279</v>
      </c>
      <c r="O159" s="190" t="str">
        <f>"["&amp;$C159&amp;"]["&amp;$D159&amp;"]["&amp;$F159&amp;"]"</f>
        <v>[S03_InstallationsExcludedArt27Detail][3][InstallationsExceededThreshold]</v>
      </c>
    </row>
    <row r="160" spans="1:15" x14ac:dyDescent="0.3">
      <c r="A160" t="s">
        <v>2277</v>
      </c>
      <c r="B160" t="s">
        <v>1801</v>
      </c>
      <c r="C160" t="s">
        <v>1808</v>
      </c>
      <c r="D160">
        <v>0</v>
      </c>
      <c r="E160" t="s">
        <v>1447</v>
      </c>
      <c r="F160" t="s">
        <v>1809</v>
      </c>
      <c r="G160" t="s">
        <v>1748</v>
      </c>
      <c r="H160" t="s">
        <v>2279</v>
      </c>
      <c r="I160">
        <v>0</v>
      </c>
      <c r="J160" t="s">
        <v>2279</v>
      </c>
      <c r="K160" t="s">
        <v>2279</v>
      </c>
      <c r="L160" t="s">
        <v>2279</v>
      </c>
      <c r="M160" t="s">
        <v>2279</v>
      </c>
      <c r="N160" t="s">
        <v>2279</v>
      </c>
      <c r="O160" s="190" t="str">
        <f>"["&amp;$C160&amp;"]["&amp;$D160&amp;"]["&amp;$F160&amp;"]"</f>
        <v>[S03_InstallationsExcludedClosed][0][ClosedArt27]</v>
      </c>
    </row>
    <row r="161" spans="1:15" x14ac:dyDescent="0.3">
      <c r="A161" t="s">
        <v>2277</v>
      </c>
      <c r="B161" t="s">
        <v>1801</v>
      </c>
      <c r="C161" t="s">
        <v>1808</v>
      </c>
      <c r="D161">
        <v>0</v>
      </c>
      <c r="E161" t="s">
        <v>1447</v>
      </c>
      <c r="F161" t="s">
        <v>1810</v>
      </c>
      <c r="G161" t="s">
        <v>1748</v>
      </c>
      <c r="H161" t="s">
        <v>2279</v>
      </c>
      <c r="I161">
        <v>0</v>
      </c>
      <c r="J161" t="s">
        <v>2279</v>
      </c>
      <c r="K161" t="s">
        <v>2279</v>
      </c>
      <c r="L161" t="s">
        <v>2279</v>
      </c>
      <c r="M161" t="s">
        <v>2279</v>
      </c>
      <c r="N161" t="s">
        <v>2279</v>
      </c>
      <c r="O161" s="190" t="str">
        <f>"["&amp;$C161&amp;"]["&amp;$D161&amp;"]["&amp;$F161&amp;"]"</f>
        <v>[S03_InstallationsExcludedClosed][0][ClosedArt27a]</v>
      </c>
    </row>
    <row r="162" spans="1:15" x14ac:dyDescent="0.3">
      <c r="A162" t="s">
        <v>2277</v>
      </c>
      <c r="B162" t="s">
        <v>1811</v>
      </c>
      <c r="C162" t="s">
        <v>1812</v>
      </c>
      <c r="D162">
        <v>1</v>
      </c>
      <c r="E162" t="s">
        <v>1447</v>
      </c>
      <c r="F162" t="s">
        <v>1813</v>
      </c>
      <c r="G162" t="s">
        <v>1748</v>
      </c>
      <c r="H162" t="s">
        <v>2279</v>
      </c>
      <c r="I162">
        <v>38</v>
      </c>
      <c r="J162" t="s">
        <v>2279</v>
      </c>
      <c r="K162" t="s">
        <v>2279</v>
      </c>
      <c r="L162" t="s">
        <v>2279</v>
      </c>
      <c r="M162" t="s">
        <v>2279</v>
      </c>
      <c r="N162" t="s">
        <v>2279</v>
      </c>
      <c r="O162" s="190" t="str">
        <f>"["&amp;$C162&amp;"]["&amp;$D162&amp;"]["&amp;$F162&amp;"]"</f>
        <v>[S03_AircraftAnnex1Activities][1][NumberCommercialOperators]</v>
      </c>
    </row>
    <row r="163" spans="1:15" x14ac:dyDescent="0.3">
      <c r="A163" t="s">
        <v>2277</v>
      </c>
      <c r="B163" t="s">
        <v>1811</v>
      </c>
      <c r="C163" t="s">
        <v>1812</v>
      </c>
      <c r="D163">
        <v>2</v>
      </c>
      <c r="E163" t="s">
        <v>1447</v>
      </c>
      <c r="F163" t="s">
        <v>1813</v>
      </c>
      <c r="G163" t="s">
        <v>1748</v>
      </c>
      <c r="H163" t="s">
        <v>2279</v>
      </c>
      <c r="I163">
        <v>8</v>
      </c>
      <c r="J163" t="s">
        <v>2279</v>
      </c>
      <c r="K163" t="s">
        <v>2279</v>
      </c>
      <c r="L163" t="s">
        <v>2279</v>
      </c>
      <c r="M163" t="s">
        <v>2279</v>
      </c>
      <c r="N163" t="s">
        <v>2279</v>
      </c>
      <c r="O163" s="190" t="str">
        <f>"["&amp;$C163&amp;"]["&amp;$D163&amp;"]["&amp;$F163&amp;"]"</f>
        <v>[S03_AircraftAnnex1Activities][2][NumberCommercialOperators]</v>
      </c>
    </row>
    <row r="164" spans="1:15" x14ac:dyDescent="0.3">
      <c r="A164" t="s">
        <v>2277</v>
      </c>
      <c r="B164" t="s">
        <v>1811</v>
      </c>
      <c r="C164" t="s">
        <v>1812</v>
      </c>
      <c r="D164">
        <v>3</v>
      </c>
      <c r="E164" t="s">
        <v>1447</v>
      </c>
      <c r="F164" t="s">
        <v>1813</v>
      </c>
      <c r="G164" t="s">
        <v>1748</v>
      </c>
      <c r="H164" t="s">
        <v>2279</v>
      </c>
      <c r="I164">
        <v>46</v>
      </c>
      <c r="J164" t="s">
        <v>2279</v>
      </c>
      <c r="K164" t="s">
        <v>2279</v>
      </c>
      <c r="L164" t="s">
        <v>2279</v>
      </c>
      <c r="M164" t="s">
        <v>2279</v>
      </c>
      <c r="N164" t="s">
        <v>2279</v>
      </c>
      <c r="O164" s="190" t="str">
        <f>"["&amp;$C164&amp;"]["&amp;$D164&amp;"]["&amp;$F164&amp;"]"</f>
        <v>[S03_AircraftAnnex1Activities][3][NumberCommercialOperators]</v>
      </c>
    </row>
    <row r="165" spans="1:15" x14ac:dyDescent="0.3">
      <c r="A165" t="s">
        <v>2277</v>
      </c>
      <c r="B165" t="s">
        <v>1811</v>
      </c>
      <c r="C165" t="s">
        <v>1812</v>
      </c>
      <c r="D165">
        <v>1</v>
      </c>
      <c r="E165" t="s">
        <v>1447</v>
      </c>
      <c r="F165" t="s">
        <v>1814</v>
      </c>
      <c r="G165" t="s">
        <v>1748</v>
      </c>
      <c r="H165" t="s">
        <v>2279</v>
      </c>
      <c r="I165">
        <v>1</v>
      </c>
      <c r="J165" t="s">
        <v>2279</v>
      </c>
      <c r="K165" t="s">
        <v>2279</v>
      </c>
      <c r="L165" t="s">
        <v>2279</v>
      </c>
      <c r="M165" t="s">
        <v>2279</v>
      </c>
      <c r="N165" t="s">
        <v>2279</v>
      </c>
      <c r="O165" s="190" t="str">
        <f>"["&amp;$C165&amp;"]["&amp;$D165&amp;"]["&amp;$F165&amp;"]"</f>
        <v>[S03_AircraftAnnex1Activities][1][NumberNonCommercialOperators]</v>
      </c>
    </row>
    <row r="166" spans="1:15" x14ac:dyDescent="0.3">
      <c r="A166" t="s">
        <v>2277</v>
      </c>
      <c r="B166" t="s">
        <v>1811</v>
      </c>
      <c r="C166" t="s">
        <v>1812</v>
      </c>
      <c r="D166">
        <v>2</v>
      </c>
      <c r="E166" t="s">
        <v>1447</v>
      </c>
      <c r="F166" t="s">
        <v>1814</v>
      </c>
      <c r="G166" t="s">
        <v>1748</v>
      </c>
      <c r="H166" t="s">
        <v>2279</v>
      </c>
      <c r="I166">
        <v>36</v>
      </c>
      <c r="J166" t="s">
        <v>2279</v>
      </c>
      <c r="K166" t="s">
        <v>2279</v>
      </c>
      <c r="L166" t="s">
        <v>2279</v>
      </c>
      <c r="M166" t="s">
        <v>2279</v>
      </c>
      <c r="N166" t="s">
        <v>2279</v>
      </c>
      <c r="O166" s="190" t="str">
        <f>"["&amp;$C166&amp;"]["&amp;$D166&amp;"]["&amp;$F166&amp;"]"</f>
        <v>[S03_AircraftAnnex1Activities][2][NumberNonCommercialOperators]</v>
      </c>
    </row>
    <row r="167" spans="1:15" x14ac:dyDescent="0.3">
      <c r="A167" t="s">
        <v>2277</v>
      </c>
      <c r="B167" t="s">
        <v>1811</v>
      </c>
      <c r="C167" t="s">
        <v>1812</v>
      </c>
      <c r="D167">
        <v>3</v>
      </c>
      <c r="E167" t="s">
        <v>1447</v>
      </c>
      <c r="F167" t="s">
        <v>1814</v>
      </c>
      <c r="G167" t="s">
        <v>1748</v>
      </c>
      <c r="H167" t="s">
        <v>2279</v>
      </c>
      <c r="I167">
        <v>37</v>
      </c>
      <c r="J167" t="s">
        <v>2279</v>
      </c>
      <c r="K167" t="s">
        <v>2279</v>
      </c>
      <c r="L167" t="s">
        <v>2279</v>
      </c>
      <c r="M167" t="s">
        <v>2279</v>
      </c>
      <c r="N167" t="s">
        <v>2279</v>
      </c>
      <c r="O167" s="190" t="str">
        <f>"["&amp;$C167&amp;"]["&amp;$D167&amp;"]["&amp;$F167&amp;"]"</f>
        <v>[S03_AircraftAnnex1Activities][3][NumberNonCommercialOperators]</v>
      </c>
    </row>
    <row r="168" spans="1:15" x14ac:dyDescent="0.3">
      <c r="A168" t="s">
        <v>2277</v>
      </c>
      <c r="B168" t="s">
        <v>1811</v>
      </c>
      <c r="C168" t="s">
        <v>1812</v>
      </c>
      <c r="D168">
        <v>1</v>
      </c>
      <c r="E168" t="s">
        <v>1447</v>
      </c>
      <c r="F168" t="s">
        <v>1815</v>
      </c>
      <c r="G168" t="s">
        <v>1748</v>
      </c>
      <c r="H168" t="s">
        <v>2279</v>
      </c>
      <c r="I168">
        <v>39</v>
      </c>
      <c r="J168" t="s">
        <v>2279</v>
      </c>
      <c r="K168" t="s">
        <v>2279</v>
      </c>
      <c r="L168" t="s">
        <v>2279</v>
      </c>
      <c r="M168" t="s">
        <v>2279</v>
      </c>
      <c r="N168" t="s">
        <v>2279</v>
      </c>
      <c r="O168" s="190" t="str">
        <f>"["&amp;$C168&amp;"]["&amp;$D168&amp;"]["&amp;$F168&amp;"]"</f>
        <v>[S03_AircraftAnnex1Activities][1][NumberTotalOperators]</v>
      </c>
    </row>
    <row r="169" spans="1:15" x14ac:dyDescent="0.3">
      <c r="A169" t="s">
        <v>2277</v>
      </c>
      <c r="B169" t="s">
        <v>1811</v>
      </c>
      <c r="C169" t="s">
        <v>1812</v>
      </c>
      <c r="D169">
        <v>2</v>
      </c>
      <c r="E169" t="s">
        <v>1447</v>
      </c>
      <c r="F169" t="s">
        <v>1815</v>
      </c>
      <c r="G169" t="s">
        <v>1748</v>
      </c>
      <c r="H169" t="s">
        <v>2279</v>
      </c>
      <c r="I169">
        <v>44</v>
      </c>
      <c r="J169" t="s">
        <v>2279</v>
      </c>
      <c r="K169" t="s">
        <v>2279</v>
      </c>
      <c r="L169" t="s">
        <v>2279</v>
      </c>
      <c r="M169" t="s">
        <v>2279</v>
      </c>
      <c r="N169" t="s">
        <v>2279</v>
      </c>
      <c r="O169" s="190" t="str">
        <f>"["&amp;$C169&amp;"]["&amp;$D169&amp;"]["&amp;$F169&amp;"]"</f>
        <v>[S03_AircraftAnnex1Activities][2][NumberTotalOperators]</v>
      </c>
    </row>
    <row r="170" spans="1:15" x14ac:dyDescent="0.3">
      <c r="A170" t="s">
        <v>2277</v>
      </c>
      <c r="B170" t="s">
        <v>1811</v>
      </c>
      <c r="C170" t="s">
        <v>1812</v>
      </c>
      <c r="D170">
        <v>3</v>
      </c>
      <c r="E170" t="s">
        <v>1447</v>
      </c>
      <c r="F170" t="s">
        <v>1815</v>
      </c>
      <c r="G170" t="s">
        <v>1748</v>
      </c>
      <c r="H170" t="s">
        <v>2279</v>
      </c>
      <c r="I170">
        <v>83</v>
      </c>
      <c r="J170" t="s">
        <v>2279</v>
      </c>
      <c r="K170" t="s">
        <v>2279</v>
      </c>
      <c r="L170" t="s">
        <v>2279</v>
      </c>
      <c r="M170" t="s">
        <v>2279</v>
      </c>
      <c r="N170" t="s">
        <v>2279</v>
      </c>
      <c r="O170" s="190" t="str">
        <f>"["&amp;$C170&amp;"]["&amp;$D170&amp;"]["&amp;$F170&amp;"]"</f>
        <v>[S03_AircraftAnnex1Activities][3][NumberTotalOperators]</v>
      </c>
    </row>
    <row r="171" spans="1:15" x14ac:dyDescent="0.3">
      <c r="A171" t="s">
        <v>2277</v>
      </c>
      <c r="B171" t="s">
        <v>1816</v>
      </c>
      <c r="C171" t="s">
        <v>1817</v>
      </c>
      <c r="D171">
        <v>1</v>
      </c>
      <c r="E171" t="s">
        <v>1447</v>
      </c>
      <c r="F171" t="s">
        <v>1818</v>
      </c>
      <c r="G171" t="s">
        <v>1737</v>
      </c>
      <c r="H171" t="s">
        <v>2279</v>
      </c>
      <c r="I171" t="s">
        <v>2279</v>
      </c>
      <c r="J171" t="s">
        <v>2279</v>
      </c>
      <c r="K171" t="s">
        <v>2279</v>
      </c>
      <c r="L171" t="s">
        <v>1419</v>
      </c>
      <c r="M171" t="s">
        <v>2279</v>
      </c>
      <c r="N171" t="s">
        <v>2279</v>
      </c>
      <c r="O171" s="190" t="str">
        <f>"["&amp;$C171&amp;"]["&amp;$D171&amp;"]["&amp;$F171&amp;"]"</f>
        <v>[S04_IEDProcedureRequirementsIntegratedYes][1][IntegrationYesNo]</v>
      </c>
    </row>
    <row r="172" spans="1:15" x14ac:dyDescent="0.3">
      <c r="A172" t="s">
        <v>2277</v>
      </c>
      <c r="B172" t="s">
        <v>1816</v>
      </c>
      <c r="C172" t="s">
        <v>1817</v>
      </c>
      <c r="D172">
        <v>4</v>
      </c>
      <c r="E172" t="s">
        <v>1447</v>
      </c>
      <c r="F172" t="s">
        <v>1818</v>
      </c>
      <c r="G172" t="s">
        <v>1737</v>
      </c>
      <c r="H172" t="s">
        <v>2279</v>
      </c>
      <c r="I172" t="s">
        <v>2279</v>
      </c>
      <c r="J172" t="s">
        <v>2279</v>
      </c>
      <c r="K172" t="s">
        <v>2279</v>
      </c>
      <c r="L172" t="s">
        <v>1419</v>
      </c>
      <c r="M172" t="s">
        <v>2279</v>
      </c>
      <c r="N172" t="s">
        <v>2279</v>
      </c>
      <c r="O172" s="190" t="str">
        <f>"["&amp;$C172&amp;"]["&amp;$D172&amp;"]["&amp;$F172&amp;"]"</f>
        <v>[S04_IEDProcedureRequirementsIntegratedYes][4][IntegrationYesNo]</v>
      </c>
    </row>
    <row r="173" spans="1:15" x14ac:dyDescent="0.3">
      <c r="A173" t="s">
        <v>2277</v>
      </c>
      <c r="B173" t="s">
        <v>1816</v>
      </c>
      <c r="C173" t="s">
        <v>1817</v>
      </c>
      <c r="D173">
        <v>5</v>
      </c>
      <c r="E173" t="s">
        <v>1447</v>
      </c>
      <c r="F173" t="s">
        <v>1818</v>
      </c>
      <c r="G173" t="s">
        <v>1737</v>
      </c>
      <c r="H173" t="s">
        <v>2279</v>
      </c>
      <c r="I173" t="s">
        <v>2279</v>
      </c>
      <c r="J173" t="s">
        <v>2279</v>
      </c>
      <c r="K173" t="s">
        <v>2279</v>
      </c>
      <c r="L173" t="s">
        <v>1419</v>
      </c>
      <c r="M173" t="s">
        <v>2279</v>
      </c>
      <c r="N173" t="s">
        <v>2279</v>
      </c>
      <c r="O173" s="190" t="str">
        <f>"["&amp;$C173&amp;"]["&amp;$D173&amp;"]["&amp;$F173&amp;"]"</f>
        <v>[S04_IEDProcedureRequirementsIntegratedYes][5][IntegrationYesNo]</v>
      </c>
    </row>
    <row r="174" spans="1:15" x14ac:dyDescent="0.3">
      <c r="A174" t="s">
        <v>2277</v>
      </c>
      <c r="B174" t="s">
        <v>1816</v>
      </c>
      <c r="C174" t="s">
        <v>1817</v>
      </c>
      <c r="D174">
        <v>6</v>
      </c>
      <c r="E174" t="s">
        <v>1447</v>
      </c>
      <c r="F174" t="s">
        <v>1818</v>
      </c>
      <c r="G174" t="s">
        <v>1737</v>
      </c>
      <c r="H174" t="s">
        <v>2279</v>
      </c>
      <c r="I174" t="s">
        <v>2279</v>
      </c>
      <c r="J174" t="s">
        <v>2279</v>
      </c>
      <c r="K174" t="s">
        <v>2279</v>
      </c>
      <c r="L174" t="s">
        <v>1447</v>
      </c>
      <c r="M174" t="s">
        <v>2279</v>
      </c>
      <c r="N174" t="s">
        <v>2279</v>
      </c>
      <c r="O174" s="190" t="str">
        <f>"["&amp;$C174&amp;"]["&amp;$D174&amp;"]["&amp;$F174&amp;"]"</f>
        <v>[S04_IEDProcedureRequirementsIntegratedYes][6][IntegrationYesNo]</v>
      </c>
    </row>
    <row r="175" spans="1:15" x14ac:dyDescent="0.3">
      <c r="A175" t="s">
        <v>2277</v>
      </c>
      <c r="B175" t="s">
        <v>1816</v>
      </c>
      <c r="C175" t="s">
        <v>1817</v>
      </c>
      <c r="D175">
        <v>8</v>
      </c>
      <c r="E175" t="s">
        <v>1447</v>
      </c>
      <c r="F175" t="s">
        <v>1818</v>
      </c>
      <c r="G175" t="s">
        <v>1737</v>
      </c>
      <c r="H175" t="s">
        <v>2279</v>
      </c>
      <c r="I175" t="s">
        <v>2279</v>
      </c>
      <c r="J175" t="s">
        <v>2279</v>
      </c>
      <c r="K175" t="s">
        <v>2279</v>
      </c>
      <c r="L175" t="s">
        <v>1447</v>
      </c>
      <c r="M175" t="s">
        <v>2279</v>
      </c>
      <c r="N175" t="s">
        <v>2279</v>
      </c>
      <c r="O175" s="190" t="str">
        <f>"["&amp;$C175&amp;"]["&amp;$D175&amp;"]["&amp;$F175&amp;"]"</f>
        <v>[S04_IEDProcedureRequirementsIntegratedYes][8][IntegrationYesNo]</v>
      </c>
    </row>
    <row r="176" spans="1:15" x14ac:dyDescent="0.3">
      <c r="A176" t="s">
        <v>2277</v>
      </c>
      <c r="B176" t="s">
        <v>1820</v>
      </c>
      <c r="C176" t="s">
        <v>1821</v>
      </c>
      <c r="D176">
        <v>1</v>
      </c>
      <c r="E176" t="s">
        <v>1447</v>
      </c>
      <c r="F176" t="s">
        <v>1822</v>
      </c>
      <c r="G176" t="s">
        <v>1741</v>
      </c>
      <c r="H176" t="s">
        <v>2331</v>
      </c>
      <c r="I176" t="s">
        <v>2279</v>
      </c>
      <c r="J176" t="s">
        <v>2279</v>
      </c>
      <c r="K176" t="s">
        <v>2279</v>
      </c>
      <c r="L176" t="s">
        <v>2279</v>
      </c>
      <c r="M176" t="s">
        <v>2279</v>
      </c>
      <c r="N176" t="s">
        <v>2279</v>
      </c>
      <c r="O176" s="190" t="str">
        <f>"["&amp;$C176&amp;"]["&amp;$D176&amp;"]["&amp;$F176&amp;"]"</f>
        <v>[S04_NationalLawPermitUpdate][1][PermitUpdateNationalLawDetail]</v>
      </c>
    </row>
    <row r="177" spans="1:15" x14ac:dyDescent="0.3">
      <c r="A177" t="s">
        <v>2277</v>
      </c>
      <c r="B177" t="s">
        <v>1820</v>
      </c>
      <c r="C177" t="s">
        <v>1821</v>
      </c>
      <c r="D177">
        <v>2</v>
      </c>
      <c r="E177" t="s">
        <v>1447</v>
      </c>
      <c r="F177" t="s">
        <v>1822</v>
      </c>
      <c r="G177" t="s">
        <v>1741</v>
      </c>
      <c r="H177" t="s">
        <v>2332</v>
      </c>
      <c r="I177" t="s">
        <v>2279</v>
      </c>
      <c r="J177" t="s">
        <v>2279</v>
      </c>
      <c r="K177" t="s">
        <v>2279</v>
      </c>
      <c r="L177" t="s">
        <v>2279</v>
      </c>
      <c r="M177" t="s">
        <v>2279</v>
      </c>
      <c r="N177" t="s">
        <v>2279</v>
      </c>
      <c r="O177" s="190" t="str">
        <f>"["&amp;$C177&amp;"]["&amp;$D177&amp;"]["&amp;$F177&amp;"]"</f>
        <v>[S04_NationalLawPermitUpdate][2][PermitUpdateNationalLawDetail]</v>
      </c>
    </row>
    <row r="178" spans="1:15" x14ac:dyDescent="0.3">
      <c r="A178" t="s">
        <v>2277</v>
      </c>
      <c r="B178" t="s">
        <v>1820</v>
      </c>
      <c r="C178" t="s">
        <v>1821</v>
      </c>
      <c r="D178">
        <v>3</v>
      </c>
      <c r="E178" t="s">
        <v>1447</v>
      </c>
      <c r="F178" t="s">
        <v>1822</v>
      </c>
      <c r="G178" t="s">
        <v>1741</v>
      </c>
      <c r="H178" t="s">
        <v>2333</v>
      </c>
      <c r="I178" t="s">
        <v>2279</v>
      </c>
      <c r="J178" t="s">
        <v>2279</v>
      </c>
      <c r="K178" t="s">
        <v>2279</v>
      </c>
      <c r="L178" t="s">
        <v>2279</v>
      </c>
      <c r="M178" t="s">
        <v>2279</v>
      </c>
      <c r="N178" t="s">
        <v>2279</v>
      </c>
      <c r="O178" s="190" t="str">
        <f>"["&amp;$C178&amp;"]["&amp;$D178&amp;"]["&amp;$F178&amp;"]"</f>
        <v>[S04_NationalLawPermitUpdate][3][PermitUpdateNationalLawDetail]</v>
      </c>
    </row>
    <row r="179" spans="1:15" x14ac:dyDescent="0.3">
      <c r="A179" t="s">
        <v>2277</v>
      </c>
      <c r="B179" t="s">
        <v>1820</v>
      </c>
      <c r="C179" t="s">
        <v>1821</v>
      </c>
      <c r="D179">
        <v>4</v>
      </c>
      <c r="E179" t="s">
        <v>1447</v>
      </c>
      <c r="F179" t="s">
        <v>1822</v>
      </c>
      <c r="G179" t="s">
        <v>1741</v>
      </c>
      <c r="H179" t="s">
        <v>2333</v>
      </c>
      <c r="I179" t="s">
        <v>2279</v>
      </c>
      <c r="J179" t="s">
        <v>2279</v>
      </c>
      <c r="K179" t="s">
        <v>2279</v>
      </c>
      <c r="L179" t="s">
        <v>2279</v>
      </c>
      <c r="M179" t="s">
        <v>2279</v>
      </c>
      <c r="N179" t="s">
        <v>2279</v>
      </c>
      <c r="O179" s="190" t="str">
        <f>"["&amp;$C179&amp;"]["&amp;$D179&amp;"]["&amp;$F179&amp;"]"</f>
        <v>[S04_NationalLawPermitUpdate][4][PermitUpdateNationalLawDetail]</v>
      </c>
    </row>
    <row r="180" spans="1:15" x14ac:dyDescent="0.3">
      <c r="A180" t="s">
        <v>2277</v>
      </c>
      <c r="B180" t="s">
        <v>1820</v>
      </c>
      <c r="C180" t="s">
        <v>1821</v>
      </c>
      <c r="D180">
        <v>5</v>
      </c>
      <c r="E180" t="s">
        <v>1447</v>
      </c>
      <c r="F180" t="s">
        <v>1822</v>
      </c>
      <c r="G180" t="s">
        <v>1741</v>
      </c>
      <c r="H180" t="s">
        <v>2334</v>
      </c>
      <c r="I180" t="s">
        <v>2279</v>
      </c>
      <c r="J180" t="s">
        <v>2279</v>
      </c>
      <c r="K180" t="s">
        <v>2279</v>
      </c>
      <c r="L180" t="s">
        <v>2279</v>
      </c>
      <c r="M180" t="s">
        <v>2279</v>
      </c>
      <c r="N180" t="s">
        <v>2279</v>
      </c>
      <c r="O180" s="190" t="str">
        <f>"["&amp;$C180&amp;"]["&amp;$D180&amp;"]["&amp;$F180&amp;"]"</f>
        <v>[S04_NationalLawPermitUpdate][5][PermitUpdateNationalLawDetail]</v>
      </c>
    </row>
    <row r="181" spans="1:15" x14ac:dyDescent="0.3">
      <c r="A181" t="s">
        <v>2277</v>
      </c>
      <c r="B181" t="s">
        <v>1820</v>
      </c>
      <c r="C181" t="s">
        <v>1823</v>
      </c>
      <c r="D181">
        <v>0</v>
      </c>
      <c r="E181" t="s">
        <v>1447</v>
      </c>
      <c r="F181" t="s">
        <v>1823</v>
      </c>
      <c r="G181" t="s">
        <v>1748</v>
      </c>
      <c r="H181" t="s">
        <v>2279</v>
      </c>
      <c r="I181">
        <v>0</v>
      </c>
      <c r="J181" t="s">
        <v>2279</v>
      </c>
      <c r="K181" t="s">
        <v>2279</v>
      </c>
      <c r="L181" t="s">
        <v>2279</v>
      </c>
      <c r="M181" t="s">
        <v>2279</v>
      </c>
      <c r="N181" t="s">
        <v>2279</v>
      </c>
      <c r="O181" s="190" t="str">
        <f>"["&amp;$C181&amp;"]["&amp;$D181&amp;"]["&amp;$F181&amp;"]"</f>
        <v>[PermitUpdateTotalNumber][0][PermitUpdateTotalNumber]</v>
      </c>
    </row>
    <row r="182" spans="1:15" x14ac:dyDescent="0.3">
      <c r="A182" t="s">
        <v>2277</v>
      </c>
      <c r="B182" t="s">
        <v>1824</v>
      </c>
      <c r="C182" t="s">
        <v>1825</v>
      </c>
      <c r="D182">
        <v>0</v>
      </c>
      <c r="E182" t="s">
        <v>1447</v>
      </c>
      <c r="F182" t="s">
        <v>1825</v>
      </c>
      <c r="G182" t="s">
        <v>1759</v>
      </c>
      <c r="H182" t="s">
        <v>2279</v>
      </c>
      <c r="I182" t="s">
        <v>2279</v>
      </c>
      <c r="J182" t="s">
        <v>2279</v>
      </c>
      <c r="K182" t="s">
        <v>2279</v>
      </c>
      <c r="L182" t="s">
        <v>1419</v>
      </c>
      <c r="M182" t="s">
        <v>2279</v>
      </c>
      <c r="N182" t="s">
        <v>2279</v>
      </c>
      <c r="O182" s="190" t="str">
        <f>"["&amp;$C182&amp;"]["&amp;$D182&amp;"]["&amp;$F182&amp;"]"</f>
        <v>[AdditionalNationalLegislation][0][AdditionalNationalLegislation]</v>
      </c>
    </row>
    <row r="183" spans="1:15" x14ac:dyDescent="0.3">
      <c r="A183" t="s">
        <v>2277</v>
      </c>
      <c r="B183" t="s">
        <v>1824</v>
      </c>
      <c r="C183" t="s">
        <v>1826</v>
      </c>
      <c r="D183">
        <v>0</v>
      </c>
      <c r="E183" t="s">
        <v>1447</v>
      </c>
      <c r="F183" t="s">
        <v>1826</v>
      </c>
      <c r="G183" t="s">
        <v>1741</v>
      </c>
      <c r="H183" t="s">
        <v>2335</v>
      </c>
      <c r="I183" t="s">
        <v>2279</v>
      </c>
      <c r="J183" t="s">
        <v>2279</v>
      </c>
      <c r="K183" t="s">
        <v>2279</v>
      </c>
      <c r="L183" t="s">
        <v>2279</v>
      </c>
      <c r="M183" t="s">
        <v>2279</v>
      </c>
      <c r="N183" t="s">
        <v>2279</v>
      </c>
      <c r="O183" s="190" t="str">
        <f>"["&amp;$C183&amp;"]["&amp;$D183&amp;"]["&amp;$F183&amp;"]"</f>
        <v>[AdditionalNationalLegislationDetail][0][AdditionalNationalLegislationDetail]</v>
      </c>
    </row>
    <row r="184" spans="1:15" x14ac:dyDescent="0.3">
      <c r="A184" t="s">
        <v>2277</v>
      </c>
      <c r="B184" t="s">
        <v>1824</v>
      </c>
      <c r="C184" t="s">
        <v>1827</v>
      </c>
      <c r="D184">
        <v>0</v>
      </c>
      <c r="E184" t="s">
        <v>1447</v>
      </c>
      <c r="F184" t="s">
        <v>1827</v>
      </c>
      <c r="G184" t="s">
        <v>1759</v>
      </c>
      <c r="H184" t="s">
        <v>2279</v>
      </c>
      <c r="I184" t="s">
        <v>2279</v>
      </c>
      <c r="J184" t="s">
        <v>2279</v>
      </c>
      <c r="K184" t="s">
        <v>2279</v>
      </c>
      <c r="L184" t="s">
        <v>1419</v>
      </c>
      <c r="M184" t="s">
        <v>2279</v>
      </c>
      <c r="N184" t="s">
        <v>2279</v>
      </c>
      <c r="O184" s="190" t="str">
        <f>"["&amp;$C184&amp;"]["&amp;$D184&amp;"]["&amp;$F184&amp;"]"</f>
        <v>[AdditionalNationalGuidance][0][AdditionalNationalGuidance]</v>
      </c>
    </row>
    <row r="185" spans="1:15" x14ac:dyDescent="0.3">
      <c r="A185" t="s">
        <v>2277</v>
      </c>
      <c r="B185" t="s">
        <v>1824</v>
      </c>
      <c r="C185" t="s">
        <v>1828</v>
      </c>
      <c r="D185">
        <v>0</v>
      </c>
      <c r="E185" t="s">
        <v>1447</v>
      </c>
      <c r="F185" t="s">
        <v>1828</v>
      </c>
      <c r="G185" t="s">
        <v>1741</v>
      </c>
      <c r="H185" t="s">
        <v>2336</v>
      </c>
      <c r="I185" t="s">
        <v>2279</v>
      </c>
      <c r="J185" t="s">
        <v>2279</v>
      </c>
      <c r="K185" t="s">
        <v>2279</v>
      </c>
      <c r="L185" t="s">
        <v>2279</v>
      </c>
      <c r="M185" t="s">
        <v>2279</v>
      </c>
      <c r="N185" t="s">
        <v>2279</v>
      </c>
      <c r="O185" s="190" t="str">
        <f>"["&amp;$C185&amp;"]["&amp;$D185&amp;"]["&amp;$F185&amp;"]"</f>
        <v>[AdditionalNationalGuidanceDetail][0][AdditionalNationalGuidanceDetail]</v>
      </c>
    </row>
    <row r="186" spans="1:15" x14ac:dyDescent="0.3">
      <c r="A186" t="s">
        <v>2277</v>
      </c>
      <c r="B186" t="s">
        <v>1829</v>
      </c>
      <c r="C186" t="s">
        <v>1830</v>
      </c>
      <c r="D186">
        <v>1</v>
      </c>
      <c r="E186" t="s">
        <v>1447</v>
      </c>
      <c r="F186" t="s">
        <v>1831</v>
      </c>
      <c r="G186" t="s">
        <v>1759</v>
      </c>
      <c r="H186" t="s">
        <v>2279</v>
      </c>
      <c r="I186" t="s">
        <v>2279</v>
      </c>
      <c r="J186" t="s">
        <v>2279</v>
      </c>
      <c r="K186" t="s">
        <v>2279</v>
      </c>
      <c r="L186" t="s">
        <v>1419</v>
      </c>
      <c r="M186" t="s">
        <v>2279</v>
      </c>
      <c r="N186" t="s">
        <v>2279</v>
      </c>
      <c r="O186" s="190" t="str">
        <f>"["&amp;$C186&amp;"]["&amp;$D186&amp;"]["&amp;$F186&amp;"]"</f>
        <v>[MeasuresStreamline][1][MeasuresStreamlineYesNo]</v>
      </c>
    </row>
    <row r="187" spans="1:15" x14ac:dyDescent="0.3">
      <c r="A187" t="s">
        <v>2277</v>
      </c>
      <c r="B187" t="s">
        <v>1829</v>
      </c>
      <c r="C187" t="s">
        <v>1830</v>
      </c>
      <c r="D187">
        <v>2</v>
      </c>
      <c r="E187" t="s">
        <v>1447</v>
      </c>
      <c r="F187" t="s">
        <v>1831</v>
      </c>
      <c r="G187" t="s">
        <v>1759</v>
      </c>
      <c r="H187" t="s">
        <v>2279</v>
      </c>
      <c r="I187" t="s">
        <v>2279</v>
      </c>
      <c r="J187" t="s">
        <v>2279</v>
      </c>
      <c r="K187" t="s">
        <v>2279</v>
      </c>
      <c r="L187" t="s">
        <v>1419</v>
      </c>
      <c r="M187" t="s">
        <v>2279</v>
      </c>
      <c r="N187" t="s">
        <v>2279</v>
      </c>
      <c r="O187" s="190" t="str">
        <f>"["&amp;$C187&amp;"]["&amp;$D187&amp;"]["&amp;$F187&amp;"]"</f>
        <v>[MeasuresStreamline][2][MeasuresStreamlineYesNo]</v>
      </c>
    </row>
    <row r="188" spans="1:15" x14ac:dyDescent="0.3">
      <c r="A188" t="s">
        <v>2277</v>
      </c>
      <c r="B188" t="s">
        <v>1829</v>
      </c>
      <c r="C188" t="s">
        <v>1830</v>
      </c>
      <c r="D188">
        <v>3</v>
      </c>
      <c r="E188" t="s">
        <v>1447</v>
      </c>
      <c r="F188" t="s">
        <v>1831</v>
      </c>
      <c r="G188" t="s">
        <v>1759</v>
      </c>
      <c r="H188" t="s">
        <v>2279</v>
      </c>
      <c r="I188" t="s">
        <v>2279</v>
      </c>
      <c r="J188" t="s">
        <v>2279</v>
      </c>
      <c r="K188" t="s">
        <v>2279</v>
      </c>
      <c r="L188" t="s">
        <v>1419</v>
      </c>
      <c r="M188" t="s">
        <v>2279</v>
      </c>
      <c r="N188" t="s">
        <v>2279</v>
      </c>
      <c r="O188" s="190" t="str">
        <f>"["&amp;$C188&amp;"]["&amp;$D188&amp;"]["&amp;$F188&amp;"]"</f>
        <v>[MeasuresStreamline][3][MeasuresStreamlineYesNo]</v>
      </c>
    </row>
    <row r="189" spans="1:15" x14ac:dyDescent="0.3">
      <c r="A189" t="s">
        <v>2277</v>
      </c>
      <c r="B189" t="s">
        <v>1829</v>
      </c>
      <c r="C189" t="s">
        <v>1830</v>
      </c>
      <c r="D189">
        <v>4</v>
      </c>
      <c r="E189" t="s">
        <v>1447</v>
      </c>
      <c r="F189" t="s">
        <v>1831</v>
      </c>
      <c r="G189" t="s">
        <v>1759</v>
      </c>
      <c r="H189" t="s">
        <v>2279</v>
      </c>
      <c r="I189" t="s">
        <v>2279</v>
      </c>
      <c r="J189" t="s">
        <v>2279</v>
      </c>
      <c r="K189" t="s">
        <v>2279</v>
      </c>
      <c r="L189" t="s">
        <v>1419</v>
      </c>
      <c r="M189" t="s">
        <v>2279</v>
      </c>
      <c r="N189" t="s">
        <v>2279</v>
      </c>
      <c r="O189" s="190" t="str">
        <f>"["&amp;$C189&amp;"]["&amp;$D189&amp;"]["&amp;$F189&amp;"]"</f>
        <v>[MeasuresStreamline][4][MeasuresStreamlineYesNo]</v>
      </c>
    </row>
    <row r="190" spans="1:15" x14ac:dyDescent="0.3">
      <c r="A190" t="s">
        <v>2277</v>
      </c>
      <c r="B190" t="s">
        <v>1829</v>
      </c>
      <c r="C190" t="s">
        <v>1830</v>
      </c>
      <c r="D190">
        <v>5</v>
      </c>
      <c r="E190" t="s">
        <v>1447</v>
      </c>
      <c r="F190" t="s">
        <v>1831</v>
      </c>
      <c r="G190" t="s">
        <v>1759</v>
      </c>
      <c r="H190" t="s">
        <v>2279</v>
      </c>
      <c r="I190" t="s">
        <v>2279</v>
      </c>
      <c r="J190" t="s">
        <v>2279</v>
      </c>
      <c r="K190" t="s">
        <v>2279</v>
      </c>
      <c r="L190" t="s">
        <v>1419</v>
      </c>
      <c r="M190" t="s">
        <v>2279</v>
      </c>
      <c r="N190" t="s">
        <v>2279</v>
      </c>
      <c r="O190" s="190" t="str">
        <f>"["&amp;$C190&amp;"]["&amp;$D190&amp;"]["&amp;$F190&amp;"]"</f>
        <v>[MeasuresStreamline][5][MeasuresStreamlineYesNo]</v>
      </c>
    </row>
    <row r="191" spans="1:15" x14ac:dyDescent="0.3">
      <c r="A191" t="s">
        <v>2277</v>
      </c>
      <c r="B191" t="s">
        <v>1829</v>
      </c>
      <c r="C191" t="s">
        <v>1830</v>
      </c>
      <c r="D191">
        <v>6</v>
      </c>
      <c r="E191" t="s">
        <v>1447</v>
      </c>
      <c r="F191" t="s">
        <v>1831</v>
      </c>
      <c r="G191" t="s">
        <v>1759</v>
      </c>
      <c r="H191" t="s">
        <v>2279</v>
      </c>
      <c r="I191" t="s">
        <v>2279</v>
      </c>
      <c r="J191" t="s">
        <v>2279</v>
      </c>
      <c r="K191" t="s">
        <v>2279</v>
      </c>
      <c r="L191" t="s">
        <v>1419</v>
      </c>
      <c r="M191" t="s">
        <v>2279</v>
      </c>
      <c r="N191" t="s">
        <v>2279</v>
      </c>
      <c r="O191" s="190" t="str">
        <f>"["&amp;$C191&amp;"]["&amp;$D191&amp;"]["&amp;$F191&amp;"]"</f>
        <v>[MeasuresStreamline][6][MeasuresStreamlineYesNo]</v>
      </c>
    </row>
    <row r="192" spans="1:15" x14ac:dyDescent="0.3">
      <c r="A192" t="s">
        <v>2277</v>
      </c>
      <c r="B192" t="s">
        <v>1829</v>
      </c>
      <c r="C192" t="s">
        <v>1830</v>
      </c>
      <c r="D192">
        <v>1</v>
      </c>
      <c r="E192" t="s">
        <v>1447</v>
      </c>
      <c r="F192" t="s">
        <v>1832</v>
      </c>
      <c r="G192" t="s">
        <v>1791</v>
      </c>
      <c r="H192" t="s">
        <v>2279</v>
      </c>
      <c r="I192" t="s">
        <v>2279</v>
      </c>
      <c r="J192" t="s">
        <v>2279</v>
      </c>
      <c r="K192" t="s">
        <v>2337</v>
      </c>
      <c r="L192" t="s">
        <v>2279</v>
      </c>
      <c r="M192" t="s">
        <v>2279</v>
      </c>
      <c r="N192" t="s">
        <v>2279</v>
      </c>
      <c r="O192" s="190" t="str">
        <f>"["&amp;$C192&amp;"]["&amp;$D192&amp;"]["&amp;$F192&amp;"]"</f>
        <v>[MeasuresStreamline][1][MeasuresStreamlineComments]</v>
      </c>
    </row>
    <row r="193" spans="1:15" x14ac:dyDescent="0.3">
      <c r="A193" t="s">
        <v>2277</v>
      </c>
      <c r="B193" t="s">
        <v>1829</v>
      </c>
      <c r="C193" t="s">
        <v>1830</v>
      </c>
      <c r="D193">
        <v>2</v>
      </c>
      <c r="E193" t="s">
        <v>1447</v>
      </c>
      <c r="F193" t="s">
        <v>1832</v>
      </c>
      <c r="G193" t="s">
        <v>1791</v>
      </c>
      <c r="H193" t="s">
        <v>2279</v>
      </c>
      <c r="I193" t="s">
        <v>2279</v>
      </c>
      <c r="J193" t="s">
        <v>2279</v>
      </c>
      <c r="K193" t="s">
        <v>2338</v>
      </c>
      <c r="L193" t="s">
        <v>2279</v>
      </c>
      <c r="M193" t="s">
        <v>2279</v>
      </c>
      <c r="N193" t="s">
        <v>2279</v>
      </c>
      <c r="O193" s="190" t="str">
        <f>"["&amp;$C193&amp;"]["&amp;$D193&amp;"]["&amp;$F193&amp;"]"</f>
        <v>[MeasuresStreamline][2][MeasuresStreamlineComments]</v>
      </c>
    </row>
    <row r="194" spans="1:15" x14ac:dyDescent="0.3">
      <c r="A194" t="s">
        <v>2277</v>
      </c>
      <c r="B194" t="s">
        <v>1829</v>
      </c>
      <c r="C194" t="s">
        <v>1830</v>
      </c>
      <c r="D194">
        <v>3</v>
      </c>
      <c r="E194" t="s">
        <v>1447</v>
      </c>
      <c r="F194" t="s">
        <v>1832</v>
      </c>
      <c r="G194" t="s">
        <v>1791</v>
      </c>
      <c r="H194" t="s">
        <v>2279</v>
      </c>
      <c r="I194" t="s">
        <v>2279</v>
      </c>
      <c r="J194" t="s">
        <v>2279</v>
      </c>
      <c r="K194" t="s">
        <v>2339</v>
      </c>
      <c r="L194" t="s">
        <v>2279</v>
      </c>
      <c r="M194" t="s">
        <v>2279</v>
      </c>
      <c r="N194" t="s">
        <v>2279</v>
      </c>
      <c r="O194" s="190" t="str">
        <f>"["&amp;$C194&amp;"]["&amp;$D194&amp;"]["&amp;$F194&amp;"]"</f>
        <v>[MeasuresStreamline][3][MeasuresStreamlineComments]</v>
      </c>
    </row>
    <row r="195" spans="1:15" x14ac:dyDescent="0.3">
      <c r="A195" t="s">
        <v>2277</v>
      </c>
      <c r="B195" t="s">
        <v>1829</v>
      </c>
      <c r="C195" t="s">
        <v>1830</v>
      </c>
      <c r="D195">
        <v>4</v>
      </c>
      <c r="E195" t="s">
        <v>1447</v>
      </c>
      <c r="F195" t="s">
        <v>1832</v>
      </c>
      <c r="G195" t="s">
        <v>1791</v>
      </c>
      <c r="H195" t="s">
        <v>2279</v>
      </c>
      <c r="I195" t="s">
        <v>2279</v>
      </c>
      <c r="J195" t="s">
        <v>2279</v>
      </c>
      <c r="K195" t="s">
        <v>2340</v>
      </c>
      <c r="L195" t="s">
        <v>2279</v>
      </c>
      <c r="M195" t="s">
        <v>2279</v>
      </c>
      <c r="N195" t="s">
        <v>2279</v>
      </c>
      <c r="O195" s="190" t="str">
        <f>"["&amp;$C195&amp;"]["&amp;$D195&amp;"]["&amp;$F195&amp;"]"</f>
        <v>[MeasuresStreamline][4][MeasuresStreamlineComments]</v>
      </c>
    </row>
    <row r="196" spans="1:15" x14ac:dyDescent="0.3">
      <c r="A196" t="s">
        <v>2277</v>
      </c>
      <c r="B196" t="s">
        <v>1829</v>
      </c>
      <c r="C196" t="s">
        <v>1830</v>
      </c>
      <c r="D196">
        <v>5</v>
      </c>
      <c r="E196" t="s">
        <v>1447</v>
      </c>
      <c r="F196" t="s">
        <v>1832</v>
      </c>
      <c r="G196" t="s">
        <v>1791</v>
      </c>
      <c r="H196" t="s">
        <v>2279</v>
      </c>
      <c r="I196" t="s">
        <v>2279</v>
      </c>
      <c r="J196" t="s">
        <v>2279</v>
      </c>
      <c r="K196" t="s">
        <v>2341</v>
      </c>
      <c r="L196" t="s">
        <v>2279</v>
      </c>
      <c r="M196" t="s">
        <v>2279</v>
      </c>
      <c r="N196" t="s">
        <v>2279</v>
      </c>
      <c r="O196" s="190" t="str">
        <f>"["&amp;$C196&amp;"]["&amp;$D196&amp;"]["&amp;$F196&amp;"]"</f>
        <v>[MeasuresStreamline][5][MeasuresStreamlineComments]</v>
      </c>
    </row>
    <row r="197" spans="1:15" x14ac:dyDescent="0.3">
      <c r="A197" t="s">
        <v>2277</v>
      </c>
      <c r="B197" t="s">
        <v>1829</v>
      </c>
      <c r="C197" t="s">
        <v>1830</v>
      </c>
      <c r="D197">
        <v>6</v>
      </c>
      <c r="E197" t="s">
        <v>1447</v>
      </c>
      <c r="F197" t="s">
        <v>1832</v>
      </c>
      <c r="G197" t="s">
        <v>1791</v>
      </c>
      <c r="H197" t="s">
        <v>2279</v>
      </c>
      <c r="I197" t="s">
        <v>2279</v>
      </c>
      <c r="J197" t="s">
        <v>2279</v>
      </c>
      <c r="K197" t="s">
        <v>2342</v>
      </c>
      <c r="L197" t="s">
        <v>2279</v>
      </c>
      <c r="M197" t="s">
        <v>2279</v>
      </c>
      <c r="N197" t="s">
        <v>2279</v>
      </c>
      <c r="O197" s="190" t="str">
        <f>"["&amp;$C197&amp;"]["&amp;$D197&amp;"]["&amp;$F197&amp;"]"</f>
        <v>[MeasuresStreamline][6][MeasuresStreamlineComments]</v>
      </c>
    </row>
    <row r="198" spans="1:15" x14ac:dyDescent="0.3">
      <c r="A198" t="s">
        <v>2277</v>
      </c>
      <c r="B198" t="s">
        <v>1833</v>
      </c>
      <c r="C198" t="s">
        <v>1834</v>
      </c>
      <c r="D198">
        <v>0</v>
      </c>
      <c r="E198" t="s">
        <v>1447</v>
      </c>
      <c r="F198" t="s">
        <v>1834</v>
      </c>
      <c r="G198" t="s">
        <v>1759</v>
      </c>
      <c r="H198" t="s">
        <v>2279</v>
      </c>
      <c r="I198" t="s">
        <v>2279</v>
      </c>
      <c r="J198" t="s">
        <v>2279</v>
      </c>
      <c r="K198" t="s">
        <v>2279</v>
      </c>
      <c r="L198" t="s">
        <v>1419</v>
      </c>
      <c r="M198" t="s">
        <v>2279</v>
      </c>
      <c r="N198" t="s">
        <v>2279</v>
      </c>
      <c r="O198" s="190" t="str">
        <f>"["&amp;$C198&amp;"]["&amp;$D198&amp;"]["&amp;$F198&amp;"]"</f>
        <v>[CommissionTemplatesMRR][0][CommissionTemplatesMRR]</v>
      </c>
    </row>
    <row r="199" spans="1:15" x14ac:dyDescent="0.3">
      <c r="A199" t="s">
        <v>2277</v>
      </c>
      <c r="B199" t="s">
        <v>1833</v>
      </c>
      <c r="C199" t="s">
        <v>1839</v>
      </c>
      <c r="D199">
        <v>0</v>
      </c>
      <c r="E199" t="s">
        <v>1447</v>
      </c>
      <c r="F199" t="s">
        <v>1839</v>
      </c>
      <c r="G199" t="s">
        <v>1741</v>
      </c>
      <c r="H199" t="s">
        <v>2343</v>
      </c>
      <c r="I199" t="s">
        <v>2279</v>
      </c>
      <c r="J199" t="s">
        <v>2279</v>
      </c>
      <c r="K199" t="s">
        <v>2279</v>
      </c>
      <c r="L199" t="s">
        <v>2279</v>
      </c>
      <c r="M199" t="s">
        <v>2279</v>
      </c>
      <c r="N199" t="s">
        <v>2279</v>
      </c>
      <c r="O199" s="190" t="str">
        <f>"["&amp;$C199&amp;"]["&amp;$D199&amp;"]["&amp;$F199&amp;"]"</f>
        <v>[ComplyMeasuresArt74][0][ComplyMeasuresArt74]</v>
      </c>
    </row>
    <row r="200" spans="1:15" x14ac:dyDescent="0.3">
      <c r="A200" t="s">
        <v>2277</v>
      </c>
      <c r="B200" t="s">
        <v>1840</v>
      </c>
      <c r="C200" t="s">
        <v>1841</v>
      </c>
      <c r="D200">
        <v>0</v>
      </c>
      <c r="E200" t="s">
        <v>1447</v>
      </c>
      <c r="F200" t="s">
        <v>1841</v>
      </c>
      <c r="G200" t="s">
        <v>1759</v>
      </c>
      <c r="H200" t="s">
        <v>2279</v>
      </c>
      <c r="I200" t="s">
        <v>2279</v>
      </c>
      <c r="J200" t="s">
        <v>2279</v>
      </c>
      <c r="K200" t="s">
        <v>2279</v>
      </c>
      <c r="L200" t="s">
        <v>1419</v>
      </c>
      <c r="M200" t="s">
        <v>2279</v>
      </c>
      <c r="N200" t="s">
        <v>2279</v>
      </c>
      <c r="O200" s="190" t="str">
        <f>"["&amp;$C200&amp;"]["&amp;$D200&amp;"]["&amp;$F200&amp;"]"</f>
        <v>[AutomatedSystemInformationExchange][0][AutomatedSystemInformationExchange]</v>
      </c>
    </row>
    <row r="201" spans="1:15" x14ac:dyDescent="0.3">
      <c r="A201" t="s">
        <v>2277</v>
      </c>
      <c r="B201" t="s">
        <v>1840</v>
      </c>
      <c r="C201" t="s">
        <v>1842</v>
      </c>
      <c r="D201">
        <v>0</v>
      </c>
      <c r="E201" t="s">
        <v>1447</v>
      </c>
      <c r="F201" t="s">
        <v>1842</v>
      </c>
      <c r="G201" t="s">
        <v>1741</v>
      </c>
      <c r="H201" t="s">
        <v>2344</v>
      </c>
      <c r="I201" t="s">
        <v>2279</v>
      </c>
      <c r="J201" t="s">
        <v>2279</v>
      </c>
      <c r="K201" t="s">
        <v>2279</v>
      </c>
      <c r="L201" t="s">
        <v>2279</v>
      </c>
      <c r="M201" t="s">
        <v>2279</v>
      </c>
      <c r="N201" t="s">
        <v>2279</v>
      </c>
      <c r="O201" s="190" t="str">
        <f>"["&amp;$C201&amp;"]["&amp;$D201&amp;"]["&amp;$F201&amp;"]"</f>
        <v>[ComplyRequirementsArt75][0][ComplyRequirementsArt75]</v>
      </c>
    </row>
    <row r="202" spans="1:15" x14ac:dyDescent="0.3">
      <c r="A202" t="s">
        <v>2277</v>
      </c>
      <c r="B202" t="s">
        <v>1843</v>
      </c>
      <c r="C202" t="s">
        <v>1844</v>
      </c>
      <c r="D202">
        <v>1</v>
      </c>
      <c r="E202" t="s">
        <v>1447</v>
      </c>
      <c r="F202" t="s">
        <v>1845</v>
      </c>
      <c r="G202" t="s">
        <v>1806</v>
      </c>
      <c r="H202" t="s">
        <v>2279</v>
      </c>
      <c r="I202" t="s">
        <v>2279</v>
      </c>
      <c r="J202">
        <v>75914.455839682298</v>
      </c>
      <c r="K202" t="s">
        <v>2279</v>
      </c>
      <c r="L202" t="s">
        <v>2279</v>
      </c>
      <c r="M202" t="s">
        <v>2279</v>
      </c>
      <c r="N202" t="s">
        <v>2279</v>
      </c>
      <c r="O202" s="190" t="str">
        <f>"["&amp;$C202&amp;"]["&amp;$D202&amp;"]["&amp;$F202&amp;"]"</f>
        <v>[S05_InstallationFuelConsEmissions][1][FuelConsumption]</v>
      </c>
    </row>
    <row r="203" spans="1:15" x14ac:dyDescent="0.3">
      <c r="A203" t="s">
        <v>2277</v>
      </c>
      <c r="B203" t="s">
        <v>1843</v>
      </c>
      <c r="C203" t="s">
        <v>1844</v>
      </c>
      <c r="D203">
        <v>2</v>
      </c>
      <c r="E203" t="s">
        <v>1447</v>
      </c>
      <c r="F203" t="s">
        <v>1845</v>
      </c>
      <c r="G203" t="s">
        <v>1806</v>
      </c>
      <c r="H203" t="s">
        <v>2279</v>
      </c>
      <c r="I203" t="s">
        <v>2279</v>
      </c>
      <c r="J203">
        <v>1508.81994414163</v>
      </c>
      <c r="K203" t="s">
        <v>2279</v>
      </c>
      <c r="L203" t="s">
        <v>2279</v>
      </c>
      <c r="M203" t="s">
        <v>2279</v>
      </c>
      <c r="N203" t="s">
        <v>2279</v>
      </c>
      <c r="O203" s="190" t="str">
        <f>"["&amp;$C203&amp;"]["&amp;$D203&amp;"]["&amp;$F203&amp;"]"</f>
        <v>[S05_InstallationFuelConsEmissions][2][FuelConsumption]</v>
      </c>
    </row>
    <row r="204" spans="1:15" x14ac:dyDescent="0.3">
      <c r="A204" t="s">
        <v>2277</v>
      </c>
      <c r="B204" t="s">
        <v>1843</v>
      </c>
      <c r="C204" t="s">
        <v>1844</v>
      </c>
      <c r="D204">
        <v>3</v>
      </c>
      <c r="E204" t="s">
        <v>1447</v>
      </c>
      <c r="F204" t="s">
        <v>1845</v>
      </c>
      <c r="G204" t="s">
        <v>1806</v>
      </c>
      <c r="H204" t="s">
        <v>2279</v>
      </c>
      <c r="I204" t="s">
        <v>2279</v>
      </c>
      <c r="J204">
        <v>0</v>
      </c>
      <c r="K204" t="s">
        <v>2279</v>
      </c>
      <c r="L204" t="s">
        <v>2279</v>
      </c>
      <c r="M204" t="s">
        <v>2279</v>
      </c>
      <c r="N204" t="s">
        <v>2279</v>
      </c>
      <c r="O204" s="190" t="str">
        <f>"["&amp;$C204&amp;"]["&amp;$D204&amp;"]["&amp;$F204&amp;"]"</f>
        <v>[S05_InstallationFuelConsEmissions][3][FuelConsumption]</v>
      </c>
    </row>
    <row r="205" spans="1:15" x14ac:dyDescent="0.3">
      <c r="A205" t="s">
        <v>2277</v>
      </c>
      <c r="B205" t="s">
        <v>1843</v>
      </c>
      <c r="C205" t="s">
        <v>1844</v>
      </c>
      <c r="D205">
        <v>4</v>
      </c>
      <c r="E205" t="s">
        <v>1447</v>
      </c>
      <c r="F205" t="s">
        <v>1845</v>
      </c>
      <c r="G205" t="s">
        <v>1806</v>
      </c>
      <c r="H205" t="s">
        <v>2279</v>
      </c>
      <c r="I205" t="s">
        <v>2279</v>
      </c>
      <c r="J205">
        <v>5905.7779993966597</v>
      </c>
      <c r="K205" t="s">
        <v>2279</v>
      </c>
      <c r="L205" t="s">
        <v>2279</v>
      </c>
      <c r="M205" t="s">
        <v>2279</v>
      </c>
      <c r="N205" t="s">
        <v>2279</v>
      </c>
      <c r="O205" s="190" t="str">
        <f>"["&amp;$C205&amp;"]["&amp;$D205&amp;"]["&amp;$F205&amp;"]"</f>
        <v>[S05_InstallationFuelConsEmissions][4][FuelConsumption]</v>
      </c>
    </row>
    <row r="206" spans="1:15" x14ac:dyDescent="0.3">
      <c r="A206" t="s">
        <v>2277</v>
      </c>
      <c r="B206" t="s">
        <v>1843</v>
      </c>
      <c r="C206" t="s">
        <v>1844</v>
      </c>
      <c r="D206">
        <v>5</v>
      </c>
      <c r="E206" t="s">
        <v>1447</v>
      </c>
      <c r="F206" t="s">
        <v>1845</v>
      </c>
      <c r="G206" t="s">
        <v>1806</v>
      </c>
      <c r="H206" t="s">
        <v>2279</v>
      </c>
      <c r="I206" t="s">
        <v>2279</v>
      </c>
      <c r="J206">
        <v>550331.43483401695</v>
      </c>
      <c r="K206" t="s">
        <v>2279</v>
      </c>
      <c r="L206" t="s">
        <v>2279</v>
      </c>
      <c r="M206" t="s">
        <v>2279</v>
      </c>
      <c r="N206" t="s">
        <v>2279</v>
      </c>
      <c r="O206" s="190" t="str">
        <f>"["&amp;$C206&amp;"]["&amp;$D206&amp;"]["&amp;$F206&amp;"]"</f>
        <v>[S05_InstallationFuelConsEmissions][5][FuelConsumption]</v>
      </c>
    </row>
    <row r="207" spans="1:15" x14ac:dyDescent="0.3">
      <c r="A207" t="s">
        <v>2277</v>
      </c>
      <c r="B207" t="s">
        <v>1843</v>
      </c>
      <c r="C207" t="s">
        <v>1844</v>
      </c>
      <c r="D207">
        <v>6</v>
      </c>
      <c r="E207" t="s">
        <v>1447</v>
      </c>
      <c r="F207" t="s">
        <v>1845</v>
      </c>
      <c r="G207" t="s">
        <v>1806</v>
      </c>
      <c r="H207" t="s">
        <v>2279</v>
      </c>
      <c r="I207" t="s">
        <v>2279</v>
      </c>
      <c r="J207">
        <v>1200.8468611000001</v>
      </c>
      <c r="K207" t="s">
        <v>2279</v>
      </c>
      <c r="L207" t="s">
        <v>2279</v>
      </c>
      <c r="M207" t="s">
        <v>2279</v>
      </c>
      <c r="N207" t="s">
        <v>2279</v>
      </c>
      <c r="O207" s="190" t="str">
        <f>"["&amp;$C207&amp;"]["&amp;$D207&amp;"]["&amp;$F207&amp;"]"</f>
        <v>[S05_InstallationFuelConsEmissions][6][FuelConsumption]</v>
      </c>
    </row>
    <row r="208" spans="1:15" x14ac:dyDescent="0.3">
      <c r="A208" t="s">
        <v>2277</v>
      </c>
      <c r="B208" t="s">
        <v>1843</v>
      </c>
      <c r="C208" t="s">
        <v>1844</v>
      </c>
      <c r="D208">
        <v>7</v>
      </c>
      <c r="E208" t="s">
        <v>1447</v>
      </c>
      <c r="F208" t="s">
        <v>1845</v>
      </c>
      <c r="G208" t="s">
        <v>1806</v>
      </c>
      <c r="H208" t="s">
        <v>2279</v>
      </c>
      <c r="I208" t="s">
        <v>2279</v>
      </c>
      <c r="J208">
        <v>14684.493015</v>
      </c>
      <c r="K208" t="s">
        <v>2279</v>
      </c>
      <c r="L208" t="s">
        <v>2279</v>
      </c>
      <c r="M208" t="s">
        <v>2279</v>
      </c>
      <c r="N208" t="s">
        <v>2279</v>
      </c>
      <c r="O208" s="190" t="str">
        <f>"["&amp;$C208&amp;"]["&amp;$D208&amp;"]["&amp;$F208&amp;"]"</f>
        <v>[S05_InstallationFuelConsEmissions][7][FuelConsumption]</v>
      </c>
    </row>
    <row r="209" spans="1:15" x14ac:dyDescent="0.3">
      <c r="A209" t="s">
        <v>2277</v>
      </c>
      <c r="B209" t="s">
        <v>1843</v>
      </c>
      <c r="C209" t="s">
        <v>1844</v>
      </c>
      <c r="D209">
        <v>8</v>
      </c>
      <c r="E209" t="s">
        <v>1447</v>
      </c>
      <c r="F209" t="s">
        <v>1845</v>
      </c>
      <c r="G209" t="s">
        <v>1806</v>
      </c>
      <c r="H209" t="s">
        <v>2279</v>
      </c>
      <c r="I209" t="s">
        <v>2279</v>
      </c>
      <c r="J209">
        <v>94500.253937769099</v>
      </c>
      <c r="K209" t="s">
        <v>2279</v>
      </c>
      <c r="L209" t="s">
        <v>2279</v>
      </c>
      <c r="M209" t="s">
        <v>2279</v>
      </c>
      <c r="N209" t="s">
        <v>2279</v>
      </c>
      <c r="O209" s="190" t="str">
        <f>"["&amp;$C209&amp;"]["&amp;$D209&amp;"]["&amp;$F209&amp;"]"</f>
        <v>[S05_InstallationFuelConsEmissions][8][FuelConsumption]</v>
      </c>
    </row>
    <row r="210" spans="1:15" x14ac:dyDescent="0.3">
      <c r="A210" t="s">
        <v>2277</v>
      </c>
      <c r="B210" t="s">
        <v>1843</v>
      </c>
      <c r="C210" t="s">
        <v>1844</v>
      </c>
      <c r="D210">
        <v>9</v>
      </c>
      <c r="E210" t="s">
        <v>1447</v>
      </c>
      <c r="F210" t="s">
        <v>1845</v>
      </c>
      <c r="G210" t="s">
        <v>1806</v>
      </c>
      <c r="H210" t="s">
        <v>2279</v>
      </c>
      <c r="I210" t="s">
        <v>2279</v>
      </c>
      <c r="J210">
        <v>33963.559962707703</v>
      </c>
      <c r="K210" t="s">
        <v>2279</v>
      </c>
      <c r="L210" t="s">
        <v>2279</v>
      </c>
      <c r="M210" t="s">
        <v>2279</v>
      </c>
      <c r="N210" t="s">
        <v>2279</v>
      </c>
      <c r="O210" s="190" t="str">
        <f>"["&amp;$C210&amp;"]["&amp;$D210&amp;"]["&amp;$F210&amp;"]"</f>
        <v>[S05_InstallationFuelConsEmissions][9][FuelConsumption]</v>
      </c>
    </row>
    <row r="211" spans="1:15" x14ac:dyDescent="0.3">
      <c r="A211" t="s">
        <v>2277</v>
      </c>
      <c r="B211" t="s">
        <v>1843</v>
      </c>
      <c r="C211" t="s">
        <v>1844</v>
      </c>
      <c r="D211">
        <v>10</v>
      </c>
      <c r="E211" t="s">
        <v>1447</v>
      </c>
      <c r="F211" t="s">
        <v>1845</v>
      </c>
      <c r="G211" t="s">
        <v>1806</v>
      </c>
      <c r="H211" t="s">
        <v>2279</v>
      </c>
      <c r="I211" t="s">
        <v>2279</v>
      </c>
      <c r="J211">
        <v>1210.49998833365</v>
      </c>
      <c r="K211" t="s">
        <v>2279</v>
      </c>
      <c r="L211" t="s">
        <v>2279</v>
      </c>
      <c r="M211" t="s">
        <v>2279</v>
      </c>
      <c r="N211" t="s">
        <v>2279</v>
      </c>
      <c r="O211" s="190" t="str">
        <f>"["&amp;$C211&amp;"]["&amp;$D211&amp;"]["&amp;$F211&amp;"]"</f>
        <v>[S05_InstallationFuelConsEmissions][10][FuelConsumption]</v>
      </c>
    </row>
    <row r="212" spans="1:15" x14ac:dyDescent="0.3">
      <c r="A212" t="s">
        <v>2277</v>
      </c>
      <c r="B212" t="s">
        <v>1846</v>
      </c>
      <c r="C212" t="s">
        <v>1844</v>
      </c>
      <c r="D212">
        <v>11</v>
      </c>
      <c r="E212" t="s">
        <v>1447</v>
      </c>
      <c r="F212" t="s">
        <v>1845</v>
      </c>
      <c r="G212" t="s">
        <v>1806</v>
      </c>
      <c r="H212" t="s">
        <v>2279</v>
      </c>
      <c r="I212" t="s">
        <v>2279</v>
      </c>
      <c r="J212">
        <v>17534.86526595</v>
      </c>
      <c r="K212" t="s">
        <v>2279</v>
      </c>
      <c r="L212" t="s">
        <v>2279</v>
      </c>
      <c r="M212" t="s">
        <v>2279</v>
      </c>
      <c r="N212" t="s">
        <v>2279</v>
      </c>
      <c r="O212" s="190" t="str">
        <f>"["&amp;$C212&amp;"]["&amp;$D212&amp;"]["&amp;$F212&amp;"]"</f>
        <v>[S05_InstallationFuelConsEmissions][11][FuelConsumption]</v>
      </c>
    </row>
    <row r="213" spans="1:15" x14ac:dyDescent="0.3">
      <c r="A213" t="s">
        <v>2277</v>
      </c>
      <c r="B213" t="s">
        <v>1847</v>
      </c>
      <c r="C213" t="s">
        <v>1844</v>
      </c>
      <c r="D213">
        <v>12</v>
      </c>
      <c r="E213" t="s">
        <v>1447</v>
      </c>
      <c r="F213" t="s">
        <v>1845</v>
      </c>
      <c r="G213" t="s">
        <v>1806</v>
      </c>
      <c r="H213" t="s">
        <v>2279</v>
      </c>
      <c r="I213" t="s">
        <v>2279</v>
      </c>
      <c r="J213">
        <v>133560.07688269101</v>
      </c>
      <c r="K213" t="s">
        <v>2279</v>
      </c>
      <c r="L213" t="s">
        <v>2279</v>
      </c>
      <c r="M213" t="s">
        <v>2279</v>
      </c>
      <c r="N213" t="s">
        <v>2279</v>
      </c>
      <c r="O213" s="190" t="str">
        <f>"["&amp;$C213&amp;"]["&amp;$D213&amp;"]["&amp;$F213&amp;"]"</f>
        <v>[S05_InstallationFuelConsEmissions][12][FuelConsumption]</v>
      </c>
    </row>
    <row r="214" spans="1:15" x14ac:dyDescent="0.3">
      <c r="A214" t="s">
        <v>2277</v>
      </c>
      <c r="B214" t="s">
        <v>1843</v>
      </c>
      <c r="C214" t="s">
        <v>1844</v>
      </c>
      <c r="D214">
        <v>1</v>
      </c>
      <c r="E214" t="s">
        <v>1447</v>
      </c>
      <c r="F214" t="s">
        <v>1848</v>
      </c>
      <c r="G214" t="s">
        <v>1806</v>
      </c>
      <c r="H214" t="s">
        <v>2279</v>
      </c>
      <c r="I214" t="s">
        <v>2279</v>
      </c>
      <c r="J214">
        <v>7112009.8381979102</v>
      </c>
      <c r="K214" t="s">
        <v>2279</v>
      </c>
      <c r="L214" t="s">
        <v>2279</v>
      </c>
      <c r="M214" t="s">
        <v>2279</v>
      </c>
      <c r="N214" t="s">
        <v>2279</v>
      </c>
      <c r="O214" s="190" t="str">
        <f>"["&amp;$C214&amp;"]["&amp;$D214&amp;"]["&amp;$F214&amp;"]"</f>
        <v>[S05_InstallationFuelConsEmissions][1][FuelAnnualEmissions]</v>
      </c>
    </row>
    <row r="215" spans="1:15" x14ac:dyDescent="0.3">
      <c r="A215" t="s">
        <v>2277</v>
      </c>
      <c r="B215" t="s">
        <v>1843</v>
      </c>
      <c r="C215" t="s">
        <v>1844</v>
      </c>
      <c r="D215">
        <v>2</v>
      </c>
      <c r="E215" t="s">
        <v>1447</v>
      </c>
      <c r="F215" t="s">
        <v>1848</v>
      </c>
      <c r="G215" t="s">
        <v>1806</v>
      </c>
      <c r="H215" t="s">
        <v>2279</v>
      </c>
      <c r="I215" t="s">
        <v>2279</v>
      </c>
      <c r="J215">
        <v>147936.75333096</v>
      </c>
      <c r="K215" t="s">
        <v>2279</v>
      </c>
      <c r="L215" t="s">
        <v>2279</v>
      </c>
      <c r="M215" t="s">
        <v>2279</v>
      </c>
      <c r="N215" t="s">
        <v>2279</v>
      </c>
      <c r="O215" s="190" t="str">
        <f>"["&amp;$C215&amp;"]["&amp;$D215&amp;"]["&amp;$F215&amp;"]"</f>
        <v>[S05_InstallationFuelConsEmissions][2][FuelAnnualEmissions]</v>
      </c>
    </row>
    <row r="216" spans="1:15" x14ac:dyDescent="0.3">
      <c r="A216" t="s">
        <v>2277</v>
      </c>
      <c r="B216" t="s">
        <v>1843</v>
      </c>
      <c r="C216" t="s">
        <v>1844</v>
      </c>
      <c r="D216">
        <v>3</v>
      </c>
      <c r="E216" t="s">
        <v>1447</v>
      </c>
      <c r="F216" t="s">
        <v>1848</v>
      </c>
      <c r="G216" t="s">
        <v>1806</v>
      </c>
      <c r="H216" t="s">
        <v>2279</v>
      </c>
      <c r="I216" t="s">
        <v>2279</v>
      </c>
      <c r="J216">
        <v>0</v>
      </c>
      <c r="K216" t="s">
        <v>2279</v>
      </c>
      <c r="L216" t="s">
        <v>2279</v>
      </c>
      <c r="M216" t="s">
        <v>2279</v>
      </c>
      <c r="N216" t="s">
        <v>2279</v>
      </c>
      <c r="O216" s="190" t="str">
        <f>"["&amp;$C216&amp;"]["&amp;$D216&amp;"]["&amp;$F216&amp;"]"</f>
        <v>[S05_InstallationFuelConsEmissions][3][FuelAnnualEmissions]</v>
      </c>
    </row>
    <row r="217" spans="1:15" x14ac:dyDescent="0.3">
      <c r="A217" t="s">
        <v>2277</v>
      </c>
      <c r="B217" t="s">
        <v>1843</v>
      </c>
      <c r="C217" t="s">
        <v>1844</v>
      </c>
      <c r="D217">
        <v>4</v>
      </c>
      <c r="E217" t="s">
        <v>1447</v>
      </c>
      <c r="F217" t="s">
        <v>1848</v>
      </c>
      <c r="G217" t="s">
        <v>1806</v>
      </c>
      <c r="H217" t="s">
        <v>2279</v>
      </c>
      <c r="I217" t="s">
        <v>2279</v>
      </c>
      <c r="J217">
        <v>581645.64074129995</v>
      </c>
      <c r="K217" t="s">
        <v>2279</v>
      </c>
      <c r="L217" t="s">
        <v>2279</v>
      </c>
      <c r="M217" t="s">
        <v>2279</v>
      </c>
      <c r="N217" t="s">
        <v>2279</v>
      </c>
      <c r="O217" s="190" t="str">
        <f>"["&amp;$C217&amp;"]["&amp;$D217&amp;"]["&amp;$F217&amp;"]"</f>
        <v>[S05_InstallationFuelConsEmissions][4][FuelAnnualEmissions]</v>
      </c>
    </row>
    <row r="218" spans="1:15" x14ac:dyDescent="0.3">
      <c r="A218" t="s">
        <v>2277</v>
      </c>
      <c r="B218" t="s">
        <v>1843</v>
      </c>
      <c r="C218" t="s">
        <v>1844</v>
      </c>
      <c r="D218">
        <v>5</v>
      </c>
      <c r="E218" t="s">
        <v>1447</v>
      </c>
      <c r="F218" t="s">
        <v>1848</v>
      </c>
      <c r="G218" t="s">
        <v>1806</v>
      </c>
      <c r="H218" t="s">
        <v>2279</v>
      </c>
      <c r="I218" t="s">
        <v>2279</v>
      </c>
      <c r="J218">
        <v>30851902.088902801</v>
      </c>
      <c r="K218" t="s">
        <v>2279</v>
      </c>
      <c r="L218" t="s">
        <v>2279</v>
      </c>
      <c r="M218" t="s">
        <v>2279</v>
      </c>
      <c r="N218" t="s">
        <v>2279</v>
      </c>
      <c r="O218" s="190" t="str">
        <f>"["&amp;$C218&amp;"]["&amp;$D218&amp;"]["&amp;$F218&amp;"]"</f>
        <v>[S05_InstallationFuelConsEmissions][5][FuelAnnualEmissions]</v>
      </c>
    </row>
    <row r="219" spans="1:15" x14ac:dyDescent="0.3">
      <c r="A219" t="s">
        <v>2277</v>
      </c>
      <c r="B219" t="s">
        <v>1843</v>
      </c>
      <c r="C219" t="s">
        <v>1844</v>
      </c>
      <c r="D219">
        <v>6</v>
      </c>
      <c r="E219" t="s">
        <v>1447</v>
      </c>
      <c r="F219" t="s">
        <v>1848</v>
      </c>
      <c r="G219" t="s">
        <v>1806</v>
      </c>
      <c r="H219" t="s">
        <v>2279</v>
      </c>
      <c r="I219" t="s">
        <v>2279</v>
      </c>
      <c r="J219">
        <v>52141.724811</v>
      </c>
      <c r="K219" t="s">
        <v>2279</v>
      </c>
      <c r="L219" t="s">
        <v>2279</v>
      </c>
      <c r="M219" t="s">
        <v>2279</v>
      </c>
      <c r="N219" t="s">
        <v>2279</v>
      </c>
      <c r="O219" s="190" t="str">
        <f>"["&amp;$C219&amp;"]["&amp;$D219&amp;"]["&amp;$F219&amp;"]"</f>
        <v>[S05_InstallationFuelConsEmissions][6][FuelAnnualEmissions]</v>
      </c>
    </row>
    <row r="220" spans="1:15" x14ac:dyDescent="0.3">
      <c r="A220" t="s">
        <v>2277</v>
      </c>
      <c r="B220" t="s">
        <v>1843</v>
      </c>
      <c r="C220" t="s">
        <v>1844</v>
      </c>
      <c r="D220">
        <v>7</v>
      </c>
      <c r="E220" t="s">
        <v>1447</v>
      </c>
      <c r="F220" t="s">
        <v>1848</v>
      </c>
      <c r="G220" t="s">
        <v>1806</v>
      </c>
      <c r="H220" t="s">
        <v>2279</v>
      </c>
      <c r="I220" t="s">
        <v>2279</v>
      </c>
      <c r="J220">
        <v>3721387.6006999998</v>
      </c>
      <c r="K220" t="s">
        <v>2279</v>
      </c>
      <c r="L220" t="s">
        <v>2279</v>
      </c>
      <c r="M220" t="s">
        <v>2279</v>
      </c>
      <c r="N220" t="s">
        <v>2279</v>
      </c>
      <c r="O220" s="190" t="str">
        <f>"["&amp;$C220&amp;"]["&amp;$D220&amp;"]["&amp;$F220&amp;"]"</f>
        <v>[S05_InstallationFuelConsEmissions][7][FuelAnnualEmissions]</v>
      </c>
    </row>
    <row r="221" spans="1:15" x14ac:dyDescent="0.3">
      <c r="A221" t="s">
        <v>2277</v>
      </c>
      <c r="B221" t="s">
        <v>1843</v>
      </c>
      <c r="C221" t="s">
        <v>1844</v>
      </c>
      <c r="D221">
        <v>8</v>
      </c>
      <c r="E221" t="s">
        <v>1447</v>
      </c>
      <c r="F221" t="s">
        <v>1848</v>
      </c>
      <c r="G221" t="s">
        <v>1806</v>
      </c>
      <c r="H221" t="s">
        <v>2279</v>
      </c>
      <c r="I221" t="s">
        <v>2279</v>
      </c>
      <c r="J221">
        <v>5139274.6549501102</v>
      </c>
      <c r="K221" t="s">
        <v>2279</v>
      </c>
      <c r="L221" t="s">
        <v>2279</v>
      </c>
      <c r="M221" t="s">
        <v>2279</v>
      </c>
      <c r="N221" t="s">
        <v>2279</v>
      </c>
      <c r="O221" s="190" t="str">
        <f>"["&amp;$C221&amp;"]["&amp;$D221&amp;"]["&amp;$F221&amp;"]"</f>
        <v>[S05_InstallationFuelConsEmissions][8][FuelAnnualEmissions]</v>
      </c>
    </row>
    <row r="222" spans="1:15" x14ac:dyDescent="0.3">
      <c r="A222" t="s">
        <v>2277</v>
      </c>
      <c r="B222" t="s">
        <v>1843</v>
      </c>
      <c r="C222" t="s">
        <v>1844</v>
      </c>
      <c r="D222">
        <v>9</v>
      </c>
      <c r="E222" t="s">
        <v>1447</v>
      </c>
      <c r="F222" t="s">
        <v>1848</v>
      </c>
      <c r="G222" t="s">
        <v>1806</v>
      </c>
      <c r="H222" t="s">
        <v>2279</v>
      </c>
      <c r="I222" t="s">
        <v>2279</v>
      </c>
      <c r="J222">
        <v>2600261.4593799501</v>
      </c>
      <c r="K222" t="s">
        <v>2279</v>
      </c>
      <c r="L222" t="s">
        <v>2279</v>
      </c>
      <c r="M222" t="s">
        <v>2279</v>
      </c>
      <c r="N222" t="s">
        <v>2279</v>
      </c>
      <c r="O222" s="190" t="str">
        <f>"["&amp;$C222&amp;"]["&amp;$D222&amp;"]["&amp;$F222&amp;"]"</f>
        <v>[S05_InstallationFuelConsEmissions][9][FuelAnnualEmissions]</v>
      </c>
    </row>
    <row r="223" spans="1:15" x14ac:dyDescent="0.3">
      <c r="A223" t="s">
        <v>2277</v>
      </c>
      <c r="B223" t="s">
        <v>1843</v>
      </c>
      <c r="C223" t="s">
        <v>1844</v>
      </c>
      <c r="D223">
        <v>10</v>
      </c>
      <c r="E223" t="s">
        <v>1447</v>
      </c>
      <c r="F223" t="s">
        <v>1848</v>
      </c>
      <c r="G223" t="s">
        <v>1806</v>
      </c>
      <c r="H223" t="s">
        <v>2279</v>
      </c>
      <c r="I223" t="s">
        <v>2279</v>
      </c>
      <c r="J223">
        <v>76387.072835653002</v>
      </c>
      <c r="K223" t="s">
        <v>2279</v>
      </c>
      <c r="L223" t="s">
        <v>2279</v>
      </c>
      <c r="M223" t="s">
        <v>2279</v>
      </c>
      <c r="N223" t="s">
        <v>2279</v>
      </c>
      <c r="O223" s="190" t="str">
        <f>"["&amp;$C223&amp;"]["&amp;$D223&amp;"]["&amp;$F223&amp;"]"</f>
        <v>[S05_InstallationFuelConsEmissions][10][FuelAnnualEmissions]</v>
      </c>
    </row>
    <row r="224" spans="1:15" x14ac:dyDescent="0.3">
      <c r="A224" t="s">
        <v>2277</v>
      </c>
      <c r="B224" t="s">
        <v>1843</v>
      </c>
      <c r="C224" t="s">
        <v>1844</v>
      </c>
      <c r="D224">
        <v>11</v>
      </c>
      <c r="E224" t="s">
        <v>1447</v>
      </c>
      <c r="F224" t="s">
        <v>1848</v>
      </c>
      <c r="G224" t="s">
        <v>1806</v>
      </c>
      <c r="H224" t="s">
        <v>2279</v>
      </c>
      <c r="I224" t="s">
        <v>2279</v>
      </c>
      <c r="J224">
        <v>1644529.12112093</v>
      </c>
      <c r="K224" t="s">
        <v>2279</v>
      </c>
      <c r="L224" t="s">
        <v>2279</v>
      </c>
      <c r="M224" t="s">
        <v>2279</v>
      </c>
      <c r="N224" t="s">
        <v>2279</v>
      </c>
      <c r="O224" s="190" t="str">
        <f>"["&amp;$C224&amp;"]["&amp;$D224&amp;"]["&amp;$F224&amp;"]"</f>
        <v>[S05_InstallationFuelConsEmissions][11][FuelAnnualEmissions]</v>
      </c>
    </row>
    <row r="225" spans="1:15" x14ac:dyDescent="0.3">
      <c r="A225" t="s">
        <v>2277</v>
      </c>
      <c r="B225" t="s">
        <v>1843</v>
      </c>
      <c r="C225" t="s">
        <v>1844</v>
      </c>
      <c r="D225">
        <v>12</v>
      </c>
      <c r="E225" t="s">
        <v>1447</v>
      </c>
      <c r="F225" t="s">
        <v>1848</v>
      </c>
      <c r="G225" t="s">
        <v>1806</v>
      </c>
      <c r="H225" t="s">
        <v>2279</v>
      </c>
      <c r="I225" t="s">
        <v>2279</v>
      </c>
      <c r="J225">
        <v>8294172.6331593599</v>
      </c>
      <c r="K225" t="s">
        <v>2279</v>
      </c>
      <c r="L225" t="s">
        <v>2279</v>
      </c>
      <c r="M225" t="s">
        <v>2279</v>
      </c>
      <c r="N225" t="s">
        <v>2279</v>
      </c>
      <c r="O225" s="190" t="str">
        <f>"["&amp;$C225&amp;"]["&amp;$D225&amp;"]["&amp;$F225&amp;"]"</f>
        <v>[S05_InstallationFuelConsEmissions][12][FuelAnnualEmissions]</v>
      </c>
    </row>
    <row r="226" spans="1:15" x14ac:dyDescent="0.3">
      <c r="A226" t="s">
        <v>2277</v>
      </c>
      <c r="B226" t="s">
        <v>1846</v>
      </c>
      <c r="C226" t="s">
        <v>1849</v>
      </c>
      <c r="D226">
        <v>1</v>
      </c>
      <c r="E226" t="s">
        <v>1447</v>
      </c>
      <c r="F226" t="s">
        <v>1850</v>
      </c>
      <c r="G226" t="s">
        <v>1737</v>
      </c>
      <c r="H226" t="s">
        <v>2279</v>
      </c>
      <c r="I226" t="s">
        <v>2279</v>
      </c>
      <c r="J226" t="s">
        <v>2279</v>
      </c>
      <c r="K226" t="s">
        <v>2279</v>
      </c>
      <c r="L226" t="s">
        <v>1453</v>
      </c>
      <c r="M226" t="s">
        <v>2279</v>
      </c>
      <c r="N226" t="s">
        <v>2279</v>
      </c>
      <c r="O226" s="190" t="str">
        <f>"["&amp;$C226&amp;"]["&amp;$D226&amp;"]["&amp;$F226&amp;"]"</f>
        <v>[S05_AggregateTotalEmissionsByCRF][1][CRFCategory1]</v>
      </c>
    </row>
    <row r="227" spans="1:15" x14ac:dyDescent="0.3">
      <c r="A227" t="s">
        <v>2277</v>
      </c>
      <c r="B227" t="s">
        <v>1846</v>
      </c>
      <c r="C227" t="s">
        <v>1849</v>
      </c>
      <c r="D227">
        <v>2</v>
      </c>
      <c r="E227" t="s">
        <v>1447</v>
      </c>
      <c r="F227" t="s">
        <v>1850</v>
      </c>
      <c r="G227" t="s">
        <v>1737</v>
      </c>
      <c r="H227" t="s">
        <v>2279</v>
      </c>
      <c r="I227" t="s">
        <v>2279</v>
      </c>
      <c r="J227" t="s">
        <v>2279</v>
      </c>
      <c r="K227" t="s">
        <v>2279</v>
      </c>
      <c r="L227" t="s">
        <v>1481</v>
      </c>
      <c r="M227" t="s">
        <v>2279</v>
      </c>
      <c r="N227" t="s">
        <v>2279</v>
      </c>
      <c r="O227" s="190" t="str">
        <f>"["&amp;$C227&amp;"]["&amp;$D227&amp;"]["&amp;$F227&amp;"]"</f>
        <v>[S05_AggregateTotalEmissionsByCRF][2][CRFCategory1]</v>
      </c>
    </row>
    <row r="228" spans="1:15" x14ac:dyDescent="0.3">
      <c r="A228" t="s">
        <v>2277</v>
      </c>
      <c r="B228" t="s">
        <v>1846</v>
      </c>
      <c r="C228" t="s">
        <v>1849</v>
      </c>
      <c r="D228">
        <v>3</v>
      </c>
      <c r="E228" t="s">
        <v>1447</v>
      </c>
      <c r="F228" t="s">
        <v>1850</v>
      </c>
      <c r="G228" t="s">
        <v>1737</v>
      </c>
      <c r="H228" t="s">
        <v>2279</v>
      </c>
      <c r="I228" t="s">
        <v>2279</v>
      </c>
      <c r="J228" t="s">
        <v>2279</v>
      </c>
      <c r="K228" t="s">
        <v>2279</v>
      </c>
      <c r="L228" t="s">
        <v>1531</v>
      </c>
      <c r="M228" t="s">
        <v>2279</v>
      </c>
      <c r="N228" t="s">
        <v>2279</v>
      </c>
      <c r="O228" s="190" t="str">
        <f>"["&amp;$C228&amp;"]["&amp;$D228&amp;"]["&amp;$F228&amp;"]"</f>
        <v>[S05_AggregateTotalEmissionsByCRF][3][CRFCategory1]</v>
      </c>
    </row>
    <row r="229" spans="1:15" x14ac:dyDescent="0.3">
      <c r="A229" t="s">
        <v>2277</v>
      </c>
      <c r="B229" t="s">
        <v>1846</v>
      </c>
      <c r="C229" t="s">
        <v>1849</v>
      </c>
      <c r="D229">
        <v>4</v>
      </c>
      <c r="E229" t="s">
        <v>1447</v>
      </c>
      <c r="F229" t="s">
        <v>1850</v>
      </c>
      <c r="G229" t="s">
        <v>1737</v>
      </c>
      <c r="H229" t="s">
        <v>2279</v>
      </c>
      <c r="I229" t="s">
        <v>2279</v>
      </c>
      <c r="J229" t="s">
        <v>2279</v>
      </c>
      <c r="K229" t="s">
        <v>2279</v>
      </c>
      <c r="L229" t="s">
        <v>1541</v>
      </c>
      <c r="M229" t="s">
        <v>2279</v>
      </c>
      <c r="N229" t="s">
        <v>2279</v>
      </c>
      <c r="O229" s="190" t="str">
        <f>"["&amp;$C229&amp;"]["&amp;$D229&amp;"]["&amp;$F229&amp;"]"</f>
        <v>[S05_AggregateTotalEmissionsByCRF][4][CRFCategory1]</v>
      </c>
    </row>
    <row r="230" spans="1:15" x14ac:dyDescent="0.3">
      <c r="A230" t="s">
        <v>2277</v>
      </c>
      <c r="B230" t="s">
        <v>1846</v>
      </c>
      <c r="C230" t="s">
        <v>1849</v>
      </c>
      <c r="D230">
        <v>5</v>
      </c>
      <c r="E230" t="s">
        <v>1447</v>
      </c>
      <c r="F230" t="s">
        <v>1850</v>
      </c>
      <c r="G230" t="s">
        <v>1737</v>
      </c>
      <c r="H230" t="s">
        <v>2279</v>
      </c>
      <c r="I230" t="s">
        <v>2279</v>
      </c>
      <c r="J230" t="s">
        <v>2279</v>
      </c>
      <c r="K230" t="s">
        <v>2279</v>
      </c>
      <c r="L230" t="s">
        <v>1550</v>
      </c>
      <c r="M230" t="s">
        <v>2279</v>
      </c>
      <c r="N230" t="s">
        <v>2279</v>
      </c>
      <c r="O230" s="190" t="str">
        <f>"["&amp;$C230&amp;"]["&amp;$D230&amp;"]["&amp;$F230&amp;"]"</f>
        <v>[S05_AggregateTotalEmissionsByCRF][5][CRFCategory1]</v>
      </c>
    </row>
    <row r="231" spans="1:15" x14ac:dyDescent="0.3">
      <c r="A231" t="s">
        <v>2277</v>
      </c>
      <c r="B231" t="s">
        <v>1846</v>
      </c>
      <c r="C231" t="s">
        <v>1849</v>
      </c>
      <c r="D231">
        <v>6</v>
      </c>
      <c r="E231" t="s">
        <v>1447</v>
      </c>
      <c r="F231" t="s">
        <v>1850</v>
      </c>
      <c r="G231" t="s">
        <v>1737</v>
      </c>
      <c r="H231" t="s">
        <v>2279</v>
      </c>
      <c r="I231" t="s">
        <v>2279</v>
      </c>
      <c r="J231" t="s">
        <v>2279</v>
      </c>
      <c r="K231" t="s">
        <v>2279</v>
      </c>
      <c r="L231" t="s">
        <v>1558</v>
      </c>
      <c r="M231" t="s">
        <v>2279</v>
      </c>
      <c r="N231" t="s">
        <v>2279</v>
      </c>
      <c r="O231" s="190" t="str">
        <f>"["&amp;$C231&amp;"]["&amp;$D231&amp;"]["&amp;$F231&amp;"]"</f>
        <v>[S05_AggregateTotalEmissionsByCRF][6][CRFCategory1]</v>
      </c>
    </row>
    <row r="232" spans="1:15" x14ac:dyDescent="0.3">
      <c r="A232" t="s">
        <v>2277</v>
      </c>
      <c r="B232" t="s">
        <v>1846</v>
      </c>
      <c r="C232" t="s">
        <v>1849</v>
      </c>
      <c r="D232">
        <v>7</v>
      </c>
      <c r="E232" t="s">
        <v>1447</v>
      </c>
      <c r="F232" t="s">
        <v>1850</v>
      </c>
      <c r="G232" t="s">
        <v>1737</v>
      </c>
      <c r="H232" t="s">
        <v>2279</v>
      </c>
      <c r="I232" t="s">
        <v>2279</v>
      </c>
      <c r="J232" t="s">
        <v>2279</v>
      </c>
      <c r="K232" t="s">
        <v>2279</v>
      </c>
      <c r="L232" t="s">
        <v>1563</v>
      </c>
      <c r="M232" t="s">
        <v>2279</v>
      </c>
      <c r="N232" t="s">
        <v>2279</v>
      </c>
      <c r="O232" s="190" t="str">
        <f>"["&amp;$C232&amp;"]["&amp;$D232&amp;"]["&amp;$F232&amp;"]"</f>
        <v>[S05_AggregateTotalEmissionsByCRF][7][CRFCategory1]</v>
      </c>
    </row>
    <row r="233" spans="1:15" x14ac:dyDescent="0.3">
      <c r="A233" t="s">
        <v>2277</v>
      </c>
      <c r="B233" t="s">
        <v>1846</v>
      </c>
      <c r="C233" t="s">
        <v>1849</v>
      </c>
      <c r="D233">
        <v>8</v>
      </c>
      <c r="E233" t="s">
        <v>1447</v>
      </c>
      <c r="F233" t="s">
        <v>1850</v>
      </c>
      <c r="G233" t="s">
        <v>1737</v>
      </c>
      <c r="H233" t="s">
        <v>2279</v>
      </c>
      <c r="I233" t="s">
        <v>2279</v>
      </c>
      <c r="J233" t="s">
        <v>2279</v>
      </c>
      <c r="K233" t="s">
        <v>2279</v>
      </c>
      <c r="L233" t="s">
        <v>1574</v>
      </c>
      <c r="M233" t="s">
        <v>2279</v>
      </c>
      <c r="N233" t="s">
        <v>2279</v>
      </c>
      <c r="O233" s="190" t="str">
        <f>"["&amp;$C233&amp;"]["&amp;$D233&amp;"]["&amp;$F233&amp;"]"</f>
        <v>[S05_AggregateTotalEmissionsByCRF][8][CRFCategory1]</v>
      </c>
    </row>
    <row r="234" spans="1:15" x14ac:dyDescent="0.3">
      <c r="A234" t="s">
        <v>2277</v>
      </c>
      <c r="B234" t="s">
        <v>1846</v>
      </c>
      <c r="C234" t="s">
        <v>1849</v>
      </c>
      <c r="D234">
        <v>9</v>
      </c>
      <c r="E234" t="s">
        <v>1447</v>
      </c>
      <c r="F234" t="s">
        <v>1850</v>
      </c>
      <c r="G234" t="s">
        <v>1737</v>
      </c>
      <c r="H234" t="s">
        <v>2279</v>
      </c>
      <c r="I234" t="s">
        <v>2279</v>
      </c>
      <c r="J234" t="s">
        <v>2279</v>
      </c>
      <c r="K234" t="s">
        <v>2279</v>
      </c>
      <c r="L234" t="s">
        <v>1583</v>
      </c>
      <c r="M234" t="s">
        <v>2279</v>
      </c>
      <c r="N234" t="s">
        <v>2279</v>
      </c>
      <c r="O234" s="190" t="str">
        <f>"["&amp;$C234&amp;"]["&amp;$D234&amp;"]["&amp;$F234&amp;"]"</f>
        <v>[S05_AggregateTotalEmissionsByCRF][9][CRFCategory1]</v>
      </c>
    </row>
    <row r="235" spans="1:15" x14ac:dyDescent="0.3">
      <c r="A235" t="s">
        <v>2277</v>
      </c>
      <c r="B235" t="s">
        <v>1846</v>
      </c>
      <c r="C235" t="s">
        <v>1849</v>
      </c>
      <c r="D235">
        <v>10</v>
      </c>
      <c r="E235" t="s">
        <v>1447</v>
      </c>
      <c r="F235" t="s">
        <v>1850</v>
      </c>
      <c r="G235" t="s">
        <v>1737</v>
      </c>
      <c r="H235" t="s">
        <v>2279</v>
      </c>
      <c r="I235" t="s">
        <v>2279</v>
      </c>
      <c r="J235" t="s">
        <v>2279</v>
      </c>
      <c r="K235" t="s">
        <v>2279</v>
      </c>
      <c r="L235" t="s">
        <v>1593</v>
      </c>
      <c r="M235" t="s">
        <v>2279</v>
      </c>
      <c r="N235" t="s">
        <v>2279</v>
      </c>
      <c r="O235" s="190" t="str">
        <f>"["&amp;$C235&amp;"]["&amp;$D235&amp;"]["&amp;$F235&amp;"]"</f>
        <v>[S05_AggregateTotalEmissionsByCRF][10][CRFCategory1]</v>
      </c>
    </row>
    <row r="236" spans="1:15" x14ac:dyDescent="0.3">
      <c r="A236" t="s">
        <v>2277</v>
      </c>
      <c r="B236" t="s">
        <v>1846</v>
      </c>
      <c r="C236" t="s">
        <v>1849</v>
      </c>
      <c r="D236">
        <v>11</v>
      </c>
      <c r="E236" t="s">
        <v>1447</v>
      </c>
      <c r="F236" t="s">
        <v>1850</v>
      </c>
      <c r="G236" t="s">
        <v>1737</v>
      </c>
      <c r="H236" t="s">
        <v>2279</v>
      </c>
      <c r="I236" t="s">
        <v>2279</v>
      </c>
      <c r="J236" t="s">
        <v>2279</v>
      </c>
      <c r="K236" t="s">
        <v>2279</v>
      </c>
      <c r="L236" t="s">
        <v>1632</v>
      </c>
      <c r="M236" t="s">
        <v>2279</v>
      </c>
      <c r="N236" t="s">
        <v>2279</v>
      </c>
      <c r="O236" s="190" t="str">
        <f>"["&amp;$C236&amp;"]["&amp;$D236&amp;"]["&amp;$F236&amp;"]"</f>
        <v>[S05_AggregateTotalEmissionsByCRF][11][CRFCategory1]</v>
      </c>
    </row>
    <row r="237" spans="1:15" x14ac:dyDescent="0.3">
      <c r="A237" t="s">
        <v>2277</v>
      </c>
      <c r="B237" t="s">
        <v>1846</v>
      </c>
      <c r="C237" t="s">
        <v>1849</v>
      </c>
      <c r="D237">
        <v>12</v>
      </c>
      <c r="E237" t="s">
        <v>1447</v>
      </c>
      <c r="F237" t="s">
        <v>1850</v>
      </c>
      <c r="G237" t="s">
        <v>1737</v>
      </c>
      <c r="H237" t="s">
        <v>2279</v>
      </c>
      <c r="I237" t="s">
        <v>2279</v>
      </c>
      <c r="J237" t="s">
        <v>2279</v>
      </c>
      <c r="K237" t="s">
        <v>2279</v>
      </c>
      <c r="L237" t="s">
        <v>1642</v>
      </c>
      <c r="M237" t="s">
        <v>2279</v>
      </c>
      <c r="N237" t="s">
        <v>2279</v>
      </c>
      <c r="O237" s="190" t="str">
        <f>"["&amp;$C237&amp;"]["&amp;$D237&amp;"]["&amp;$F237&amp;"]"</f>
        <v>[S05_AggregateTotalEmissionsByCRF][12][CRFCategory1]</v>
      </c>
    </row>
    <row r="238" spans="1:15" x14ac:dyDescent="0.3">
      <c r="A238" t="s">
        <v>2277</v>
      </c>
      <c r="B238" t="s">
        <v>1846</v>
      </c>
      <c r="C238" t="s">
        <v>1849</v>
      </c>
      <c r="D238">
        <v>13</v>
      </c>
      <c r="E238" t="s">
        <v>1447</v>
      </c>
      <c r="F238" t="s">
        <v>1850</v>
      </c>
      <c r="G238" t="s">
        <v>1737</v>
      </c>
      <c r="H238" t="s">
        <v>2279</v>
      </c>
      <c r="I238" t="s">
        <v>2279</v>
      </c>
      <c r="J238" t="s">
        <v>2279</v>
      </c>
      <c r="K238" t="s">
        <v>2279</v>
      </c>
      <c r="L238" t="s">
        <v>1569</v>
      </c>
      <c r="M238" t="s">
        <v>2279</v>
      </c>
      <c r="N238" t="s">
        <v>2279</v>
      </c>
      <c r="O238" s="190" t="str">
        <f>"["&amp;$C238&amp;"]["&amp;$D238&amp;"]["&amp;$F238&amp;"]"</f>
        <v>[S05_AggregateTotalEmissionsByCRF][13][CRFCategory1]</v>
      </c>
    </row>
    <row r="239" spans="1:15" x14ac:dyDescent="0.3">
      <c r="A239" t="s">
        <v>2277</v>
      </c>
      <c r="B239" t="s">
        <v>1846</v>
      </c>
      <c r="C239" t="s">
        <v>1849</v>
      </c>
      <c r="D239">
        <v>14</v>
      </c>
      <c r="E239" t="s">
        <v>1447</v>
      </c>
      <c r="F239" t="s">
        <v>1851</v>
      </c>
      <c r="G239" t="s">
        <v>1737</v>
      </c>
      <c r="H239" t="s">
        <v>2279</v>
      </c>
      <c r="I239" t="s">
        <v>2279</v>
      </c>
      <c r="J239" t="s">
        <v>2279</v>
      </c>
      <c r="K239" t="s">
        <v>2279</v>
      </c>
      <c r="L239" t="s">
        <v>1426</v>
      </c>
      <c r="M239" t="s">
        <v>2279</v>
      </c>
      <c r="N239" t="s">
        <v>2279</v>
      </c>
      <c r="O239" s="190" t="str">
        <f>"["&amp;$C239&amp;"]["&amp;$D239&amp;"]["&amp;$F239&amp;"]"</f>
        <v>[S05_AggregateTotalEmissionsByCRF][14][CRFCategory2]</v>
      </c>
    </row>
    <row r="240" spans="1:15" x14ac:dyDescent="0.3">
      <c r="A240" t="s">
        <v>2277</v>
      </c>
      <c r="B240" t="s">
        <v>1846</v>
      </c>
      <c r="C240" t="s">
        <v>1849</v>
      </c>
      <c r="D240">
        <v>15</v>
      </c>
      <c r="E240" t="s">
        <v>1447</v>
      </c>
      <c r="F240" t="s">
        <v>1851</v>
      </c>
      <c r="G240" t="s">
        <v>1737</v>
      </c>
      <c r="H240" t="s">
        <v>2279</v>
      </c>
      <c r="I240" t="s">
        <v>2279</v>
      </c>
      <c r="J240" t="s">
        <v>2279</v>
      </c>
      <c r="K240" t="s">
        <v>2279</v>
      </c>
      <c r="L240" t="s">
        <v>1454</v>
      </c>
      <c r="M240" t="s">
        <v>2279</v>
      </c>
      <c r="N240" t="s">
        <v>2279</v>
      </c>
      <c r="O240" s="190" t="str">
        <f>"["&amp;$C240&amp;"]["&amp;$D240&amp;"]["&amp;$F240&amp;"]"</f>
        <v>[S05_AggregateTotalEmissionsByCRF][15][CRFCategory2]</v>
      </c>
    </row>
    <row r="241" spans="1:15" x14ac:dyDescent="0.3">
      <c r="A241" t="s">
        <v>2277</v>
      </c>
      <c r="B241" t="s">
        <v>1846</v>
      </c>
      <c r="C241" t="s">
        <v>1849</v>
      </c>
      <c r="D241">
        <v>16</v>
      </c>
      <c r="E241" t="s">
        <v>1447</v>
      </c>
      <c r="F241" t="s">
        <v>1851</v>
      </c>
      <c r="G241" t="s">
        <v>1737</v>
      </c>
      <c r="H241" t="s">
        <v>2279</v>
      </c>
      <c r="I241" t="s">
        <v>2279</v>
      </c>
      <c r="J241" t="s">
        <v>2279</v>
      </c>
      <c r="K241" t="s">
        <v>2279</v>
      </c>
      <c r="L241" t="s">
        <v>1482</v>
      </c>
      <c r="M241" t="s">
        <v>2279</v>
      </c>
      <c r="N241" t="s">
        <v>2279</v>
      </c>
      <c r="O241" s="190" t="str">
        <f>"["&amp;$C241&amp;"]["&amp;$D241&amp;"]["&amp;$F241&amp;"]"</f>
        <v>[S05_AggregateTotalEmissionsByCRF][16][CRFCategory2]</v>
      </c>
    </row>
    <row r="242" spans="1:15" x14ac:dyDescent="0.3">
      <c r="A242" t="s">
        <v>2277</v>
      </c>
      <c r="B242" t="s">
        <v>1846</v>
      </c>
      <c r="C242" t="s">
        <v>1849</v>
      </c>
      <c r="D242">
        <v>17</v>
      </c>
      <c r="E242" t="s">
        <v>1447</v>
      </c>
      <c r="F242" t="s">
        <v>1851</v>
      </c>
      <c r="G242" t="s">
        <v>1737</v>
      </c>
      <c r="H242" t="s">
        <v>2279</v>
      </c>
      <c r="I242" t="s">
        <v>2279</v>
      </c>
      <c r="J242" t="s">
        <v>2279</v>
      </c>
      <c r="K242" t="s">
        <v>2279</v>
      </c>
      <c r="L242" t="s">
        <v>1504</v>
      </c>
      <c r="M242" t="s">
        <v>2279</v>
      </c>
      <c r="N242" t="s">
        <v>2279</v>
      </c>
      <c r="O242" s="190" t="str">
        <f>"["&amp;$C242&amp;"]["&amp;$D242&amp;"]["&amp;$F242&amp;"]"</f>
        <v>[S05_AggregateTotalEmissionsByCRF][17][CRFCategory2]</v>
      </c>
    </row>
    <row r="243" spans="1:15" x14ac:dyDescent="0.3">
      <c r="A243" t="s">
        <v>2277</v>
      </c>
      <c r="B243" t="s">
        <v>1846</v>
      </c>
      <c r="C243" t="s">
        <v>1849</v>
      </c>
      <c r="D243">
        <v>18</v>
      </c>
      <c r="E243" t="s">
        <v>1447</v>
      </c>
      <c r="F243" t="s">
        <v>1851</v>
      </c>
      <c r="G243" t="s">
        <v>1737</v>
      </c>
      <c r="H243" t="s">
        <v>2279</v>
      </c>
      <c r="I243" t="s">
        <v>2279</v>
      </c>
      <c r="J243" t="s">
        <v>2279</v>
      </c>
      <c r="K243" t="s">
        <v>2279</v>
      </c>
      <c r="L243" t="s">
        <v>1520</v>
      </c>
      <c r="M243" t="s">
        <v>2279</v>
      </c>
      <c r="N243" t="s">
        <v>2279</v>
      </c>
      <c r="O243" s="190" t="str">
        <f>"["&amp;$C243&amp;"]["&amp;$D243&amp;"]["&amp;$F243&amp;"]"</f>
        <v>[S05_AggregateTotalEmissionsByCRF][18][CRFCategory2]</v>
      </c>
    </row>
    <row r="244" spans="1:15" x14ac:dyDescent="0.3">
      <c r="A244" t="s">
        <v>2277</v>
      </c>
      <c r="B244" t="s">
        <v>1846</v>
      </c>
      <c r="C244" t="s">
        <v>1849</v>
      </c>
      <c r="D244">
        <v>19</v>
      </c>
      <c r="E244" t="s">
        <v>1447</v>
      </c>
      <c r="F244" t="s">
        <v>1851</v>
      </c>
      <c r="G244" t="s">
        <v>1737</v>
      </c>
      <c r="H244" t="s">
        <v>2279</v>
      </c>
      <c r="I244" t="s">
        <v>2279</v>
      </c>
      <c r="J244" t="s">
        <v>2279</v>
      </c>
      <c r="K244" t="s">
        <v>2279</v>
      </c>
      <c r="L244" t="s">
        <v>1532</v>
      </c>
      <c r="M244" t="s">
        <v>2279</v>
      </c>
      <c r="N244" t="s">
        <v>2279</v>
      </c>
      <c r="O244" s="190" t="str">
        <f>"["&amp;$C244&amp;"]["&amp;$D244&amp;"]["&amp;$F244&amp;"]"</f>
        <v>[S05_AggregateTotalEmissionsByCRF][19][CRFCategory2]</v>
      </c>
    </row>
    <row r="245" spans="1:15" x14ac:dyDescent="0.3">
      <c r="A245" t="s">
        <v>2277</v>
      </c>
      <c r="B245" t="s">
        <v>1846</v>
      </c>
      <c r="C245" t="s">
        <v>1849</v>
      </c>
      <c r="D245">
        <v>20</v>
      </c>
      <c r="E245" t="s">
        <v>1447</v>
      </c>
      <c r="F245" t="s">
        <v>1851</v>
      </c>
      <c r="G245" t="s">
        <v>1737</v>
      </c>
      <c r="H245" t="s">
        <v>2279</v>
      </c>
      <c r="I245" t="s">
        <v>2279</v>
      </c>
      <c r="J245" t="s">
        <v>2279</v>
      </c>
      <c r="K245" t="s">
        <v>2279</v>
      </c>
      <c r="L245" t="s">
        <v>1542</v>
      </c>
      <c r="M245" t="s">
        <v>2279</v>
      </c>
      <c r="N245" t="s">
        <v>2279</v>
      </c>
      <c r="O245" s="190" t="str">
        <f>"["&amp;$C245&amp;"]["&amp;$D245&amp;"]["&amp;$F245&amp;"]"</f>
        <v>[S05_AggregateTotalEmissionsByCRF][20][CRFCategory2]</v>
      </c>
    </row>
    <row r="246" spans="1:15" x14ac:dyDescent="0.3">
      <c r="A246" t="s">
        <v>2277</v>
      </c>
      <c r="B246" t="s">
        <v>1846</v>
      </c>
      <c r="C246" t="s">
        <v>1849</v>
      </c>
      <c r="D246">
        <v>21</v>
      </c>
      <c r="E246" t="s">
        <v>1447</v>
      </c>
      <c r="F246" t="s">
        <v>1851</v>
      </c>
      <c r="G246" t="s">
        <v>1737</v>
      </c>
      <c r="H246" t="s">
        <v>2279</v>
      </c>
      <c r="I246" t="s">
        <v>2279</v>
      </c>
      <c r="J246" t="s">
        <v>2279</v>
      </c>
      <c r="K246" t="s">
        <v>2279</v>
      </c>
      <c r="L246" t="s">
        <v>1551</v>
      </c>
      <c r="M246" t="s">
        <v>2279</v>
      </c>
      <c r="N246" t="s">
        <v>2279</v>
      </c>
      <c r="O246" s="190" t="str">
        <f>"["&amp;$C246&amp;"]["&amp;$D246&amp;"]["&amp;$F246&amp;"]"</f>
        <v>[S05_AggregateTotalEmissionsByCRF][21][CRFCategory2]</v>
      </c>
    </row>
    <row r="247" spans="1:15" x14ac:dyDescent="0.3">
      <c r="A247" t="s">
        <v>2277</v>
      </c>
      <c r="B247" t="s">
        <v>1846</v>
      </c>
      <c r="C247" t="s">
        <v>1849</v>
      </c>
      <c r="D247">
        <v>22</v>
      </c>
      <c r="E247" t="s">
        <v>1447</v>
      </c>
      <c r="F247" t="s">
        <v>1851</v>
      </c>
      <c r="G247" t="s">
        <v>1737</v>
      </c>
      <c r="H247" t="s">
        <v>2279</v>
      </c>
      <c r="I247" t="s">
        <v>2279</v>
      </c>
      <c r="J247" t="s">
        <v>2279</v>
      </c>
      <c r="K247" t="s">
        <v>2279</v>
      </c>
      <c r="L247" t="s">
        <v>1559</v>
      </c>
      <c r="M247" t="s">
        <v>2279</v>
      </c>
      <c r="N247" t="s">
        <v>2279</v>
      </c>
      <c r="O247" s="190" t="str">
        <f>"["&amp;$C247&amp;"]["&amp;$D247&amp;"]["&amp;$F247&amp;"]"</f>
        <v>[S05_AggregateTotalEmissionsByCRF][22][CRFCategory2]</v>
      </c>
    </row>
    <row r="248" spans="1:15" x14ac:dyDescent="0.3">
      <c r="A248" t="s">
        <v>2277</v>
      </c>
      <c r="B248" t="s">
        <v>1846</v>
      </c>
      <c r="C248" t="s">
        <v>1849</v>
      </c>
      <c r="D248">
        <v>23</v>
      </c>
      <c r="E248" t="s">
        <v>1447</v>
      </c>
      <c r="F248" t="s">
        <v>1851</v>
      </c>
      <c r="G248" t="s">
        <v>1737</v>
      </c>
      <c r="H248" t="s">
        <v>2279</v>
      </c>
      <c r="I248" t="s">
        <v>2279</v>
      </c>
      <c r="J248" t="s">
        <v>2279</v>
      </c>
      <c r="K248" t="s">
        <v>2279</v>
      </c>
      <c r="L248" t="s">
        <v>1564</v>
      </c>
      <c r="M248" t="s">
        <v>2279</v>
      </c>
      <c r="N248" t="s">
        <v>2279</v>
      </c>
      <c r="O248" s="190" t="str">
        <f>"["&amp;$C248&amp;"]["&amp;$D248&amp;"]["&amp;$F248&amp;"]"</f>
        <v>[S05_AggregateTotalEmissionsByCRF][23][CRFCategory2]</v>
      </c>
    </row>
    <row r="249" spans="1:15" x14ac:dyDescent="0.3">
      <c r="A249" t="s">
        <v>2277</v>
      </c>
      <c r="B249" t="s">
        <v>1846</v>
      </c>
      <c r="C249" t="s">
        <v>1849</v>
      </c>
      <c r="D249">
        <v>24</v>
      </c>
      <c r="E249" t="s">
        <v>1447</v>
      </c>
      <c r="F249" t="s">
        <v>1851</v>
      </c>
      <c r="G249" t="s">
        <v>1737</v>
      </c>
      <c r="H249" t="s">
        <v>2279</v>
      </c>
      <c r="I249" t="s">
        <v>2279</v>
      </c>
      <c r="J249" t="s">
        <v>2279</v>
      </c>
      <c r="K249" t="s">
        <v>2279</v>
      </c>
      <c r="L249" t="s">
        <v>1570</v>
      </c>
      <c r="M249" t="s">
        <v>2279</v>
      </c>
      <c r="N249" t="s">
        <v>2279</v>
      </c>
      <c r="O249" s="190" t="str">
        <f>"["&amp;$C249&amp;"]["&amp;$D249&amp;"]["&amp;$F249&amp;"]"</f>
        <v>[S05_AggregateTotalEmissionsByCRF][24][CRFCategory2]</v>
      </c>
    </row>
    <row r="250" spans="1:15" x14ac:dyDescent="0.3">
      <c r="A250" t="s">
        <v>2277</v>
      </c>
      <c r="B250" t="s">
        <v>1846</v>
      </c>
      <c r="C250" t="s">
        <v>1849</v>
      </c>
      <c r="D250">
        <v>25</v>
      </c>
      <c r="E250" t="s">
        <v>1447</v>
      </c>
      <c r="F250" t="s">
        <v>1851</v>
      </c>
      <c r="G250" t="s">
        <v>1737</v>
      </c>
      <c r="H250" t="s">
        <v>2279</v>
      </c>
      <c r="I250" t="s">
        <v>2279</v>
      </c>
      <c r="J250" t="s">
        <v>2279</v>
      </c>
      <c r="K250" t="s">
        <v>2279</v>
      </c>
      <c r="L250" t="s">
        <v>1575</v>
      </c>
      <c r="M250" t="s">
        <v>2279</v>
      </c>
      <c r="N250" t="s">
        <v>2279</v>
      </c>
      <c r="O250" s="190" t="str">
        <f>"["&amp;$C250&amp;"]["&amp;$D250&amp;"]["&amp;$F250&amp;"]"</f>
        <v>[S05_AggregateTotalEmissionsByCRF][25][CRFCategory2]</v>
      </c>
    </row>
    <row r="251" spans="1:15" x14ac:dyDescent="0.3">
      <c r="A251" t="s">
        <v>2277</v>
      </c>
      <c r="B251" t="s">
        <v>1846</v>
      </c>
      <c r="C251" t="s">
        <v>1849</v>
      </c>
      <c r="D251">
        <v>26</v>
      </c>
      <c r="E251" t="s">
        <v>1447</v>
      </c>
      <c r="F251" t="s">
        <v>1851</v>
      </c>
      <c r="G251" t="s">
        <v>1737</v>
      </c>
      <c r="H251" t="s">
        <v>2279</v>
      </c>
      <c r="I251" t="s">
        <v>2279</v>
      </c>
      <c r="J251" t="s">
        <v>2279</v>
      </c>
      <c r="K251" t="s">
        <v>2279</v>
      </c>
      <c r="L251" t="s">
        <v>1584</v>
      </c>
      <c r="M251" t="s">
        <v>2279</v>
      </c>
      <c r="N251" t="s">
        <v>2279</v>
      </c>
      <c r="O251" s="190" t="str">
        <f>"["&amp;$C251&amp;"]["&amp;$D251&amp;"]["&amp;$F251&amp;"]"</f>
        <v>[S05_AggregateTotalEmissionsByCRF][26][CRFCategory2]</v>
      </c>
    </row>
    <row r="252" spans="1:15" x14ac:dyDescent="0.3">
      <c r="A252" t="s">
        <v>2277</v>
      </c>
      <c r="B252" t="s">
        <v>1846</v>
      </c>
      <c r="C252" t="s">
        <v>1849</v>
      </c>
      <c r="D252">
        <v>27</v>
      </c>
      <c r="E252" t="s">
        <v>1447</v>
      </c>
      <c r="F252" t="s">
        <v>1851</v>
      </c>
      <c r="G252" t="s">
        <v>1737</v>
      </c>
      <c r="H252" t="s">
        <v>2279</v>
      </c>
      <c r="I252" t="s">
        <v>2279</v>
      </c>
      <c r="J252" t="s">
        <v>2279</v>
      </c>
      <c r="K252" t="s">
        <v>2279</v>
      </c>
      <c r="L252" t="s">
        <v>1589</v>
      </c>
      <c r="M252" t="s">
        <v>2279</v>
      </c>
      <c r="N252" t="s">
        <v>2279</v>
      </c>
      <c r="O252" s="190" t="str">
        <f>"["&amp;$C252&amp;"]["&amp;$D252&amp;"]["&amp;$F252&amp;"]"</f>
        <v>[S05_AggregateTotalEmissionsByCRF][27][CRFCategory2]</v>
      </c>
    </row>
    <row r="253" spans="1:15" x14ac:dyDescent="0.3">
      <c r="A253" t="s">
        <v>2277</v>
      </c>
      <c r="B253" t="s">
        <v>1846</v>
      </c>
      <c r="C253" t="s">
        <v>1849</v>
      </c>
      <c r="D253">
        <v>28</v>
      </c>
      <c r="E253" t="s">
        <v>1447</v>
      </c>
      <c r="F253" t="s">
        <v>1851</v>
      </c>
      <c r="G253" t="s">
        <v>1737</v>
      </c>
      <c r="H253" t="s">
        <v>2279</v>
      </c>
      <c r="I253" t="s">
        <v>2279</v>
      </c>
      <c r="J253" t="s">
        <v>2279</v>
      </c>
      <c r="K253" t="s">
        <v>2279</v>
      </c>
      <c r="L253" t="s">
        <v>1594</v>
      </c>
      <c r="M253" t="s">
        <v>2279</v>
      </c>
      <c r="N253" t="s">
        <v>2279</v>
      </c>
      <c r="O253" s="190" t="str">
        <f>"["&amp;$C253&amp;"]["&amp;$D253&amp;"]["&amp;$F253&amp;"]"</f>
        <v>[S05_AggregateTotalEmissionsByCRF][28][CRFCategory2]</v>
      </c>
    </row>
    <row r="254" spans="1:15" x14ac:dyDescent="0.3">
      <c r="A254" t="s">
        <v>2277</v>
      </c>
      <c r="B254" t="s">
        <v>1846</v>
      </c>
      <c r="C254" t="s">
        <v>1849</v>
      </c>
      <c r="D254">
        <v>29</v>
      </c>
      <c r="E254" t="s">
        <v>1447</v>
      </c>
      <c r="F254" t="s">
        <v>1851</v>
      </c>
      <c r="G254" t="s">
        <v>1737</v>
      </c>
      <c r="H254" t="s">
        <v>2279</v>
      </c>
      <c r="I254" t="s">
        <v>2279</v>
      </c>
      <c r="J254" t="s">
        <v>2279</v>
      </c>
      <c r="K254" t="s">
        <v>2279</v>
      </c>
      <c r="L254" t="s">
        <v>1599</v>
      </c>
      <c r="M254" t="s">
        <v>2279</v>
      </c>
      <c r="N254" t="s">
        <v>2279</v>
      </c>
      <c r="O254" s="190" t="str">
        <f>"["&amp;$C254&amp;"]["&amp;$D254&amp;"]["&amp;$F254&amp;"]"</f>
        <v>[S05_AggregateTotalEmissionsByCRF][29][CRFCategory2]</v>
      </c>
    </row>
    <row r="255" spans="1:15" x14ac:dyDescent="0.3">
      <c r="A255" t="s">
        <v>2277</v>
      </c>
      <c r="B255" t="s">
        <v>1846</v>
      </c>
      <c r="C255" t="s">
        <v>1849</v>
      </c>
      <c r="D255">
        <v>30</v>
      </c>
      <c r="E255" t="s">
        <v>1447</v>
      </c>
      <c r="F255" t="s">
        <v>1851</v>
      </c>
      <c r="G255" t="s">
        <v>1737</v>
      </c>
      <c r="H255" t="s">
        <v>2279</v>
      </c>
      <c r="I255" t="s">
        <v>2279</v>
      </c>
      <c r="J255" t="s">
        <v>2279</v>
      </c>
      <c r="K255" t="s">
        <v>2279</v>
      </c>
      <c r="L255" t="s">
        <v>1614</v>
      </c>
      <c r="M255" t="s">
        <v>2279</v>
      </c>
      <c r="N255" t="s">
        <v>2279</v>
      </c>
      <c r="O255" s="190" t="str">
        <f>"["&amp;$C255&amp;"]["&amp;$D255&amp;"]["&amp;$F255&amp;"]"</f>
        <v>[S05_AggregateTotalEmissionsByCRF][30][CRFCategory2]</v>
      </c>
    </row>
    <row r="256" spans="1:15" x14ac:dyDescent="0.3">
      <c r="A256" t="s">
        <v>2277</v>
      </c>
      <c r="B256" t="s">
        <v>1846</v>
      </c>
      <c r="C256" t="s">
        <v>1849</v>
      </c>
      <c r="D256">
        <v>31</v>
      </c>
      <c r="E256" t="s">
        <v>1447</v>
      </c>
      <c r="F256" t="s">
        <v>1851</v>
      </c>
      <c r="G256" t="s">
        <v>1737</v>
      </c>
      <c r="H256" t="s">
        <v>2279</v>
      </c>
      <c r="I256" t="s">
        <v>2279</v>
      </c>
      <c r="J256" t="s">
        <v>2279</v>
      </c>
      <c r="K256" t="s">
        <v>2279</v>
      </c>
      <c r="L256" t="s">
        <v>1619</v>
      </c>
      <c r="M256" t="s">
        <v>2279</v>
      </c>
      <c r="N256" t="s">
        <v>2279</v>
      </c>
      <c r="O256" s="190" t="str">
        <f>"["&amp;$C256&amp;"]["&amp;$D256&amp;"]["&amp;$F256&amp;"]"</f>
        <v>[S05_AggregateTotalEmissionsByCRF][31][CRFCategory2]</v>
      </c>
    </row>
    <row r="257" spans="1:15" x14ac:dyDescent="0.3">
      <c r="A257" t="s">
        <v>2277</v>
      </c>
      <c r="B257" t="s">
        <v>1846</v>
      </c>
      <c r="C257" t="s">
        <v>1849</v>
      </c>
      <c r="D257">
        <v>32</v>
      </c>
      <c r="E257" t="s">
        <v>1447</v>
      </c>
      <c r="F257" t="s">
        <v>1851</v>
      </c>
      <c r="G257" t="s">
        <v>1737</v>
      </c>
      <c r="H257" t="s">
        <v>2279</v>
      </c>
      <c r="I257" t="s">
        <v>2279</v>
      </c>
      <c r="J257" t="s">
        <v>2279</v>
      </c>
      <c r="K257" t="s">
        <v>2279</v>
      </c>
      <c r="L257" t="s">
        <v>1674</v>
      </c>
      <c r="M257" t="s">
        <v>2279</v>
      </c>
      <c r="N257" t="s">
        <v>2279</v>
      </c>
      <c r="O257" s="190" t="str">
        <f>"["&amp;$C257&amp;"]["&amp;$D257&amp;"]["&amp;$F257&amp;"]"</f>
        <v>[S05_AggregateTotalEmissionsByCRF][32][CRFCategory2]</v>
      </c>
    </row>
    <row r="258" spans="1:15" x14ac:dyDescent="0.3">
      <c r="A258" t="s">
        <v>2277</v>
      </c>
      <c r="B258" t="s">
        <v>1846</v>
      </c>
      <c r="C258" t="s">
        <v>1849</v>
      </c>
      <c r="D258">
        <v>33</v>
      </c>
      <c r="E258" t="s">
        <v>1447</v>
      </c>
      <c r="F258" t="s">
        <v>1851</v>
      </c>
      <c r="G258" t="s">
        <v>1737</v>
      </c>
      <c r="H258" t="s">
        <v>2279</v>
      </c>
      <c r="I258" t="s">
        <v>2279</v>
      </c>
      <c r="J258" t="s">
        <v>2279</v>
      </c>
      <c r="K258" t="s">
        <v>2279</v>
      </c>
      <c r="L258" t="s">
        <v>1676</v>
      </c>
      <c r="M258" t="s">
        <v>2279</v>
      </c>
      <c r="N258" t="s">
        <v>2279</v>
      </c>
      <c r="O258" s="190" t="str">
        <f>"["&amp;$C258&amp;"]["&amp;$D258&amp;"]["&amp;$F258&amp;"]"</f>
        <v>[S05_AggregateTotalEmissionsByCRF][33][CRFCategory2]</v>
      </c>
    </row>
    <row r="259" spans="1:15" x14ac:dyDescent="0.3">
      <c r="A259" t="s">
        <v>2277</v>
      </c>
      <c r="B259" t="s">
        <v>1846</v>
      </c>
      <c r="C259" t="s">
        <v>1849</v>
      </c>
      <c r="D259">
        <v>1</v>
      </c>
      <c r="E259" t="s">
        <v>1447</v>
      </c>
      <c r="F259" t="s">
        <v>1852</v>
      </c>
      <c r="G259" t="s">
        <v>1806</v>
      </c>
      <c r="H259" t="s">
        <v>2279</v>
      </c>
      <c r="I259" t="s">
        <v>2279</v>
      </c>
      <c r="J259">
        <v>23342682.602288201</v>
      </c>
      <c r="K259" t="s">
        <v>2279</v>
      </c>
      <c r="L259" t="s">
        <v>2279</v>
      </c>
      <c r="M259" t="s">
        <v>2279</v>
      </c>
      <c r="N259" t="s">
        <v>2279</v>
      </c>
      <c r="O259" s="190" t="str">
        <f>"["&amp;$C259&amp;"]["&amp;$D259&amp;"]["&amp;$F259&amp;"]"</f>
        <v>[S05_AggregateTotalEmissionsByCRF][1][TotalEmissionsTCo2e]</v>
      </c>
    </row>
    <row r="260" spans="1:15" x14ac:dyDescent="0.3">
      <c r="A260" t="s">
        <v>2277</v>
      </c>
      <c r="B260" t="s">
        <v>1846</v>
      </c>
      <c r="C260" t="s">
        <v>1849</v>
      </c>
      <c r="D260">
        <v>2</v>
      </c>
      <c r="E260" t="s">
        <v>1447</v>
      </c>
      <c r="F260" t="s">
        <v>1852</v>
      </c>
      <c r="G260" t="s">
        <v>1806</v>
      </c>
      <c r="H260" t="s">
        <v>2279</v>
      </c>
      <c r="I260" t="s">
        <v>2279</v>
      </c>
      <c r="J260">
        <v>5469480.40454253</v>
      </c>
      <c r="K260" t="s">
        <v>2279</v>
      </c>
      <c r="L260" t="s">
        <v>2279</v>
      </c>
      <c r="M260" t="s">
        <v>2279</v>
      </c>
      <c r="N260" t="s">
        <v>2279</v>
      </c>
      <c r="O260" s="190" t="str">
        <f>"["&amp;$C260&amp;"]["&amp;$D260&amp;"]["&amp;$F260&amp;"]"</f>
        <v>[S05_AggregateTotalEmissionsByCRF][2][TotalEmissionsTCo2e]</v>
      </c>
    </row>
    <row r="261" spans="1:15" x14ac:dyDescent="0.3">
      <c r="A261" t="s">
        <v>2277</v>
      </c>
      <c r="B261" t="s">
        <v>1846</v>
      </c>
      <c r="C261" t="s">
        <v>1849</v>
      </c>
      <c r="D261">
        <v>3</v>
      </c>
      <c r="E261" t="s">
        <v>1447</v>
      </c>
      <c r="F261" t="s">
        <v>1852</v>
      </c>
      <c r="G261" t="s">
        <v>1806</v>
      </c>
      <c r="H261" t="s">
        <v>2279</v>
      </c>
      <c r="I261" t="s">
        <v>2279</v>
      </c>
      <c r="J261">
        <v>197702.560088931</v>
      </c>
      <c r="K261" t="s">
        <v>2279</v>
      </c>
      <c r="L261" t="s">
        <v>2279</v>
      </c>
      <c r="M261" t="s">
        <v>2279</v>
      </c>
      <c r="N261" t="s">
        <v>2279</v>
      </c>
      <c r="O261" s="190" t="str">
        <f>"["&amp;$C261&amp;"]["&amp;$D261&amp;"]["&amp;$F261&amp;"]"</f>
        <v>[S05_AggregateTotalEmissionsByCRF][3][TotalEmissionsTCo2e]</v>
      </c>
    </row>
    <row r="262" spans="1:15" x14ac:dyDescent="0.3">
      <c r="A262" t="s">
        <v>2277</v>
      </c>
      <c r="B262" t="s">
        <v>1846</v>
      </c>
      <c r="C262" t="s">
        <v>1849</v>
      </c>
      <c r="D262">
        <v>4</v>
      </c>
      <c r="E262" t="s">
        <v>1447</v>
      </c>
      <c r="F262" t="s">
        <v>1852</v>
      </c>
      <c r="G262" t="s">
        <v>1806</v>
      </c>
      <c r="H262" t="s">
        <v>2279</v>
      </c>
      <c r="I262" t="s">
        <v>2279</v>
      </c>
      <c r="J262">
        <v>445534.53131872701</v>
      </c>
      <c r="K262" t="s">
        <v>2279</v>
      </c>
      <c r="L262" t="s">
        <v>2279</v>
      </c>
      <c r="M262" t="s">
        <v>2279</v>
      </c>
      <c r="N262" t="s">
        <v>2279</v>
      </c>
      <c r="O262" s="190" t="str">
        <f>"["&amp;$C262&amp;"]["&amp;$D262&amp;"]["&amp;$F262&amp;"]"</f>
        <v>[S05_AggregateTotalEmissionsByCRF][4][TotalEmissionsTCo2e]</v>
      </c>
    </row>
    <row r="263" spans="1:15" x14ac:dyDescent="0.3">
      <c r="A263" t="s">
        <v>2277</v>
      </c>
      <c r="B263" t="s">
        <v>1846</v>
      </c>
      <c r="C263" t="s">
        <v>1849</v>
      </c>
      <c r="D263">
        <v>5</v>
      </c>
      <c r="E263" t="s">
        <v>1447</v>
      </c>
      <c r="F263" t="s">
        <v>1852</v>
      </c>
      <c r="G263" t="s">
        <v>1806</v>
      </c>
      <c r="H263" t="s">
        <v>2279</v>
      </c>
      <c r="I263" t="s">
        <v>2279</v>
      </c>
      <c r="J263">
        <v>8022976.1753228204</v>
      </c>
      <c r="K263" t="s">
        <v>2279</v>
      </c>
      <c r="L263" t="s">
        <v>2279</v>
      </c>
      <c r="M263" t="s">
        <v>2279</v>
      </c>
      <c r="N263" t="s">
        <v>2279</v>
      </c>
      <c r="O263" s="190" t="str">
        <f>"["&amp;$C263&amp;"]["&amp;$D263&amp;"]["&amp;$F263&amp;"]"</f>
        <v>[S05_AggregateTotalEmissionsByCRF][5][TotalEmissionsTCo2e]</v>
      </c>
    </row>
    <row r="264" spans="1:15" x14ac:dyDescent="0.3">
      <c r="A264" t="s">
        <v>2277</v>
      </c>
      <c r="B264" t="s">
        <v>1846</v>
      </c>
      <c r="C264" t="s">
        <v>1849</v>
      </c>
      <c r="D264">
        <v>6</v>
      </c>
      <c r="E264" t="s">
        <v>1447</v>
      </c>
      <c r="F264" t="s">
        <v>1852</v>
      </c>
      <c r="G264" t="s">
        <v>1806</v>
      </c>
      <c r="H264" t="s">
        <v>2279</v>
      </c>
      <c r="I264" t="s">
        <v>2279</v>
      </c>
      <c r="J264">
        <v>1807161.2894871901</v>
      </c>
      <c r="K264" t="s">
        <v>2279</v>
      </c>
      <c r="L264" t="s">
        <v>2279</v>
      </c>
      <c r="M264" t="s">
        <v>2279</v>
      </c>
      <c r="N264" t="s">
        <v>2279</v>
      </c>
      <c r="O264" s="190" t="str">
        <f>"["&amp;$C264&amp;"]["&amp;$D264&amp;"]["&amp;$F264&amp;"]"</f>
        <v>[S05_AggregateTotalEmissionsByCRF][6][TotalEmissionsTCo2e]</v>
      </c>
    </row>
    <row r="265" spans="1:15" x14ac:dyDescent="0.3">
      <c r="A265" t="s">
        <v>2277</v>
      </c>
      <c r="B265" t="s">
        <v>1846</v>
      </c>
      <c r="C265" t="s">
        <v>1849</v>
      </c>
      <c r="D265">
        <v>7</v>
      </c>
      <c r="E265" t="s">
        <v>1447</v>
      </c>
      <c r="F265" t="s">
        <v>1852</v>
      </c>
      <c r="G265" t="s">
        <v>1806</v>
      </c>
      <c r="H265" t="s">
        <v>2279</v>
      </c>
      <c r="I265" t="s">
        <v>2279</v>
      </c>
      <c r="J265">
        <v>5027160.9136241795</v>
      </c>
      <c r="K265" t="s">
        <v>2279</v>
      </c>
      <c r="L265" t="s">
        <v>2279</v>
      </c>
      <c r="M265" t="s">
        <v>2279</v>
      </c>
      <c r="N265" t="s">
        <v>2279</v>
      </c>
      <c r="O265" s="190" t="str">
        <f>"["&amp;$C265&amp;"]["&amp;$D265&amp;"]["&amp;$F265&amp;"]"</f>
        <v>[S05_AggregateTotalEmissionsByCRF][7][TotalEmissionsTCo2e]</v>
      </c>
    </row>
    <row r="266" spans="1:15" x14ac:dyDescent="0.3">
      <c r="A266" t="s">
        <v>2277</v>
      </c>
      <c r="B266" t="s">
        <v>1846</v>
      </c>
      <c r="C266" t="s">
        <v>1849</v>
      </c>
      <c r="D266">
        <v>8</v>
      </c>
      <c r="E266" t="s">
        <v>1447</v>
      </c>
      <c r="F266" t="s">
        <v>1852</v>
      </c>
      <c r="G266" t="s">
        <v>1806</v>
      </c>
      <c r="H266" t="s">
        <v>2279</v>
      </c>
      <c r="I266" t="s">
        <v>2279</v>
      </c>
      <c r="J266">
        <v>1220867.9753403</v>
      </c>
      <c r="K266" t="s">
        <v>2279</v>
      </c>
      <c r="L266" t="s">
        <v>2279</v>
      </c>
      <c r="M266" t="s">
        <v>2279</v>
      </c>
      <c r="N266" t="s">
        <v>2279</v>
      </c>
      <c r="O266" s="190" t="str">
        <f>"["&amp;$C266&amp;"]["&amp;$D266&amp;"]["&amp;$F266&amp;"]"</f>
        <v>[S05_AggregateTotalEmissionsByCRF][8][TotalEmissionsTCo2e]</v>
      </c>
    </row>
    <row r="267" spans="1:15" x14ac:dyDescent="0.3">
      <c r="A267" t="s">
        <v>2277</v>
      </c>
      <c r="B267" t="s">
        <v>1846</v>
      </c>
      <c r="C267" t="s">
        <v>1849</v>
      </c>
      <c r="D267">
        <v>9</v>
      </c>
      <c r="E267" t="s">
        <v>1447</v>
      </c>
      <c r="F267" t="s">
        <v>1852</v>
      </c>
      <c r="G267" t="s">
        <v>1806</v>
      </c>
      <c r="H267" t="s">
        <v>2279</v>
      </c>
      <c r="I267" t="s">
        <v>2279</v>
      </c>
      <c r="J267">
        <v>324307.846496124</v>
      </c>
      <c r="K267" t="s">
        <v>2279</v>
      </c>
      <c r="L267" t="s">
        <v>2279</v>
      </c>
      <c r="M267" t="s">
        <v>2279</v>
      </c>
      <c r="N267" t="s">
        <v>2279</v>
      </c>
      <c r="O267" s="190" t="str">
        <f>"["&amp;$C267&amp;"]["&amp;$D267&amp;"]["&amp;$F267&amp;"]"</f>
        <v>[S05_AggregateTotalEmissionsByCRF][9][TotalEmissionsTCo2e]</v>
      </c>
    </row>
    <row r="268" spans="1:15" x14ac:dyDescent="0.3">
      <c r="A268" t="s">
        <v>2277</v>
      </c>
      <c r="B268" t="s">
        <v>1846</v>
      </c>
      <c r="C268" t="s">
        <v>1849</v>
      </c>
      <c r="D268">
        <v>10</v>
      </c>
      <c r="E268" t="s">
        <v>1447</v>
      </c>
      <c r="F268" t="s">
        <v>1852</v>
      </c>
      <c r="G268" t="s">
        <v>1806</v>
      </c>
      <c r="H268" t="s">
        <v>2279</v>
      </c>
      <c r="I268" t="s">
        <v>2279</v>
      </c>
      <c r="J268">
        <v>218951.965475295</v>
      </c>
      <c r="K268" t="s">
        <v>2279</v>
      </c>
      <c r="L268" t="s">
        <v>2279</v>
      </c>
      <c r="M268" t="s">
        <v>2279</v>
      </c>
      <c r="N268" t="s">
        <v>2279</v>
      </c>
      <c r="O268" s="190" t="str">
        <f>"["&amp;$C268&amp;"]["&amp;$D268&amp;"]["&amp;$F268&amp;"]"</f>
        <v>[S05_AggregateTotalEmissionsByCRF][10][TotalEmissionsTCo2e]</v>
      </c>
    </row>
    <row r="269" spans="1:15" x14ac:dyDescent="0.3">
      <c r="A269" t="s">
        <v>2277</v>
      </c>
      <c r="B269" t="s">
        <v>1846</v>
      </c>
      <c r="C269" t="s">
        <v>1849</v>
      </c>
      <c r="D269">
        <v>11</v>
      </c>
      <c r="E269" t="s">
        <v>1447</v>
      </c>
      <c r="F269" t="s">
        <v>1852</v>
      </c>
      <c r="G269" t="s">
        <v>1806</v>
      </c>
      <c r="H269" t="s">
        <v>2279</v>
      </c>
      <c r="I269" t="s">
        <v>2279</v>
      </c>
      <c r="J269">
        <v>1878837.50359231</v>
      </c>
      <c r="K269" t="s">
        <v>2279</v>
      </c>
      <c r="L269" t="s">
        <v>2279</v>
      </c>
      <c r="M269" t="s">
        <v>2279</v>
      </c>
      <c r="N269" t="s">
        <v>2279</v>
      </c>
      <c r="O269" s="190" t="str">
        <f>"["&amp;$C269&amp;"]["&amp;$D269&amp;"]["&amp;$F269&amp;"]"</f>
        <v>[S05_AggregateTotalEmissionsByCRF][11][TotalEmissionsTCo2e]</v>
      </c>
    </row>
    <row r="270" spans="1:15" x14ac:dyDescent="0.3">
      <c r="A270" t="s">
        <v>2277</v>
      </c>
      <c r="B270" t="s">
        <v>1846</v>
      </c>
      <c r="C270" t="s">
        <v>1849</v>
      </c>
      <c r="D270">
        <v>12</v>
      </c>
      <c r="E270" t="s">
        <v>1447</v>
      </c>
      <c r="F270" t="s">
        <v>1852</v>
      </c>
      <c r="G270" t="s">
        <v>1806</v>
      </c>
      <c r="H270" t="s">
        <v>2279</v>
      </c>
      <c r="I270" t="s">
        <v>2279</v>
      </c>
      <c r="J270">
        <v>356486.72972359299</v>
      </c>
      <c r="K270" t="s">
        <v>2279</v>
      </c>
      <c r="L270" t="s">
        <v>2279</v>
      </c>
      <c r="M270" t="s">
        <v>2279</v>
      </c>
      <c r="N270" t="s">
        <v>2279</v>
      </c>
      <c r="O270" s="190" t="str">
        <f>"["&amp;$C270&amp;"]["&amp;$D270&amp;"]["&amp;$F270&amp;"]"</f>
        <v>[S05_AggregateTotalEmissionsByCRF][12][TotalEmissionsTCo2e]</v>
      </c>
    </row>
    <row r="271" spans="1:15" x14ac:dyDescent="0.3">
      <c r="A271" t="s">
        <v>2277</v>
      </c>
      <c r="B271" t="s">
        <v>1846</v>
      </c>
      <c r="C271" t="s">
        <v>1849</v>
      </c>
      <c r="D271">
        <v>13</v>
      </c>
      <c r="E271" t="s">
        <v>1447</v>
      </c>
      <c r="F271" t="s">
        <v>1852</v>
      </c>
      <c r="G271" t="s">
        <v>1806</v>
      </c>
      <c r="H271" t="s">
        <v>2279</v>
      </c>
      <c r="I271" t="s">
        <v>2279</v>
      </c>
      <c r="J271">
        <v>7616942.4200699702</v>
      </c>
      <c r="K271" t="s">
        <v>2279</v>
      </c>
      <c r="L271" t="s">
        <v>2279</v>
      </c>
      <c r="M271" t="s">
        <v>2279</v>
      </c>
      <c r="N271" t="s">
        <v>2279</v>
      </c>
      <c r="O271" s="190" t="str">
        <f>"["&amp;$C271&amp;"]["&amp;$D271&amp;"]["&amp;$F271&amp;"]"</f>
        <v>[S05_AggregateTotalEmissionsByCRF][13][TotalEmissionsTCo2e]</v>
      </c>
    </row>
    <row r="272" spans="1:15" x14ac:dyDescent="0.3">
      <c r="A272" t="s">
        <v>2277</v>
      </c>
      <c r="B272" t="s">
        <v>1846</v>
      </c>
      <c r="C272" t="s">
        <v>1849</v>
      </c>
      <c r="D272">
        <v>14</v>
      </c>
      <c r="E272" t="s">
        <v>1447</v>
      </c>
      <c r="F272" t="s">
        <v>1852</v>
      </c>
      <c r="G272" t="s">
        <v>1806</v>
      </c>
      <c r="H272" t="s">
        <v>2279</v>
      </c>
      <c r="I272" t="s">
        <v>2279</v>
      </c>
      <c r="J272">
        <v>6625189.3894474804</v>
      </c>
      <c r="K272" t="s">
        <v>2279</v>
      </c>
      <c r="L272" t="s">
        <v>2279</v>
      </c>
      <c r="M272" t="s">
        <v>2279</v>
      </c>
      <c r="N272" t="s">
        <v>2279</v>
      </c>
      <c r="O272" s="190" t="str">
        <f>"["&amp;$C272&amp;"]["&amp;$D272&amp;"]["&amp;$F272&amp;"]"</f>
        <v>[S05_AggregateTotalEmissionsByCRF][14][TotalEmissionsTCo2e]</v>
      </c>
    </row>
    <row r="273" spans="1:15" x14ac:dyDescent="0.3">
      <c r="A273" t="s">
        <v>2277</v>
      </c>
      <c r="B273" t="s">
        <v>1846</v>
      </c>
      <c r="C273" t="s">
        <v>1849</v>
      </c>
      <c r="D273">
        <v>15</v>
      </c>
      <c r="E273" t="s">
        <v>1447</v>
      </c>
      <c r="F273" t="s">
        <v>1852</v>
      </c>
      <c r="G273" t="s">
        <v>1806</v>
      </c>
      <c r="H273" t="s">
        <v>2279</v>
      </c>
      <c r="I273" t="s">
        <v>2279</v>
      </c>
      <c r="J273">
        <v>1852738.56500981</v>
      </c>
      <c r="K273" t="s">
        <v>2279</v>
      </c>
      <c r="L273" t="s">
        <v>2279</v>
      </c>
      <c r="M273" t="s">
        <v>2279</v>
      </c>
      <c r="N273" t="s">
        <v>2279</v>
      </c>
      <c r="O273" s="190" t="str">
        <f>"["&amp;$C273&amp;"]["&amp;$D273&amp;"]["&amp;$F273&amp;"]"</f>
        <v>[S05_AggregateTotalEmissionsByCRF][15][TotalEmissionsTCo2e]</v>
      </c>
    </row>
    <row r="274" spans="1:15" x14ac:dyDescent="0.3">
      <c r="A274" t="s">
        <v>2277</v>
      </c>
      <c r="B274" t="s">
        <v>1846</v>
      </c>
      <c r="C274" t="s">
        <v>1849</v>
      </c>
      <c r="D274">
        <v>16</v>
      </c>
      <c r="E274" t="s">
        <v>1447</v>
      </c>
      <c r="F274" t="s">
        <v>1852</v>
      </c>
      <c r="G274" t="s">
        <v>1806</v>
      </c>
      <c r="H274" t="s">
        <v>2279</v>
      </c>
      <c r="I274" t="s">
        <v>2279</v>
      </c>
      <c r="J274">
        <v>496065.72687769699</v>
      </c>
      <c r="K274" t="s">
        <v>2279</v>
      </c>
      <c r="L274" t="s">
        <v>2279</v>
      </c>
      <c r="M274" t="s">
        <v>2279</v>
      </c>
      <c r="N274" t="s">
        <v>2279</v>
      </c>
      <c r="O274" s="190" t="str">
        <f>"["&amp;$C274&amp;"]["&amp;$D274&amp;"]["&amp;$F274&amp;"]"</f>
        <v>[S05_AggregateTotalEmissionsByCRF][16][TotalEmissionsTCo2e]</v>
      </c>
    </row>
    <row r="275" spans="1:15" x14ac:dyDescent="0.3">
      <c r="A275" t="s">
        <v>2277</v>
      </c>
      <c r="B275" t="s">
        <v>1846</v>
      </c>
      <c r="C275" t="s">
        <v>1849</v>
      </c>
      <c r="D275">
        <v>17</v>
      </c>
      <c r="E275" t="s">
        <v>1447</v>
      </c>
      <c r="F275" t="s">
        <v>1852</v>
      </c>
      <c r="G275" t="s">
        <v>1806</v>
      </c>
      <c r="H275" t="s">
        <v>2279</v>
      </c>
      <c r="I275" t="s">
        <v>2279</v>
      </c>
      <c r="J275">
        <v>161936.314385673</v>
      </c>
      <c r="K275" t="s">
        <v>2279</v>
      </c>
      <c r="L275" t="s">
        <v>2279</v>
      </c>
      <c r="M275" t="s">
        <v>2279</v>
      </c>
      <c r="N275" t="s">
        <v>2279</v>
      </c>
      <c r="O275" s="190" t="str">
        <f>"["&amp;$C275&amp;"]["&amp;$D275&amp;"]["&amp;$F275&amp;"]"</f>
        <v>[S05_AggregateTotalEmissionsByCRF][17][TotalEmissionsTCo2e]</v>
      </c>
    </row>
    <row r="276" spans="1:15" x14ac:dyDescent="0.3">
      <c r="A276" t="s">
        <v>2277</v>
      </c>
      <c r="B276" t="s">
        <v>1846</v>
      </c>
      <c r="C276" t="s">
        <v>1849</v>
      </c>
      <c r="D276">
        <v>18</v>
      </c>
      <c r="E276" t="s">
        <v>1447</v>
      </c>
      <c r="F276" t="s">
        <v>1852</v>
      </c>
      <c r="G276" t="s">
        <v>1806</v>
      </c>
      <c r="H276" t="s">
        <v>2279</v>
      </c>
      <c r="I276" t="s">
        <v>2279</v>
      </c>
      <c r="J276">
        <v>1569232.2892371099</v>
      </c>
      <c r="K276" t="s">
        <v>2279</v>
      </c>
      <c r="L276" t="s">
        <v>2279</v>
      </c>
      <c r="M276" t="s">
        <v>2279</v>
      </c>
      <c r="N276" t="s">
        <v>2279</v>
      </c>
      <c r="O276" s="190" t="str">
        <f>"["&amp;$C276&amp;"]["&amp;$D276&amp;"]["&amp;$F276&amp;"]"</f>
        <v>[S05_AggregateTotalEmissionsByCRF][18][TotalEmissionsTCo2e]</v>
      </c>
    </row>
    <row r="277" spans="1:15" x14ac:dyDescent="0.3">
      <c r="A277" t="s">
        <v>2277</v>
      </c>
      <c r="B277" t="s">
        <v>1846</v>
      </c>
      <c r="C277" t="s">
        <v>1849</v>
      </c>
      <c r="D277">
        <v>19</v>
      </c>
      <c r="E277" t="s">
        <v>1447</v>
      </c>
      <c r="F277" t="s">
        <v>1852</v>
      </c>
      <c r="G277" t="s">
        <v>1806</v>
      </c>
      <c r="H277" t="s">
        <v>2279</v>
      </c>
      <c r="I277" t="s">
        <v>2279</v>
      </c>
      <c r="J277">
        <v>462480.57795423397</v>
      </c>
      <c r="K277" t="s">
        <v>2279</v>
      </c>
      <c r="L277" t="s">
        <v>2279</v>
      </c>
      <c r="M277" t="s">
        <v>2279</v>
      </c>
      <c r="N277" t="s">
        <v>2279</v>
      </c>
      <c r="O277" s="190" t="str">
        <f>"["&amp;$C277&amp;"]["&amp;$D277&amp;"]["&amp;$F277&amp;"]"</f>
        <v>[S05_AggregateTotalEmissionsByCRF][19][TotalEmissionsTCo2e]</v>
      </c>
    </row>
    <row r="278" spans="1:15" x14ac:dyDescent="0.3">
      <c r="A278" t="s">
        <v>2277</v>
      </c>
      <c r="B278" t="s">
        <v>1846</v>
      </c>
      <c r="C278" t="s">
        <v>1849</v>
      </c>
      <c r="D278">
        <v>20</v>
      </c>
      <c r="E278" t="s">
        <v>1447</v>
      </c>
      <c r="F278" t="s">
        <v>1852</v>
      </c>
      <c r="G278" t="s">
        <v>1806</v>
      </c>
      <c r="H278" t="s">
        <v>2279</v>
      </c>
      <c r="I278" t="s">
        <v>2279</v>
      </c>
      <c r="J278">
        <v>24391.955173188901</v>
      </c>
      <c r="K278" t="s">
        <v>2279</v>
      </c>
      <c r="L278" t="s">
        <v>2279</v>
      </c>
      <c r="M278" t="s">
        <v>2279</v>
      </c>
      <c r="N278" t="s">
        <v>2279</v>
      </c>
      <c r="O278" s="190" t="str">
        <f>"["&amp;$C278&amp;"]["&amp;$D278&amp;"]["&amp;$F278&amp;"]"</f>
        <v>[S05_AggregateTotalEmissionsByCRF][20][TotalEmissionsTCo2e]</v>
      </c>
    </row>
    <row r="279" spans="1:15" x14ac:dyDescent="0.3">
      <c r="A279" t="s">
        <v>2277</v>
      </c>
      <c r="B279" t="s">
        <v>1846</v>
      </c>
      <c r="C279" t="s">
        <v>1849</v>
      </c>
      <c r="D279">
        <v>21</v>
      </c>
      <c r="E279" t="s">
        <v>1447</v>
      </c>
      <c r="F279" t="s">
        <v>1852</v>
      </c>
      <c r="G279" t="s">
        <v>1806</v>
      </c>
      <c r="H279" t="s">
        <v>2279</v>
      </c>
      <c r="I279" t="s">
        <v>2279</v>
      </c>
      <c r="J279">
        <v>111059.14353145</v>
      </c>
      <c r="K279" t="s">
        <v>2279</v>
      </c>
      <c r="L279" t="s">
        <v>2279</v>
      </c>
      <c r="M279" t="s">
        <v>2279</v>
      </c>
      <c r="N279" t="s">
        <v>2279</v>
      </c>
      <c r="O279" s="190" t="str">
        <f>"["&amp;$C279&amp;"]["&amp;$D279&amp;"]["&amp;$F279&amp;"]"</f>
        <v>[S05_AggregateTotalEmissionsByCRF][21][TotalEmissionsTCo2e]</v>
      </c>
    </row>
    <row r="280" spans="1:15" x14ac:dyDescent="0.3">
      <c r="A280" t="s">
        <v>2277</v>
      </c>
      <c r="B280" t="s">
        <v>1846</v>
      </c>
      <c r="C280" t="s">
        <v>1849</v>
      </c>
      <c r="D280">
        <v>22</v>
      </c>
      <c r="E280" t="s">
        <v>1447</v>
      </c>
      <c r="F280" t="s">
        <v>1852</v>
      </c>
      <c r="G280" t="s">
        <v>1806</v>
      </c>
      <c r="H280" t="s">
        <v>2279</v>
      </c>
      <c r="I280" t="s">
        <v>2279</v>
      </c>
      <c r="J280">
        <v>786.03457951599103</v>
      </c>
      <c r="K280" t="s">
        <v>2279</v>
      </c>
      <c r="L280" t="s">
        <v>2279</v>
      </c>
      <c r="M280" t="s">
        <v>2279</v>
      </c>
      <c r="N280" t="s">
        <v>2279</v>
      </c>
      <c r="O280" s="190" t="str">
        <f>"["&amp;$C280&amp;"]["&amp;$D280&amp;"]["&amp;$F280&amp;"]"</f>
        <v>[S05_AggregateTotalEmissionsByCRF][22][TotalEmissionsTCo2e]</v>
      </c>
    </row>
    <row r="281" spans="1:15" x14ac:dyDescent="0.3">
      <c r="A281" t="s">
        <v>2277</v>
      </c>
      <c r="B281" t="s">
        <v>1846</v>
      </c>
      <c r="C281" t="s">
        <v>1849</v>
      </c>
      <c r="D281">
        <v>23</v>
      </c>
      <c r="E281" t="s">
        <v>1447</v>
      </c>
      <c r="F281" t="s">
        <v>1852</v>
      </c>
      <c r="G281" t="s">
        <v>1806</v>
      </c>
      <c r="H281" t="s">
        <v>2279</v>
      </c>
      <c r="I281" t="s">
        <v>2279</v>
      </c>
      <c r="J281">
        <v>6847.9613904272801</v>
      </c>
      <c r="K281" t="s">
        <v>2279</v>
      </c>
      <c r="L281" t="s">
        <v>2279</v>
      </c>
      <c r="M281" t="s">
        <v>2279</v>
      </c>
      <c r="N281" t="s">
        <v>2279</v>
      </c>
      <c r="O281" s="190" t="str">
        <f>"["&amp;$C281&amp;"]["&amp;$D281&amp;"]["&amp;$F281&amp;"]"</f>
        <v>[S05_AggregateTotalEmissionsByCRF][23][TotalEmissionsTCo2e]</v>
      </c>
    </row>
    <row r="282" spans="1:15" x14ac:dyDescent="0.3">
      <c r="A282" t="s">
        <v>2277</v>
      </c>
      <c r="B282" t="s">
        <v>1846</v>
      </c>
      <c r="C282" t="s">
        <v>1849</v>
      </c>
      <c r="D282">
        <v>24</v>
      </c>
      <c r="E282" t="s">
        <v>1447</v>
      </c>
      <c r="F282" t="s">
        <v>1852</v>
      </c>
      <c r="G282" t="s">
        <v>1806</v>
      </c>
      <c r="H282" t="s">
        <v>2279</v>
      </c>
      <c r="I282" t="s">
        <v>2279</v>
      </c>
      <c r="J282">
        <v>262352.85076877102</v>
      </c>
      <c r="K282" t="s">
        <v>2279</v>
      </c>
      <c r="L282" t="s">
        <v>2279</v>
      </c>
      <c r="M282" t="s">
        <v>2279</v>
      </c>
      <c r="N282" t="s">
        <v>2279</v>
      </c>
      <c r="O282" s="190" t="str">
        <f>"["&amp;$C282&amp;"]["&amp;$D282&amp;"]["&amp;$F282&amp;"]"</f>
        <v>[S05_AggregateTotalEmissionsByCRF][24][TotalEmissionsTCo2e]</v>
      </c>
    </row>
    <row r="283" spans="1:15" x14ac:dyDescent="0.3">
      <c r="A283" t="s">
        <v>2277</v>
      </c>
      <c r="B283" t="s">
        <v>1846</v>
      </c>
      <c r="C283" t="s">
        <v>1849</v>
      </c>
      <c r="D283">
        <v>25</v>
      </c>
      <c r="E283" t="s">
        <v>1447</v>
      </c>
      <c r="F283" t="s">
        <v>1852</v>
      </c>
      <c r="G283" t="s">
        <v>1806</v>
      </c>
      <c r="H283" t="s">
        <v>2279</v>
      </c>
      <c r="I283" t="s">
        <v>2279</v>
      </c>
      <c r="J283">
        <v>151590.371751767</v>
      </c>
      <c r="K283" t="s">
        <v>2279</v>
      </c>
      <c r="L283" t="s">
        <v>2279</v>
      </c>
      <c r="M283" t="s">
        <v>2279</v>
      </c>
      <c r="N283" t="s">
        <v>2279</v>
      </c>
      <c r="O283" s="190" t="str">
        <f>"["&amp;$C283&amp;"]["&amp;$D283&amp;"]["&amp;$F283&amp;"]"</f>
        <v>[S05_AggregateTotalEmissionsByCRF][25][TotalEmissionsTCo2e]</v>
      </c>
    </row>
    <row r="284" spans="1:15" x14ac:dyDescent="0.3">
      <c r="A284" t="s">
        <v>2277</v>
      </c>
      <c r="B284" t="s">
        <v>1846</v>
      </c>
      <c r="C284" t="s">
        <v>1849</v>
      </c>
      <c r="D284">
        <v>26</v>
      </c>
      <c r="E284" t="s">
        <v>1447</v>
      </c>
      <c r="F284" t="s">
        <v>1852</v>
      </c>
      <c r="G284" t="s">
        <v>1806</v>
      </c>
      <c r="H284" t="s">
        <v>2279</v>
      </c>
      <c r="I284" t="s">
        <v>2279</v>
      </c>
      <c r="J284">
        <v>4273671.3883770499</v>
      </c>
      <c r="K284" t="s">
        <v>2279</v>
      </c>
      <c r="L284" t="s">
        <v>2279</v>
      </c>
      <c r="M284" t="s">
        <v>2279</v>
      </c>
      <c r="N284" t="s">
        <v>2279</v>
      </c>
      <c r="O284" s="190" t="str">
        <f>"["&amp;$C284&amp;"]["&amp;$D284&amp;"]["&amp;$F284&amp;"]"</f>
        <v>[S05_AggregateTotalEmissionsByCRF][26][TotalEmissionsTCo2e]</v>
      </c>
    </row>
    <row r="285" spans="1:15" x14ac:dyDescent="0.3">
      <c r="A285" t="s">
        <v>2277</v>
      </c>
      <c r="B285" t="s">
        <v>1846</v>
      </c>
      <c r="C285" t="s">
        <v>1849</v>
      </c>
      <c r="D285">
        <v>27</v>
      </c>
      <c r="E285" t="s">
        <v>1447</v>
      </c>
      <c r="F285" t="s">
        <v>1852</v>
      </c>
      <c r="G285" t="s">
        <v>1806</v>
      </c>
      <c r="H285" t="s">
        <v>2279</v>
      </c>
      <c r="I285" t="s">
        <v>2279</v>
      </c>
      <c r="J285">
        <v>14467076.418938899</v>
      </c>
      <c r="K285" t="s">
        <v>2279</v>
      </c>
      <c r="L285" t="s">
        <v>2279</v>
      </c>
      <c r="M285" t="s">
        <v>2279</v>
      </c>
      <c r="N285" t="s">
        <v>2279</v>
      </c>
      <c r="O285" s="190" t="str">
        <f>"["&amp;$C285&amp;"]["&amp;$D285&amp;"]["&amp;$F285&amp;"]"</f>
        <v>[S05_AggregateTotalEmissionsByCRF][27][TotalEmissionsTCo2e]</v>
      </c>
    </row>
    <row r="286" spans="1:15" x14ac:dyDescent="0.3">
      <c r="A286" t="s">
        <v>2277</v>
      </c>
      <c r="B286" t="s">
        <v>1846</v>
      </c>
      <c r="C286" t="s">
        <v>1849</v>
      </c>
      <c r="D286">
        <v>28</v>
      </c>
      <c r="E286" t="s">
        <v>1447</v>
      </c>
      <c r="F286" t="s">
        <v>1852</v>
      </c>
      <c r="G286" t="s">
        <v>1806</v>
      </c>
      <c r="H286" t="s">
        <v>2279</v>
      </c>
      <c r="I286" t="s">
        <v>2279</v>
      </c>
      <c r="J286">
        <v>487017.25337444502</v>
      </c>
      <c r="K286" t="s">
        <v>2279</v>
      </c>
      <c r="L286" t="s">
        <v>2279</v>
      </c>
      <c r="M286" t="s">
        <v>2279</v>
      </c>
      <c r="N286" t="s">
        <v>2279</v>
      </c>
      <c r="O286" s="190" t="str">
        <f>"["&amp;$C286&amp;"]["&amp;$D286&amp;"]["&amp;$F286&amp;"]"</f>
        <v>[S05_AggregateTotalEmissionsByCRF][28][TotalEmissionsTCo2e]</v>
      </c>
    </row>
    <row r="287" spans="1:15" x14ac:dyDescent="0.3">
      <c r="A287" t="s">
        <v>2277</v>
      </c>
      <c r="B287" t="s">
        <v>1846</v>
      </c>
      <c r="C287" t="s">
        <v>1849</v>
      </c>
      <c r="D287">
        <v>29</v>
      </c>
      <c r="E287" t="s">
        <v>1447</v>
      </c>
      <c r="F287" t="s">
        <v>1852</v>
      </c>
      <c r="G287" t="s">
        <v>1806</v>
      </c>
      <c r="H287" t="s">
        <v>2279</v>
      </c>
      <c r="I287" t="s">
        <v>2279</v>
      </c>
      <c r="J287">
        <v>779141.92066013999</v>
      </c>
      <c r="K287" t="s">
        <v>2279</v>
      </c>
      <c r="L287" t="s">
        <v>2279</v>
      </c>
      <c r="M287" t="s">
        <v>2279</v>
      </c>
      <c r="N287" t="s">
        <v>2279</v>
      </c>
      <c r="O287" s="190" t="str">
        <f>"["&amp;$C287&amp;"]["&amp;$D287&amp;"]["&amp;$F287&amp;"]"</f>
        <v>[S05_AggregateTotalEmissionsByCRF][29][TotalEmissionsTCo2e]</v>
      </c>
    </row>
    <row r="288" spans="1:15" x14ac:dyDescent="0.3">
      <c r="A288" t="s">
        <v>2277</v>
      </c>
      <c r="B288" t="s">
        <v>1846</v>
      </c>
      <c r="C288" t="s">
        <v>1849</v>
      </c>
      <c r="D288">
        <v>30</v>
      </c>
      <c r="E288" t="s">
        <v>1447</v>
      </c>
      <c r="F288" t="s">
        <v>1852</v>
      </c>
      <c r="G288" t="s">
        <v>1806</v>
      </c>
      <c r="H288" t="s">
        <v>2279</v>
      </c>
      <c r="I288" t="s">
        <v>2279</v>
      </c>
      <c r="J288">
        <v>74411.517439054704</v>
      </c>
      <c r="K288" t="s">
        <v>2279</v>
      </c>
      <c r="L288" t="s">
        <v>2279</v>
      </c>
      <c r="M288" t="s">
        <v>2279</v>
      </c>
      <c r="N288" t="s">
        <v>2279</v>
      </c>
      <c r="O288" s="190" t="str">
        <f>"["&amp;$C288&amp;"]["&amp;$D288&amp;"]["&amp;$F288&amp;"]"</f>
        <v>[S05_AggregateTotalEmissionsByCRF][30][TotalEmissionsTCo2e]</v>
      </c>
    </row>
    <row r="289" spans="1:15" x14ac:dyDescent="0.3">
      <c r="A289" t="s">
        <v>2277</v>
      </c>
      <c r="B289" t="s">
        <v>1846</v>
      </c>
      <c r="C289" t="s">
        <v>1849</v>
      </c>
      <c r="D289">
        <v>31</v>
      </c>
      <c r="E289" t="s">
        <v>1447</v>
      </c>
      <c r="F289" t="s">
        <v>1852</v>
      </c>
      <c r="G289" t="s">
        <v>1806</v>
      </c>
      <c r="H289" t="s">
        <v>2279</v>
      </c>
      <c r="I289" t="s">
        <v>2279</v>
      </c>
      <c r="J289">
        <v>11692.5239853329</v>
      </c>
      <c r="K289" t="s">
        <v>2279</v>
      </c>
      <c r="L289" t="s">
        <v>2279</v>
      </c>
      <c r="M289" t="s">
        <v>2279</v>
      </c>
      <c r="N289" t="s">
        <v>2279</v>
      </c>
      <c r="O289" s="190" t="str">
        <f>"["&amp;$C289&amp;"]["&amp;$D289&amp;"]["&amp;$F289&amp;"]"</f>
        <v>[S05_AggregateTotalEmissionsByCRF][31][TotalEmissionsTCo2e]</v>
      </c>
    </row>
    <row r="290" spans="1:15" x14ac:dyDescent="0.3">
      <c r="A290" t="s">
        <v>2277</v>
      </c>
      <c r="B290" t="s">
        <v>1846</v>
      </c>
      <c r="C290" t="s">
        <v>1849</v>
      </c>
      <c r="D290">
        <v>32</v>
      </c>
      <c r="E290" t="s">
        <v>1447</v>
      </c>
      <c r="F290" t="s">
        <v>1852</v>
      </c>
      <c r="G290" t="s">
        <v>1806</v>
      </c>
      <c r="H290" t="s">
        <v>2279</v>
      </c>
      <c r="I290" t="s">
        <v>2279</v>
      </c>
      <c r="J290">
        <v>4331.4812059101896</v>
      </c>
      <c r="K290" t="s">
        <v>2279</v>
      </c>
      <c r="L290" t="s">
        <v>2279</v>
      </c>
      <c r="M290" t="s">
        <v>2279</v>
      </c>
      <c r="N290" t="s">
        <v>2279</v>
      </c>
      <c r="O290" s="190" t="str">
        <f>"["&amp;$C290&amp;"]["&amp;$D290&amp;"]["&amp;$F290&amp;"]"</f>
        <v>[S05_AggregateTotalEmissionsByCRF][32][TotalEmissionsTCo2e]</v>
      </c>
    </row>
    <row r="291" spans="1:15" x14ac:dyDescent="0.3">
      <c r="A291" t="s">
        <v>2277</v>
      </c>
      <c r="B291" t="s">
        <v>1846</v>
      </c>
      <c r="C291" t="s">
        <v>1849</v>
      </c>
      <c r="D291">
        <v>33</v>
      </c>
      <c r="E291" t="s">
        <v>1447</v>
      </c>
      <c r="F291" t="s">
        <v>1852</v>
      </c>
      <c r="G291" t="s">
        <v>1806</v>
      </c>
      <c r="H291" t="s">
        <v>2279</v>
      </c>
      <c r="I291" t="s">
        <v>2279</v>
      </c>
      <c r="J291">
        <v>57211.300801253601</v>
      </c>
      <c r="K291" t="s">
        <v>2279</v>
      </c>
      <c r="L291" t="s">
        <v>2279</v>
      </c>
      <c r="M291" t="s">
        <v>2279</v>
      </c>
      <c r="N291" t="s">
        <v>2279</v>
      </c>
      <c r="O291" s="190" t="str">
        <f>"["&amp;$C291&amp;"]["&amp;$D291&amp;"]["&amp;$F291&amp;"]"</f>
        <v>[S05_AggregateTotalEmissionsByCRF][33][TotalEmissionsTCo2e]</v>
      </c>
    </row>
    <row r="292" spans="1:15" x14ac:dyDescent="0.3">
      <c r="A292" t="s">
        <v>2277</v>
      </c>
      <c r="B292" t="s">
        <v>1846</v>
      </c>
      <c r="C292" t="s">
        <v>1849</v>
      </c>
      <c r="D292">
        <v>1</v>
      </c>
      <c r="E292" t="s">
        <v>1447</v>
      </c>
      <c r="F292" t="s">
        <v>1853</v>
      </c>
      <c r="G292" t="s">
        <v>1806</v>
      </c>
      <c r="H292" t="s">
        <v>2279</v>
      </c>
      <c r="I292" t="s">
        <v>2279</v>
      </c>
      <c r="J292">
        <v>23342682.602288201</v>
      </c>
      <c r="K292" t="s">
        <v>2279</v>
      </c>
      <c r="L292" t="s">
        <v>2279</v>
      </c>
      <c r="M292" t="s">
        <v>2279</v>
      </c>
      <c r="N292" t="s">
        <v>2279</v>
      </c>
      <c r="O292" s="190" t="str">
        <f>"["&amp;$C292&amp;"]["&amp;$D292&amp;"]["&amp;$F292&amp;"]"</f>
        <v>[S05_AggregateTotalEmissionsByCRF][1][TotalCombustionEmissionsTCo2e]</v>
      </c>
    </row>
    <row r="293" spans="1:15" x14ac:dyDescent="0.3">
      <c r="A293" t="s">
        <v>2277</v>
      </c>
      <c r="B293" t="s">
        <v>1846</v>
      </c>
      <c r="C293" t="s">
        <v>1849</v>
      </c>
      <c r="D293">
        <v>2</v>
      </c>
      <c r="E293" t="s">
        <v>1447</v>
      </c>
      <c r="F293" t="s">
        <v>1853</v>
      </c>
      <c r="G293" t="s">
        <v>1806</v>
      </c>
      <c r="H293" t="s">
        <v>2279</v>
      </c>
      <c r="I293" t="s">
        <v>2279</v>
      </c>
      <c r="J293">
        <v>5469480.40454253</v>
      </c>
      <c r="K293" t="s">
        <v>2279</v>
      </c>
      <c r="L293" t="s">
        <v>2279</v>
      </c>
      <c r="M293" t="s">
        <v>2279</v>
      </c>
      <c r="N293" t="s">
        <v>2279</v>
      </c>
      <c r="O293" s="190" t="str">
        <f>"["&amp;$C293&amp;"]["&amp;$D293&amp;"]["&amp;$F293&amp;"]"</f>
        <v>[S05_AggregateTotalEmissionsByCRF][2][TotalCombustionEmissionsTCo2e]</v>
      </c>
    </row>
    <row r="294" spans="1:15" x14ac:dyDescent="0.3">
      <c r="A294" t="s">
        <v>2277</v>
      </c>
      <c r="B294" t="s">
        <v>1846</v>
      </c>
      <c r="C294" t="s">
        <v>1849</v>
      </c>
      <c r="D294">
        <v>3</v>
      </c>
      <c r="E294" t="s">
        <v>1447</v>
      </c>
      <c r="F294" t="s">
        <v>1853</v>
      </c>
      <c r="G294" t="s">
        <v>1806</v>
      </c>
      <c r="H294" t="s">
        <v>2279</v>
      </c>
      <c r="I294" t="s">
        <v>2279</v>
      </c>
      <c r="J294">
        <v>197702.560088931</v>
      </c>
      <c r="K294" t="s">
        <v>2279</v>
      </c>
      <c r="L294" t="s">
        <v>2279</v>
      </c>
      <c r="M294" t="s">
        <v>2279</v>
      </c>
      <c r="N294" t="s">
        <v>2279</v>
      </c>
      <c r="O294" s="190" t="str">
        <f>"["&amp;$C294&amp;"]["&amp;$D294&amp;"]["&amp;$F294&amp;"]"</f>
        <v>[S05_AggregateTotalEmissionsByCRF][3][TotalCombustionEmissionsTCo2e]</v>
      </c>
    </row>
    <row r="295" spans="1:15" x14ac:dyDescent="0.3">
      <c r="A295" t="s">
        <v>2277</v>
      </c>
      <c r="B295" t="s">
        <v>1846</v>
      </c>
      <c r="C295" t="s">
        <v>1849</v>
      </c>
      <c r="D295">
        <v>4</v>
      </c>
      <c r="E295" t="s">
        <v>1447</v>
      </c>
      <c r="F295" t="s">
        <v>1853</v>
      </c>
      <c r="G295" t="s">
        <v>1806</v>
      </c>
      <c r="H295" t="s">
        <v>2279</v>
      </c>
      <c r="I295" t="s">
        <v>2279</v>
      </c>
      <c r="J295">
        <v>445534.53131872701</v>
      </c>
      <c r="K295" t="s">
        <v>2279</v>
      </c>
      <c r="L295" t="s">
        <v>2279</v>
      </c>
      <c r="M295" t="s">
        <v>2279</v>
      </c>
      <c r="N295" t="s">
        <v>2279</v>
      </c>
      <c r="O295" s="190" t="str">
        <f>"["&amp;$C295&amp;"]["&amp;$D295&amp;"]["&amp;$F295&amp;"]"</f>
        <v>[S05_AggregateTotalEmissionsByCRF][4][TotalCombustionEmissionsTCo2e]</v>
      </c>
    </row>
    <row r="296" spans="1:15" x14ac:dyDescent="0.3">
      <c r="A296" t="s">
        <v>2277</v>
      </c>
      <c r="B296" t="s">
        <v>1846</v>
      </c>
      <c r="C296" t="s">
        <v>1849</v>
      </c>
      <c r="D296">
        <v>5</v>
      </c>
      <c r="E296" t="s">
        <v>1447</v>
      </c>
      <c r="F296" t="s">
        <v>1853</v>
      </c>
      <c r="G296" t="s">
        <v>1806</v>
      </c>
      <c r="H296" t="s">
        <v>2279</v>
      </c>
      <c r="I296" t="s">
        <v>2279</v>
      </c>
      <c r="J296">
        <v>8022976.1753228204</v>
      </c>
      <c r="K296" t="s">
        <v>2279</v>
      </c>
      <c r="L296" t="s">
        <v>2279</v>
      </c>
      <c r="M296" t="s">
        <v>2279</v>
      </c>
      <c r="N296" t="s">
        <v>2279</v>
      </c>
      <c r="O296" s="190" t="str">
        <f>"["&amp;$C296&amp;"]["&amp;$D296&amp;"]["&amp;$F296&amp;"]"</f>
        <v>[S05_AggregateTotalEmissionsByCRF][5][TotalCombustionEmissionsTCo2e]</v>
      </c>
    </row>
    <row r="297" spans="1:15" x14ac:dyDescent="0.3">
      <c r="A297" t="s">
        <v>2277</v>
      </c>
      <c r="B297" t="s">
        <v>1846</v>
      </c>
      <c r="C297" t="s">
        <v>1849</v>
      </c>
      <c r="D297">
        <v>6</v>
      </c>
      <c r="E297" t="s">
        <v>1447</v>
      </c>
      <c r="F297" t="s">
        <v>1853</v>
      </c>
      <c r="G297" t="s">
        <v>1806</v>
      </c>
      <c r="H297" t="s">
        <v>2279</v>
      </c>
      <c r="I297" t="s">
        <v>2279</v>
      </c>
      <c r="J297">
        <v>1807161.2894871901</v>
      </c>
      <c r="K297" t="s">
        <v>2279</v>
      </c>
      <c r="L297" t="s">
        <v>2279</v>
      </c>
      <c r="M297" t="s">
        <v>2279</v>
      </c>
      <c r="N297" t="s">
        <v>2279</v>
      </c>
      <c r="O297" s="190" t="str">
        <f>"["&amp;$C297&amp;"]["&amp;$D297&amp;"]["&amp;$F297&amp;"]"</f>
        <v>[S05_AggregateTotalEmissionsByCRF][6][TotalCombustionEmissionsTCo2e]</v>
      </c>
    </row>
    <row r="298" spans="1:15" x14ac:dyDescent="0.3">
      <c r="A298" t="s">
        <v>2277</v>
      </c>
      <c r="B298" t="s">
        <v>1846</v>
      </c>
      <c r="C298" t="s">
        <v>1849</v>
      </c>
      <c r="D298">
        <v>7</v>
      </c>
      <c r="E298" t="s">
        <v>1447</v>
      </c>
      <c r="F298" t="s">
        <v>1853</v>
      </c>
      <c r="G298" t="s">
        <v>1806</v>
      </c>
      <c r="H298" t="s">
        <v>2279</v>
      </c>
      <c r="I298" t="s">
        <v>2279</v>
      </c>
      <c r="J298">
        <v>5027160.9136241795</v>
      </c>
      <c r="K298" t="s">
        <v>2279</v>
      </c>
      <c r="L298" t="s">
        <v>2279</v>
      </c>
      <c r="M298" t="s">
        <v>2279</v>
      </c>
      <c r="N298" t="s">
        <v>2279</v>
      </c>
      <c r="O298" s="190" t="str">
        <f>"["&amp;$C298&amp;"]["&amp;$D298&amp;"]["&amp;$F298&amp;"]"</f>
        <v>[S05_AggregateTotalEmissionsByCRF][7][TotalCombustionEmissionsTCo2e]</v>
      </c>
    </row>
    <row r="299" spans="1:15" x14ac:dyDescent="0.3">
      <c r="A299" t="s">
        <v>2277</v>
      </c>
      <c r="B299" t="s">
        <v>1846</v>
      </c>
      <c r="C299" t="s">
        <v>1849</v>
      </c>
      <c r="D299">
        <v>8</v>
      </c>
      <c r="E299" t="s">
        <v>1447</v>
      </c>
      <c r="F299" t="s">
        <v>1853</v>
      </c>
      <c r="G299" t="s">
        <v>1806</v>
      </c>
      <c r="H299" t="s">
        <v>2279</v>
      </c>
      <c r="I299" t="s">
        <v>2279</v>
      </c>
      <c r="J299">
        <v>1220867.9753403</v>
      </c>
      <c r="K299" t="s">
        <v>2279</v>
      </c>
      <c r="L299" t="s">
        <v>2279</v>
      </c>
      <c r="M299" t="s">
        <v>2279</v>
      </c>
      <c r="N299" t="s">
        <v>2279</v>
      </c>
      <c r="O299" s="190" t="str">
        <f>"["&amp;$C299&amp;"]["&amp;$D299&amp;"]["&amp;$F299&amp;"]"</f>
        <v>[S05_AggregateTotalEmissionsByCRF][8][TotalCombustionEmissionsTCo2e]</v>
      </c>
    </row>
    <row r="300" spans="1:15" x14ac:dyDescent="0.3">
      <c r="A300" t="s">
        <v>2277</v>
      </c>
      <c r="B300" t="s">
        <v>1846</v>
      </c>
      <c r="C300" t="s">
        <v>1849</v>
      </c>
      <c r="D300">
        <v>9</v>
      </c>
      <c r="E300" t="s">
        <v>1447</v>
      </c>
      <c r="F300" t="s">
        <v>1853</v>
      </c>
      <c r="G300" t="s">
        <v>1806</v>
      </c>
      <c r="H300" t="s">
        <v>2279</v>
      </c>
      <c r="I300" t="s">
        <v>2279</v>
      </c>
      <c r="J300">
        <v>324307.846496124</v>
      </c>
      <c r="K300" t="s">
        <v>2279</v>
      </c>
      <c r="L300" t="s">
        <v>2279</v>
      </c>
      <c r="M300" t="s">
        <v>2279</v>
      </c>
      <c r="N300" t="s">
        <v>2279</v>
      </c>
      <c r="O300" s="190" t="str">
        <f>"["&amp;$C300&amp;"]["&amp;$D300&amp;"]["&amp;$F300&amp;"]"</f>
        <v>[S05_AggregateTotalEmissionsByCRF][9][TotalCombustionEmissionsTCo2e]</v>
      </c>
    </row>
    <row r="301" spans="1:15" x14ac:dyDescent="0.3">
      <c r="A301" t="s">
        <v>2277</v>
      </c>
      <c r="B301" t="s">
        <v>1846</v>
      </c>
      <c r="C301" t="s">
        <v>1849</v>
      </c>
      <c r="D301">
        <v>10</v>
      </c>
      <c r="E301" t="s">
        <v>1447</v>
      </c>
      <c r="F301" t="s">
        <v>1853</v>
      </c>
      <c r="G301" t="s">
        <v>1806</v>
      </c>
      <c r="H301" t="s">
        <v>2279</v>
      </c>
      <c r="I301" t="s">
        <v>2279</v>
      </c>
      <c r="J301">
        <v>218951.965475295</v>
      </c>
      <c r="K301" t="s">
        <v>2279</v>
      </c>
      <c r="L301" t="s">
        <v>2279</v>
      </c>
      <c r="M301" t="s">
        <v>2279</v>
      </c>
      <c r="N301" t="s">
        <v>2279</v>
      </c>
      <c r="O301" s="190" t="str">
        <f>"["&amp;$C301&amp;"]["&amp;$D301&amp;"]["&amp;$F301&amp;"]"</f>
        <v>[S05_AggregateTotalEmissionsByCRF][10][TotalCombustionEmissionsTCo2e]</v>
      </c>
    </row>
    <row r="302" spans="1:15" x14ac:dyDescent="0.3">
      <c r="A302" t="s">
        <v>2277</v>
      </c>
      <c r="B302" t="s">
        <v>1846</v>
      </c>
      <c r="C302" t="s">
        <v>1849</v>
      </c>
      <c r="D302">
        <v>11</v>
      </c>
      <c r="E302" t="s">
        <v>1447</v>
      </c>
      <c r="F302" t="s">
        <v>1853</v>
      </c>
      <c r="G302" t="s">
        <v>1806</v>
      </c>
      <c r="H302" t="s">
        <v>2279</v>
      </c>
      <c r="I302" t="s">
        <v>2279</v>
      </c>
      <c r="J302">
        <v>1878837.50359231</v>
      </c>
      <c r="K302" t="s">
        <v>2279</v>
      </c>
      <c r="L302" t="s">
        <v>2279</v>
      </c>
      <c r="M302" t="s">
        <v>2279</v>
      </c>
      <c r="N302" t="s">
        <v>2279</v>
      </c>
      <c r="O302" s="190" t="str">
        <f>"["&amp;$C302&amp;"]["&amp;$D302&amp;"]["&amp;$F302&amp;"]"</f>
        <v>[S05_AggregateTotalEmissionsByCRF][11][TotalCombustionEmissionsTCo2e]</v>
      </c>
    </row>
    <row r="303" spans="1:15" x14ac:dyDescent="0.3">
      <c r="A303" t="s">
        <v>2277</v>
      </c>
      <c r="B303" t="s">
        <v>1846</v>
      </c>
      <c r="C303" t="s">
        <v>1849</v>
      </c>
      <c r="D303">
        <v>12</v>
      </c>
      <c r="E303" t="s">
        <v>1447</v>
      </c>
      <c r="F303" t="s">
        <v>1853</v>
      </c>
      <c r="G303" t="s">
        <v>1806</v>
      </c>
      <c r="H303" t="s">
        <v>2279</v>
      </c>
      <c r="I303" t="s">
        <v>2279</v>
      </c>
      <c r="J303">
        <v>356486.72972359299</v>
      </c>
      <c r="K303" t="s">
        <v>2279</v>
      </c>
      <c r="L303" t="s">
        <v>2279</v>
      </c>
      <c r="M303" t="s">
        <v>2279</v>
      </c>
      <c r="N303" t="s">
        <v>2279</v>
      </c>
      <c r="O303" s="190" t="str">
        <f>"["&amp;$C303&amp;"]["&amp;$D303&amp;"]["&amp;$F303&amp;"]"</f>
        <v>[S05_AggregateTotalEmissionsByCRF][12][TotalCombustionEmissionsTCo2e]</v>
      </c>
    </row>
    <row r="304" spans="1:15" x14ac:dyDescent="0.3">
      <c r="A304" t="s">
        <v>2277</v>
      </c>
      <c r="B304" t="s">
        <v>1846</v>
      </c>
      <c r="C304" t="s">
        <v>1849</v>
      </c>
      <c r="D304">
        <v>13</v>
      </c>
      <c r="E304" t="s">
        <v>1447</v>
      </c>
      <c r="F304" t="s">
        <v>1853</v>
      </c>
      <c r="G304" t="s">
        <v>1806</v>
      </c>
      <c r="H304" t="s">
        <v>2279</v>
      </c>
      <c r="I304" t="s">
        <v>2279</v>
      </c>
      <c r="J304">
        <v>7616942.4200699702</v>
      </c>
      <c r="K304" t="s">
        <v>2279</v>
      </c>
      <c r="L304" t="s">
        <v>2279</v>
      </c>
      <c r="M304" t="s">
        <v>2279</v>
      </c>
      <c r="N304" t="s">
        <v>2279</v>
      </c>
      <c r="O304" s="190" t="str">
        <f>"["&amp;$C304&amp;"]["&amp;$D304&amp;"]["&amp;$F304&amp;"]"</f>
        <v>[S05_AggregateTotalEmissionsByCRF][13][TotalCombustionEmissionsTCo2e]</v>
      </c>
    </row>
    <row r="305" spans="1:15" x14ac:dyDescent="0.3">
      <c r="A305" t="s">
        <v>2277</v>
      </c>
      <c r="B305" t="s">
        <v>1846</v>
      </c>
      <c r="C305" t="s">
        <v>1849</v>
      </c>
      <c r="D305">
        <v>14</v>
      </c>
      <c r="E305" t="s">
        <v>1447</v>
      </c>
      <c r="F305" t="s">
        <v>1854</v>
      </c>
      <c r="G305" t="s">
        <v>1806</v>
      </c>
      <c r="H305" t="s">
        <v>2279</v>
      </c>
      <c r="I305" t="s">
        <v>2279</v>
      </c>
      <c r="J305">
        <v>6625189.3894474804</v>
      </c>
      <c r="K305" t="s">
        <v>2279</v>
      </c>
      <c r="L305" t="s">
        <v>2279</v>
      </c>
      <c r="M305" t="s">
        <v>2279</v>
      </c>
      <c r="N305" t="s">
        <v>2279</v>
      </c>
      <c r="O305" s="190" t="str">
        <f>"["&amp;$C305&amp;"]["&amp;$D305&amp;"]["&amp;$F305&amp;"]"</f>
        <v>[S05_AggregateTotalEmissionsByCRF][14][TotalProcessEmissionsTCo2e]</v>
      </c>
    </row>
    <row r="306" spans="1:15" x14ac:dyDescent="0.3">
      <c r="A306" t="s">
        <v>2277</v>
      </c>
      <c r="B306" t="s">
        <v>1846</v>
      </c>
      <c r="C306" t="s">
        <v>1849</v>
      </c>
      <c r="D306">
        <v>15</v>
      </c>
      <c r="E306" t="s">
        <v>1447</v>
      </c>
      <c r="F306" t="s">
        <v>1854</v>
      </c>
      <c r="G306" t="s">
        <v>1806</v>
      </c>
      <c r="H306" t="s">
        <v>2279</v>
      </c>
      <c r="I306" t="s">
        <v>2279</v>
      </c>
      <c r="J306">
        <v>1852738.56500981</v>
      </c>
      <c r="K306" t="s">
        <v>2279</v>
      </c>
      <c r="L306" t="s">
        <v>2279</v>
      </c>
      <c r="M306" t="s">
        <v>2279</v>
      </c>
      <c r="N306" t="s">
        <v>2279</v>
      </c>
      <c r="O306" s="190" t="str">
        <f>"["&amp;$C306&amp;"]["&amp;$D306&amp;"]["&amp;$F306&amp;"]"</f>
        <v>[S05_AggregateTotalEmissionsByCRF][15][TotalProcessEmissionsTCo2e]</v>
      </c>
    </row>
    <row r="307" spans="1:15" x14ac:dyDescent="0.3">
      <c r="A307" t="s">
        <v>2277</v>
      </c>
      <c r="B307" t="s">
        <v>1846</v>
      </c>
      <c r="C307" t="s">
        <v>1849</v>
      </c>
      <c r="D307">
        <v>16</v>
      </c>
      <c r="E307" t="s">
        <v>1447</v>
      </c>
      <c r="F307" t="s">
        <v>1854</v>
      </c>
      <c r="G307" t="s">
        <v>1806</v>
      </c>
      <c r="H307" t="s">
        <v>2279</v>
      </c>
      <c r="I307" t="s">
        <v>2279</v>
      </c>
      <c r="J307">
        <v>496065.72687769699</v>
      </c>
      <c r="K307" t="s">
        <v>2279</v>
      </c>
      <c r="L307" t="s">
        <v>2279</v>
      </c>
      <c r="M307" t="s">
        <v>2279</v>
      </c>
      <c r="N307" t="s">
        <v>2279</v>
      </c>
      <c r="O307" s="190" t="str">
        <f>"["&amp;$C307&amp;"]["&amp;$D307&amp;"]["&amp;$F307&amp;"]"</f>
        <v>[S05_AggregateTotalEmissionsByCRF][16][TotalProcessEmissionsTCo2e]</v>
      </c>
    </row>
    <row r="308" spans="1:15" x14ac:dyDescent="0.3">
      <c r="A308" t="s">
        <v>2277</v>
      </c>
      <c r="B308" t="s">
        <v>1846</v>
      </c>
      <c r="C308" t="s">
        <v>1849</v>
      </c>
      <c r="D308">
        <v>17</v>
      </c>
      <c r="E308" t="s">
        <v>1447</v>
      </c>
      <c r="F308" t="s">
        <v>1854</v>
      </c>
      <c r="G308" t="s">
        <v>1806</v>
      </c>
      <c r="H308" t="s">
        <v>2279</v>
      </c>
      <c r="I308" t="s">
        <v>2279</v>
      </c>
      <c r="J308">
        <v>161936.314385673</v>
      </c>
      <c r="K308" t="s">
        <v>2279</v>
      </c>
      <c r="L308" t="s">
        <v>2279</v>
      </c>
      <c r="M308" t="s">
        <v>2279</v>
      </c>
      <c r="N308" t="s">
        <v>2279</v>
      </c>
      <c r="O308" s="190" t="str">
        <f>"["&amp;$C308&amp;"]["&amp;$D308&amp;"]["&amp;$F308&amp;"]"</f>
        <v>[S05_AggregateTotalEmissionsByCRF][17][TotalProcessEmissionsTCo2e]</v>
      </c>
    </row>
    <row r="309" spans="1:15" x14ac:dyDescent="0.3">
      <c r="A309" t="s">
        <v>2277</v>
      </c>
      <c r="B309" t="s">
        <v>1846</v>
      </c>
      <c r="C309" t="s">
        <v>1849</v>
      </c>
      <c r="D309">
        <v>18</v>
      </c>
      <c r="E309" t="s">
        <v>1447</v>
      </c>
      <c r="F309" t="s">
        <v>1854</v>
      </c>
      <c r="G309" t="s">
        <v>1806</v>
      </c>
      <c r="H309" t="s">
        <v>2279</v>
      </c>
      <c r="I309" t="s">
        <v>2279</v>
      </c>
      <c r="J309">
        <v>1569232.2892371099</v>
      </c>
      <c r="K309" t="s">
        <v>2279</v>
      </c>
      <c r="L309" t="s">
        <v>2279</v>
      </c>
      <c r="M309" t="s">
        <v>2279</v>
      </c>
      <c r="N309" t="s">
        <v>2279</v>
      </c>
      <c r="O309" s="190" t="str">
        <f>"["&amp;$C309&amp;"]["&amp;$D309&amp;"]["&amp;$F309&amp;"]"</f>
        <v>[S05_AggregateTotalEmissionsByCRF][18][TotalProcessEmissionsTCo2e]</v>
      </c>
    </row>
    <row r="310" spans="1:15" x14ac:dyDescent="0.3">
      <c r="A310" t="s">
        <v>2277</v>
      </c>
      <c r="B310" t="s">
        <v>1846</v>
      </c>
      <c r="C310" t="s">
        <v>1849</v>
      </c>
      <c r="D310">
        <v>19</v>
      </c>
      <c r="E310" t="s">
        <v>1447</v>
      </c>
      <c r="F310" t="s">
        <v>1854</v>
      </c>
      <c r="G310" t="s">
        <v>1806</v>
      </c>
      <c r="H310" t="s">
        <v>2279</v>
      </c>
      <c r="I310" t="s">
        <v>2279</v>
      </c>
      <c r="J310">
        <v>462480.57795423397</v>
      </c>
      <c r="K310" t="s">
        <v>2279</v>
      </c>
      <c r="L310" t="s">
        <v>2279</v>
      </c>
      <c r="M310" t="s">
        <v>2279</v>
      </c>
      <c r="N310" t="s">
        <v>2279</v>
      </c>
      <c r="O310" s="190" t="str">
        <f>"["&amp;$C310&amp;"]["&amp;$D310&amp;"]["&amp;$F310&amp;"]"</f>
        <v>[S05_AggregateTotalEmissionsByCRF][19][TotalProcessEmissionsTCo2e]</v>
      </c>
    </row>
    <row r="311" spans="1:15" x14ac:dyDescent="0.3">
      <c r="A311" t="s">
        <v>2277</v>
      </c>
      <c r="B311" t="s">
        <v>1846</v>
      </c>
      <c r="C311" t="s">
        <v>1849</v>
      </c>
      <c r="D311">
        <v>20</v>
      </c>
      <c r="E311" t="s">
        <v>1447</v>
      </c>
      <c r="F311" t="s">
        <v>1854</v>
      </c>
      <c r="G311" t="s">
        <v>1806</v>
      </c>
      <c r="H311" t="s">
        <v>2279</v>
      </c>
      <c r="I311" t="s">
        <v>2279</v>
      </c>
      <c r="J311">
        <v>24391.955173188901</v>
      </c>
      <c r="K311" t="s">
        <v>2279</v>
      </c>
      <c r="L311" t="s">
        <v>2279</v>
      </c>
      <c r="M311" t="s">
        <v>2279</v>
      </c>
      <c r="N311" t="s">
        <v>2279</v>
      </c>
      <c r="O311" s="190" t="str">
        <f>"["&amp;$C311&amp;"]["&amp;$D311&amp;"]["&amp;$F311&amp;"]"</f>
        <v>[S05_AggregateTotalEmissionsByCRF][20][TotalProcessEmissionsTCo2e]</v>
      </c>
    </row>
    <row r="312" spans="1:15" x14ac:dyDescent="0.3">
      <c r="A312" t="s">
        <v>2277</v>
      </c>
      <c r="B312" t="s">
        <v>1846</v>
      </c>
      <c r="C312" t="s">
        <v>1849</v>
      </c>
      <c r="D312">
        <v>21</v>
      </c>
      <c r="E312" t="s">
        <v>1447</v>
      </c>
      <c r="F312" t="s">
        <v>1854</v>
      </c>
      <c r="G312" t="s">
        <v>1806</v>
      </c>
      <c r="H312" t="s">
        <v>2279</v>
      </c>
      <c r="I312" t="s">
        <v>2279</v>
      </c>
      <c r="J312">
        <v>111059.14353145</v>
      </c>
      <c r="K312" t="s">
        <v>2279</v>
      </c>
      <c r="L312" t="s">
        <v>2279</v>
      </c>
      <c r="M312" t="s">
        <v>2279</v>
      </c>
      <c r="N312" t="s">
        <v>2279</v>
      </c>
      <c r="O312" s="190" t="str">
        <f>"["&amp;$C312&amp;"]["&amp;$D312&amp;"]["&amp;$F312&amp;"]"</f>
        <v>[S05_AggregateTotalEmissionsByCRF][21][TotalProcessEmissionsTCo2e]</v>
      </c>
    </row>
    <row r="313" spans="1:15" x14ac:dyDescent="0.3">
      <c r="A313" t="s">
        <v>2277</v>
      </c>
      <c r="B313" t="s">
        <v>1846</v>
      </c>
      <c r="C313" t="s">
        <v>1849</v>
      </c>
      <c r="D313">
        <v>22</v>
      </c>
      <c r="E313" t="s">
        <v>1447</v>
      </c>
      <c r="F313" t="s">
        <v>1854</v>
      </c>
      <c r="G313" t="s">
        <v>1806</v>
      </c>
      <c r="H313" t="s">
        <v>2279</v>
      </c>
      <c r="I313" t="s">
        <v>2279</v>
      </c>
      <c r="J313">
        <v>786.03457951599103</v>
      </c>
      <c r="K313" t="s">
        <v>2279</v>
      </c>
      <c r="L313" t="s">
        <v>2279</v>
      </c>
      <c r="M313" t="s">
        <v>2279</v>
      </c>
      <c r="N313" t="s">
        <v>2279</v>
      </c>
      <c r="O313" s="190" t="str">
        <f>"["&amp;$C313&amp;"]["&amp;$D313&amp;"]["&amp;$F313&amp;"]"</f>
        <v>[S05_AggregateTotalEmissionsByCRF][22][TotalProcessEmissionsTCo2e]</v>
      </c>
    </row>
    <row r="314" spans="1:15" x14ac:dyDescent="0.3">
      <c r="A314" t="s">
        <v>2277</v>
      </c>
      <c r="B314" t="s">
        <v>1846</v>
      </c>
      <c r="C314" t="s">
        <v>1849</v>
      </c>
      <c r="D314">
        <v>23</v>
      </c>
      <c r="E314" t="s">
        <v>1447</v>
      </c>
      <c r="F314" t="s">
        <v>1854</v>
      </c>
      <c r="G314" t="s">
        <v>1806</v>
      </c>
      <c r="H314" t="s">
        <v>2279</v>
      </c>
      <c r="I314" t="s">
        <v>2279</v>
      </c>
      <c r="J314">
        <v>6847.9613904272801</v>
      </c>
      <c r="K314" t="s">
        <v>2279</v>
      </c>
      <c r="L314" t="s">
        <v>2279</v>
      </c>
      <c r="M314" t="s">
        <v>2279</v>
      </c>
      <c r="N314" t="s">
        <v>2279</v>
      </c>
      <c r="O314" s="190" t="str">
        <f>"["&amp;$C314&amp;"]["&amp;$D314&amp;"]["&amp;$F314&amp;"]"</f>
        <v>[S05_AggregateTotalEmissionsByCRF][23][TotalProcessEmissionsTCo2e]</v>
      </c>
    </row>
    <row r="315" spans="1:15" x14ac:dyDescent="0.3">
      <c r="A315" t="s">
        <v>2277</v>
      </c>
      <c r="B315" t="s">
        <v>1846</v>
      </c>
      <c r="C315" t="s">
        <v>1849</v>
      </c>
      <c r="D315">
        <v>24</v>
      </c>
      <c r="E315" t="s">
        <v>1447</v>
      </c>
      <c r="F315" t="s">
        <v>1854</v>
      </c>
      <c r="G315" t="s">
        <v>1806</v>
      </c>
      <c r="H315" t="s">
        <v>2279</v>
      </c>
      <c r="I315" t="s">
        <v>2279</v>
      </c>
      <c r="J315">
        <v>262352.85076877102</v>
      </c>
      <c r="K315" t="s">
        <v>2279</v>
      </c>
      <c r="L315" t="s">
        <v>2279</v>
      </c>
      <c r="M315" t="s">
        <v>2279</v>
      </c>
      <c r="N315" t="s">
        <v>2279</v>
      </c>
      <c r="O315" s="190" t="str">
        <f>"["&amp;$C315&amp;"]["&amp;$D315&amp;"]["&amp;$F315&amp;"]"</f>
        <v>[S05_AggregateTotalEmissionsByCRF][24][TotalProcessEmissionsTCo2e]</v>
      </c>
    </row>
    <row r="316" spans="1:15" x14ac:dyDescent="0.3">
      <c r="A316" t="s">
        <v>2277</v>
      </c>
      <c r="B316" t="s">
        <v>1846</v>
      </c>
      <c r="C316" t="s">
        <v>1849</v>
      </c>
      <c r="D316">
        <v>25</v>
      </c>
      <c r="E316" t="s">
        <v>1447</v>
      </c>
      <c r="F316" t="s">
        <v>1854</v>
      </c>
      <c r="G316" t="s">
        <v>1806</v>
      </c>
      <c r="H316" t="s">
        <v>2279</v>
      </c>
      <c r="I316" t="s">
        <v>2279</v>
      </c>
      <c r="J316">
        <v>151590.371751767</v>
      </c>
      <c r="K316" t="s">
        <v>2279</v>
      </c>
      <c r="L316" t="s">
        <v>2279</v>
      </c>
      <c r="M316" t="s">
        <v>2279</v>
      </c>
      <c r="N316" t="s">
        <v>2279</v>
      </c>
      <c r="O316" s="190" t="str">
        <f>"["&amp;$C316&amp;"]["&amp;$D316&amp;"]["&amp;$F316&amp;"]"</f>
        <v>[S05_AggregateTotalEmissionsByCRF][25][TotalProcessEmissionsTCo2e]</v>
      </c>
    </row>
    <row r="317" spans="1:15" x14ac:dyDescent="0.3">
      <c r="A317" t="s">
        <v>2277</v>
      </c>
      <c r="B317" t="s">
        <v>1846</v>
      </c>
      <c r="C317" t="s">
        <v>1849</v>
      </c>
      <c r="D317">
        <v>26</v>
      </c>
      <c r="E317" t="s">
        <v>1447</v>
      </c>
      <c r="F317" t="s">
        <v>1854</v>
      </c>
      <c r="G317" t="s">
        <v>1806</v>
      </c>
      <c r="H317" t="s">
        <v>2279</v>
      </c>
      <c r="I317" t="s">
        <v>2279</v>
      </c>
      <c r="J317">
        <v>4273671.3883770499</v>
      </c>
      <c r="K317" t="s">
        <v>2279</v>
      </c>
      <c r="L317" t="s">
        <v>2279</v>
      </c>
      <c r="M317" t="s">
        <v>2279</v>
      </c>
      <c r="N317" t="s">
        <v>2279</v>
      </c>
      <c r="O317" s="190" t="str">
        <f>"["&amp;$C317&amp;"]["&amp;$D317&amp;"]["&amp;$F317&amp;"]"</f>
        <v>[S05_AggregateTotalEmissionsByCRF][26][TotalProcessEmissionsTCo2e]</v>
      </c>
    </row>
    <row r="318" spans="1:15" x14ac:dyDescent="0.3">
      <c r="A318" t="s">
        <v>2277</v>
      </c>
      <c r="B318" t="s">
        <v>1846</v>
      </c>
      <c r="C318" t="s">
        <v>1849</v>
      </c>
      <c r="D318">
        <v>27</v>
      </c>
      <c r="E318" t="s">
        <v>1447</v>
      </c>
      <c r="F318" t="s">
        <v>1854</v>
      </c>
      <c r="G318" t="s">
        <v>1806</v>
      </c>
      <c r="H318" t="s">
        <v>2279</v>
      </c>
      <c r="I318" t="s">
        <v>2279</v>
      </c>
      <c r="J318">
        <v>14467076.418938899</v>
      </c>
      <c r="K318" t="s">
        <v>2279</v>
      </c>
      <c r="L318" t="s">
        <v>2279</v>
      </c>
      <c r="M318" t="s">
        <v>2279</v>
      </c>
      <c r="N318" t="s">
        <v>2279</v>
      </c>
      <c r="O318" s="190" t="str">
        <f>"["&amp;$C318&amp;"]["&amp;$D318&amp;"]["&amp;$F318&amp;"]"</f>
        <v>[S05_AggregateTotalEmissionsByCRF][27][TotalProcessEmissionsTCo2e]</v>
      </c>
    </row>
    <row r="319" spans="1:15" x14ac:dyDescent="0.3">
      <c r="A319" t="s">
        <v>2277</v>
      </c>
      <c r="B319" t="s">
        <v>1846</v>
      </c>
      <c r="C319" t="s">
        <v>1849</v>
      </c>
      <c r="D319">
        <v>28</v>
      </c>
      <c r="E319" t="s">
        <v>1447</v>
      </c>
      <c r="F319" t="s">
        <v>1854</v>
      </c>
      <c r="G319" t="s">
        <v>1806</v>
      </c>
      <c r="H319" t="s">
        <v>2279</v>
      </c>
      <c r="I319" t="s">
        <v>2279</v>
      </c>
      <c r="J319">
        <v>487017.25337444502</v>
      </c>
      <c r="K319" t="s">
        <v>2279</v>
      </c>
      <c r="L319" t="s">
        <v>2279</v>
      </c>
      <c r="M319" t="s">
        <v>2279</v>
      </c>
      <c r="N319" t="s">
        <v>2279</v>
      </c>
      <c r="O319" s="190" t="str">
        <f>"["&amp;$C319&amp;"]["&amp;$D319&amp;"]["&amp;$F319&amp;"]"</f>
        <v>[S05_AggregateTotalEmissionsByCRF][28][TotalProcessEmissionsTCo2e]</v>
      </c>
    </row>
    <row r="320" spans="1:15" x14ac:dyDescent="0.3">
      <c r="A320" t="s">
        <v>2277</v>
      </c>
      <c r="B320" t="s">
        <v>1846</v>
      </c>
      <c r="C320" t="s">
        <v>1849</v>
      </c>
      <c r="D320">
        <v>29</v>
      </c>
      <c r="E320" t="s">
        <v>1447</v>
      </c>
      <c r="F320" t="s">
        <v>1854</v>
      </c>
      <c r="G320" t="s">
        <v>1806</v>
      </c>
      <c r="H320" t="s">
        <v>2279</v>
      </c>
      <c r="I320" t="s">
        <v>2279</v>
      </c>
      <c r="J320">
        <v>779141.92066013999</v>
      </c>
      <c r="K320" t="s">
        <v>2279</v>
      </c>
      <c r="L320" t="s">
        <v>2279</v>
      </c>
      <c r="M320" t="s">
        <v>2279</v>
      </c>
      <c r="N320" t="s">
        <v>2279</v>
      </c>
      <c r="O320" s="190" t="str">
        <f>"["&amp;$C320&amp;"]["&amp;$D320&amp;"]["&amp;$F320&amp;"]"</f>
        <v>[S05_AggregateTotalEmissionsByCRF][29][TotalProcessEmissionsTCo2e]</v>
      </c>
    </row>
    <row r="321" spans="1:15" x14ac:dyDescent="0.3">
      <c r="A321" t="s">
        <v>2277</v>
      </c>
      <c r="B321" t="s">
        <v>1846</v>
      </c>
      <c r="C321" t="s">
        <v>1849</v>
      </c>
      <c r="D321">
        <v>30</v>
      </c>
      <c r="E321" t="s">
        <v>1447</v>
      </c>
      <c r="F321" t="s">
        <v>1854</v>
      </c>
      <c r="G321" t="s">
        <v>1806</v>
      </c>
      <c r="H321" t="s">
        <v>2279</v>
      </c>
      <c r="I321" t="s">
        <v>2279</v>
      </c>
      <c r="J321">
        <v>74411.517439054704</v>
      </c>
      <c r="K321" t="s">
        <v>2279</v>
      </c>
      <c r="L321" t="s">
        <v>2279</v>
      </c>
      <c r="M321" t="s">
        <v>2279</v>
      </c>
      <c r="N321" t="s">
        <v>2279</v>
      </c>
      <c r="O321" s="190" t="str">
        <f>"["&amp;$C321&amp;"]["&amp;$D321&amp;"]["&amp;$F321&amp;"]"</f>
        <v>[S05_AggregateTotalEmissionsByCRF][30][TotalProcessEmissionsTCo2e]</v>
      </c>
    </row>
    <row r="322" spans="1:15" x14ac:dyDescent="0.3">
      <c r="A322" t="s">
        <v>2277</v>
      </c>
      <c r="B322" t="s">
        <v>1846</v>
      </c>
      <c r="C322" t="s">
        <v>1849</v>
      </c>
      <c r="D322">
        <v>31</v>
      </c>
      <c r="E322" t="s">
        <v>1447</v>
      </c>
      <c r="F322" t="s">
        <v>1854</v>
      </c>
      <c r="G322" t="s">
        <v>1806</v>
      </c>
      <c r="H322" t="s">
        <v>2279</v>
      </c>
      <c r="I322" t="s">
        <v>2279</v>
      </c>
      <c r="J322">
        <v>11692.5239853329</v>
      </c>
      <c r="K322" t="s">
        <v>2279</v>
      </c>
      <c r="L322" t="s">
        <v>2279</v>
      </c>
      <c r="M322" t="s">
        <v>2279</v>
      </c>
      <c r="N322" t="s">
        <v>2279</v>
      </c>
      <c r="O322" s="190" t="str">
        <f>"["&amp;$C322&amp;"]["&amp;$D322&amp;"]["&amp;$F322&amp;"]"</f>
        <v>[S05_AggregateTotalEmissionsByCRF][31][TotalProcessEmissionsTCo2e]</v>
      </c>
    </row>
    <row r="323" spans="1:15" x14ac:dyDescent="0.3">
      <c r="A323" t="s">
        <v>2277</v>
      </c>
      <c r="B323" t="s">
        <v>1846</v>
      </c>
      <c r="C323" t="s">
        <v>1849</v>
      </c>
      <c r="D323">
        <v>32</v>
      </c>
      <c r="E323" t="s">
        <v>1447</v>
      </c>
      <c r="F323" t="s">
        <v>1854</v>
      </c>
      <c r="G323" t="s">
        <v>1806</v>
      </c>
      <c r="H323" t="s">
        <v>2279</v>
      </c>
      <c r="I323" t="s">
        <v>2279</v>
      </c>
      <c r="J323">
        <v>4331.4812059101896</v>
      </c>
      <c r="K323" t="s">
        <v>2279</v>
      </c>
      <c r="L323" t="s">
        <v>2279</v>
      </c>
      <c r="M323" t="s">
        <v>2279</v>
      </c>
      <c r="N323" t="s">
        <v>2279</v>
      </c>
      <c r="O323" s="190" t="str">
        <f>"["&amp;$C323&amp;"]["&amp;$D323&amp;"]["&amp;$F323&amp;"]"</f>
        <v>[S05_AggregateTotalEmissionsByCRF][32][TotalProcessEmissionsTCo2e]</v>
      </c>
    </row>
    <row r="324" spans="1:15" x14ac:dyDescent="0.3">
      <c r="A324" t="s">
        <v>2277</v>
      </c>
      <c r="B324" t="s">
        <v>1846</v>
      </c>
      <c r="C324" t="s">
        <v>1849</v>
      </c>
      <c r="D324">
        <v>33</v>
      </c>
      <c r="E324" t="s">
        <v>1447</v>
      </c>
      <c r="F324" t="s">
        <v>1854</v>
      </c>
      <c r="G324" t="s">
        <v>1806</v>
      </c>
      <c r="H324" t="s">
        <v>2279</v>
      </c>
      <c r="I324" t="s">
        <v>2279</v>
      </c>
      <c r="J324">
        <v>57211.300801253601</v>
      </c>
      <c r="K324" t="s">
        <v>2279</v>
      </c>
      <c r="L324" t="s">
        <v>2279</v>
      </c>
      <c r="M324" t="s">
        <v>2279</v>
      </c>
      <c r="N324" t="s">
        <v>2279</v>
      </c>
      <c r="O324" s="190" t="str">
        <f>"["&amp;$C324&amp;"]["&amp;$D324&amp;"]["&amp;$F324&amp;"]"</f>
        <v>[S05_AggregateTotalEmissionsByCRF][33][TotalProcessEmissionsTCo2e]</v>
      </c>
    </row>
    <row r="325" spans="1:15" x14ac:dyDescent="0.3">
      <c r="A325" t="s">
        <v>2277</v>
      </c>
      <c r="B325" t="s">
        <v>1859</v>
      </c>
      <c r="C325" t="s">
        <v>1860</v>
      </c>
      <c r="D325">
        <v>1</v>
      </c>
      <c r="E325" t="s">
        <v>1447</v>
      </c>
      <c r="F325" t="s">
        <v>1861</v>
      </c>
      <c r="G325" t="s">
        <v>1741</v>
      </c>
      <c r="H325" t="s">
        <v>2345</v>
      </c>
      <c r="I325" t="s">
        <v>2279</v>
      </c>
      <c r="J325" t="s">
        <v>2279</v>
      </c>
      <c r="K325" t="s">
        <v>2279</v>
      </c>
      <c r="L325" t="s">
        <v>2279</v>
      </c>
      <c r="M325" t="s">
        <v>2279</v>
      </c>
      <c r="N325" t="s">
        <v>2279</v>
      </c>
      <c r="O325" s="190" t="str">
        <f>"["&amp;$C325&amp;"]["&amp;$D325&amp;"]["&amp;$F325&amp;"]"</f>
        <v>[S05_InstallationDifferentSamplingFrequency][1][SamplingFuelMaterial]</v>
      </c>
    </row>
    <row r="326" spans="1:15" x14ac:dyDescent="0.3">
      <c r="A326" t="s">
        <v>2277</v>
      </c>
      <c r="B326" t="s">
        <v>1859</v>
      </c>
      <c r="C326" t="s">
        <v>1860</v>
      </c>
      <c r="D326">
        <v>2</v>
      </c>
      <c r="E326" t="s">
        <v>1447</v>
      </c>
      <c r="F326" t="s">
        <v>1861</v>
      </c>
      <c r="G326" t="s">
        <v>1741</v>
      </c>
      <c r="H326" t="s">
        <v>2346</v>
      </c>
      <c r="I326" t="s">
        <v>2279</v>
      </c>
      <c r="J326" t="s">
        <v>2279</v>
      </c>
      <c r="K326" t="s">
        <v>2279</v>
      </c>
      <c r="L326" t="s">
        <v>2279</v>
      </c>
      <c r="M326" t="s">
        <v>2279</v>
      </c>
      <c r="N326" t="s">
        <v>2279</v>
      </c>
      <c r="O326" s="190" t="str">
        <f>"["&amp;$C326&amp;"]["&amp;$D326&amp;"]["&amp;$F326&amp;"]"</f>
        <v>[S05_InstallationDifferentSamplingFrequency][2][SamplingFuelMaterial]</v>
      </c>
    </row>
    <row r="327" spans="1:15" x14ac:dyDescent="0.3">
      <c r="A327" t="s">
        <v>2277</v>
      </c>
      <c r="B327" t="s">
        <v>1859</v>
      </c>
      <c r="C327" t="s">
        <v>1860</v>
      </c>
      <c r="D327">
        <v>3</v>
      </c>
      <c r="E327" t="s">
        <v>1447</v>
      </c>
      <c r="F327" t="s">
        <v>1861</v>
      </c>
      <c r="G327" t="s">
        <v>1741</v>
      </c>
      <c r="H327" t="s">
        <v>2347</v>
      </c>
      <c r="I327" t="s">
        <v>2279</v>
      </c>
      <c r="J327" t="s">
        <v>2279</v>
      </c>
      <c r="K327" t="s">
        <v>2279</v>
      </c>
      <c r="L327" t="s">
        <v>2279</v>
      </c>
      <c r="M327" t="s">
        <v>2279</v>
      </c>
      <c r="N327" t="s">
        <v>2279</v>
      </c>
      <c r="O327" s="190" t="str">
        <f>"["&amp;$C327&amp;"]["&amp;$D327&amp;"]["&amp;$F327&amp;"]"</f>
        <v>[S05_InstallationDifferentSamplingFrequency][3][SamplingFuelMaterial]</v>
      </c>
    </row>
    <row r="328" spans="1:15" x14ac:dyDescent="0.3">
      <c r="A328" t="s">
        <v>2277</v>
      </c>
      <c r="B328" t="s">
        <v>1859</v>
      </c>
      <c r="C328" t="s">
        <v>1860</v>
      </c>
      <c r="D328">
        <v>4</v>
      </c>
      <c r="E328" t="s">
        <v>1447</v>
      </c>
      <c r="F328" t="s">
        <v>1861</v>
      </c>
      <c r="G328" t="s">
        <v>1741</v>
      </c>
      <c r="H328" t="s">
        <v>2348</v>
      </c>
      <c r="I328" t="s">
        <v>2279</v>
      </c>
      <c r="J328" t="s">
        <v>2279</v>
      </c>
      <c r="K328" t="s">
        <v>2279</v>
      </c>
      <c r="L328" t="s">
        <v>2279</v>
      </c>
      <c r="M328" t="s">
        <v>2279</v>
      </c>
      <c r="N328" t="s">
        <v>2279</v>
      </c>
      <c r="O328" s="190" t="str">
        <f>"["&amp;$C328&amp;"]["&amp;$D328&amp;"]["&amp;$F328&amp;"]"</f>
        <v>[S05_InstallationDifferentSamplingFrequency][4][SamplingFuelMaterial]</v>
      </c>
    </row>
    <row r="329" spans="1:15" x14ac:dyDescent="0.3">
      <c r="A329" t="s">
        <v>2277</v>
      </c>
      <c r="B329" t="s">
        <v>1859</v>
      </c>
      <c r="C329" t="s">
        <v>1860</v>
      </c>
      <c r="D329">
        <v>5</v>
      </c>
      <c r="E329" t="s">
        <v>1447</v>
      </c>
      <c r="F329" t="s">
        <v>1861</v>
      </c>
      <c r="G329" t="s">
        <v>1741</v>
      </c>
      <c r="H329" t="s">
        <v>2349</v>
      </c>
      <c r="I329" t="s">
        <v>2279</v>
      </c>
      <c r="J329" t="s">
        <v>2279</v>
      </c>
      <c r="K329" t="s">
        <v>2279</v>
      </c>
      <c r="L329" t="s">
        <v>2279</v>
      </c>
      <c r="M329" t="s">
        <v>2279</v>
      </c>
      <c r="N329" t="s">
        <v>2279</v>
      </c>
      <c r="O329" s="190" t="str">
        <f>"["&amp;$C329&amp;"]["&amp;$D329&amp;"]["&amp;$F329&amp;"]"</f>
        <v>[S05_InstallationDifferentSamplingFrequency][5][SamplingFuelMaterial]</v>
      </c>
    </row>
    <row r="330" spans="1:15" x14ac:dyDescent="0.3">
      <c r="A330" t="s">
        <v>2277</v>
      </c>
      <c r="B330" t="s">
        <v>1859</v>
      </c>
      <c r="C330" t="s">
        <v>1860</v>
      </c>
      <c r="D330">
        <v>6</v>
      </c>
      <c r="E330" t="s">
        <v>1447</v>
      </c>
      <c r="F330" t="s">
        <v>1861</v>
      </c>
      <c r="G330" t="s">
        <v>1741</v>
      </c>
      <c r="H330" t="s">
        <v>2350</v>
      </c>
      <c r="I330" t="s">
        <v>2279</v>
      </c>
      <c r="J330" t="s">
        <v>2279</v>
      </c>
      <c r="K330" t="s">
        <v>2279</v>
      </c>
      <c r="L330" t="s">
        <v>2279</v>
      </c>
      <c r="M330" t="s">
        <v>2279</v>
      </c>
      <c r="N330" t="s">
        <v>2279</v>
      </c>
      <c r="O330" s="190" t="str">
        <f>"["&amp;$C330&amp;"]["&amp;$D330&amp;"]["&amp;$F330&amp;"]"</f>
        <v>[S05_InstallationDifferentSamplingFrequency][6][SamplingFuelMaterial]</v>
      </c>
    </row>
    <row r="331" spans="1:15" x14ac:dyDescent="0.3">
      <c r="A331" t="s">
        <v>2277</v>
      </c>
      <c r="B331" t="s">
        <v>1859</v>
      </c>
      <c r="C331" t="s">
        <v>1860</v>
      </c>
      <c r="D331">
        <v>7</v>
      </c>
      <c r="E331" t="s">
        <v>1447</v>
      </c>
      <c r="F331" t="s">
        <v>1861</v>
      </c>
      <c r="G331" t="s">
        <v>1741</v>
      </c>
      <c r="H331" t="s">
        <v>2351</v>
      </c>
      <c r="I331" t="s">
        <v>2279</v>
      </c>
      <c r="J331" t="s">
        <v>2279</v>
      </c>
      <c r="K331" t="s">
        <v>2279</v>
      </c>
      <c r="L331" t="s">
        <v>2279</v>
      </c>
      <c r="M331" t="s">
        <v>2279</v>
      </c>
      <c r="N331" t="s">
        <v>2279</v>
      </c>
      <c r="O331" s="190" t="str">
        <f>"["&amp;$C331&amp;"]["&amp;$D331&amp;"]["&amp;$F331&amp;"]"</f>
        <v>[S05_InstallationDifferentSamplingFrequency][7][SamplingFuelMaterial]</v>
      </c>
    </row>
    <row r="332" spans="1:15" x14ac:dyDescent="0.3">
      <c r="A332" t="s">
        <v>2277</v>
      </c>
      <c r="B332" t="s">
        <v>1859</v>
      </c>
      <c r="C332" t="s">
        <v>1860</v>
      </c>
      <c r="D332">
        <v>8</v>
      </c>
      <c r="E332" t="s">
        <v>1447</v>
      </c>
      <c r="F332" t="s">
        <v>1861</v>
      </c>
      <c r="G332" t="s">
        <v>1741</v>
      </c>
      <c r="H332" t="s">
        <v>2352</v>
      </c>
      <c r="I332" t="s">
        <v>2279</v>
      </c>
      <c r="J332" t="s">
        <v>2279</v>
      </c>
      <c r="K332" t="s">
        <v>2279</v>
      </c>
      <c r="L332" t="s">
        <v>2279</v>
      </c>
      <c r="M332" t="s">
        <v>2279</v>
      </c>
      <c r="N332" t="s">
        <v>2279</v>
      </c>
      <c r="O332" s="190" t="str">
        <f>"["&amp;$C332&amp;"]["&amp;$D332&amp;"]["&amp;$F332&amp;"]"</f>
        <v>[S05_InstallationDifferentSamplingFrequency][8][SamplingFuelMaterial]</v>
      </c>
    </row>
    <row r="333" spans="1:15" x14ac:dyDescent="0.3">
      <c r="A333" t="s">
        <v>2277</v>
      </c>
      <c r="B333" t="s">
        <v>1859</v>
      </c>
      <c r="C333" t="s">
        <v>1860</v>
      </c>
      <c r="D333">
        <v>9</v>
      </c>
      <c r="E333" t="s">
        <v>1447</v>
      </c>
      <c r="F333" t="s">
        <v>1861</v>
      </c>
      <c r="G333" t="s">
        <v>1741</v>
      </c>
      <c r="H333" t="s">
        <v>2353</v>
      </c>
      <c r="I333" t="s">
        <v>2279</v>
      </c>
      <c r="J333" t="s">
        <v>2279</v>
      </c>
      <c r="K333" t="s">
        <v>2279</v>
      </c>
      <c r="L333" t="s">
        <v>2279</v>
      </c>
      <c r="M333" t="s">
        <v>2279</v>
      </c>
      <c r="N333" t="s">
        <v>2279</v>
      </c>
      <c r="O333" s="190" t="str">
        <f>"["&amp;$C333&amp;"]["&amp;$D333&amp;"]["&amp;$F333&amp;"]"</f>
        <v>[S05_InstallationDifferentSamplingFrequency][9][SamplingFuelMaterial]</v>
      </c>
    </row>
    <row r="334" spans="1:15" x14ac:dyDescent="0.3">
      <c r="A334" t="s">
        <v>2277</v>
      </c>
      <c r="B334" t="s">
        <v>1859</v>
      </c>
      <c r="C334" t="s">
        <v>1860</v>
      </c>
      <c r="D334">
        <v>10</v>
      </c>
      <c r="E334" t="s">
        <v>1447</v>
      </c>
      <c r="F334" t="s">
        <v>1861</v>
      </c>
      <c r="G334" t="s">
        <v>1741</v>
      </c>
      <c r="H334" t="s">
        <v>2354</v>
      </c>
      <c r="I334" t="s">
        <v>2279</v>
      </c>
      <c r="J334" t="s">
        <v>2279</v>
      </c>
      <c r="K334" t="s">
        <v>2279</v>
      </c>
      <c r="L334" t="s">
        <v>2279</v>
      </c>
      <c r="M334" t="s">
        <v>2279</v>
      </c>
      <c r="N334" t="s">
        <v>2279</v>
      </c>
      <c r="O334" s="190" t="str">
        <f>"["&amp;$C334&amp;"]["&amp;$D334&amp;"]["&amp;$F334&amp;"]"</f>
        <v>[S05_InstallationDifferentSamplingFrequency][10][SamplingFuelMaterial]</v>
      </c>
    </row>
    <row r="335" spans="1:15" x14ac:dyDescent="0.3">
      <c r="A335" t="s">
        <v>2277</v>
      </c>
      <c r="B335" t="s">
        <v>1859</v>
      </c>
      <c r="C335" t="s">
        <v>1860</v>
      </c>
      <c r="D335">
        <v>11</v>
      </c>
      <c r="E335" t="s">
        <v>1447</v>
      </c>
      <c r="F335" t="s">
        <v>1861</v>
      </c>
      <c r="G335" t="s">
        <v>1741</v>
      </c>
      <c r="H335" t="s">
        <v>2355</v>
      </c>
      <c r="I335" t="s">
        <v>2279</v>
      </c>
      <c r="J335" t="s">
        <v>2279</v>
      </c>
      <c r="K335" t="s">
        <v>2279</v>
      </c>
      <c r="L335" t="s">
        <v>2279</v>
      </c>
      <c r="M335" t="s">
        <v>2279</v>
      </c>
      <c r="N335" t="s">
        <v>2279</v>
      </c>
      <c r="O335" s="190" t="str">
        <f>"["&amp;$C335&amp;"]["&amp;$D335&amp;"]["&amp;$F335&amp;"]"</f>
        <v>[S05_InstallationDifferentSamplingFrequency][11][SamplingFuelMaterial]</v>
      </c>
    </row>
    <row r="336" spans="1:15" x14ac:dyDescent="0.3">
      <c r="A336" t="s">
        <v>2277</v>
      </c>
      <c r="B336" t="s">
        <v>1859</v>
      </c>
      <c r="C336" t="s">
        <v>1860</v>
      </c>
      <c r="D336">
        <v>12</v>
      </c>
      <c r="E336" t="s">
        <v>1447</v>
      </c>
      <c r="F336" t="s">
        <v>1861</v>
      </c>
      <c r="G336" t="s">
        <v>1741</v>
      </c>
      <c r="H336" t="s">
        <v>2356</v>
      </c>
      <c r="I336" t="s">
        <v>2279</v>
      </c>
      <c r="J336" t="s">
        <v>2279</v>
      </c>
      <c r="K336" t="s">
        <v>2279</v>
      </c>
      <c r="L336" t="s">
        <v>2279</v>
      </c>
      <c r="M336" t="s">
        <v>2279</v>
      </c>
      <c r="N336" t="s">
        <v>2279</v>
      </c>
      <c r="O336" s="190" t="str">
        <f>"["&amp;$C336&amp;"]["&amp;$D336&amp;"]["&amp;$F336&amp;"]"</f>
        <v>[S05_InstallationDifferentSamplingFrequency][12][SamplingFuelMaterial]</v>
      </c>
    </row>
    <row r="337" spans="1:15" x14ac:dyDescent="0.3">
      <c r="A337" t="s">
        <v>2277</v>
      </c>
      <c r="B337" t="s">
        <v>1859</v>
      </c>
      <c r="C337" t="s">
        <v>1860</v>
      </c>
      <c r="D337">
        <v>13</v>
      </c>
      <c r="E337" t="s">
        <v>1447</v>
      </c>
      <c r="F337" t="s">
        <v>1861</v>
      </c>
      <c r="G337" t="s">
        <v>1741</v>
      </c>
      <c r="H337" t="s">
        <v>2357</v>
      </c>
      <c r="I337" t="s">
        <v>2279</v>
      </c>
      <c r="J337" t="s">
        <v>2279</v>
      </c>
      <c r="K337" t="s">
        <v>2279</v>
      </c>
      <c r="L337" t="s">
        <v>2279</v>
      </c>
      <c r="M337" t="s">
        <v>2279</v>
      </c>
      <c r="N337" t="s">
        <v>2279</v>
      </c>
      <c r="O337" s="190" t="str">
        <f>"["&amp;$C337&amp;"]["&amp;$D337&amp;"]["&amp;$F337&amp;"]"</f>
        <v>[S05_InstallationDifferentSamplingFrequency][13][SamplingFuelMaterial]</v>
      </c>
    </row>
    <row r="338" spans="1:15" x14ac:dyDescent="0.3">
      <c r="A338" t="s">
        <v>2277</v>
      </c>
      <c r="B338" t="s">
        <v>1859</v>
      </c>
      <c r="C338" t="s">
        <v>1860</v>
      </c>
      <c r="D338">
        <v>14</v>
      </c>
      <c r="E338" t="s">
        <v>1447</v>
      </c>
      <c r="F338" t="s">
        <v>1861</v>
      </c>
      <c r="G338" t="s">
        <v>1741</v>
      </c>
      <c r="H338" t="s">
        <v>2358</v>
      </c>
      <c r="I338" t="s">
        <v>2279</v>
      </c>
      <c r="J338" t="s">
        <v>2279</v>
      </c>
      <c r="K338" t="s">
        <v>2279</v>
      </c>
      <c r="L338" t="s">
        <v>2279</v>
      </c>
      <c r="M338" t="s">
        <v>2279</v>
      </c>
      <c r="N338" t="s">
        <v>2279</v>
      </c>
      <c r="O338" s="190" t="str">
        <f>"["&amp;$C338&amp;"]["&amp;$D338&amp;"]["&amp;$F338&amp;"]"</f>
        <v>[S05_InstallationDifferentSamplingFrequency][14][SamplingFuelMaterial]</v>
      </c>
    </row>
    <row r="339" spans="1:15" x14ac:dyDescent="0.3">
      <c r="A339" t="s">
        <v>2277</v>
      </c>
      <c r="B339" t="s">
        <v>1859</v>
      </c>
      <c r="C339" t="s">
        <v>1860</v>
      </c>
      <c r="D339">
        <v>15</v>
      </c>
      <c r="E339" t="s">
        <v>1447</v>
      </c>
      <c r="F339" t="s">
        <v>1861</v>
      </c>
      <c r="G339" t="s">
        <v>1741</v>
      </c>
      <c r="H339" t="s">
        <v>2359</v>
      </c>
      <c r="I339" t="s">
        <v>2279</v>
      </c>
      <c r="J339" t="s">
        <v>2279</v>
      </c>
      <c r="K339" t="s">
        <v>2279</v>
      </c>
      <c r="L339" t="s">
        <v>2279</v>
      </c>
      <c r="M339" t="s">
        <v>2279</v>
      </c>
      <c r="N339" t="s">
        <v>2279</v>
      </c>
      <c r="O339" s="190" t="str">
        <f>"["&amp;$C339&amp;"]["&amp;$D339&amp;"]["&amp;$F339&amp;"]"</f>
        <v>[S05_InstallationDifferentSamplingFrequency][15][SamplingFuelMaterial]</v>
      </c>
    </row>
    <row r="340" spans="1:15" x14ac:dyDescent="0.3">
      <c r="A340" t="s">
        <v>2277</v>
      </c>
      <c r="B340" t="s">
        <v>1859</v>
      </c>
      <c r="C340" t="s">
        <v>1860</v>
      </c>
      <c r="D340">
        <v>16</v>
      </c>
      <c r="E340" t="s">
        <v>1447</v>
      </c>
      <c r="F340" t="s">
        <v>1861</v>
      </c>
      <c r="G340" t="s">
        <v>1741</v>
      </c>
      <c r="H340" t="s">
        <v>2360</v>
      </c>
      <c r="I340" t="s">
        <v>2279</v>
      </c>
      <c r="J340" t="s">
        <v>2279</v>
      </c>
      <c r="K340" t="s">
        <v>2279</v>
      </c>
      <c r="L340" t="s">
        <v>2279</v>
      </c>
      <c r="M340" t="s">
        <v>2279</v>
      </c>
      <c r="N340" t="s">
        <v>2279</v>
      </c>
      <c r="O340" s="190" t="str">
        <f>"["&amp;$C340&amp;"]["&amp;$D340&amp;"]["&amp;$F340&amp;"]"</f>
        <v>[S05_InstallationDifferentSamplingFrequency][16][SamplingFuelMaterial]</v>
      </c>
    </row>
    <row r="341" spans="1:15" x14ac:dyDescent="0.3">
      <c r="A341" t="s">
        <v>2277</v>
      </c>
      <c r="B341" t="s">
        <v>1859</v>
      </c>
      <c r="C341" t="s">
        <v>1860</v>
      </c>
      <c r="D341">
        <v>17</v>
      </c>
      <c r="E341" t="s">
        <v>1447</v>
      </c>
      <c r="F341" t="s">
        <v>1861</v>
      </c>
      <c r="G341" t="s">
        <v>1741</v>
      </c>
      <c r="H341" t="s">
        <v>2361</v>
      </c>
      <c r="I341" t="s">
        <v>2279</v>
      </c>
      <c r="J341" t="s">
        <v>2279</v>
      </c>
      <c r="K341" t="s">
        <v>2279</v>
      </c>
      <c r="L341" t="s">
        <v>2279</v>
      </c>
      <c r="M341" t="s">
        <v>2279</v>
      </c>
      <c r="N341" t="s">
        <v>2279</v>
      </c>
      <c r="O341" s="190" t="str">
        <f>"["&amp;$C341&amp;"]["&amp;$D341&amp;"]["&amp;$F341&amp;"]"</f>
        <v>[S05_InstallationDifferentSamplingFrequency][17][SamplingFuelMaterial]</v>
      </c>
    </row>
    <row r="342" spans="1:15" x14ac:dyDescent="0.3">
      <c r="A342" t="s">
        <v>2277</v>
      </c>
      <c r="B342" t="s">
        <v>1859</v>
      </c>
      <c r="C342" t="s">
        <v>1860</v>
      </c>
      <c r="D342">
        <v>1</v>
      </c>
      <c r="E342" t="s">
        <v>1447</v>
      </c>
      <c r="F342" t="s">
        <v>1862</v>
      </c>
      <c r="G342" t="s">
        <v>1748</v>
      </c>
      <c r="H342" t="s">
        <v>2279</v>
      </c>
      <c r="I342">
        <v>1</v>
      </c>
      <c r="J342" t="s">
        <v>2279</v>
      </c>
      <c r="K342" t="s">
        <v>2279</v>
      </c>
      <c r="L342" t="s">
        <v>2279</v>
      </c>
      <c r="M342" t="s">
        <v>2279</v>
      </c>
      <c r="N342" t="s">
        <v>2279</v>
      </c>
      <c r="O342" s="190" t="str">
        <f>"["&amp;$C342&amp;"]["&amp;$D342&amp;"]["&amp;$F342&amp;"]"</f>
        <v>[S05_InstallationDifferentSamplingFrequency][1][CountInstallationsDiffFrequency]</v>
      </c>
    </row>
    <row r="343" spans="1:15" x14ac:dyDescent="0.3">
      <c r="A343" t="s">
        <v>2277</v>
      </c>
      <c r="B343" t="s">
        <v>1859</v>
      </c>
      <c r="C343" t="s">
        <v>1860</v>
      </c>
      <c r="D343">
        <v>2</v>
      </c>
      <c r="E343" t="s">
        <v>1447</v>
      </c>
      <c r="F343" t="s">
        <v>1862</v>
      </c>
      <c r="G343" t="s">
        <v>1748</v>
      </c>
      <c r="H343" t="s">
        <v>2279</v>
      </c>
      <c r="I343">
        <v>1</v>
      </c>
      <c r="J343" t="s">
        <v>2279</v>
      </c>
      <c r="K343" t="s">
        <v>2279</v>
      </c>
      <c r="L343" t="s">
        <v>2279</v>
      </c>
      <c r="M343" t="s">
        <v>2279</v>
      </c>
      <c r="N343" t="s">
        <v>2279</v>
      </c>
      <c r="O343" s="190" t="str">
        <f>"["&amp;$C343&amp;"]["&amp;$D343&amp;"]["&amp;$F343&amp;"]"</f>
        <v>[S05_InstallationDifferentSamplingFrequency][2][CountInstallationsDiffFrequency]</v>
      </c>
    </row>
    <row r="344" spans="1:15" x14ac:dyDescent="0.3">
      <c r="A344" t="s">
        <v>2277</v>
      </c>
      <c r="B344" t="s">
        <v>1859</v>
      </c>
      <c r="C344" t="s">
        <v>1860</v>
      </c>
      <c r="D344">
        <v>3</v>
      </c>
      <c r="E344" t="s">
        <v>1447</v>
      </c>
      <c r="F344" t="s">
        <v>1862</v>
      </c>
      <c r="G344" t="s">
        <v>1748</v>
      </c>
      <c r="H344" t="s">
        <v>2279</v>
      </c>
      <c r="I344">
        <v>1</v>
      </c>
      <c r="J344" t="s">
        <v>2279</v>
      </c>
      <c r="K344" t="s">
        <v>2279</v>
      </c>
      <c r="L344" t="s">
        <v>2279</v>
      </c>
      <c r="M344" t="s">
        <v>2279</v>
      </c>
      <c r="N344" t="s">
        <v>2279</v>
      </c>
      <c r="O344" s="190" t="str">
        <f>"["&amp;$C344&amp;"]["&amp;$D344&amp;"]["&amp;$F344&amp;"]"</f>
        <v>[S05_InstallationDifferentSamplingFrequency][3][CountInstallationsDiffFrequency]</v>
      </c>
    </row>
    <row r="345" spans="1:15" x14ac:dyDescent="0.3">
      <c r="A345" t="s">
        <v>2277</v>
      </c>
      <c r="B345" t="s">
        <v>1859</v>
      </c>
      <c r="C345" t="s">
        <v>1860</v>
      </c>
      <c r="D345">
        <v>4</v>
      </c>
      <c r="E345" t="s">
        <v>1447</v>
      </c>
      <c r="F345" t="s">
        <v>1862</v>
      </c>
      <c r="G345" t="s">
        <v>1748</v>
      </c>
      <c r="H345" t="s">
        <v>2279</v>
      </c>
      <c r="I345">
        <v>1</v>
      </c>
      <c r="J345" t="s">
        <v>2279</v>
      </c>
      <c r="K345" t="s">
        <v>2279</v>
      </c>
      <c r="L345" t="s">
        <v>2279</v>
      </c>
      <c r="M345" t="s">
        <v>2279</v>
      </c>
      <c r="N345" t="s">
        <v>2279</v>
      </c>
      <c r="O345" s="190" t="str">
        <f>"["&amp;$C345&amp;"]["&amp;$D345&amp;"]["&amp;$F345&amp;"]"</f>
        <v>[S05_InstallationDifferentSamplingFrequency][4][CountInstallationsDiffFrequency]</v>
      </c>
    </row>
    <row r="346" spans="1:15" x14ac:dyDescent="0.3">
      <c r="A346" t="s">
        <v>2277</v>
      </c>
      <c r="B346" t="s">
        <v>1859</v>
      </c>
      <c r="C346" t="s">
        <v>1860</v>
      </c>
      <c r="D346">
        <v>5</v>
      </c>
      <c r="E346" t="s">
        <v>1447</v>
      </c>
      <c r="F346" t="s">
        <v>1862</v>
      </c>
      <c r="G346" t="s">
        <v>1748</v>
      </c>
      <c r="H346" t="s">
        <v>2279</v>
      </c>
      <c r="I346">
        <v>1</v>
      </c>
      <c r="J346" t="s">
        <v>2279</v>
      </c>
      <c r="K346" t="s">
        <v>2279</v>
      </c>
      <c r="L346" t="s">
        <v>2279</v>
      </c>
      <c r="M346" t="s">
        <v>2279</v>
      </c>
      <c r="N346" t="s">
        <v>2279</v>
      </c>
      <c r="O346" s="190" t="str">
        <f>"["&amp;$C346&amp;"]["&amp;$D346&amp;"]["&amp;$F346&amp;"]"</f>
        <v>[S05_InstallationDifferentSamplingFrequency][5][CountInstallationsDiffFrequency]</v>
      </c>
    </row>
    <row r="347" spans="1:15" x14ac:dyDescent="0.3">
      <c r="A347" t="s">
        <v>2277</v>
      </c>
      <c r="B347" t="s">
        <v>1859</v>
      </c>
      <c r="C347" t="s">
        <v>1860</v>
      </c>
      <c r="D347">
        <v>6</v>
      </c>
      <c r="E347" t="s">
        <v>1447</v>
      </c>
      <c r="F347" t="s">
        <v>1862</v>
      </c>
      <c r="G347" t="s">
        <v>1748</v>
      </c>
      <c r="H347" t="s">
        <v>2279</v>
      </c>
      <c r="I347">
        <v>1</v>
      </c>
      <c r="J347" t="s">
        <v>2279</v>
      </c>
      <c r="K347" t="s">
        <v>2279</v>
      </c>
      <c r="L347" t="s">
        <v>2279</v>
      </c>
      <c r="M347" t="s">
        <v>2279</v>
      </c>
      <c r="N347" t="s">
        <v>2279</v>
      </c>
      <c r="O347" s="190" t="str">
        <f>"["&amp;$C347&amp;"]["&amp;$D347&amp;"]["&amp;$F347&amp;"]"</f>
        <v>[S05_InstallationDifferentSamplingFrequency][6][CountInstallationsDiffFrequency]</v>
      </c>
    </row>
    <row r="348" spans="1:15" x14ac:dyDescent="0.3">
      <c r="A348" t="s">
        <v>2277</v>
      </c>
      <c r="B348" t="s">
        <v>1859</v>
      </c>
      <c r="C348" t="s">
        <v>1860</v>
      </c>
      <c r="D348">
        <v>7</v>
      </c>
      <c r="E348" t="s">
        <v>1447</v>
      </c>
      <c r="F348" t="s">
        <v>1862</v>
      </c>
      <c r="G348" t="s">
        <v>1748</v>
      </c>
      <c r="H348" t="s">
        <v>2279</v>
      </c>
      <c r="I348">
        <v>1</v>
      </c>
      <c r="J348" t="s">
        <v>2279</v>
      </c>
      <c r="K348" t="s">
        <v>2279</v>
      </c>
      <c r="L348" t="s">
        <v>2279</v>
      </c>
      <c r="M348" t="s">
        <v>2279</v>
      </c>
      <c r="N348" t="s">
        <v>2279</v>
      </c>
      <c r="O348" s="190" t="str">
        <f>"["&amp;$C348&amp;"]["&amp;$D348&amp;"]["&amp;$F348&amp;"]"</f>
        <v>[S05_InstallationDifferentSamplingFrequency][7][CountInstallationsDiffFrequency]</v>
      </c>
    </row>
    <row r="349" spans="1:15" x14ac:dyDescent="0.3">
      <c r="A349" t="s">
        <v>2277</v>
      </c>
      <c r="B349" t="s">
        <v>1859</v>
      </c>
      <c r="C349" t="s">
        <v>1860</v>
      </c>
      <c r="D349">
        <v>8</v>
      </c>
      <c r="E349" t="s">
        <v>1447</v>
      </c>
      <c r="F349" t="s">
        <v>1862</v>
      </c>
      <c r="G349" t="s">
        <v>1748</v>
      </c>
      <c r="H349" t="s">
        <v>2279</v>
      </c>
      <c r="I349">
        <v>1</v>
      </c>
      <c r="J349" t="s">
        <v>2279</v>
      </c>
      <c r="K349" t="s">
        <v>2279</v>
      </c>
      <c r="L349" t="s">
        <v>2279</v>
      </c>
      <c r="M349" t="s">
        <v>2279</v>
      </c>
      <c r="N349" t="s">
        <v>2279</v>
      </c>
      <c r="O349" s="190" t="str">
        <f>"["&amp;$C349&amp;"]["&amp;$D349&amp;"]["&amp;$F349&amp;"]"</f>
        <v>[S05_InstallationDifferentSamplingFrequency][8][CountInstallationsDiffFrequency]</v>
      </c>
    </row>
    <row r="350" spans="1:15" x14ac:dyDescent="0.3">
      <c r="A350" t="s">
        <v>2277</v>
      </c>
      <c r="B350" t="s">
        <v>1859</v>
      </c>
      <c r="C350" t="s">
        <v>1860</v>
      </c>
      <c r="D350">
        <v>9</v>
      </c>
      <c r="E350" t="s">
        <v>1447</v>
      </c>
      <c r="F350" t="s">
        <v>1862</v>
      </c>
      <c r="G350" t="s">
        <v>1748</v>
      </c>
      <c r="H350" t="s">
        <v>2279</v>
      </c>
      <c r="I350">
        <v>1</v>
      </c>
      <c r="J350" t="s">
        <v>2279</v>
      </c>
      <c r="K350" t="s">
        <v>2279</v>
      </c>
      <c r="L350" t="s">
        <v>2279</v>
      </c>
      <c r="M350" t="s">
        <v>2279</v>
      </c>
      <c r="N350" t="s">
        <v>2279</v>
      </c>
      <c r="O350" s="190" t="str">
        <f>"["&amp;$C350&amp;"]["&amp;$D350&amp;"]["&amp;$F350&amp;"]"</f>
        <v>[S05_InstallationDifferentSamplingFrequency][9][CountInstallationsDiffFrequency]</v>
      </c>
    </row>
    <row r="351" spans="1:15" x14ac:dyDescent="0.3">
      <c r="A351" t="s">
        <v>2277</v>
      </c>
      <c r="B351" t="s">
        <v>1859</v>
      </c>
      <c r="C351" t="s">
        <v>1860</v>
      </c>
      <c r="D351">
        <v>10</v>
      </c>
      <c r="E351" t="s">
        <v>1447</v>
      </c>
      <c r="F351" t="s">
        <v>1862</v>
      </c>
      <c r="G351" t="s">
        <v>1748</v>
      </c>
      <c r="H351" t="s">
        <v>2279</v>
      </c>
      <c r="I351">
        <v>1</v>
      </c>
      <c r="J351" t="s">
        <v>2279</v>
      </c>
      <c r="K351" t="s">
        <v>2279</v>
      </c>
      <c r="L351" t="s">
        <v>2279</v>
      </c>
      <c r="M351" t="s">
        <v>2279</v>
      </c>
      <c r="N351" t="s">
        <v>2279</v>
      </c>
      <c r="O351" s="190" t="str">
        <f>"["&amp;$C351&amp;"]["&amp;$D351&amp;"]["&amp;$F351&amp;"]"</f>
        <v>[S05_InstallationDifferentSamplingFrequency][10][CountInstallationsDiffFrequency]</v>
      </c>
    </row>
    <row r="352" spans="1:15" x14ac:dyDescent="0.3">
      <c r="A352" t="s">
        <v>2277</v>
      </c>
      <c r="B352" t="s">
        <v>1859</v>
      </c>
      <c r="C352" t="s">
        <v>1860</v>
      </c>
      <c r="D352">
        <v>11</v>
      </c>
      <c r="E352" t="s">
        <v>1447</v>
      </c>
      <c r="F352" t="s">
        <v>1862</v>
      </c>
      <c r="G352" t="s">
        <v>1748</v>
      </c>
      <c r="H352" t="s">
        <v>2279</v>
      </c>
      <c r="I352">
        <v>1</v>
      </c>
      <c r="J352" t="s">
        <v>2279</v>
      </c>
      <c r="K352" t="s">
        <v>2279</v>
      </c>
      <c r="L352" t="s">
        <v>2279</v>
      </c>
      <c r="M352" t="s">
        <v>2279</v>
      </c>
      <c r="N352" t="s">
        <v>2279</v>
      </c>
      <c r="O352" s="190" t="str">
        <f>"["&amp;$C352&amp;"]["&amp;$D352&amp;"]["&amp;$F352&amp;"]"</f>
        <v>[S05_InstallationDifferentSamplingFrequency][11][CountInstallationsDiffFrequency]</v>
      </c>
    </row>
    <row r="353" spans="1:15" x14ac:dyDescent="0.3">
      <c r="A353" t="s">
        <v>2277</v>
      </c>
      <c r="B353" t="s">
        <v>1859</v>
      </c>
      <c r="C353" t="s">
        <v>1860</v>
      </c>
      <c r="D353">
        <v>12</v>
      </c>
      <c r="E353" t="s">
        <v>1447</v>
      </c>
      <c r="F353" t="s">
        <v>1862</v>
      </c>
      <c r="G353" t="s">
        <v>1748</v>
      </c>
      <c r="H353" t="s">
        <v>2279</v>
      </c>
      <c r="I353">
        <v>1</v>
      </c>
      <c r="J353" t="s">
        <v>2279</v>
      </c>
      <c r="K353" t="s">
        <v>2279</v>
      </c>
      <c r="L353" t="s">
        <v>2279</v>
      </c>
      <c r="M353" t="s">
        <v>2279</v>
      </c>
      <c r="N353" t="s">
        <v>2279</v>
      </c>
      <c r="O353" s="190" t="str">
        <f>"["&amp;$C353&amp;"]["&amp;$D353&amp;"]["&amp;$F353&amp;"]"</f>
        <v>[S05_InstallationDifferentSamplingFrequency][12][CountInstallationsDiffFrequency]</v>
      </c>
    </row>
    <row r="354" spans="1:15" x14ac:dyDescent="0.3">
      <c r="A354" t="s">
        <v>2277</v>
      </c>
      <c r="B354" t="s">
        <v>1859</v>
      </c>
      <c r="C354" t="s">
        <v>1860</v>
      </c>
      <c r="D354">
        <v>13</v>
      </c>
      <c r="E354" t="s">
        <v>1447</v>
      </c>
      <c r="F354" t="s">
        <v>1862</v>
      </c>
      <c r="G354" t="s">
        <v>1748</v>
      </c>
      <c r="H354" t="s">
        <v>2279</v>
      </c>
      <c r="I354">
        <v>1</v>
      </c>
      <c r="J354" t="s">
        <v>2279</v>
      </c>
      <c r="K354" t="s">
        <v>2279</v>
      </c>
      <c r="L354" t="s">
        <v>2279</v>
      </c>
      <c r="M354" t="s">
        <v>2279</v>
      </c>
      <c r="N354" t="s">
        <v>2279</v>
      </c>
      <c r="O354" s="190" t="str">
        <f>"["&amp;$C354&amp;"]["&amp;$D354&amp;"]["&amp;$F354&amp;"]"</f>
        <v>[S05_InstallationDifferentSamplingFrequency][13][CountInstallationsDiffFrequency]</v>
      </c>
    </row>
    <row r="355" spans="1:15" x14ac:dyDescent="0.3">
      <c r="A355" t="s">
        <v>2277</v>
      </c>
      <c r="B355" t="s">
        <v>1859</v>
      </c>
      <c r="C355" t="s">
        <v>1860</v>
      </c>
      <c r="D355">
        <v>14</v>
      </c>
      <c r="E355" t="s">
        <v>1447</v>
      </c>
      <c r="F355" t="s">
        <v>1862</v>
      </c>
      <c r="G355" t="s">
        <v>1748</v>
      </c>
      <c r="H355" t="s">
        <v>2279</v>
      </c>
      <c r="I355">
        <v>1</v>
      </c>
      <c r="J355" t="s">
        <v>2279</v>
      </c>
      <c r="K355" t="s">
        <v>2279</v>
      </c>
      <c r="L355" t="s">
        <v>2279</v>
      </c>
      <c r="M355" t="s">
        <v>2279</v>
      </c>
      <c r="N355" t="s">
        <v>2279</v>
      </c>
      <c r="O355" s="190" t="str">
        <f>"["&amp;$C355&amp;"]["&amp;$D355&amp;"]["&amp;$F355&amp;"]"</f>
        <v>[S05_InstallationDifferentSamplingFrequency][14][CountInstallationsDiffFrequency]</v>
      </c>
    </row>
    <row r="356" spans="1:15" x14ac:dyDescent="0.3">
      <c r="A356" t="s">
        <v>2277</v>
      </c>
      <c r="B356" t="s">
        <v>1859</v>
      </c>
      <c r="C356" t="s">
        <v>1860</v>
      </c>
      <c r="D356">
        <v>15</v>
      </c>
      <c r="E356" t="s">
        <v>1447</v>
      </c>
      <c r="F356" t="s">
        <v>1862</v>
      </c>
      <c r="G356" t="s">
        <v>1748</v>
      </c>
      <c r="H356" t="s">
        <v>2279</v>
      </c>
      <c r="I356">
        <v>1</v>
      </c>
      <c r="J356" t="s">
        <v>2279</v>
      </c>
      <c r="K356" t="s">
        <v>2279</v>
      </c>
      <c r="L356" t="s">
        <v>2279</v>
      </c>
      <c r="M356" t="s">
        <v>2279</v>
      </c>
      <c r="N356" t="s">
        <v>2279</v>
      </c>
      <c r="O356" s="190" t="str">
        <f>"["&amp;$C356&amp;"]["&amp;$D356&amp;"]["&amp;$F356&amp;"]"</f>
        <v>[S05_InstallationDifferentSamplingFrequency][15][CountInstallationsDiffFrequency]</v>
      </c>
    </row>
    <row r="357" spans="1:15" x14ac:dyDescent="0.3">
      <c r="A357" t="s">
        <v>2277</v>
      </c>
      <c r="B357" t="s">
        <v>1859</v>
      </c>
      <c r="C357" t="s">
        <v>1860</v>
      </c>
      <c r="D357">
        <v>16</v>
      </c>
      <c r="E357" t="s">
        <v>1447</v>
      </c>
      <c r="F357" t="s">
        <v>1862</v>
      </c>
      <c r="G357" t="s">
        <v>1748</v>
      </c>
      <c r="H357" t="s">
        <v>2279</v>
      </c>
      <c r="I357">
        <v>1</v>
      </c>
      <c r="J357" t="s">
        <v>2279</v>
      </c>
      <c r="K357" t="s">
        <v>2279</v>
      </c>
      <c r="L357" t="s">
        <v>2279</v>
      </c>
      <c r="M357" t="s">
        <v>2279</v>
      </c>
      <c r="N357" t="s">
        <v>2279</v>
      </c>
      <c r="O357" s="190" t="str">
        <f>"["&amp;$C357&amp;"]["&amp;$D357&amp;"]["&amp;$F357&amp;"]"</f>
        <v>[S05_InstallationDifferentSamplingFrequency][16][CountInstallationsDiffFrequency]</v>
      </c>
    </row>
    <row r="358" spans="1:15" x14ac:dyDescent="0.3">
      <c r="A358" t="s">
        <v>2277</v>
      </c>
      <c r="B358" t="s">
        <v>1859</v>
      </c>
      <c r="C358" t="s">
        <v>1860</v>
      </c>
      <c r="D358">
        <v>17</v>
      </c>
      <c r="E358" t="s">
        <v>1447</v>
      </c>
      <c r="F358" t="s">
        <v>1862</v>
      </c>
      <c r="G358" t="s">
        <v>1748</v>
      </c>
      <c r="H358" t="s">
        <v>2279</v>
      </c>
      <c r="I358">
        <v>1</v>
      </c>
      <c r="J358" t="s">
        <v>2279</v>
      </c>
      <c r="K358" t="s">
        <v>2279</v>
      </c>
      <c r="L358" t="s">
        <v>2279</v>
      </c>
      <c r="M358" t="s">
        <v>2279</v>
      </c>
      <c r="N358" t="s">
        <v>2279</v>
      </c>
      <c r="O358" s="190" t="str">
        <f>"["&amp;$C358&amp;"]["&amp;$D358&amp;"]["&amp;$F358&amp;"]"</f>
        <v>[S05_InstallationDifferentSamplingFrequency][17][CountInstallationsDiffFrequency]</v>
      </c>
    </row>
    <row r="359" spans="1:15" x14ac:dyDescent="0.3">
      <c r="A359" t="s">
        <v>2277</v>
      </c>
      <c r="B359" t="s">
        <v>1859</v>
      </c>
      <c r="C359" t="s">
        <v>1860</v>
      </c>
      <c r="D359">
        <v>1</v>
      </c>
      <c r="E359" t="s">
        <v>1447</v>
      </c>
      <c r="F359" t="s">
        <v>1863</v>
      </c>
      <c r="G359" t="s">
        <v>1748</v>
      </c>
      <c r="H359" t="s">
        <v>2279</v>
      </c>
      <c r="I359">
        <v>0</v>
      </c>
      <c r="J359" t="s">
        <v>2279</v>
      </c>
      <c r="K359" t="s">
        <v>2279</v>
      </c>
      <c r="L359" t="s">
        <v>2279</v>
      </c>
      <c r="M359" t="s">
        <v>2279</v>
      </c>
      <c r="N359" t="s">
        <v>2279</v>
      </c>
      <c r="O359" s="190" t="str">
        <f>"["&amp;$C359&amp;"]["&amp;$D359&amp;"]["&amp;$F359&amp;"]"</f>
        <v>[S05_InstallationDifferentSamplingFrequency][1][MajorSourceStreams]</v>
      </c>
    </row>
    <row r="360" spans="1:15" x14ac:dyDescent="0.3">
      <c r="A360" t="s">
        <v>2277</v>
      </c>
      <c r="B360" t="s">
        <v>1859</v>
      </c>
      <c r="C360" t="s">
        <v>1860</v>
      </c>
      <c r="D360">
        <v>2</v>
      </c>
      <c r="E360" t="s">
        <v>1447</v>
      </c>
      <c r="F360" t="s">
        <v>1863</v>
      </c>
      <c r="G360" t="s">
        <v>1748</v>
      </c>
      <c r="H360" t="s">
        <v>2279</v>
      </c>
      <c r="I360">
        <v>1</v>
      </c>
      <c r="J360" t="s">
        <v>2279</v>
      </c>
      <c r="K360" t="s">
        <v>2279</v>
      </c>
      <c r="L360" t="s">
        <v>2279</v>
      </c>
      <c r="M360" t="s">
        <v>2279</v>
      </c>
      <c r="N360" t="s">
        <v>2279</v>
      </c>
      <c r="O360" s="190" t="str">
        <f>"["&amp;$C360&amp;"]["&amp;$D360&amp;"]["&amp;$F360&amp;"]"</f>
        <v>[S05_InstallationDifferentSamplingFrequency][2][MajorSourceStreams]</v>
      </c>
    </row>
    <row r="361" spans="1:15" x14ac:dyDescent="0.3">
      <c r="A361" t="s">
        <v>2277</v>
      </c>
      <c r="B361" t="s">
        <v>1859</v>
      </c>
      <c r="C361" t="s">
        <v>1860</v>
      </c>
      <c r="D361">
        <v>3</v>
      </c>
      <c r="E361" t="s">
        <v>1447</v>
      </c>
      <c r="F361" t="s">
        <v>1863</v>
      </c>
      <c r="G361" t="s">
        <v>1748</v>
      </c>
      <c r="H361" t="s">
        <v>2279</v>
      </c>
      <c r="I361">
        <v>0</v>
      </c>
      <c r="J361" t="s">
        <v>2279</v>
      </c>
      <c r="K361" t="s">
        <v>2279</v>
      </c>
      <c r="L361" t="s">
        <v>2279</v>
      </c>
      <c r="M361" t="s">
        <v>2279</v>
      </c>
      <c r="N361" t="s">
        <v>2279</v>
      </c>
      <c r="O361" s="190" t="str">
        <f>"["&amp;$C361&amp;"]["&amp;$D361&amp;"]["&amp;$F361&amp;"]"</f>
        <v>[S05_InstallationDifferentSamplingFrequency][3][MajorSourceStreams]</v>
      </c>
    </row>
    <row r="362" spans="1:15" x14ac:dyDescent="0.3">
      <c r="A362" t="s">
        <v>2277</v>
      </c>
      <c r="B362" t="s">
        <v>1859</v>
      </c>
      <c r="C362" t="s">
        <v>1860</v>
      </c>
      <c r="D362">
        <v>4</v>
      </c>
      <c r="E362" t="s">
        <v>1447</v>
      </c>
      <c r="F362" t="s">
        <v>1863</v>
      </c>
      <c r="G362" t="s">
        <v>1748</v>
      </c>
      <c r="H362" t="s">
        <v>2279</v>
      </c>
      <c r="I362">
        <v>0</v>
      </c>
      <c r="J362" t="s">
        <v>2279</v>
      </c>
      <c r="K362" t="s">
        <v>2279</v>
      </c>
      <c r="L362" t="s">
        <v>2279</v>
      </c>
      <c r="M362" t="s">
        <v>2279</v>
      </c>
      <c r="N362" t="s">
        <v>2279</v>
      </c>
      <c r="O362" s="190" t="str">
        <f>"["&amp;$C362&amp;"]["&amp;$D362&amp;"]["&amp;$F362&amp;"]"</f>
        <v>[S05_InstallationDifferentSamplingFrequency][4][MajorSourceStreams]</v>
      </c>
    </row>
    <row r="363" spans="1:15" x14ac:dyDescent="0.3">
      <c r="A363" t="s">
        <v>2277</v>
      </c>
      <c r="B363" t="s">
        <v>1859</v>
      </c>
      <c r="C363" t="s">
        <v>1860</v>
      </c>
      <c r="D363">
        <v>5</v>
      </c>
      <c r="E363" t="s">
        <v>1447</v>
      </c>
      <c r="F363" t="s">
        <v>1863</v>
      </c>
      <c r="G363" t="s">
        <v>1748</v>
      </c>
      <c r="H363" t="s">
        <v>2279</v>
      </c>
      <c r="I363">
        <v>0</v>
      </c>
      <c r="J363" t="s">
        <v>2279</v>
      </c>
      <c r="K363" t="s">
        <v>2279</v>
      </c>
      <c r="L363" t="s">
        <v>2279</v>
      </c>
      <c r="M363" t="s">
        <v>2279</v>
      </c>
      <c r="N363" t="s">
        <v>2279</v>
      </c>
      <c r="O363" s="190" t="str">
        <f>"["&amp;$C363&amp;"]["&amp;$D363&amp;"]["&amp;$F363&amp;"]"</f>
        <v>[S05_InstallationDifferentSamplingFrequency][5][MajorSourceStreams]</v>
      </c>
    </row>
    <row r="364" spans="1:15" x14ac:dyDescent="0.3">
      <c r="A364" t="s">
        <v>2277</v>
      </c>
      <c r="B364" t="s">
        <v>1859</v>
      </c>
      <c r="C364" t="s">
        <v>1860</v>
      </c>
      <c r="D364">
        <v>6</v>
      </c>
      <c r="E364" t="s">
        <v>1447</v>
      </c>
      <c r="F364" t="s">
        <v>1863</v>
      </c>
      <c r="G364" t="s">
        <v>1748</v>
      </c>
      <c r="H364" t="s">
        <v>2279</v>
      </c>
      <c r="I364">
        <v>0</v>
      </c>
      <c r="J364" t="s">
        <v>2279</v>
      </c>
      <c r="K364" t="s">
        <v>2279</v>
      </c>
      <c r="L364" t="s">
        <v>2279</v>
      </c>
      <c r="M364" t="s">
        <v>2279</v>
      </c>
      <c r="N364" t="s">
        <v>2279</v>
      </c>
      <c r="O364" s="190" t="str">
        <f>"["&amp;$C364&amp;"]["&amp;$D364&amp;"]["&amp;$F364&amp;"]"</f>
        <v>[S05_InstallationDifferentSamplingFrequency][6][MajorSourceStreams]</v>
      </c>
    </row>
    <row r="365" spans="1:15" x14ac:dyDescent="0.3">
      <c r="A365" t="s">
        <v>2277</v>
      </c>
      <c r="B365" t="s">
        <v>1859</v>
      </c>
      <c r="C365" t="s">
        <v>1860</v>
      </c>
      <c r="D365">
        <v>7</v>
      </c>
      <c r="E365" t="s">
        <v>1447</v>
      </c>
      <c r="F365" t="s">
        <v>1863</v>
      </c>
      <c r="G365" t="s">
        <v>1748</v>
      </c>
      <c r="H365" t="s">
        <v>2279</v>
      </c>
      <c r="I365">
        <v>0</v>
      </c>
      <c r="J365" t="s">
        <v>2279</v>
      </c>
      <c r="K365" t="s">
        <v>2279</v>
      </c>
      <c r="L365" t="s">
        <v>2279</v>
      </c>
      <c r="M365" t="s">
        <v>2279</v>
      </c>
      <c r="N365" t="s">
        <v>2279</v>
      </c>
      <c r="O365" s="190" t="str">
        <f>"["&amp;$C365&amp;"]["&amp;$D365&amp;"]["&amp;$F365&amp;"]"</f>
        <v>[S05_InstallationDifferentSamplingFrequency][7][MajorSourceStreams]</v>
      </c>
    </row>
    <row r="366" spans="1:15" x14ac:dyDescent="0.3">
      <c r="A366" t="s">
        <v>2277</v>
      </c>
      <c r="B366" t="s">
        <v>1859</v>
      </c>
      <c r="C366" t="s">
        <v>1860</v>
      </c>
      <c r="D366">
        <v>8</v>
      </c>
      <c r="E366" t="s">
        <v>1447</v>
      </c>
      <c r="F366" t="s">
        <v>1863</v>
      </c>
      <c r="G366" t="s">
        <v>1748</v>
      </c>
      <c r="H366" t="s">
        <v>2279</v>
      </c>
      <c r="I366">
        <v>0</v>
      </c>
      <c r="J366" t="s">
        <v>2279</v>
      </c>
      <c r="K366" t="s">
        <v>2279</v>
      </c>
      <c r="L366" t="s">
        <v>2279</v>
      </c>
      <c r="M366" t="s">
        <v>2279</v>
      </c>
      <c r="N366" t="s">
        <v>2279</v>
      </c>
      <c r="O366" s="190" t="str">
        <f>"["&amp;$C366&amp;"]["&amp;$D366&amp;"]["&amp;$F366&amp;"]"</f>
        <v>[S05_InstallationDifferentSamplingFrequency][8][MajorSourceStreams]</v>
      </c>
    </row>
    <row r="367" spans="1:15" x14ac:dyDescent="0.3">
      <c r="A367" t="s">
        <v>2277</v>
      </c>
      <c r="B367" t="s">
        <v>1859</v>
      </c>
      <c r="C367" t="s">
        <v>1860</v>
      </c>
      <c r="D367">
        <v>9</v>
      </c>
      <c r="E367" t="s">
        <v>1447</v>
      </c>
      <c r="F367" t="s">
        <v>1863</v>
      </c>
      <c r="G367" t="s">
        <v>1748</v>
      </c>
      <c r="H367" t="s">
        <v>2279</v>
      </c>
      <c r="I367">
        <v>0</v>
      </c>
      <c r="J367" t="s">
        <v>2279</v>
      </c>
      <c r="K367" t="s">
        <v>2279</v>
      </c>
      <c r="L367" t="s">
        <v>2279</v>
      </c>
      <c r="M367" t="s">
        <v>2279</v>
      </c>
      <c r="N367" t="s">
        <v>2279</v>
      </c>
      <c r="O367" s="190" t="str">
        <f>"["&amp;$C367&amp;"]["&amp;$D367&amp;"]["&amp;$F367&amp;"]"</f>
        <v>[S05_InstallationDifferentSamplingFrequency][9][MajorSourceStreams]</v>
      </c>
    </row>
    <row r="368" spans="1:15" x14ac:dyDescent="0.3">
      <c r="A368" t="s">
        <v>2277</v>
      </c>
      <c r="B368" t="s">
        <v>1859</v>
      </c>
      <c r="C368" t="s">
        <v>1860</v>
      </c>
      <c r="D368">
        <v>10</v>
      </c>
      <c r="E368" t="s">
        <v>1447</v>
      </c>
      <c r="F368" t="s">
        <v>1863</v>
      </c>
      <c r="G368" t="s">
        <v>1748</v>
      </c>
      <c r="H368" t="s">
        <v>2279</v>
      </c>
      <c r="I368">
        <v>0</v>
      </c>
      <c r="J368" t="s">
        <v>2279</v>
      </c>
      <c r="K368" t="s">
        <v>2279</v>
      </c>
      <c r="L368" t="s">
        <v>2279</v>
      </c>
      <c r="M368" t="s">
        <v>2279</v>
      </c>
      <c r="N368" t="s">
        <v>2279</v>
      </c>
      <c r="O368" s="190" t="str">
        <f>"["&amp;$C368&amp;"]["&amp;$D368&amp;"]["&amp;$F368&amp;"]"</f>
        <v>[S05_InstallationDifferentSamplingFrequency][10][MajorSourceStreams]</v>
      </c>
    </row>
    <row r="369" spans="1:15" x14ac:dyDescent="0.3">
      <c r="A369" t="s">
        <v>2277</v>
      </c>
      <c r="B369" t="s">
        <v>1859</v>
      </c>
      <c r="C369" t="s">
        <v>1860</v>
      </c>
      <c r="D369">
        <v>11</v>
      </c>
      <c r="E369" t="s">
        <v>1447</v>
      </c>
      <c r="F369" t="s">
        <v>1863</v>
      </c>
      <c r="G369" t="s">
        <v>1748</v>
      </c>
      <c r="H369" t="s">
        <v>2279</v>
      </c>
      <c r="I369">
        <v>1</v>
      </c>
      <c r="J369" t="s">
        <v>2279</v>
      </c>
      <c r="K369" t="s">
        <v>2279</v>
      </c>
      <c r="L369" t="s">
        <v>2279</v>
      </c>
      <c r="M369" t="s">
        <v>2279</v>
      </c>
      <c r="N369" t="s">
        <v>2279</v>
      </c>
      <c r="O369" s="190" t="str">
        <f>"["&amp;$C369&amp;"]["&amp;$D369&amp;"]["&amp;$F369&amp;"]"</f>
        <v>[S05_InstallationDifferentSamplingFrequency][11][MajorSourceStreams]</v>
      </c>
    </row>
    <row r="370" spans="1:15" x14ac:dyDescent="0.3">
      <c r="A370" t="s">
        <v>2277</v>
      </c>
      <c r="B370" t="s">
        <v>1859</v>
      </c>
      <c r="C370" t="s">
        <v>1860</v>
      </c>
      <c r="D370">
        <v>12</v>
      </c>
      <c r="E370" t="s">
        <v>1447</v>
      </c>
      <c r="F370" t="s">
        <v>1863</v>
      </c>
      <c r="G370" t="s">
        <v>1748</v>
      </c>
      <c r="H370" t="s">
        <v>2279</v>
      </c>
      <c r="I370">
        <v>1</v>
      </c>
      <c r="J370" t="s">
        <v>2279</v>
      </c>
      <c r="K370" t="s">
        <v>2279</v>
      </c>
      <c r="L370" t="s">
        <v>2279</v>
      </c>
      <c r="M370" t="s">
        <v>2279</v>
      </c>
      <c r="N370" t="s">
        <v>2279</v>
      </c>
      <c r="O370" s="190" t="str">
        <f>"["&amp;$C370&amp;"]["&amp;$D370&amp;"]["&amp;$F370&amp;"]"</f>
        <v>[S05_InstallationDifferentSamplingFrequency][12][MajorSourceStreams]</v>
      </c>
    </row>
    <row r="371" spans="1:15" x14ac:dyDescent="0.3">
      <c r="A371" t="s">
        <v>2277</v>
      </c>
      <c r="B371" t="s">
        <v>1859</v>
      </c>
      <c r="C371" t="s">
        <v>1860</v>
      </c>
      <c r="D371">
        <v>13</v>
      </c>
      <c r="E371" t="s">
        <v>1447</v>
      </c>
      <c r="F371" t="s">
        <v>1863</v>
      </c>
      <c r="G371" t="s">
        <v>1748</v>
      </c>
      <c r="H371" t="s">
        <v>2279</v>
      </c>
      <c r="I371">
        <v>0</v>
      </c>
      <c r="J371" t="s">
        <v>2279</v>
      </c>
      <c r="K371" t="s">
        <v>2279</v>
      </c>
      <c r="L371" t="s">
        <v>2279</v>
      </c>
      <c r="M371" t="s">
        <v>2279</v>
      </c>
      <c r="N371" t="s">
        <v>2279</v>
      </c>
      <c r="O371" s="190" t="str">
        <f>"["&amp;$C371&amp;"]["&amp;$D371&amp;"]["&amp;$F371&amp;"]"</f>
        <v>[S05_InstallationDifferentSamplingFrequency][13][MajorSourceStreams]</v>
      </c>
    </row>
    <row r="372" spans="1:15" x14ac:dyDescent="0.3">
      <c r="A372" t="s">
        <v>2277</v>
      </c>
      <c r="B372" t="s">
        <v>1859</v>
      </c>
      <c r="C372" t="s">
        <v>1860</v>
      </c>
      <c r="D372">
        <v>14</v>
      </c>
      <c r="E372" t="s">
        <v>1447</v>
      </c>
      <c r="F372" t="s">
        <v>1863</v>
      </c>
      <c r="G372" t="s">
        <v>1748</v>
      </c>
      <c r="H372" t="s">
        <v>2279</v>
      </c>
      <c r="I372">
        <v>0</v>
      </c>
      <c r="J372" t="s">
        <v>2279</v>
      </c>
      <c r="K372" t="s">
        <v>2279</v>
      </c>
      <c r="L372" t="s">
        <v>2279</v>
      </c>
      <c r="M372" t="s">
        <v>2279</v>
      </c>
      <c r="N372" t="s">
        <v>2279</v>
      </c>
      <c r="O372" s="190" t="str">
        <f>"["&amp;$C372&amp;"]["&amp;$D372&amp;"]["&amp;$F372&amp;"]"</f>
        <v>[S05_InstallationDifferentSamplingFrequency][14][MajorSourceStreams]</v>
      </c>
    </row>
    <row r="373" spans="1:15" x14ac:dyDescent="0.3">
      <c r="A373" t="s">
        <v>2277</v>
      </c>
      <c r="B373" t="s">
        <v>1859</v>
      </c>
      <c r="C373" t="s">
        <v>1860</v>
      </c>
      <c r="D373">
        <v>15</v>
      </c>
      <c r="E373" t="s">
        <v>1447</v>
      </c>
      <c r="F373" t="s">
        <v>1863</v>
      </c>
      <c r="G373" t="s">
        <v>1748</v>
      </c>
      <c r="H373" t="s">
        <v>2279</v>
      </c>
      <c r="I373">
        <v>1</v>
      </c>
      <c r="J373" t="s">
        <v>2279</v>
      </c>
      <c r="K373" t="s">
        <v>2279</v>
      </c>
      <c r="L373" t="s">
        <v>2279</v>
      </c>
      <c r="M373" t="s">
        <v>2279</v>
      </c>
      <c r="N373" t="s">
        <v>2279</v>
      </c>
      <c r="O373" s="190" t="str">
        <f>"["&amp;$C373&amp;"]["&amp;$D373&amp;"]["&amp;$F373&amp;"]"</f>
        <v>[S05_InstallationDifferentSamplingFrequency][15][MajorSourceStreams]</v>
      </c>
    </row>
    <row r="374" spans="1:15" x14ac:dyDescent="0.3">
      <c r="A374" t="s">
        <v>2277</v>
      </c>
      <c r="B374" t="s">
        <v>1859</v>
      </c>
      <c r="C374" t="s">
        <v>1860</v>
      </c>
      <c r="D374">
        <v>16</v>
      </c>
      <c r="E374" t="s">
        <v>1447</v>
      </c>
      <c r="F374" t="s">
        <v>1863</v>
      </c>
      <c r="G374" t="s">
        <v>1748</v>
      </c>
      <c r="H374" t="s">
        <v>2279</v>
      </c>
      <c r="I374">
        <v>0</v>
      </c>
      <c r="J374" t="s">
        <v>2279</v>
      </c>
      <c r="K374" t="s">
        <v>2279</v>
      </c>
      <c r="L374" t="s">
        <v>2279</v>
      </c>
      <c r="M374" t="s">
        <v>2279</v>
      </c>
      <c r="N374" t="s">
        <v>2279</v>
      </c>
      <c r="O374" s="190" t="str">
        <f>"["&amp;$C374&amp;"]["&amp;$D374&amp;"]["&amp;$F374&amp;"]"</f>
        <v>[S05_InstallationDifferentSamplingFrequency][16][MajorSourceStreams]</v>
      </c>
    </row>
    <row r="375" spans="1:15" x14ac:dyDescent="0.3">
      <c r="A375" t="s">
        <v>2277</v>
      </c>
      <c r="B375" t="s">
        <v>1859</v>
      </c>
      <c r="C375" t="s">
        <v>1860</v>
      </c>
      <c r="D375">
        <v>17</v>
      </c>
      <c r="E375" t="s">
        <v>1447</v>
      </c>
      <c r="F375" t="s">
        <v>1863</v>
      </c>
      <c r="G375" t="s">
        <v>1748</v>
      </c>
      <c r="H375" t="s">
        <v>2279</v>
      </c>
      <c r="I375">
        <v>1</v>
      </c>
      <c r="J375" t="s">
        <v>2279</v>
      </c>
      <c r="K375" t="s">
        <v>2279</v>
      </c>
      <c r="L375" t="s">
        <v>2279</v>
      </c>
      <c r="M375" t="s">
        <v>2279</v>
      </c>
      <c r="N375" t="s">
        <v>2279</v>
      </c>
      <c r="O375" s="190" t="str">
        <f>"["&amp;$C375&amp;"]["&amp;$D375&amp;"]["&amp;$F375&amp;"]"</f>
        <v>[S05_InstallationDifferentSamplingFrequency][17][MajorSourceStreams]</v>
      </c>
    </row>
    <row r="376" spans="1:15" x14ac:dyDescent="0.3">
      <c r="A376" t="s">
        <v>2277</v>
      </c>
      <c r="B376" t="s">
        <v>1859</v>
      </c>
      <c r="C376" t="s">
        <v>1860</v>
      </c>
      <c r="D376">
        <v>1</v>
      </c>
      <c r="E376" t="s">
        <v>1447</v>
      </c>
      <c r="F376" t="s">
        <v>1864</v>
      </c>
      <c r="G376" t="s">
        <v>1759</v>
      </c>
      <c r="H376" t="s">
        <v>2279</v>
      </c>
      <c r="I376" t="s">
        <v>2279</v>
      </c>
      <c r="J376" t="s">
        <v>2279</v>
      </c>
      <c r="K376" t="s">
        <v>2279</v>
      </c>
      <c r="L376" t="s">
        <v>1419</v>
      </c>
      <c r="M376" t="s">
        <v>2279</v>
      </c>
      <c r="N376" t="s">
        <v>2279</v>
      </c>
      <c r="O376" s="190" t="str">
        <f>"["&amp;$C376&amp;"]["&amp;$D376&amp;"]["&amp;$F376&amp;"]"</f>
        <v>[S05_InstallationDifferentSamplingFrequency][1][SamplingPlanDocumented]</v>
      </c>
    </row>
    <row r="377" spans="1:15" x14ac:dyDescent="0.3">
      <c r="A377" t="s">
        <v>2277</v>
      </c>
      <c r="B377" t="s">
        <v>1859</v>
      </c>
      <c r="C377" t="s">
        <v>1860</v>
      </c>
      <c r="D377">
        <v>2</v>
      </c>
      <c r="E377" t="s">
        <v>1447</v>
      </c>
      <c r="F377" t="s">
        <v>1864</v>
      </c>
      <c r="G377" t="s">
        <v>1759</v>
      </c>
      <c r="H377" t="s">
        <v>2279</v>
      </c>
      <c r="I377" t="s">
        <v>2279</v>
      </c>
      <c r="J377" t="s">
        <v>2279</v>
      </c>
      <c r="K377" t="s">
        <v>2279</v>
      </c>
      <c r="L377" t="s">
        <v>1419</v>
      </c>
      <c r="M377" t="s">
        <v>2279</v>
      </c>
      <c r="N377" t="s">
        <v>2279</v>
      </c>
      <c r="O377" s="190" t="str">
        <f>"["&amp;$C377&amp;"]["&amp;$D377&amp;"]["&amp;$F377&amp;"]"</f>
        <v>[S05_InstallationDifferentSamplingFrequency][2][SamplingPlanDocumented]</v>
      </c>
    </row>
    <row r="378" spans="1:15" x14ac:dyDescent="0.3">
      <c r="A378" t="s">
        <v>2277</v>
      </c>
      <c r="B378" t="s">
        <v>1859</v>
      </c>
      <c r="C378" t="s">
        <v>1860</v>
      </c>
      <c r="D378">
        <v>3</v>
      </c>
      <c r="E378" t="s">
        <v>1447</v>
      </c>
      <c r="F378" t="s">
        <v>1864</v>
      </c>
      <c r="G378" t="s">
        <v>1759</v>
      </c>
      <c r="H378" t="s">
        <v>2279</v>
      </c>
      <c r="I378" t="s">
        <v>2279</v>
      </c>
      <c r="J378" t="s">
        <v>2279</v>
      </c>
      <c r="K378" t="s">
        <v>2279</v>
      </c>
      <c r="L378" t="s">
        <v>1419</v>
      </c>
      <c r="M378" t="s">
        <v>2279</v>
      </c>
      <c r="N378" t="s">
        <v>2279</v>
      </c>
      <c r="O378" s="190" t="str">
        <f>"["&amp;$C378&amp;"]["&amp;$D378&amp;"]["&amp;$F378&amp;"]"</f>
        <v>[S05_InstallationDifferentSamplingFrequency][3][SamplingPlanDocumented]</v>
      </c>
    </row>
    <row r="379" spans="1:15" x14ac:dyDescent="0.3">
      <c r="A379" t="s">
        <v>2277</v>
      </c>
      <c r="B379" t="s">
        <v>1859</v>
      </c>
      <c r="C379" t="s">
        <v>1860</v>
      </c>
      <c r="D379">
        <v>4</v>
      </c>
      <c r="E379" t="s">
        <v>1447</v>
      </c>
      <c r="F379" t="s">
        <v>1864</v>
      </c>
      <c r="G379" t="s">
        <v>1759</v>
      </c>
      <c r="H379" t="s">
        <v>2279</v>
      </c>
      <c r="I379" t="s">
        <v>2279</v>
      </c>
      <c r="J379" t="s">
        <v>2279</v>
      </c>
      <c r="K379" t="s">
        <v>2279</v>
      </c>
      <c r="L379" t="s">
        <v>1419</v>
      </c>
      <c r="M379" t="s">
        <v>2279</v>
      </c>
      <c r="N379" t="s">
        <v>2279</v>
      </c>
      <c r="O379" s="190" t="str">
        <f>"["&amp;$C379&amp;"]["&amp;$D379&amp;"]["&amp;$F379&amp;"]"</f>
        <v>[S05_InstallationDifferentSamplingFrequency][4][SamplingPlanDocumented]</v>
      </c>
    </row>
    <row r="380" spans="1:15" x14ac:dyDescent="0.3">
      <c r="A380" t="s">
        <v>2277</v>
      </c>
      <c r="B380" t="s">
        <v>1859</v>
      </c>
      <c r="C380" t="s">
        <v>1860</v>
      </c>
      <c r="D380">
        <v>5</v>
      </c>
      <c r="E380" t="s">
        <v>1447</v>
      </c>
      <c r="F380" t="s">
        <v>1864</v>
      </c>
      <c r="G380" t="s">
        <v>1759</v>
      </c>
      <c r="H380" t="s">
        <v>2279</v>
      </c>
      <c r="I380" t="s">
        <v>2279</v>
      </c>
      <c r="J380" t="s">
        <v>2279</v>
      </c>
      <c r="K380" t="s">
        <v>2279</v>
      </c>
      <c r="L380" t="s">
        <v>1419</v>
      </c>
      <c r="M380" t="s">
        <v>2279</v>
      </c>
      <c r="N380" t="s">
        <v>2279</v>
      </c>
      <c r="O380" s="190" t="str">
        <f>"["&amp;$C380&amp;"]["&amp;$D380&amp;"]["&amp;$F380&amp;"]"</f>
        <v>[S05_InstallationDifferentSamplingFrequency][5][SamplingPlanDocumented]</v>
      </c>
    </row>
    <row r="381" spans="1:15" x14ac:dyDescent="0.3">
      <c r="A381" t="s">
        <v>2277</v>
      </c>
      <c r="B381" t="s">
        <v>1859</v>
      </c>
      <c r="C381" t="s">
        <v>1860</v>
      </c>
      <c r="D381">
        <v>6</v>
      </c>
      <c r="E381" t="s">
        <v>1447</v>
      </c>
      <c r="F381" t="s">
        <v>1864</v>
      </c>
      <c r="G381" t="s">
        <v>1759</v>
      </c>
      <c r="H381" t="s">
        <v>2279</v>
      </c>
      <c r="I381" t="s">
        <v>2279</v>
      </c>
      <c r="J381" t="s">
        <v>2279</v>
      </c>
      <c r="K381" t="s">
        <v>2279</v>
      </c>
      <c r="L381" t="s">
        <v>1419</v>
      </c>
      <c r="M381" t="s">
        <v>2279</v>
      </c>
      <c r="N381" t="s">
        <v>2279</v>
      </c>
      <c r="O381" s="190" t="str">
        <f>"["&amp;$C381&amp;"]["&amp;$D381&amp;"]["&amp;$F381&amp;"]"</f>
        <v>[S05_InstallationDifferentSamplingFrequency][6][SamplingPlanDocumented]</v>
      </c>
    </row>
    <row r="382" spans="1:15" x14ac:dyDescent="0.3">
      <c r="A382" t="s">
        <v>2277</v>
      </c>
      <c r="B382" t="s">
        <v>1859</v>
      </c>
      <c r="C382" t="s">
        <v>1860</v>
      </c>
      <c r="D382">
        <v>7</v>
      </c>
      <c r="E382" t="s">
        <v>1447</v>
      </c>
      <c r="F382" t="s">
        <v>1864</v>
      </c>
      <c r="G382" t="s">
        <v>1759</v>
      </c>
      <c r="H382" t="s">
        <v>2279</v>
      </c>
      <c r="I382" t="s">
        <v>2279</v>
      </c>
      <c r="J382" t="s">
        <v>2279</v>
      </c>
      <c r="K382" t="s">
        <v>2279</v>
      </c>
      <c r="L382" t="s">
        <v>1419</v>
      </c>
      <c r="M382" t="s">
        <v>2279</v>
      </c>
      <c r="N382" t="s">
        <v>2279</v>
      </c>
      <c r="O382" s="190" t="str">
        <f>"["&amp;$C382&amp;"]["&amp;$D382&amp;"]["&amp;$F382&amp;"]"</f>
        <v>[S05_InstallationDifferentSamplingFrequency][7][SamplingPlanDocumented]</v>
      </c>
    </row>
    <row r="383" spans="1:15" x14ac:dyDescent="0.3">
      <c r="A383" t="s">
        <v>2277</v>
      </c>
      <c r="B383" t="s">
        <v>1859</v>
      </c>
      <c r="C383" t="s">
        <v>1860</v>
      </c>
      <c r="D383">
        <v>8</v>
      </c>
      <c r="E383" t="s">
        <v>1447</v>
      </c>
      <c r="F383" t="s">
        <v>1864</v>
      </c>
      <c r="G383" t="s">
        <v>1759</v>
      </c>
      <c r="H383" t="s">
        <v>2279</v>
      </c>
      <c r="I383" t="s">
        <v>2279</v>
      </c>
      <c r="J383" t="s">
        <v>2279</v>
      </c>
      <c r="K383" t="s">
        <v>2279</v>
      </c>
      <c r="L383" t="s">
        <v>1419</v>
      </c>
      <c r="M383" t="s">
        <v>2279</v>
      </c>
      <c r="N383" t="s">
        <v>2279</v>
      </c>
      <c r="O383" s="190" t="str">
        <f>"["&amp;$C383&amp;"]["&amp;$D383&amp;"]["&amp;$F383&amp;"]"</f>
        <v>[S05_InstallationDifferentSamplingFrequency][8][SamplingPlanDocumented]</v>
      </c>
    </row>
    <row r="384" spans="1:15" x14ac:dyDescent="0.3">
      <c r="A384" t="s">
        <v>2277</v>
      </c>
      <c r="B384" t="s">
        <v>1859</v>
      </c>
      <c r="C384" t="s">
        <v>1860</v>
      </c>
      <c r="D384">
        <v>9</v>
      </c>
      <c r="E384" t="s">
        <v>1447</v>
      </c>
      <c r="F384" t="s">
        <v>1864</v>
      </c>
      <c r="G384" t="s">
        <v>1759</v>
      </c>
      <c r="H384" t="s">
        <v>2279</v>
      </c>
      <c r="I384" t="s">
        <v>2279</v>
      </c>
      <c r="J384" t="s">
        <v>2279</v>
      </c>
      <c r="K384" t="s">
        <v>2279</v>
      </c>
      <c r="L384" t="s">
        <v>1419</v>
      </c>
      <c r="M384" t="s">
        <v>2279</v>
      </c>
      <c r="N384" t="s">
        <v>2279</v>
      </c>
      <c r="O384" s="190" t="str">
        <f>"["&amp;$C384&amp;"]["&amp;$D384&amp;"]["&amp;$F384&amp;"]"</f>
        <v>[S05_InstallationDifferentSamplingFrequency][9][SamplingPlanDocumented]</v>
      </c>
    </row>
    <row r="385" spans="1:15" x14ac:dyDescent="0.3">
      <c r="A385" t="s">
        <v>2277</v>
      </c>
      <c r="B385" t="s">
        <v>1859</v>
      </c>
      <c r="C385" t="s">
        <v>1860</v>
      </c>
      <c r="D385">
        <v>10</v>
      </c>
      <c r="E385" t="s">
        <v>1447</v>
      </c>
      <c r="F385" t="s">
        <v>1864</v>
      </c>
      <c r="G385" t="s">
        <v>1759</v>
      </c>
      <c r="H385" t="s">
        <v>2279</v>
      </c>
      <c r="I385" t="s">
        <v>2279</v>
      </c>
      <c r="J385" t="s">
        <v>2279</v>
      </c>
      <c r="K385" t="s">
        <v>2279</v>
      </c>
      <c r="L385" t="s">
        <v>1419</v>
      </c>
      <c r="M385" t="s">
        <v>2279</v>
      </c>
      <c r="N385" t="s">
        <v>2279</v>
      </c>
      <c r="O385" s="190" t="str">
        <f>"["&amp;$C385&amp;"]["&amp;$D385&amp;"]["&amp;$F385&amp;"]"</f>
        <v>[S05_InstallationDifferentSamplingFrequency][10][SamplingPlanDocumented]</v>
      </c>
    </row>
    <row r="386" spans="1:15" x14ac:dyDescent="0.3">
      <c r="A386" t="s">
        <v>2277</v>
      </c>
      <c r="B386" t="s">
        <v>1859</v>
      </c>
      <c r="C386" t="s">
        <v>1860</v>
      </c>
      <c r="D386">
        <v>11</v>
      </c>
      <c r="E386" t="s">
        <v>1447</v>
      </c>
      <c r="F386" t="s">
        <v>1864</v>
      </c>
      <c r="G386" t="s">
        <v>1759</v>
      </c>
      <c r="H386" t="s">
        <v>2279</v>
      </c>
      <c r="I386" t="s">
        <v>2279</v>
      </c>
      <c r="J386" t="s">
        <v>2279</v>
      </c>
      <c r="K386" t="s">
        <v>2279</v>
      </c>
      <c r="L386" t="s">
        <v>1419</v>
      </c>
      <c r="M386" t="s">
        <v>2279</v>
      </c>
      <c r="N386" t="s">
        <v>2279</v>
      </c>
      <c r="O386" s="190" t="str">
        <f>"["&amp;$C386&amp;"]["&amp;$D386&amp;"]["&amp;$F386&amp;"]"</f>
        <v>[S05_InstallationDifferentSamplingFrequency][11][SamplingPlanDocumented]</v>
      </c>
    </row>
    <row r="387" spans="1:15" x14ac:dyDescent="0.3">
      <c r="A387" t="s">
        <v>2277</v>
      </c>
      <c r="B387" t="s">
        <v>1859</v>
      </c>
      <c r="C387" t="s">
        <v>1860</v>
      </c>
      <c r="D387">
        <v>12</v>
      </c>
      <c r="E387" t="s">
        <v>1447</v>
      </c>
      <c r="F387" t="s">
        <v>1864</v>
      </c>
      <c r="G387" t="s">
        <v>1759</v>
      </c>
      <c r="H387" t="s">
        <v>2279</v>
      </c>
      <c r="I387" t="s">
        <v>2279</v>
      </c>
      <c r="J387" t="s">
        <v>2279</v>
      </c>
      <c r="K387" t="s">
        <v>2279</v>
      </c>
      <c r="L387" t="s">
        <v>1419</v>
      </c>
      <c r="M387" t="s">
        <v>2279</v>
      </c>
      <c r="N387" t="s">
        <v>2279</v>
      </c>
      <c r="O387" s="190" t="str">
        <f>"["&amp;$C387&amp;"]["&amp;$D387&amp;"]["&amp;$F387&amp;"]"</f>
        <v>[S05_InstallationDifferentSamplingFrequency][12][SamplingPlanDocumented]</v>
      </c>
    </row>
    <row r="388" spans="1:15" x14ac:dyDescent="0.3">
      <c r="A388" t="s">
        <v>2277</v>
      </c>
      <c r="B388" t="s">
        <v>1859</v>
      </c>
      <c r="C388" t="s">
        <v>1860</v>
      </c>
      <c r="D388">
        <v>13</v>
      </c>
      <c r="E388" t="s">
        <v>1447</v>
      </c>
      <c r="F388" t="s">
        <v>1864</v>
      </c>
      <c r="G388" t="s">
        <v>1759</v>
      </c>
      <c r="H388" t="s">
        <v>2279</v>
      </c>
      <c r="I388" t="s">
        <v>2279</v>
      </c>
      <c r="J388" t="s">
        <v>2279</v>
      </c>
      <c r="K388" t="s">
        <v>2279</v>
      </c>
      <c r="L388" t="s">
        <v>1419</v>
      </c>
      <c r="M388" t="s">
        <v>2279</v>
      </c>
      <c r="N388" t="s">
        <v>2279</v>
      </c>
      <c r="O388" s="190" t="str">
        <f>"["&amp;$C388&amp;"]["&amp;$D388&amp;"]["&amp;$F388&amp;"]"</f>
        <v>[S05_InstallationDifferentSamplingFrequency][13][SamplingPlanDocumented]</v>
      </c>
    </row>
    <row r="389" spans="1:15" x14ac:dyDescent="0.3">
      <c r="A389" t="s">
        <v>2277</v>
      </c>
      <c r="B389" t="s">
        <v>1859</v>
      </c>
      <c r="C389" t="s">
        <v>1860</v>
      </c>
      <c r="D389">
        <v>14</v>
      </c>
      <c r="E389" t="s">
        <v>1447</v>
      </c>
      <c r="F389" t="s">
        <v>1864</v>
      </c>
      <c r="G389" t="s">
        <v>1759</v>
      </c>
      <c r="H389" t="s">
        <v>2279</v>
      </c>
      <c r="I389" t="s">
        <v>2279</v>
      </c>
      <c r="J389" t="s">
        <v>2279</v>
      </c>
      <c r="K389" t="s">
        <v>2279</v>
      </c>
      <c r="L389" t="s">
        <v>1419</v>
      </c>
      <c r="M389" t="s">
        <v>2279</v>
      </c>
      <c r="N389" t="s">
        <v>2279</v>
      </c>
      <c r="O389" s="190" t="str">
        <f>"["&amp;$C389&amp;"]["&amp;$D389&amp;"]["&amp;$F389&amp;"]"</f>
        <v>[S05_InstallationDifferentSamplingFrequency][14][SamplingPlanDocumented]</v>
      </c>
    </row>
    <row r="390" spans="1:15" x14ac:dyDescent="0.3">
      <c r="A390" t="s">
        <v>2277</v>
      </c>
      <c r="B390" t="s">
        <v>1859</v>
      </c>
      <c r="C390" t="s">
        <v>1860</v>
      </c>
      <c r="D390">
        <v>15</v>
      </c>
      <c r="E390" t="s">
        <v>1447</v>
      </c>
      <c r="F390" t="s">
        <v>1864</v>
      </c>
      <c r="G390" t="s">
        <v>1759</v>
      </c>
      <c r="H390" t="s">
        <v>2279</v>
      </c>
      <c r="I390" t="s">
        <v>2279</v>
      </c>
      <c r="J390" t="s">
        <v>2279</v>
      </c>
      <c r="K390" t="s">
        <v>2279</v>
      </c>
      <c r="L390" t="s">
        <v>1419</v>
      </c>
      <c r="M390" t="s">
        <v>2279</v>
      </c>
      <c r="N390" t="s">
        <v>2279</v>
      </c>
      <c r="O390" s="190" t="str">
        <f>"["&amp;$C390&amp;"]["&amp;$D390&amp;"]["&amp;$F390&amp;"]"</f>
        <v>[S05_InstallationDifferentSamplingFrequency][15][SamplingPlanDocumented]</v>
      </c>
    </row>
    <row r="391" spans="1:15" x14ac:dyDescent="0.3">
      <c r="A391" t="s">
        <v>2277</v>
      </c>
      <c r="B391" t="s">
        <v>1859</v>
      </c>
      <c r="C391" t="s">
        <v>1860</v>
      </c>
      <c r="D391">
        <v>16</v>
      </c>
      <c r="E391" t="s">
        <v>1447</v>
      </c>
      <c r="F391" t="s">
        <v>1864</v>
      </c>
      <c r="G391" t="s">
        <v>1759</v>
      </c>
      <c r="H391" t="s">
        <v>2279</v>
      </c>
      <c r="I391" t="s">
        <v>2279</v>
      </c>
      <c r="J391" t="s">
        <v>2279</v>
      </c>
      <c r="K391" t="s">
        <v>2279</v>
      </c>
      <c r="L391" t="s">
        <v>1419</v>
      </c>
      <c r="M391" t="s">
        <v>2279</v>
      </c>
      <c r="N391" t="s">
        <v>2279</v>
      </c>
      <c r="O391" s="190" t="str">
        <f>"["&amp;$C391&amp;"]["&amp;$D391&amp;"]["&amp;$F391&amp;"]"</f>
        <v>[S05_InstallationDifferentSamplingFrequency][16][SamplingPlanDocumented]</v>
      </c>
    </row>
    <row r="392" spans="1:15" x14ac:dyDescent="0.3">
      <c r="A392" t="s">
        <v>2277</v>
      </c>
      <c r="B392" t="s">
        <v>1859</v>
      </c>
      <c r="C392" t="s">
        <v>1860</v>
      </c>
      <c r="D392">
        <v>17</v>
      </c>
      <c r="E392" t="s">
        <v>1447</v>
      </c>
      <c r="F392" t="s">
        <v>1864</v>
      </c>
      <c r="G392" t="s">
        <v>1759</v>
      </c>
      <c r="H392" t="s">
        <v>2279</v>
      </c>
      <c r="I392" t="s">
        <v>2279</v>
      </c>
      <c r="J392" t="s">
        <v>2279</v>
      </c>
      <c r="K392" t="s">
        <v>2279</v>
      </c>
      <c r="L392" t="s">
        <v>1419</v>
      </c>
      <c r="M392" t="s">
        <v>2279</v>
      </c>
      <c r="N392" t="s">
        <v>2279</v>
      </c>
      <c r="O392" s="190" t="str">
        <f>"["&amp;$C392&amp;"]["&amp;$D392&amp;"]["&amp;$F392&amp;"]"</f>
        <v>[S05_InstallationDifferentSamplingFrequency][17][SamplingPlanDocumented]</v>
      </c>
    </row>
    <row r="393" spans="1:15" x14ac:dyDescent="0.3">
      <c r="A393" t="s">
        <v>2277</v>
      </c>
      <c r="B393" t="s">
        <v>1866</v>
      </c>
      <c r="C393" t="s">
        <v>1867</v>
      </c>
      <c r="D393">
        <v>1</v>
      </c>
      <c r="E393" t="s">
        <v>1447</v>
      </c>
      <c r="F393" t="s">
        <v>1868</v>
      </c>
      <c r="G393" t="s">
        <v>1741</v>
      </c>
      <c r="H393" t="s">
        <v>2362</v>
      </c>
      <c r="I393" t="s">
        <v>2279</v>
      </c>
      <c r="J393" t="s">
        <v>2279</v>
      </c>
      <c r="K393" t="s">
        <v>2279</v>
      </c>
      <c r="L393" t="s">
        <v>2279</v>
      </c>
      <c r="M393" t="s">
        <v>2279</v>
      </c>
      <c r="N393" t="s">
        <v>2279</v>
      </c>
      <c r="O393" s="190" t="str">
        <f>"["&amp;$C393&amp;"]["&amp;$D393&amp;"]["&amp;$F393&amp;"]"</f>
        <v>[S05_CategoryCHighestTierNotApplied][1][InstallationID]</v>
      </c>
    </row>
    <row r="394" spans="1:15" x14ac:dyDescent="0.3">
      <c r="A394" t="s">
        <v>2277</v>
      </c>
      <c r="B394" t="s">
        <v>1866</v>
      </c>
      <c r="C394" t="s">
        <v>1867</v>
      </c>
      <c r="D394">
        <v>2</v>
      </c>
      <c r="E394" t="s">
        <v>1447</v>
      </c>
      <c r="F394" t="s">
        <v>1868</v>
      </c>
      <c r="G394" t="s">
        <v>1741</v>
      </c>
      <c r="H394" t="s">
        <v>2363</v>
      </c>
      <c r="I394" t="s">
        <v>2279</v>
      </c>
      <c r="J394" t="s">
        <v>2279</v>
      </c>
      <c r="K394" t="s">
        <v>2279</v>
      </c>
      <c r="L394" t="s">
        <v>2279</v>
      </c>
      <c r="M394" t="s">
        <v>2279</v>
      </c>
      <c r="N394" t="s">
        <v>2279</v>
      </c>
      <c r="O394" s="190" t="str">
        <f>"["&amp;$C394&amp;"]["&amp;$D394&amp;"]["&amp;$F394&amp;"]"</f>
        <v>[S05_CategoryCHighestTierNotApplied][2][InstallationID]</v>
      </c>
    </row>
    <row r="395" spans="1:15" x14ac:dyDescent="0.3">
      <c r="A395" t="s">
        <v>2277</v>
      </c>
      <c r="B395" t="s">
        <v>1866</v>
      </c>
      <c r="C395" t="s">
        <v>1867</v>
      </c>
      <c r="D395">
        <v>3</v>
      </c>
      <c r="E395" t="s">
        <v>1447</v>
      </c>
      <c r="F395" t="s">
        <v>1868</v>
      </c>
      <c r="G395" t="s">
        <v>1741</v>
      </c>
      <c r="H395" t="s">
        <v>2363</v>
      </c>
      <c r="I395" t="s">
        <v>2279</v>
      </c>
      <c r="J395" t="s">
        <v>2279</v>
      </c>
      <c r="K395" t="s">
        <v>2279</v>
      </c>
      <c r="L395" t="s">
        <v>2279</v>
      </c>
      <c r="M395" t="s">
        <v>2279</v>
      </c>
      <c r="N395" t="s">
        <v>2279</v>
      </c>
      <c r="O395" s="190" t="str">
        <f>"["&amp;$C395&amp;"]["&amp;$D395&amp;"]["&amp;$F395&amp;"]"</f>
        <v>[S05_CategoryCHighestTierNotApplied][3][InstallationID]</v>
      </c>
    </row>
    <row r="396" spans="1:15" x14ac:dyDescent="0.3">
      <c r="A396" t="s">
        <v>2277</v>
      </c>
      <c r="B396" t="s">
        <v>1866</v>
      </c>
      <c r="C396" t="s">
        <v>1867</v>
      </c>
      <c r="D396">
        <v>4</v>
      </c>
      <c r="E396" t="s">
        <v>1447</v>
      </c>
      <c r="F396" t="s">
        <v>1868</v>
      </c>
      <c r="G396" t="s">
        <v>1741</v>
      </c>
      <c r="H396" t="s">
        <v>2364</v>
      </c>
      <c r="I396" t="s">
        <v>2279</v>
      </c>
      <c r="J396" t="s">
        <v>2279</v>
      </c>
      <c r="K396" t="s">
        <v>2279</v>
      </c>
      <c r="L396" t="s">
        <v>2279</v>
      </c>
      <c r="M396" t="s">
        <v>2279</v>
      </c>
      <c r="N396" t="s">
        <v>2279</v>
      </c>
      <c r="O396" s="190" t="str">
        <f>"["&amp;$C396&amp;"]["&amp;$D396&amp;"]["&amp;$F396&amp;"]"</f>
        <v>[S05_CategoryCHighestTierNotApplied][4][InstallationID]</v>
      </c>
    </row>
    <row r="397" spans="1:15" x14ac:dyDescent="0.3">
      <c r="A397" t="s">
        <v>2277</v>
      </c>
      <c r="B397" t="s">
        <v>1866</v>
      </c>
      <c r="C397" t="s">
        <v>1867</v>
      </c>
      <c r="D397">
        <v>5</v>
      </c>
      <c r="E397" t="s">
        <v>1447</v>
      </c>
      <c r="F397" t="s">
        <v>1868</v>
      </c>
      <c r="G397" t="s">
        <v>1741</v>
      </c>
      <c r="H397" t="s">
        <v>2364</v>
      </c>
      <c r="I397" t="s">
        <v>2279</v>
      </c>
      <c r="J397" t="s">
        <v>2279</v>
      </c>
      <c r="K397" t="s">
        <v>2279</v>
      </c>
      <c r="L397" t="s">
        <v>2279</v>
      </c>
      <c r="M397" t="s">
        <v>2279</v>
      </c>
      <c r="N397" t="s">
        <v>2279</v>
      </c>
      <c r="O397" s="190" t="str">
        <f>"["&amp;$C397&amp;"]["&amp;$D397&amp;"]["&amp;$F397&amp;"]"</f>
        <v>[S05_CategoryCHighestTierNotApplied][5][InstallationID]</v>
      </c>
    </row>
    <row r="398" spans="1:15" x14ac:dyDescent="0.3">
      <c r="A398" t="s">
        <v>2277</v>
      </c>
      <c r="B398" t="s">
        <v>1866</v>
      </c>
      <c r="C398" t="s">
        <v>1867</v>
      </c>
      <c r="D398">
        <v>6</v>
      </c>
      <c r="E398" t="s">
        <v>1447</v>
      </c>
      <c r="F398" t="s">
        <v>1868</v>
      </c>
      <c r="G398" t="s">
        <v>1741</v>
      </c>
      <c r="H398" t="s">
        <v>2364</v>
      </c>
      <c r="I398" t="s">
        <v>2279</v>
      </c>
      <c r="J398" t="s">
        <v>2279</v>
      </c>
      <c r="K398" t="s">
        <v>2279</v>
      </c>
      <c r="L398" t="s">
        <v>2279</v>
      </c>
      <c r="M398" t="s">
        <v>2279</v>
      </c>
      <c r="N398" t="s">
        <v>2279</v>
      </c>
      <c r="O398" s="190" t="str">
        <f>"["&amp;$C398&amp;"]["&amp;$D398&amp;"]["&amp;$F398&amp;"]"</f>
        <v>[S05_CategoryCHighestTierNotApplied][6][InstallationID]</v>
      </c>
    </row>
    <row r="399" spans="1:15" x14ac:dyDescent="0.3">
      <c r="A399" t="s">
        <v>2277</v>
      </c>
      <c r="B399" t="s">
        <v>1866</v>
      </c>
      <c r="C399" t="s">
        <v>1867</v>
      </c>
      <c r="D399">
        <v>7</v>
      </c>
      <c r="E399" t="s">
        <v>1447</v>
      </c>
      <c r="F399" t="s">
        <v>1868</v>
      </c>
      <c r="G399" t="s">
        <v>1741</v>
      </c>
      <c r="H399" t="s">
        <v>2365</v>
      </c>
      <c r="I399" t="s">
        <v>2279</v>
      </c>
      <c r="J399" t="s">
        <v>2279</v>
      </c>
      <c r="K399" t="s">
        <v>2279</v>
      </c>
      <c r="L399" t="s">
        <v>2279</v>
      </c>
      <c r="M399" t="s">
        <v>2279</v>
      </c>
      <c r="N399" t="s">
        <v>2279</v>
      </c>
      <c r="O399" s="190" t="str">
        <f>"["&amp;$C399&amp;"]["&amp;$D399&amp;"]["&amp;$F399&amp;"]"</f>
        <v>[S05_CategoryCHighestTierNotApplied][7][InstallationID]</v>
      </c>
    </row>
    <row r="400" spans="1:15" x14ac:dyDescent="0.3">
      <c r="A400" t="s">
        <v>2277</v>
      </c>
      <c r="B400" t="s">
        <v>1866</v>
      </c>
      <c r="C400" t="s">
        <v>1867</v>
      </c>
      <c r="D400">
        <v>8</v>
      </c>
      <c r="E400" t="s">
        <v>1447</v>
      </c>
      <c r="F400" t="s">
        <v>1868</v>
      </c>
      <c r="G400" t="s">
        <v>1741</v>
      </c>
      <c r="H400" t="s">
        <v>2365</v>
      </c>
      <c r="I400" t="s">
        <v>2279</v>
      </c>
      <c r="J400" t="s">
        <v>2279</v>
      </c>
      <c r="K400" t="s">
        <v>2279</v>
      </c>
      <c r="L400" t="s">
        <v>2279</v>
      </c>
      <c r="M400" t="s">
        <v>2279</v>
      </c>
      <c r="N400" t="s">
        <v>2279</v>
      </c>
      <c r="O400" s="190" t="str">
        <f>"["&amp;$C400&amp;"]["&amp;$D400&amp;"]["&amp;$F400&amp;"]"</f>
        <v>[S05_CategoryCHighestTierNotApplied][8][InstallationID]</v>
      </c>
    </row>
    <row r="401" spans="1:15" x14ac:dyDescent="0.3">
      <c r="A401" t="s">
        <v>2277</v>
      </c>
      <c r="B401" t="s">
        <v>1866</v>
      </c>
      <c r="C401" t="s">
        <v>1867</v>
      </c>
      <c r="D401">
        <v>9</v>
      </c>
      <c r="E401" t="s">
        <v>1447</v>
      </c>
      <c r="F401" t="s">
        <v>1868</v>
      </c>
      <c r="G401" t="s">
        <v>1741</v>
      </c>
      <c r="H401" t="s">
        <v>2366</v>
      </c>
      <c r="I401" t="s">
        <v>2279</v>
      </c>
      <c r="J401" t="s">
        <v>2279</v>
      </c>
      <c r="K401" t="s">
        <v>2279</v>
      </c>
      <c r="L401" t="s">
        <v>2279</v>
      </c>
      <c r="M401" t="s">
        <v>2279</v>
      </c>
      <c r="N401" t="s">
        <v>2279</v>
      </c>
      <c r="O401" s="190" t="str">
        <f>"["&amp;$C401&amp;"]["&amp;$D401&amp;"]["&amp;$F401&amp;"]"</f>
        <v>[S05_CategoryCHighestTierNotApplied][9][InstallationID]</v>
      </c>
    </row>
    <row r="402" spans="1:15" x14ac:dyDescent="0.3">
      <c r="A402" t="s">
        <v>2277</v>
      </c>
      <c r="B402" t="s">
        <v>1866</v>
      </c>
      <c r="C402" t="s">
        <v>1867</v>
      </c>
      <c r="D402">
        <v>10</v>
      </c>
      <c r="E402" t="s">
        <v>1447</v>
      </c>
      <c r="F402" t="s">
        <v>1868</v>
      </c>
      <c r="G402" t="s">
        <v>1741</v>
      </c>
      <c r="H402" t="s">
        <v>2367</v>
      </c>
      <c r="I402" t="s">
        <v>2279</v>
      </c>
      <c r="J402" t="s">
        <v>2279</v>
      </c>
      <c r="K402" t="s">
        <v>2279</v>
      </c>
      <c r="L402" t="s">
        <v>2279</v>
      </c>
      <c r="M402" t="s">
        <v>2279</v>
      </c>
      <c r="N402" t="s">
        <v>2279</v>
      </c>
      <c r="O402" s="190" t="str">
        <f>"["&amp;$C402&amp;"]["&amp;$D402&amp;"]["&amp;$F402&amp;"]"</f>
        <v>[S05_CategoryCHighestTierNotApplied][10][InstallationID]</v>
      </c>
    </row>
    <row r="403" spans="1:15" x14ac:dyDescent="0.3">
      <c r="A403" t="s">
        <v>2277</v>
      </c>
      <c r="B403" t="s">
        <v>1866</v>
      </c>
      <c r="C403" t="s">
        <v>1867</v>
      </c>
      <c r="D403">
        <v>11</v>
      </c>
      <c r="E403" t="s">
        <v>1447</v>
      </c>
      <c r="F403" t="s">
        <v>1868</v>
      </c>
      <c r="G403" t="s">
        <v>1741</v>
      </c>
      <c r="H403" t="s">
        <v>2368</v>
      </c>
      <c r="I403" t="s">
        <v>2279</v>
      </c>
      <c r="J403" t="s">
        <v>2279</v>
      </c>
      <c r="K403" t="s">
        <v>2279</v>
      </c>
      <c r="L403" t="s">
        <v>2279</v>
      </c>
      <c r="M403" t="s">
        <v>2279</v>
      </c>
      <c r="N403" t="s">
        <v>2279</v>
      </c>
      <c r="O403" s="190" t="str">
        <f>"["&amp;$C403&amp;"]["&amp;$D403&amp;"]["&amp;$F403&amp;"]"</f>
        <v>[S05_CategoryCHighestTierNotApplied][11][InstallationID]</v>
      </c>
    </row>
    <row r="404" spans="1:15" x14ac:dyDescent="0.3">
      <c r="A404" t="s">
        <v>2277</v>
      </c>
      <c r="B404" t="s">
        <v>1866</v>
      </c>
      <c r="C404" t="s">
        <v>1867</v>
      </c>
      <c r="D404">
        <v>12</v>
      </c>
      <c r="E404" t="s">
        <v>1447</v>
      </c>
      <c r="F404" t="s">
        <v>1868</v>
      </c>
      <c r="G404" t="s">
        <v>1741</v>
      </c>
      <c r="H404" t="s">
        <v>2369</v>
      </c>
      <c r="I404" t="s">
        <v>2279</v>
      </c>
      <c r="J404" t="s">
        <v>2279</v>
      </c>
      <c r="K404" t="s">
        <v>2279</v>
      </c>
      <c r="L404" t="s">
        <v>2279</v>
      </c>
      <c r="M404" t="s">
        <v>2279</v>
      </c>
      <c r="N404" t="s">
        <v>2279</v>
      </c>
      <c r="O404" s="190" t="str">
        <f>"["&amp;$C404&amp;"]["&amp;$D404&amp;"]["&amp;$F404&amp;"]"</f>
        <v>[S05_CategoryCHighestTierNotApplied][12][InstallationID]</v>
      </c>
    </row>
    <row r="405" spans="1:15" x14ac:dyDescent="0.3">
      <c r="A405" t="s">
        <v>2277</v>
      </c>
      <c r="B405" t="s">
        <v>1866</v>
      </c>
      <c r="C405" t="s">
        <v>1867</v>
      </c>
      <c r="D405">
        <v>13</v>
      </c>
      <c r="E405" t="s">
        <v>1447</v>
      </c>
      <c r="F405" t="s">
        <v>1868</v>
      </c>
      <c r="G405" t="s">
        <v>1741</v>
      </c>
      <c r="H405" t="s">
        <v>2369</v>
      </c>
      <c r="I405" t="s">
        <v>2279</v>
      </c>
      <c r="J405" t="s">
        <v>2279</v>
      </c>
      <c r="K405" t="s">
        <v>2279</v>
      </c>
      <c r="L405" t="s">
        <v>2279</v>
      </c>
      <c r="M405" t="s">
        <v>2279</v>
      </c>
      <c r="N405" t="s">
        <v>2279</v>
      </c>
      <c r="O405" s="190" t="str">
        <f>"["&amp;$C405&amp;"]["&amp;$D405&amp;"]["&amp;$F405&amp;"]"</f>
        <v>[S05_CategoryCHighestTierNotApplied][13][InstallationID]</v>
      </c>
    </row>
    <row r="406" spans="1:15" x14ac:dyDescent="0.3">
      <c r="A406" t="s">
        <v>2277</v>
      </c>
      <c r="B406" t="s">
        <v>1866</v>
      </c>
      <c r="C406" t="s">
        <v>1867</v>
      </c>
      <c r="D406">
        <v>14</v>
      </c>
      <c r="E406" t="s">
        <v>1447</v>
      </c>
      <c r="F406" t="s">
        <v>1868</v>
      </c>
      <c r="G406" t="s">
        <v>1741</v>
      </c>
      <c r="H406" t="s">
        <v>2369</v>
      </c>
      <c r="I406" t="s">
        <v>2279</v>
      </c>
      <c r="J406" t="s">
        <v>2279</v>
      </c>
      <c r="K406" t="s">
        <v>2279</v>
      </c>
      <c r="L406" t="s">
        <v>2279</v>
      </c>
      <c r="M406" t="s">
        <v>2279</v>
      </c>
      <c r="N406" t="s">
        <v>2279</v>
      </c>
      <c r="O406" s="190" t="str">
        <f>"["&amp;$C406&amp;"]["&amp;$D406&amp;"]["&amp;$F406&amp;"]"</f>
        <v>[S05_CategoryCHighestTierNotApplied][14][InstallationID]</v>
      </c>
    </row>
    <row r="407" spans="1:15" x14ac:dyDescent="0.3">
      <c r="A407" t="s">
        <v>2277</v>
      </c>
      <c r="B407" t="s">
        <v>1866</v>
      </c>
      <c r="C407" t="s">
        <v>1867</v>
      </c>
      <c r="D407">
        <v>1</v>
      </c>
      <c r="E407" t="s">
        <v>1447</v>
      </c>
      <c r="F407" t="s">
        <v>1869</v>
      </c>
      <c r="G407" t="s">
        <v>1741</v>
      </c>
      <c r="H407" t="s">
        <v>2370</v>
      </c>
      <c r="I407" t="s">
        <v>2279</v>
      </c>
      <c r="J407" t="s">
        <v>2279</v>
      </c>
      <c r="K407" t="s">
        <v>2279</v>
      </c>
      <c r="L407" t="s">
        <v>2279</v>
      </c>
      <c r="M407" t="s">
        <v>2279</v>
      </c>
      <c r="N407" t="s">
        <v>2279</v>
      </c>
      <c r="O407" s="190" t="str">
        <f>"["&amp;$C407&amp;"]["&amp;$D407&amp;"]["&amp;$F407&amp;"]"</f>
        <v>[S05_CategoryCHighestTierNotApplied][1][SourceStreamAffected]</v>
      </c>
    </row>
    <row r="408" spans="1:15" x14ac:dyDescent="0.3">
      <c r="A408" t="s">
        <v>2277</v>
      </c>
      <c r="B408" t="s">
        <v>1866</v>
      </c>
      <c r="C408" t="s">
        <v>1867</v>
      </c>
      <c r="D408">
        <v>2</v>
      </c>
      <c r="E408" t="s">
        <v>1447</v>
      </c>
      <c r="F408" t="s">
        <v>1869</v>
      </c>
      <c r="G408" t="s">
        <v>1741</v>
      </c>
      <c r="H408" t="s">
        <v>2371</v>
      </c>
      <c r="I408" t="s">
        <v>2279</v>
      </c>
      <c r="J408" t="s">
        <v>2279</v>
      </c>
      <c r="K408" t="s">
        <v>2279</v>
      </c>
      <c r="L408" t="s">
        <v>2279</v>
      </c>
      <c r="M408" t="s">
        <v>2279</v>
      </c>
      <c r="N408" t="s">
        <v>2279</v>
      </c>
      <c r="O408" s="190" t="str">
        <f>"["&amp;$C408&amp;"]["&amp;$D408&amp;"]["&amp;$F408&amp;"]"</f>
        <v>[S05_CategoryCHighestTierNotApplied][2][SourceStreamAffected]</v>
      </c>
    </row>
    <row r="409" spans="1:15" x14ac:dyDescent="0.3">
      <c r="A409" t="s">
        <v>2277</v>
      </c>
      <c r="B409" t="s">
        <v>1866</v>
      </c>
      <c r="C409" t="s">
        <v>1867</v>
      </c>
      <c r="D409">
        <v>3</v>
      </c>
      <c r="E409" t="s">
        <v>1447</v>
      </c>
      <c r="F409" t="s">
        <v>1869</v>
      </c>
      <c r="G409" t="s">
        <v>1741</v>
      </c>
      <c r="H409" t="s">
        <v>2371</v>
      </c>
      <c r="I409" t="s">
        <v>2279</v>
      </c>
      <c r="J409" t="s">
        <v>2279</v>
      </c>
      <c r="K409" t="s">
        <v>2279</v>
      </c>
      <c r="L409" t="s">
        <v>2279</v>
      </c>
      <c r="M409" t="s">
        <v>2279</v>
      </c>
      <c r="N409" t="s">
        <v>2279</v>
      </c>
      <c r="O409" s="190" t="str">
        <f>"["&amp;$C409&amp;"]["&amp;$D409&amp;"]["&amp;$F409&amp;"]"</f>
        <v>[S05_CategoryCHighestTierNotApplied][3][SourceStreamAffected]</v>
      </c>
    </row>
    <row r="410" spans="1:15" x14ac:dyDescent="0.3">
      <c r="A410" t="s">
        <v>2277</v>
      </c>
      <c r="B410" t="s">
        <v>1866</v>
      </c>
      <c r="C410" t="s">
        <v>1867</v>
      </c>
      <c r="D410">
        <v>4</v>
      </c>
      <c r="E410" t="s">
        <v>1447</v>
      </c>
      <c r="F410" t="s">
        <v>1869</v>
      </c>
      <c r="G410" t="s">
        <v>1741</v>
      </c>
      <c r="H410" t="s">
        <v>2372</v>
      </c>
      <c r="I410" t="s">
        <v>2279</v>
      </c>
      <c r="J410" t="s">
        <v>2279</v>
      </c>
      <c r="K410" t="s">
        <v>2279</v>
      </c>
      <c r="L410" t="s">
        <v>2279</v>
      </c>
      <c r="M410" t="s">
        <v>2279</v>
      </c>
      <c r="N410" t="s">
        <v>2279</v>
      </c>
      <c r="O410" s="190" t="str">
        <f>"["&amp;$C410&amp;"]["&amp;$D410&amp;"]["&amp;$F410&amp;"]"</f>
        <v>[S05_CategoryCHighestTierNotApplied][4][SourceStreamAffected]</v>
      </c>
    </row>
    <row r="411" spans="1:15" x14ac:dyDescent="0.3">
      <c r="A411" t="s">
        <v>2277</v>
      </c>
      <c r="B411" t="s">
        <v>1866</v>
      </c>
      <c r="C411" t="s">
        <v>1867</v>
      </c>
      <c r="D411">
        <v>5</v>
      </c>
      <c r="E411" t="s">
        <v>1447</v>
      </c>
      <c r="F411" t="s">
        <v>1869</v>
      </c>
      <c r="G411" t="s">
        <v>1741</v>
      </c>
      <c r="H411" t="s">
        <v>2373</v>
      </c>
      <c r="I411" t="s">
        <v>2279</v>
      </c>
      <c r="J411" t="s">
        <v>2279</v>
      </c>
      <c r="K411" t="s">
        <v>2279</v>
      </c>
      <c r="L411" t="s">
        <v>2279</v>
      </c>
      <c r="M411" t="s">
        <v>2279</v>
      </c>
      <c r="N411" t="s">
        <v>2279</v>
      </c>
      <c r="O411" s="190" t="str">
        <f>"["&amp;$C411&amp;"]["&amp;$D411&amp;"]["&amp;$F411&amp;"]"</f>
        <v>[S05_CategoryCHighestTierNotApplied][5][SourceStreamAffected]</v>
      </c>
    </row>
    <row r="412" spans="1:15" x14ac:dyDescent="0.3">
      <c r="A412" t="s">
        <v>2277</v>
      </c>
      <c r="B412" t="s">
        <v>1866</v>
      </c>
      <c r="C412" t="s">
        <v>1867</v>
      </c>
      <c r="D412">
        <v>6</v>
      </c>
      <c r="E412" t="s">
        <v>1447</v>
      </c>
      <c r="F412" t="s">
        <v>1869</v>
      </c>
      <c r="G412" t="s">
        <v>1741</v>
      </c>
      <c r="H412" t="s">
        <v>2374</v>
      </c>
      <c r="I412" t="s">
        <v>2279</v>
      </c>
      <c r="J412" t="s">
        <v>2279</v>
      </c>
      <c r="K412" t="s">
        <v>2279</v>
      </c>
      <c r="L412" t="s">
        <v>2279</v>
      </c>
      <c r="M412" t="s">
        <v>2279</v>
      </c>
      <c r="N412" t="s">
        <v>2279</v>
      </c>
      <c r="O412" s="190" t="str">
        <f>"["&amp;$C412&amp;"]["&amp;$D412&amp;"]["&amp;$F412&amp;"]"</f>
        <v>[S05_CategoryCHighestTierNotApplied][6][SourceStreamAffected]</v>
      </c>
    </row>
    <row r="413" spans="1:15" x14ac:dyDescent="0.3">
      <c r="A413" t="s">
        <v>2277</v>
      </c>
      <c r="B413" t="s">
        <v>1866</v>
      </c>
      <c r="C413" t="s">
        <v>1867</v>
      </c>
      <c r="D413">
        <v>7</v>
      </c>
      <c r="E413" t="s">
        <v>1447</v>
      </c>
      <c r="F413" t="s">
        <v>1869</v>
      </c>
      <c r="G413" t="s">
        <v>1741</v>
      </c>
      <c r="H413" t="s">
        <v>2375</v>
      </c>
      <c r="I413" t="s">
        <v>2279</v>
      </c>
      <c r="J413" t="s">
        <v>2279</v>
      </c>
      <c r="K413" t="s">
        <v>2279</v>
      </c>
      <c r="L413" t="s">
        <v>2279</v>
      </c>
      <c r="M413" t="s">
        <v>2279</v>
      </c>
      <c r="N413" t="s">
        <v>2279</v>
      </c>
      <c r="O413" s="190" t="str">
        <f>"["&amp;$C413&amp;"]["&amp;$D413&amp;"]["&amp;$F413&amp;"]"</f>
        <v>[S05_CategoryCHighestTierNotApplied][7][SourceStreamAffected]</v>
      </c>
    </row>
    <row r="414" spans="1:15" x14ac:dyDescent="0.3">
      <c r="A414" t="s">
        <v>2277</v>
      </c>
      <c r="B414" t="s">
        <v>1866</v>
      </c>
      <c r="C414" t="s">
        <v>1867</v>
      </c>
      <c r="D414">
        <v>8</v>
      </c>
      <c r="E414" t="s">
        <v>1447</v>
      </c>
      <c r="F414" t="s">
        <v>1869</v>
      </c>
      <c r="G414" t="s">
        <v>1741</v>
      </c>
      <c r="H414" t="s">
        <v>2375</v>
      </c>
      <c r="I414" t="s">
        <v>2279</v>
      </c>
      <c r="J414" t="s">
        <v>2279</v>
      </c>
      <c r="K414" t="s">
        <v>2279</v>
      </c>
      <c r="L414" t="s">
        <v>2279</v>
      </c>
      <c r="M414" t="s">
        <v>2279</v>
      </c>
      <c r="N414" t="s">
        <v>2279</v>
      </c>
      <c r="O414" s="190" t="str">
        <f>"["&amp;$C414&amp;"]["&amp;$D414&amp;"]["&amp;$F414&amp;"]"</f>
        <v>[S05_CategoryCHighestTierNotApplied][8][SourceStreamAffected]</v>
      </c>
    </row>
    <row r="415" spans="1:15" x14ac:dyDescent="0.3">
      <c r="A415" t="s">
        <v>2277</v>
      </c>
      <c r="B415" t="s">
        <v>1866</v>
      </c>
      <c r="C415" t="s">
        <v>1867</v>
      </c>
      <c r="D415">
        <v>9</v>
      </c>
      <c r="E415" t="s">
        <v>1447</v>
      </c>
      <c r="F415" t="s">
        <v>1869</v>
      </c>
      <c r="G415" t="s">
        <v>1741</v>
      </c>
      <c r="H415" t="s">
        <v>2376</v>
      </c>
      <c r="I415" t="s">
        <v>2279</v>
      </c>
      <c r="J415" t="s">
        <v>2279</v>
      </c>
      <c r="K415" t="s">
        <v>2279</v>
      </c>
      <c r="L415" t="s">
        <v>2279</v>
      </c>
      <c r="M415" t="s">
        <v>2279</v>
      </c>
      <c r="N415" t="s">
        <v>2279</v>
      </c>
      <c r="O415" s="190" t="str">
        <f>"["&amp;$C415&amp;"]["&amp;$D415&amp;"]["&amp;$F415&amp;"]"</f>
        <v>[S05_CategoryCHighestTierNotApplied][9][SourceStreamAffected]</v>
      </c>
    </row>
    <row r="416" spans="1:15" x14ac:dyDescent="0.3">
      <c r="A416" t="s">
        <v>2277</v>
      </c>
      <c r="B416" t="s">
        <v>1866</v>
      </c>
      <c r="C416" t="s">
        <v>1867</v>
      </c>
      <c r="D416">
        <v>10</v>
      </c>
      <c r="E416" t="s">
        <v>1447</v>
      </c>
      <c r="F416" t="s">
        <v>1869</v>
      </c>
      <c r="G416" t="s">
        <v>1741</v>
      </c>
      <c r="H416" t="s">
        <v>2377</v>
      </c>
      <c r="I416" t="s">
        <v>2279</v>
      </c>
      <c r="J416" t="s">
        <v>2279</v>
      </c>
      <c r="K416" t="s">
        <v>2279</v>
      </c>
      <c r="L416" t="s">
        <v>2279</v>
      </c>
      <c r="M416" t="s">
        <v>2279</v>
      </c>
      <c r="N416" t="s">
        <v>2279</v>
      </c>
      <c r="O416" s="190" t="str">
        <f>"["&amp;$C416&amp;"]["&amp;$D416&amp;"]["&amp;$F416&amp;"]"</f>
        <v>[S05_CategoryCHighestTierNotApplied][10][SourceStreamAffected]</v>
      </c>
    </row>
    <row r="417" spans="1:15" x14ac:dyDescent="0.3">
      <c r="A417" t="s">
        <v>2277</v>
      </c>
      <c r="B417" t="s">
        <v>1866</v>
      </c>
      <c r="C417" t="s">
        <v>1867</v>
      </c>
      <c r="D417">
        <v>11</v>
      </c>
      <c r="E417" t="s">
        <v>1447</v>
      </c>
      <c r="F417" t="s">
        <v>1869</v>
      </c>
      <c r="G417" t="s">
        <v>1741</v>
      </c>
      <c r="H417" t="s">
        <v>2378</v>
      </c>
      <c r="I417" t="s">
        <v>2279</v>
      </c>
      <c r="J417" t="s">
        <v>2279</v>
      </c>
      <c r="K417" t="s">
        <v>2279</v>
      </c>
      <c r="L417" t="s">
        <v>2279</v>
      </c>
      <c r="M417" t="s">
        <v>2279</v>
      </c>
      <c r="N417" t="s">
        <v>2279</v>
      </c>
      <c r="O417" s="190" t="str">
        <f>"["&amp;$C417&amp;"]["&amp;$D417&amp;"]["&amp;$F417&amp;"]"</f>
        <v>[S05_CategoryCHighestTierNotApplied][11][SourceStreamAffected]</v>
      </c>
    </row>
    <row r="418" spans="1:15" x14ac:dyDescent="0.3">
      <c r="A418" t="s">
        <v>2277</v>
      </c>
      <c r="B418" t="s">
        <v>1866</v>
      </c>
      <c r="C418" t="s">
        <v>1867</v>
      </c>
      <c r="D418">
        <v>12</v>
      </c>
      <c r="E418" t="s">
        <v>1447</v>
      </c>
      <c r="F418" t="s">
        <v>1869</v>
      </c>
      <c r="G418" t="s">
        <v>1741</v>
      </c>
      <c r="H418" t="s">
        <v>2379</v>
      </c>
      <c r="I418" t="s">
        <v>2279</v>
      </c>
      <c r="J418" t="s">
        <v>2279</v>
      </c>
      <c r="K418" t="s">
        <v>2279</v>
      </c>
      <c r="L418" t="s">
        <v>2279</v>
      </c>
      <c r="M418" t="s">
        <v>2279</v>
      </c>
      <c r="N418" t="s">
        <v>2279</v>
      </c>
      <c r="O418" s="190" t="str">
        <f>"["&amp;$C418&amp;"]["&amp;$D418&amp;"]["&amp;$F418&amp;"]"</f>
        <v>[S05_CategoryCHighestTierNotApplied][12][SourceStreamAffected]</v>
      </c>
    </row>
    <row r="419" spans="1:15" x14ac:dyDescent="0.3">
      <c r="A419" t="s">
        <v>2277</v>
      </c>
      <c r="B419" t="s">
        <v>1866</v>
      </c>
      <c r="C419" t="s">
        <v>1867</v>
      </c>
      <c r="D419">
        <v>13</v>
      </c>
      <c r="E419" t="s">
        <v>1447</v>
      </c>
      <c r="F419" t="s">
        <v>1869</v>
      </c>
      <c r="G419" t="s">
        <v>1741</v>
      </c>
      <c r="H419" t="s">
        <v>2379</v>
      </c>
      <c r="I419" t="s">
        <v>2279</v>
      </c>
      <c r="J419" t="s">
        <v>2279</v>
      </c>
      <c r="K419" t="s">
        <v>2279</v>
      </c>
      <c r="L419" t="s">
        <v>2279</v>
      </c>
      <c r="M419" t="s">
        <v>2279</v>
      </c>
      <c r="N419" t="s">
        <v>2279</v>
      </c>
      <c r="O419" s="190" t="str">
        <f>"["&amp;$C419&amp;"]["&amp;$D419&amp;"]["&amp;$F419&amp;"]"</f>
        <v>[S05_CategoryCHighestTierNotApplied][13][SourceStreamAffected]</v>
      </c>
    </row>
    <row r="420" spans="1:15" x14ac:dyDescent="0.3">
      <c r="A420" t="s">
        <v>2277</v>
      </c>
      <c r="B420" t="s">
        <v>1866</v>
      </c>
      <c r="C420" t="s">
        <v>1867</v>
      </c>
      <c r="D420">
        <v>14</v>
      </c>
      <c r="E420" t="s">
        <v>1447</v>
      </c>
      <c r="F420" t="s">
        <v>1869</v>
      </c>
      <c r="G420" t="s">
        <v>1741</v>
      </c>
      <c r="H420" t="s">
        <v>2380</v>
      </c>
      <c r="I420" t="s">
        <v>2279</v>
      </c>
      <c r="J420" t="s">
        <v>2279</v>
      </c>
      <c r="K420" t="s">
        <v>2279</v>
      </c>
      <c r="L420" t="s">
        <v>2279</v>
      </c>
      <c r="M420" t="s">
        <v>2279</v>
      </c>
      <c r="N420" t="s">
        <v>2279</v>
      </c>
      <c r="O420" s="190" t="str">
        <f>"["&amp;$C420&amp;"]["&amp;$D420&amp;"]["&amp;$F420&amp;"]"</f>
        <v>[S05_CategoryCHighestTierNotApplied][14][SourceStreamAffected]</v>
      </c>
    </row>
    <row r="421" spans="1:15" x14ac:dyDescent="0.3">
      <c r="A421" t="s">
        <v>2277</v>
      </c>
      <c r="B421" t="s">
        <v>1866</v>
      </c>
      <c r="C421" t="s">
        <v>1867</v>
      </c>
      <c r="D421">
        <v>1</v>
      </c>
      <c r="E421" t="s">
        <v>1447</v>
      </c>
      <c r="F421" t="s">
        <v>1870</v>
      </c>
      <c r="G421" t="s">
        <v>1741</v>
      </c>
      <c r="H421" t="s">
        <v>2310</v>
      </c>
      <c r="I421" t="s">
        <v>2279</v>
      </c>
      <c r="J421" t="s">
        <v>2279</v>
      </c>
      <c r="K421" t="s">
        <v>2279</v>
      </c>
      <c r="L421" t="s">
        <v>2279</v>
      </c>
      <c r="M421" t="s">
        <v>2279</v>
      </c>
      <c r="N421" t="s">
        <v>2279</v>
      </c>
      <c r="O421" s="190" t="str">
        <f>"["&amp;$C421&amp;"]["&amp;$D421&amp;"]["&amp;$F421&amp;"]"</f>
        <v>[S05_CategoryCHighestTierNotApplied][1][EmissionSourceAffected]</v>
      </c>
    </row>
    <row r="422" spans="1:15" x14ac:dyDescent="0.3">
      <c r="A422" t="s">
        <v>2277</v>
      </c>
      <c r="B422" t="s">
        <v>1866</v>
      </c>
      <c r="C422" t="s">
        <v>1867</v>
      </c>
      <c r="D422">
        <v>2</v>
      </c>
      <c r="E422" t="s">
        <v>1447</v>
      </c>
      <c r="F422" t="s">
        <v>1870</v>
      </c>
      <c r="G422" t="s">
        <v>1741</v>
      </c>
      <c r="H422" t="s">
        <v>2310</v>
      </c>
      <c r="I422" t="s">
        <v>2279</v>
      </c>
      <c r="J422" t="s">
        <v>2279</v>
      </c>
      <c r="K422" t="s">
        <v>2279</v>
      </c>
      <c r="L422" t="s">
        <v>2279</v>
      </c>
      <c r="M422" t="s">
        <v>2279</v>
      </c>
      <c r="N422" t="s">
        <v>2279</v>
      </c>
      <c r="O422" s="190" t="str">
        <f>"["&amp;$C422&amp;"]["&amp;$D422&amp;"]["&amp;$F422&amp;"]"</f>
        <v>[S05_CategoryCHighestTierNotApplied][2][EmissionSourceAffected]</v>
      </c>
    </row>
    <row r="423" spans="1:15" x14ac:dyDescent="0.3">
      <c r="A423" t="s">
        <v>2277</v>
      </c>
      <c r="B423" t="s">
        <v>1866</v>
      </c>
      <c r="C423" t="s">
        <v>1867</v>
      </c>
      <c r="D423">
        <v>3</v>
      </c>
      <c r="E423" t="s">
        <v>1447</v>
      </c>
      <c r="F423" t="s">
        <v>1870</v>
      </c>
      <c r="G423" t="s">
        <v>1741</v>
      </c>
      <c r="H423" t="s">
        <v>2310</v>
      </c>
      <c r="I423" t="s">
        <v>2279</v>
      </c>
      <c r="J423" t="s">
        <v>2279</v>
      </c>
      <c r="K423" t="s">
        <v>2279</v>
      </c>
      <c r="L423" t="s">
        <v>2279</v>
      </c>
      <c r="M423" t="s">
        <v>2279</v>
      </c>
      <c r="N423" t="s">
        <v>2279</v>
      </c>
      <c r="O423" s="190" t="str">
        <f>"["&amp;$C423&amp;"]["&amp;$D423&amp;"]["&amp;$F423&amp;"]"</f>
        <v>[S05_CategoryCHighestTierNotApplied][3][EmissionSourceAffected]</v>
      </c>
    </row>
    <row r="424" spans="1:15" x14ac:dyDescent="0.3">
      <c r="A424" t="s">
        <v>2277</v>
      </c>
      <c r="B424" t="s">
        <v>1866</v>
      </c>
      <c r="C424" t="s">
        <v>1867</v>
      </c>
      <c r="D424">
        <v>4</v>
      </c>
      <c r="E424" t="s">
        <v>1447</v>
      </c>
      <c r="F424" t="s">
        <v>1870</v>
      </c>
      <c r="G424" t="s">
        <v>1741</v>
      </c>
      <c r="H424" t="s">
        <v>2310</v>
      </c>
      <c r="I424" t="s">
        <v>2279</v>
      </c>
      <c r="J424" t="s">
        <v>2279</v>
      </c>
      <c r="K424" t="s">
        <v>2279</v>
      </c>
      <c r="L424" t="s">
        <v>2279</v>
      </c>
      <c r="M424" t="s">
        <v>2279</v>
      </c>
      <c r="N424" t="s">
        <v>2279</v>
      </c>
      <c r="O424" s="190" t="str">
        <f>"["&amp;$C424&amp;"]["&amp;$D424&amp;"]["&amp;$F424&amp;"]"</f>
        <v>[S05_CategoryCHighestTierNotApplied][4][EmissionSourceAffected]</v>
      </c>
    </row>
    <row r="425" spans="1:15" x14ac:dyDescent="0.3">
      <c r="A425" t="s">
        <v>2277</v>
      </c>
      <c r="B425" t="s">
        <v>1866</v>
      </c>
      <c r="C425" t="s">
        <v>1867</v>
      </c>
      <c r="D425">
        <v>5</v>
      </c>
      <c r="E425" t="s">
        <v>1447</v>
      </c>
      <c r="F425" t="s">
        <v>1870</v>
      </c>
      <c r="G425" t="s">
        <v>1741</v>
      </c>
      <c r="H425" t="s">
        <v>2310</v>
      </c>
      <c r="I425" t="s">
        <v>2279</v>
      </c>
      <c r="J425" t="s">
        <v>2279</v>
      </c>
      <c r="K425" t="s">
        <v>2279</v>
      </c>
      <c r="L425" t="s">
        <v>2279</v>
      </c>
      <c r="M425" t="s">
        <v>2279</v>
      </c>
      <c r="N425" t="s">
        <v>2279</v>
      </c>
      <c r="O425" s="190" t="str">
        <f>"["&amp;$C425&amp;"]["&amp;$D425&amp;"]["&amp;$F425&amp;"]"</f>
        <v>[S05_CategoryCHighestTierNotApplied][5][EmissionSourceAffected]</v>
      </c>
    </row>
    <row r="426" spans="1:15" x14ac:dyDescent="0.3">
      <c r="A426" t="s">
        <v>2277</v>
      </c>
      <c r="B426" t="s">
        <v>1866</v>
      </c>
      <c r="C426" t="s">
        <v>1867</v>
      </c>
      <c r="D426">
        <v>6</v>
      </c>
      <c r="E426" t="s">
        <v>1447</v>
      </c>
      <c r="F426" t="s">
        <v>1870</v>
      </c>
      <c r="G426" t="s">
        <v>1741</v>
      </c>
      <c r="H426" t="s">
        <v>2310</v>
      </c>
      <c r="I426" t="s">
        <v>2279</v>
      </c>
      <c r="J426" t="s">
        <v>2279</v>
      </c>
      <c r="K426" t="s">
        <v>2279</v>
      </c>
      <c r="L426" t="s">
        <v>2279</v>
      </c>
      <c r="M426" t="s">
        <v>2279</v>
      </c>
      <c r="N426" t="s">
        <v>2279</v>
      </c>
      <c r="O426" s="190" t="str">
        <f>"["&amp;$C426&amp;"]["&amp;$D426&amp;"]["&amp;$F426&amp;"]"</f>
        <v>[S05_CategoryCHighestTierNotApplied][6][EmissionSourceAffected]</v>
      </c>
    </row>
    <row r="427" spans="1:15" x14ac:dyDescent="0.3">
      <c r="A427" t="s">
        <v>2277</v>
      </c>
      <c r="B427" t="s">
        <v>1866</v>
      </c>
      <c r="C427" t="s">
        <v>1867</v>
      </c>
      <c r="D427">
        <v>7</v>
      </c>
      <c r="E427" t="s">
        <v>1447</v>
      </c>
      <c r="F427" t="s">
        <v>1870</v>
      </c>
      <c r="G427" t="s">
        <v>1741</v>
      </c>
      <c r="H427" t="s">
        <v>2310</v>
      </c>
      <c r="I427" t="s">
        <v>2279</v>
      </c>
      <c r="J427" t="s">
        <v>2279</v>
      </c>
      <c r="K427" t="s">
        <v>2279</v>
      </c>
      <c r="L427" t="s">
        <v>2279</v>
      </c>
      <c r="M427" t="s">
        <v>2279</v>
      </c>
      <c r="N427" t="s">
        <v>2279</v>
      </c>
      <c r="O427" s="190" t="str">
        <f>"["&amp;$C427&amp;"]["&amp;$D427&amp;"]["&amp;$F427&amp;"]"</f>
        <v>[S05_CategoryCHighestTierNotApplied][7][EmissionSourceAffected]</v>
      </c>
    </row>
    <row r="428" spans="1:15" x14ac:dyDescent="0.3">
      <c r="A428" t="s">
        <v>2277</v>
      </c>
      <c r="B428" t="s">
        <v>1866</v>
      </c>
      <c r="C428" t="s">
        <v>1867</v>
      </c>
      <c r="D428">
        <v>8</v>
      </c>
      <c r="E428" t="s">
        <v>1447</v>
      </c>
      <c r="F428" t="s">
        <v>1870</v>
      </c>
      <c r="G428" t="s">
        <v>1741</v>
      </c>
      <c r="H428" t="s">
        <v>2310</v>
      </c>
      <c r="I428" t="s">
        <v>2279</v>
      </c>
      <c r="J428" t="s">
        <v>2279</v>
      </c>
      <c r="K428" t="s">
        <v>2279</v>
      </c>
      <c r="L428" t="s">
        <v>2279</v>
      </c>
      <c r="M428" t="s">
        <v>2279</v>
      </c>
      <c r="N428" t="s">
        <v>2279</v>
      </c>
      <c r="O428" s="190" t="str">
        <f>"["&amp;$C428&amp;"]["&amp;$D428&amp;"]["&amp;$F428&amp;"]"</f>
        <v>[S05_CategoryCHighestTierNotApplied][8][EmissionSourceAffected]</v>
      </c>
    </row>
    <row r="429" spans="1:15" x14ac:dyDescent="0.3">
      <c r="A429" t="s">
        <v>2277</v>
      </c>
      <c r="B429" t="s">
        <v>1866</v>
      </c>
      <c r="C429" t="s">
        <v>1867</v>
      </c>
      <c r="D429">
        <v>9</v>
      </c>
      <c r="E429" t="s">
        <v>1447</v>
      </c>
      <c r="F429" t="s">
        <v>1870</v>
      </c>
      <c r="G429" t="s">
        <v>1741</v>
      </c>
      <c r="H429" t="s">
        <v>2310</v>
      </c>
      <c r="I429" t="s">
        <v>2279</v>
      </c>
      <c r="J429" t="s">
        <v>2279</v>
      </c>
      <c r="K429" t="s">
        <v>2279</v>
      </c>
      <c r="L429" t="s">
        <v>2279</v>
      </c>
      <c r="M429" t="s">
        <v>2279</v>
      </c>
      <c r="N429" t="s">
        <v>2279</v>
      </c>
      <c r="O429" s="190" t="str">
        <f>"["&amp;$C429&amp;"]["&amp;$D429&amp;"]["&amp;$F429&amp;"]"</f>
        <v>[S05_CategoryCHighestTierNotApplied][9][EmissionSourceAffected]</v>
      </c>
    </row>
    <row r="430" spans="1:15" x14ac:dyDescent="0.3">
      <c r="A430" t="s">
        <v>2277</v>
      </c>
      <c r="B430" t="s">
        <v>1866</v>
      </c>
      <c r="C430" t="s">
        <v>1867</v>
      </c>
      <c r="D430">
        <v>10</v>
      </c>
      <c r="E430" t="s">
        <v>1447</v>
      </c>
      <c r="F430" t="s">
        <v>1870</v>
      </c>
      <c r="G430" t="s">
        <v>1741</v>
      </c>
      <c r="H430" t="s">
        <v>2310</v>
      </c>
      <c r="I430" t="s">
        <v>2279</v>
      </c>
      <c r="J430" t="s">
        <v>2279</v>
      </c>
      <c r="K430" t="s">
        <v>2279</v>
      </c>
      <c r="L430" t="s">
        <v>2279</v>
      </c>
      <c r="M430" t="s">
        <v>2279</v>
      </c>
      <c r="N430" t="s">
        <v>2279</v>
      </c>
      <c r="O430" s="190" t="str">
        <f>"["&amp;$C430&amp;"]["&amp;$D430&amp;"]["&amp;$F430&amp;"]"</f>
        <v>[S05_CategoryCHighestTierNotApplied][10][EmissionSourceAffected]</v>
      </c>
    </row>
    <row r="431" spans="1:15" x14ac:dyDescent="0.3">
      <c r="A431" t="s">
        <v>2277</v>
      </c>
      <c r="B431" t="s">
        <v>1866</v>
      </c>
      <c r="C431" t="s">
        <v>1867</v>
      </c>
      <c r="D431">
        <v>11</v>
      </c>
      <c r="E431" t="s">
        <v>1447</v>
      </c>
      <c r="F431" t="s">
        <v>1870</v>
      </c>
      <c r="G431" t="s">
        <v>1741</v>
      </c>
      <c r="H431" t="s">
        <v>2310</v>
      </c>
      <c r="I431" t="s">
        <v>2279</v>
      </c>
      <c r="J431" t="s">
        <v>2279</v>
      </c>
      <c r="K431" t="s">
        <v>2279</v>
      </c>
      <c r="L431" t="s">
        <v>2279</v>
      </c>
      <c r="M431" t="s">
        <v>2279</v>
      </c>
      <c r="N431" t="s">
        <v>2279</v>
      </c>
      <c r="O431" s="190" t="str">
        <f>"["&amp;$C431&amp;"]["&amp;$D431&amp;"]["&amp;$F431&amp;"]"</f>
        <v>[S05_CategoryCHighestTierNotApplied][11][EmissionSourceAffected]</v>
      </c>
    </row>
    <row r="432" spans="1:15" x14ac:dyDescent="0.3">
      <c r="A432" t="s">
        <v>2277</v>
      </c>
      <c r="B432" t="s">
        <v>1866</v>
      </c>
      <c r="C432" t="s">
        <v>1867</v>
      </c>
      <c r="D432">
        <v>12</v>
      </c>
      <c r="E432" t="s">
        <v>1447</v>
      </c>
      <c r="F432" t="s">
        <v>1870</v>
      </c>
      <c r="G432" t="s">
        <v>1741</v>
      </c>
      <c r="H432" t="s">
        <v>2310</v>
      </c>
      <c r="I432" t="s">
        <v>2279</v>
      </c>
      <c r="J432" t="s">
        <v>2279</v>
      </c>
      <c r="K432" t="s">
        <v>2279</v>
      </c>
      <c r="L432" t="s">
        <v>2279</v>
      </c>
      <c r="M432" t="s">
        <v>2279</v>
      </c>
      <c r="N432" t="s">
        <v>2279</v>
      </c>
      <c r="O432" s="190" t="str">
        <f>"["&amp;$C432&amp;"]["&amp;$D432&amp;"]["&amp;$F432&amp;"]"</f>
        <v>[S05_CategoryCHighestTierNotApplied][12][EmissionSourceAffected]</v>
      </c>
    </row>
    <row r="433" spans="1:15" x14ac:dyDescent="0.3">
      <c r="A433" t="s">
        <v>2277</v>
      </c>
      <c r="B433" t="s">
        <v>1866</v>
      </c>
      <c r="C433" t="s">
        <v>1867</v>
      </c>
      <c r="D433">
        <v>13</v>
      </c>
      <c r="E433" t="s">
        <v>1447</v>
      </c>
      <c r="F433" t="s">
        <v>1870</v>
      </c>
      <c r="G433" t="s">
        <v>1741</v>
      </c>
      <c r="H433" t="s">
        <v>2310</v>
      </c>
      <c r="I433" t="s">
        <v>2279</v>
      </c>
      <c r="J433" t="s">
        <v>2279</v>
      </c>
      <c r="K433" t="s">
        <v>2279</v>
      </c>
      <c r="L433" t="s">
        <v>2279</v>
      </c>
      <c r="M433" t="s">
        <v>2279</v>
      </c>
      <c r="N433" t="s">
        <v>2279</v>
      </c>
      <c r="O433" s="190" t="str">
        <f>"["&amp;$C433&amp;"]["&amp;$D433&amp;"]["&amp;$F433&amp;"]"</f>
        <v>[S05_CategoryCHighestTierNotApplied][13][EmissionSourceAffected]</v>
      </c>
    </row>
    <row r="434" spans="1:15" x14ac:dyDescent="0.3">
      <c r="A434" t="s">
        <v>2277</v>
      </c>
      <c r="B434" t="s">
        <v>1866</v>
      </c>
      <c r="C434" t="s">
        <v>1867</v>
      </c>
      <c r="D434">
        <v>14</v>
      </c>
      <c r="E434" t="s">
        <v>1447</v>
      </c>
      <c r="F434" t="s">
        <v>1870</v>
      </c>
      <c r="G434" t="s">
        <v>1741</v>
      </c>
      <c r="H434" t="s">
        <v>2310</v>
      </c>
      <c r="I434" t="s">
        <v>2279</v>
      </c>
      <c r="J434" t="s">
        <v>2279</v>
      </c>
      <c r="K434" t="s">
        <v>2279</v>
      </c>
      <c r="L434" t="s">
        <v>2279</v>
      </c>
      <c r="M434" t="s">
        <v>2279</v>
      </c>
      <c r="N434" t="s">
        <v>2279</v>
      </c>
      <c r="O434" s="190" t="str">
        <f>"["&amp;$C434&amp;"]["&amp;$D434&amp;"]["&amp;$F434&amp;"]"</f>
        <v>[S05_CategoryCHighestTierNotApplied][14][EmissionSourceAffected]</v>
      </c>
    </row>
    <row r="435" spans="1:15" x14ac:dyDescent="0.3">
      <c r="A435" t="s">
        <v>2277</v>
      </c>
      <c r="B435" t="s">
        <v>1866</v>
      </c>
      <c r="C435" t="s">
        <v>1867</v>
      </c>
      <c r="D435">
        <v>1</v>
      </c>
      <c r="E435" t="s">
        <v>1447</v>
      </c>
      <c r="F435" t="s">
        <v>1871</v>
      </c>
      <c r="G435" t="s">
        <v>1737</v>
      </c>
      <c r="H435" t="s">
        <v>2279</v>
      </c>
      <c r="I435" t="s">
        <v>2279</v>
      </c>
      <c r="J435" t="s">
        <v>2279</v>
      </c>
      <c r="K435" t="s">
        <v>2279</v>
      </c>
      <c r="L435" t="s">
        <v>1428</v>
      </c>
      <c r="M435" t="s">
        <v>2279</v>
      </c>
      <c r="N435" t="s">
        <v>2279</v>
      </c>
      <c r="O435" s="190" t="str">
        <f>"["&amp;$C435&amp;"]["&amp;$D435&amp;"]["&amp;$F435&amp;"]"</f>
        <v>[S05_CategoryCHighestTierNotApplied][1][MonitoringParameterAffected]</v>
      </c>
    </row>
    <row r="436" spans="1:15" x14ac:dyDescent="0.3">
      <c r="A436" t="s">
        <v>2277</v>
      </c>
      <c r="B436" t="s">
        <v>1866</v>
      </c>
      <c r="C436" t="s">
        <v>1867</v>
      </c>
      <c r="D436">
        <v>2</v>
      </c>
      <c r="E436" t="s">
        <v>1447</v>
      </c>
      <c r="F436" t="s">
        <v>1871</v>
      </c>
      <c r="G436" t="s">
        <v>1737</v>
      </c>
      <c r="H436" t="s">
        <v>2279</v>
      </c>
      <c r="I436" t="s">
        <v>2279</v>
      </c>
      <c r="J436" t="s">
        <v>2279</v>
      </c>
      <c r="K436" t="s">
        <v>2279</v>
      </c>
      <c r="L436" t="s">
        <v>1506</v>
      </c>
      <c r="M436" t="s">
        <v>2279</v>
      </c>
      <c r="N436" t="s">
        <v>2279</v>
      </c>
      <c r="O436" s="190" t="str">
        <f>"["&amp;$C436&amp;"]["&amp;$D436&amp;"]["&amp;$F436&amp;"]"</f>
        <v>[S05_CategoryCHighestTierNotApplied][2][MonitoringParameterAffected]</v>
      </c>
    </row>
    <row r="437" spans="1:15" x14ac:dyDescent="0.3">
      <c r="A437" t="s">
        <v>2277</v>
      </c>
      <c r="B437" t="s">
        <v>1866</v>
      </c>
      <c r="C437" t="s">
        <v>1867</v>
      </c>
      <c r="D437">
        <v>3</v>
      </c>
      <c r="E437" t="s">
        <v>1447</v>
      </c>
      <c r="F437" t="s">
        <v>1871</v>
      </c>
      <c r="G437" t="s">
        <v>1737</v>
      </c>
      <c r="H437" t="s">
        <v>2279</v>
      </c>
      <c r="I437" t="s">
        <v>2279</v>
      </c>
      <c r="J437" t="s">
        <v>2279</v>
      </c>
      <c r="K437" t="s">
        <v>2279</v>
      </c>
      <c r="L437" t="s">
        <v>1484</v>
      </c>
      <c r="M437" t="s">
        <v>2279</v>
      </c>
      <c r="N437" t="s">
        <v>2279</v>
      </c>
      <c r="O437" s="190" t="str">
        <f>"["&amp;$C437&amp;"]["&amp;$D437&amp;"]["&amp;$F437&amp;"]"</f>
        <v>[S05_CategoryCHighestTierNotApplied][3][MonitoringParameterAffected]</v>
      </c>
    </row>
    <row r="438" spans="1:15" x14ac:dyDescent="0.3">
      <c r="A438" t="s">
        <v>2277</v>
      </c>
      <c r="B438" t="s">
        <v>1866</v>
      </c>
      <c r="C438" t="s">
        <v>1867</v>
      </c>
      <c r="D438">
        <v>4</v>
      </c>
      <c r="E438" t="s">
        <v>1447</v>
      </c>
      <c r="F438" t="s">
        <v>1871</v>
      </c>
      <c r="G438" t="s">
        <v>1737</v>
      </c>
      <c r="H438" t="s">
        <v>2279</v>
      </c>
      <c r="I438" t="s">
        <v>2279</v>
      </c>
      <c r="J438" t="s">
        <v>2279</v>
      </c>
      <c r="K438" t="s">
        <v>2279</v>
      </c>
      <c r="L438" t="s">
        <v>1428</v>
      </c>
      <c r="M438" t="s">
        <v>2279</v>
      </c>
      <c r="N438" t="s">
        <v>2279</v>
      </c>
      <c r="O438" s="190" t="str">
        <f>"["&amp;$C438&amp;"]["&amp;$D438&amp;"]["&amp;$F438&amp;"]"</f>
        <v>[S05_CategoryCHighestTierNotApplied][4][MonitoringParameterAffected]</v>
      </c>
    </row>
    <row r="439" spans="1:15" x14ac:dyDescent="0.3">
      <c r="A439" t="s">
        <v>2277</v>
      </c>
      <c r="B439" t="s">
        <v>1866</v>
      </c>
      <c r="C439" t="s">
        <v>1867</v>
      </c>
      <c r="D439">
        <v>5</v>
      </c>
      <c r="E439" t="s">
        <v>1447</v>
      </c>
      <c r="F439" t="s">
        <v>1871</v>
      </c>
      <c r="G439" t="s">
        <v>1737</v>
      </c>
      <c r="H439" t="s">
        <v>2279</v>
      </c>
      <c r="I439" t="s">
        <v>2279</v>
      </c>
      <c r="J439" t="s">
        <v>2279</v>
      </c>
      <c r="K439" t="s">
        <v>2279</v>
      </c>
      <c r="L439" t="s">
        <v>1428</v>
      </c>
      <c r="M439" t="s">
        <v>2279</v>
      </c>
      <c r="N439" t="s">
        <v>2279</v>
      </c>
      <c r="O439" s="190" t="str">
        <f>"["&amp;$C439&amp;"]["&amp;$D439&amp;"]["&amp;$F439&amp;"]"</f>
        <v>[S05_CategoryCHighestTierNotApplied][5][MonitoringParameterAffected]</v>
      </c>
    </row>
    <row r="440" spans="1:15" x14ac:dyDescent="0.3">
      <c r="A440" t="s">
        <v>2277</v>
      </c>
      <c r="B440" t="s">
        <v>1866</v>
      </c>
      <c r="C440" t="s">
        <v>1867</v>
      </c>
      <c r="D440">
        <v>6</v>
      </c>
      <c r="E440" t="s">
        <v>1447</v>
      </c>
      <c r="F440" t="s">
        <v>1871</v>
      </c>
      <c r="G440" t="s">
        <v>1737</v>
      </c>
      <c r="H440" t="s">
        <v>2279</v>
      </c>
      <c r="I440" t="s">
        <v>2279</v>
      </c>
      <c r="J440" t="s">
        <v>2279</v>
      </c>
      <c r="K440" t="s">
        <v>2279</v>
      </c>
      <c r="L440" t="s">
        <v>1428</v>
      </c>
      <c r="M440" t="s">
        <v>2279</v>
      </c>
      <c r="N440" t="s">
        <v>2279</v>
      </c>
      <c r="O440" s="190" t="str">
        <f>"["&amp;$C440&amp;"]["&amp;$D440&amp;"]["&amp;$F440&amp;"]"</f>
        <v>[S05_CategoryCHighestTierNotApplied][6][MonitoringParameterAffected]</v>
      </c>
    </row>
    <row r="441" spans="1:15" x14ac:dyDescent="0.3">
      <c r="A441" t="s">
        <v>2277</v>
      </c>
      <c r="B441" t="s">
        <v>1866</v>
      </c>
      <c r="C441" t="s">
        <v>1867</v>
      </c>
      <c r="D441">
        <v>7</v>
      </c>
      <c r="E441" t="s">
        <v>1447</v>
      </c>
      <c r="F441" t="s">
        <v>1871</v>
      </c>
      <c r="G441" t="s">
        <v>1737</v>
      </c>
      <c r="H441" t="s">
        <v>2279</v>
      </c>
      <c r="I441" t="s">
        <v>2279</v>
      </c>
      <c r="J441" t="s">
        <v>2279</v>
      </c>
      <c r="K441" t="s">
        <v>2279</v>
      </c>
      <c r="L441" t="s">
        <v>1484</v>
      </c>
      <c r="M441" t="s">
        <v>2279</v>
      </c>
      <c r="N441" t="s">
        <v>2279</v>
      </c>
      <c r="O441" s="190" t="str">
        <f>"["&amp;$C441&amp;"]["&amp;$D441&amp;"]["&amp;$F441&amp;"]"</f>
        <v>[S05_CategoryCHighestTierNotApplied][7][MonitoringParameterAffected]</v>
      </c>
    </row>
    <row r="442" spans="1:15" x14ac:dyDescent="0.3">
      <c r="A442" t="s">
        <v>2277</v>
      </c>
      <c r="B442" t="s">
        <v>1866</v>
      </c>
      <c r="C442" t="s">
        <v>1867</v>
      </c>
      <c r="D442">
        <v>8</v>
      </c>
      <c r="E442" t="s">
        <v>1447</v>
      </c>
      <c r="F442" t="s">
        <v>1871</v>
      </c>
      <c r="G442" t="s">
        <v>1737</v>
      </c>
      <c r="H442" t="s">
        <v>2279</v>
      </c>
      <c r="I442" t="s">
        <v>2279</v>
      </c>
      <c r="J442" t="s">
        <v>2279</v>
      </c>
      <c r="K442" t="s">
        <v>2279</v>
      </c>
      <c r="L442" t="s">
        <v>1506</v>
      </c>
      <c r="M442" t="s">
        <v>2279</v>
      </c>
      <c r="N442" t="s">
        <v>2279</v>
      </c>
      <c r="O442" s="190" t="str">
        <f>"["&amp;$C442&amp;"]["&amp;$D442&amp;"]["&amp;$F442&amp;"]"</f>
        <v>[S05_CategoryCHighestTierNotApplied][8][MonitoringParameterAffected]</v>
      </c>
    </row>
    <row r="443" spans="1:15" x14ac:dyDescent="0.3">
      <c r="A443" t="s">
        <v>2277</v>
      </c>
      <c r="B443" t="s">
        <v>1866</v>
      </c>
      <c r="C443" t="s">
        <v>1867</v>
      </c>
      <c r="D443">
        <v>9</v>
      </c>
      <c r="E443" t="s">
        <v>1447</v>
      </c>
      <c r="F443" t="s">
        <v>1871</v>
      </c>
      <c r="G443" t="s">
        <v>1737</v>
      </c>
      <c r="H443" t="s">
        <v>2279</v>
      </c>
      <c r="I443" t="s">
        <v>2279</v>
      </c>
      <c r="J443" t="s">
        <v>2279</v>
      </c>
      <c r="K443" t="s">
        <v>2279</v>
      </c>
      <c r="L443" t="s">
        <v>1506</v>
      </c>
      <c r="M443" t="s">
        <v>2279</v>
      </c>
      <c r="N443" t="s">
        <v>2279</v>
      </c>
      <c r="O443" s="190" t="str">
        <f>"["&amp;$C443&amp;"]["&amp;$D443&amp;"]["&amp;$F443&amp;"]"</f>
        <v>[S05_CategoryCHighestTierNotApplied][9][MonitoringParameterAffected]</v>
      </c>
    </row>
    <row r="444" spans="1:15" x14ac:dyDescent="0.3">
      <c r="A444" t="s">
        <v>2277</v>
      </c>
      <c r="B444" t="s">
        <v>1866</v>
      </c>
      <c r="C444" t="s">
        <v>1867</v>
      </c>
      <c r="D444">
        <v>10</v>
      </c>
      <c r="E444" t="s">
        <v>1447</v>
      </c>
      <c r="F444" t="s">
        <v>1871</v>
      </c>
      <c r="G444" t="s">
        <v>1737</v>
      </c>
      <c r="H444" t="s">
        <v>2279</v>
      </c>
      <c r="I444" t="s">
        <v>2279</v>
      </c>
      <c r="J444" t="s">
        <v>2279</v>
      </c>
      <c r="K444" t="s">
        <v>2279</v>
      </c>
      <c r="L444" t="s">
        <v>1506</v>
      </c>
      <c r="M444" t="s">
        <v>2279</v>
      </c>
      <c r="N444" t="s">
        <v>2279</v>
      </c>
      <c r="O444" s="190" t="str">
        <f>"["&amp;$C444&amp;"]["&amp;$D444&amp;"]["&amp;$F444&amp;"]"</f>
        <v>[S05_CategoryCHighestTierNotApplied][10][MonitoringParameterAffected]</v>
      </c>
    </row>
    <row r="445" spans="1:15" x14ac:dyDescent="0.3">
      <c r="A445" t="s">
        <v>2277</v>
      </c>
      <c r="B445" t="s">
        <v>1866</v>
      </c>
      <c r="C445" t="s">
        <v>1867</v>
      </c>
      <c r="D445">
        <v>11</v>
      </c>
      <c r="E445" t="s">
        <v>1447</v>
      </c>
      <c r="F445" t="s">
        <v>1871</v>
      </c>
      <c r="G445" t="s">
        <v>1737</v>
      </c>
      <c r="H445" t="s">
        <v>2279</v>
      </c>
      <c r="I445" t="s">
        <v>2279</v>
      </c>
      <c r="J445" t="s">
        <v>2279</v>
      </c>
      <c r="K445" t="s">
        <v>2279</v>
      </c>
      <c r="L445" t="s">
        <v>1560</v>
      </c>
      <c r="M445" t="s">
        <v>2279</v>
      </c>
      <c r="N445" t="s">
        <v>2279</v>
      </c>
      <c r="O445" s="190" t="str">
        <f>"["&amp;$C445&amp;"]["&amp;$D445&amp;"]["&amp;$F445&amp;"]"</f>
        <v>[S05_CategoryCHighestTierNotApplied][11][MonitoringParameterAffected]</v>
      </c>
    </row>
    <row r="446" spans="1:15" x14ac:dyDescent="0.3">
      <c r="A446" t="s">
        <v>2277</v>
      </c>
      <c r="B446" t="s">
        <v>1866</v>
      </c>
      <c r="C446" t="s">
        <v>1867</v>
      </c>
      <c r="D446">
        <v>12</v>
      </c>
      <c r="E446" t="s">
        <v>1447</v>
      </c>
      <c r="F446" t="s">
        <v>1871</v>
      </c>
      <c r="G446" t="s">
        <v>1737</v>
      </c>
      <c r="H446" t="s">
        <v>2279</v>
      </c>
      <c r="I446" t="s">
        <v>2279</v>
      </c>
      <c r="J446" t="s">
        <v>2279</v>
      </c>
      <c r="K446" t="s">
        <v>2279</v>
      </c>
      <c r="L446" t="s">
        <v>1506</v>
      </c>
      <c r="M446" t="s">
        <v>2279</v>
      </c>
      <c r="N446" t="s">
        <v>2279</v>
      </c>
      <c r="O446" s="190" t="str">
        <f>"["&amp;$C446&amp;"]["&amp;$D446&amp;"]["&amp;$F446&amp;"]"</f>
        <v>[S05_CategoryCHighestTierNotApplied][12][MonitoringParameterAffected]</v>
      </c>
    </row>
    <row r="447" spans="1:15" x14ac:dyDescent="0.3">
      <c r="A447" t="s">
        <v>2277</v>
      </c>
      <c r="B447" t="s">
        <v>1866</v>
      </c>
      <c r="C447" t="s">
        <v>1867</v>
      </c>
      <c r="D447">
        <v>13</v>
      </c>
      <c r="E447" t="s">
        <v>1447</v>
      </c>
      <c r="F447" t="s">
        <v>1871</v>
      </c>
      <c r="G447" t="s">
        <v>1737</v>
      </c>
      <c r="H447" t="s">
        <v>2279</v>
      </c>
      <c r="I447" t="s">
        <v>2279</v>
      </c>
      <c r="J447" t="s">
        <v>2279</v>
      </c>
      <c r="K447" t="s">
        <v>2279</v>
      </c>
      <c r="L447" t="s">
        <v>1484</v>
      </c>
      <c r="M447" t="s">
        <v>2279</v>
      </c>
      <c r="N447" t="s">
        <v>2279</v>
      </c>
      <c r="O447" s="190" t="str">
        <f>"["&amp;$C447&amp;"]["&amp;$D447&amp;"]["&amp;$F447&amp;"]"</f>
        <v>[S05_CategoryCHighestTierNotApplied][13][MonitoringParameterAffected]</v>
      </c>
    </row>
    <row r="448" spans="1:15" x14ac:dyDescent="0.3">
      <c r="A448" t="s">
        <v>2277</v>
      </c>
      <c r="B448" t="s">
        <v>1866</v>
      </c>
      <c r="C448" t="s">
        <v>1867</v>
      </c>
      <c r="D448">
        <v>14</v>
      </c>
      <c r="E448" t="s">
        <v>1447</v>
      </c>
      <c r="F448" t="s">
        <v>1871</v>
      </c>
      <c r="G448" t="s">
        <v>1737</v>
      </c>
      <c r="H448" t="s">
        <v>2279</v>
      </c>
      <c r="I448" t="s">
        <v>2279</v>
      </c>
      <c r="J448" t="s">
        <v>2279</v>
      </c>
      <c r="K448" t="s">
        <v>2279</v>
      </c>
      <c r="L448" t="s">
        <v>1428</v>
      </c>
      <c r="M448" t="s">
        <v>2279</v>
      </c>
      <c r="N448" t="s">
        <v>2279</v>
      </c>
      <c r="O448" s="190" t="str">
        <f>"["&amp;$C448&amp;"]["&amp;$D448&amp;"]["&amp;$F448&amp;"]"</f>
        <v>[S05_CategoryCHighestTierNotApplied][14][MonitoringParameterAffected]</v>
      </c>
    </row>
    <row r="449" spans="1:15" x14ac:dyDescent="0.3">
      <c r="A449" t="s">
        <v>2277</v>
      </c>
      <c r="B449" t="s">
        <v>1866</v>
      </c>
      <c r="C449" t="s">
        <v>1867</v>
      </c>
      <c r="D449">
        <v>1</v>
      </c>
      <c r="E449" t="s">
        <v>1447</v>
      </c>
      <c r="F449" t="s">
        <v>1872</v>
      </c>
      <c r="G449" t="s">
        <v>1737</v>
      </c>
      <c r="H449" t="s">
        <v>2279</v>
      </c>
      <c r="I449" t="s">
        <v>2279</v>
      </c>
      <c r="J449" t="s">
        <v>2279</v>
      </c>
      <c r="K449" t="s">
        <v>2279</v>
      </c>
      <c r="L449" t="s">
        <v>2381</v>
      </c>
      <c r="M449" t="s">
        <v>2279</v>
      </c>
      <c r="N449" t="s">
        <v>2279</v>
      </c>
      <c r="O449" s="190" t="str">
        <f>"["&amp;$C449&amp;"]["&amp;$D449&amp;"]["&amp;$F449&amp;"]"</f>
        <v>[S05_CategoryCHighestTierNotApplied][1][HighestTierRequired]</v>
      </c>
    </row>
    <row r="450" spans="1:15" x14ac:dyDescent="0.3">
      <c r="A450" t="s">
        <v>2277</v>
      </c>
      <c r="B450" t="s">
        <v>1866</v>
      </c>
      <c r="C450" t="s">
        <v>1867</v>
      </c>
      <c r="D450">
        <v>2</v>
      </c>
      <c r="E450" t="s">
        <v>1447</v>
      </c>
      <c r="F450" t="s">
        <v>1872</v>
      </c>
      <c r="G450" t="s">
        <v>1737</v>
      </c>
      <c r="H450" t="s">
        <v>2279</v>
      </c>
      <c r="I450" t="s">
        <v>2279</v>
      </c>
      <c r="J450" t="s">
        <v>2279</v>
      </c>
      <c r="K450" t="s">
        <v>2279</v>
      </c>
      <c r="L450" t="s">
        <v>2382</v>
      </c>
      <c r="M450" t="s">
        <v>2279</v>
      </c>
      <c r="N450" t="s">
        <v>2279</v>
      </c>
      <c r="O450" s="190" t="str">
        <f>"["&amp;$C450&amp;"]["&amp;$D450&amp;"]["&amp;$F450&amp;"]"</f>
        <v>[S05_CategoryCHighestTierNotApplied][2][HighestTierRequired]</v>
      </c>
    </row>
    <row r="451" spans="1:15" x14ac:dyDescent="0.3">
      <c r="A451" t="s">
        <v>2277</v>
      </c>
      <c r="B451" t="s">
        <v>1866</v>
      </c>
      <c r="C451" t="s">
        <v>1867</v>
      </c>
      <c r="D451">
        <v>3</v>
      </c>
      <c r="E451" t="s">
        <v>1447</v>
      </c>
      <c r="F451" t="s">
        <v>1872</v>
      </c>
      <c r="G451" t="s">
        <v>1737</v>
      </c>
      <c r="H451" t="s">
        <v>2279</v>
      </c>
      <c r="I451" t="s">
        <v>2279</v>
      </c>
      <c r="J451" t="s">
        <v>2279</v>
      </c>
      <c r="K451" t="s">
        <v>2279</v>
      </c>
      <c r="L451" t="s">
        <v>2382</v>
      </c>
      <c r="M451" t="s">
        <v>2279</v>
      </c>
      <c r="N451" t="s">
        <v>2279</v>
      </c>
      <c r="O451" s="190" t="str">
        <f>"["&amp;$C451&amp;"]["&amp;$D451&amp;"]["&amp;$F451&amp;"]"</f>
        <v>[S05_CategoryCHighestTierNotApplied][3][HighestTierRequired]</v>
      </c>
    </row>
    <row r="452" spans="1:15" x14ac:dyDescent="0.3">
      <c r="A452" t="s">
        <v>2277</v>
      </c>
      <c r="B452" t="s">
        <v>1866</v>
      </c>
      <c r="C452" t="s">
        <v>1867</v>
      </c>
      <c r="D452">
        <v>4</v>
      </c>
      <c r="E452" t="s">
        <v>1447</v>
      </c>
      <c r="F452" t="s">
        <v>1872</v>
      </c>
      <c r="G452" t="s">
        <v>1737</v>
      </c>
      <c r="H452" t="s">
        <v>2279</v>
      </c>
      <c r="I452" t="s">
        <v>2279</v>
      </c>
      <c r="J452" t="s">
        <v>2279</v>
      </c>
      <c r="K452" t="s">
        <v>2279</v>
      </c>
      <c r="L452" t="s">
        <v>2381</v>
      </c>
      <c r="M452" t="s">
        <v>2279</v>
      </c>
      <c r="N452" t="s">
        <v>2279</v>
      </c>
      <c r="O452" s="190" t="str">
        <f>"["&amp;$C452&amp;"]["&amp;$D452&amp;"]["&amp;$F452&amp;"]"</f>
        <v>[S05_CategoryCHighestTierNotApplied][4][HighestTierRequired]</v>
      </c>
    </row>
    <row r="453" spans="1:15" x14ac:dyDescent="0.3">
      <c r="A453" t="s">
        <v>2277</v>
      </c>
      <c r="B453" t="s">
        <v>1866</v>
      </c>
      <c r="C453" t="s">
        <v>1867</v>
      </c>
      <c r="D453">
        <v>5</v>
      </c>
      <c r="E453" t="s">
        <v>1447</v>
      </c>
      <c r="F453" t="s">
        <v>1872</v>
      </c>
      <c r="G453" t="s">
        <v>1737</v>
      </c>
      <c r="H453" t="s">
        <v>2279</v>
      </c>
      <c r="I453" t="s">
        <v>2279</v>
      </c>
      <c r="J453" t="s">
        <v>2279</v>
      </c>
      <c r="K453" t="s">
        <v>2279</v>
      </c>
      <c r="L453" t="s">
        <v>2381</v>
      </c>
      <c r="M453" t="s">
        <v>2279</v>
      </c>
      <c r="N453" t="s">
        <v>2279</v>
      </c>
      <c r="O453" s="190" t="str">
        <f>"["&amp;$C453&amp;"]["&amp;$D453&amp;"]["&amp;$F453&amp;"]"</f>
        <v>[S05_CategoryCHighestTierNotApplied][5][HighestTierRequired]</v>
      </c>
    </row>
    <row r="454" spans="1:15" x14ac:dyDescent="0.3">
      <c r="A454" t="s">
        <v>2277</v>
      </c>
      <c r="B454" t="s">
        <v>1866</v>
      </c>
      <c r="C454" t="s">
        <v>1867</v>
      </c>
      <c r="D454">
        <v>6</v>
      </c>
      <c r="E454" t="s">
        <v>1447</v>
      </c>
      <c r="F454" t="s">
        <v>1872</v>
      </c>
      <c r="G454" t="s">
        <v>1737</v>
      </c>
      <c r="H454" t="s">
        <v>2279</v>
      </c>
      <c r="I454" t="s">
        <v>2279</v>
      </c>
      <c r="J454" t="s">
        <v>2279</v>
      </c>
      <c r="K454" t="s">
        <v>2279</v>
      </c>
      <c r="L454" t="s">
        <v>2381</v>
      </c>
      <c r="M454" t="s">
        <v>2279</v>
      </c>
      <c r="N454" t="s">
        <v>2279</v>
      </c>
      <c r="O454" s="190" t="str">
        <f>"["&amp;$C454&amp;"]["&amp;$D454&amp;"]["&amp;$F454&amp;"]"</f>
        <v>[S05_CategoryCHighestTierNotApplied][6][HighestTierRequired]</v>
      </c>
    </row>
    <row r="455" spans="1:15" x14ac:dyDescent="0.3">
      <c r="A455" t="s">
        <v>2277</v>
      </c>
      <c r="B455" t="s">
        <v>1866</v>
      </c>
      <c r="C455" t="s">
        <v>1867</v>
      </c>
      <c r="D455">
        <v>7</v>
      </c>
      <c r="E455" t="s">
        <v>1447</v>
      </c>
      <c r="F455" t="s">
        <v>1872</v>
      </c>
      <c r="G455" t="s">
        <v>1737</v>
      </c>
      <c r="H455" t="s">
        <v>2279</v>
      </c>
      <c r="I455" t="s">
        <v>2279</v>
      </c>
      <c r="J455" t="s">
        <v>2279</v>
      </c>
      <c r="K455" t="s">
        <v>2279</v>
      </c>
      <c r="L455" t="s">
        <v>2382</v>
      </c>
      <c r="M455" t="s">
        <v>2279</v>
      </c>
      <c r="N455" t="s">
        <v>2279</v>
      </c>
      <c r="O455" s="190" t="str">
        <f>"["&amp;$C455&amp;"]["&amp;$D455&amp;"]["&amp;$F455&amp;"]"</f>
        <v>[S05_CategoryCHighestTierNotApplied][7][HighestTierRequired]</v>
      </c>
    </row>
    <row r="456" spans="1:15" x14ac:dyDescent="0.3">
      <c r="A456" t="s">
        <v>2277</v>
      </c>
      <c r="B456" t="s">
        <v>1866</v>
      </c>
      <c r="C456" t="s">
        <v>1867</v>
      </c>
      <c r="D456">
        <v>8</v>
      </c>
      <c r="E456" t="s">
        <v>1447</v>
      </c>
      <c r="F456" t="s">
        <v>1872</v>
      </c>
      <c r="G456" t="s">
        <v>1737</v>
      </c>
      <c r="H456" t="s">
        <v>2279</v>
      </c>
      <c r="I456" t="s">
        <v>2279</v>
      </c>
      <c r="J456" t="s">
        <v>2279</v>
      </c>
      <c r="K456" t="s">
        <v>2279</v>
      </c>
      <c r="L456" t="s">
        <v>2382</v>
      </c>
      <c r="M456" t="s">
        <v>2279</v>
      </c>
      <c r="N456" t="s">
        <v>2279</v>
      </c>
      <c r="O456" s="190" t="str">
        <f>"["&amp;$C456&amp;"]["&amp;$D456&amp;"]["&amp;$F456&amp;"]"</f>
        <v>[S05_CategoryCHighestTierNotApplied][8][HighestTierRequired]</v>
      </c>
    </row>
    <row r="457" spans="1:15" x14ac:dyDescent="0.3">
      <c r="A457" t="s">
        <v>2277</v>
      </c>
      <c r="B457" t="s">
        <v>1866</v>
      </c>
      <c r="C457" t="s">
        <v>1867</v>
      </c>
      <c r="D457">
        <v>9</v>
      </c>
      <c r="E457" t="s">
        <v>1447</v>
      </c>
      <c r="F457" t="s">
        <v>1872</v>
      </c>
      <c r="G457" t="s">
        <v>1737</v>
      </c>
      <c r="H457" t="s">
        <v>2279</v>
      </c>
      <c r="I457" t="s">
        <v>2279</v>
      </c>
      <c r="J457" t="s">
        <v>2279</v>
      </c>
      <c r="K457" t="s">
        <v>2279</v>
      </c>
      <c r="L457" t="s">
        <v>2382</v>
      </c>
      <c r="M457" t="s">
        <v>2279</v>
      </c>
      <c r="N457" t="s">
        <v>2279</v>
      </c>
      <c r="O457" s="190" t="str">
        <f>"["&amp;$C457&amp;"]["&amp;$D457&amp;"]["&amp;$F457&amp;"]"</f>
        <v>[S05_CategoryCHighestTierNotApplied][9][HighestTierRequired]</v>
      </c>
    </row>
    <row r="458" spans="1:15" x14ac:dyDescent="0.3">
      <c r="A458" t="s">
        <v>2277</v>
      </c>
      <c r="B458" t="s">
        <v>1866</v>
      </c>
      <c r="C458" t="s">
        <v>1867</v>
      </c>
      <c r="D458">
        <v>10</v>
      </c>
      <c r="E458" t="s">
        <v>1447</v>
      </c>
      <c r="F458" t="s">
        <v>1872</v>
      </c>
      <c r="G458" t="s">
        <v>1737</v>
      </c>
      <c r="H458" t="s">
        <v>2279</v>
      </c>
      <c r="I458" t="s">
        <v>2279</v>
      </c>
      <c r="J458" t="s">
        <v>2279</v>
      </c>
      <c r="K458" t="s">
        <v>2279</v>
      </c>
      <c r="L458" t="s">
        <v>2382</v>
      </c>
      <c r="M458" t="s">
        <v>2279</v>
      </c>
      <c r="N458" t="s">
        <v>2279</v>
      </c>
      <c r="O458" s="190" t="str">
        <f>"["&amp;$C458&amp;"]["&amp;$D458&amp;"]["&amp;$F458&amp;"]"</f>
        <v>[S05_CategoryCHighestTierNotApplied][10][HighestTierRequired]</v>
      </c>
    </row>
    <row r="459" spans="1:15" x14ac:dyDescent="0.3">
      <c r="A459" t="s">
        <v>2277</v>
      </c>
      <c r="B459" t="s">
        <v>1866</v>
      </c>
      <c r="C459" t="s">
        <v>1867</v>
      </c>
      <c r="D459">
        <v>11</v>
      </c>
      <c r="E459" t="s">
        <v>1447</v>
      </c>
      <c r="F459" t="s">
        <v>1872</v>
      </c>
      <c r="G459" t="s">
        <v>1737</v>
      </c>
      <c r="H459" t="s">
        <v>2279</v>
      </c>
      <c r="I459" t="s">
        <v>2279</v>
      </c>
      <c r="J459" t="s">
        <v>2279</v>
      </c>
      <c r="K459" t="s">
        <v>2279</v>
      </c>
      <c r="L459" t="s">
        <v>2382</v>
      </c>
      <c r="M459" t="s">
        <v>2279</v>
      </c>
      <c r="N459" t="s">
        <v>2279</v>
      </c>
      <c r="O459" s="190" t="str">
        <f>"["&amp;$C459&amp;"]["&amp;$D459&amp;"]["&amp;$F459&amp;"]"</f>
        <v>[S05_CategoryCHighestTierNotApplied][11][HighestTierRequired]</v>
      </c>
    </row>
    <row r="460" spans="1:15" x14ac:dyDescent="0.3">
      <c r="A460" t="s">
        <v>2277</v>
      </c>
      <c r="B460" t="s">
        <v>1866</v>
      </c>
      <c r="C460" t="s">
        <v>1867</v>
      </c>
      <c r="D460">
        <v>12</v>
      </c>
      <c r="E460" t="s">
        <v>1447</v>
      </c>
      <c r="F460" t="s">
        <v>1872</v>
      </c>
      <c r="G460" t="s">
        <v>1737</v>
      </c>
      <c r="H460" t="s">
        <v>2279</v>
      </c>
      <c r="I460" t="s">
        <v>2279</v>
      </c>
      <c r="J460" t="s">
        <v>2279</v>
      </c>
      <c r="K460" t="s">
        <v>2279</v>
      </c>
      <c r="L460" t="s">
        <v>2382</v>
      </c>
      <c r="M460" t="s">
        <v>2279</v>
      </c>
      <c r="N460" t="s">
        <v>2279</v>
      </c>
      <c r="O460" s="190" t="str">
        <f>"["&amp;$C460&amp;"]["&amp;$D460&amp;"]["&amp;$F460&amp;"]"</f>
        <v>[S05_CategoryCHighestTierNotApplied][12][HighestTierRequired]</v>
      </c>
    </row>
    <row r="461" spans="1:15" x14ac:dyDescent="0.3">
      <c r="A461" t="s">
        <v>2277</v>
      </c>
      <c r="B461" t="s">
        <v>1866</v>
      </c>
      <c r="C461" t="s">
        <v>1867</v>
      </c>
      <c r="D461">
        <v>13</v>
      </c>
      <c r="E461" t="s">
        <v>1447</v>
      </c>
      <c r="F461" t="s">
        <v>1872</v>
      </c>
      <c r="G461" t="s">
        <v>1737</v>
      </c>
      <c r="H461" t="s">
        <v>2279</v>
      </c>
      <c r="I461" t="s">
        <v>2279</v>
      </c>
      <c r="J461" t="s">
        <v>2279</v>
      </c>
      <c r="K461" t="s">
        <v>2279</v>
      </c>
      <c r="L461" t="s">
        <v>2382</v>
      </c>
      <c r="M461" t="s">
        <v>2279</v>
      </c>
      <c r="N461" t="s">
        <v>2279</v>
      </c>
      <c r="O461" s="190" t="str">
        <f>"["&amp;$C461&amp;"]["&amp;$D461&amp;"]["&amp;$F461&amp;"]"</f>
        <v>[S05_CategoryCHighestTierNotApplied][13][HighestTierRequired]</v>
      </c>
    </row>
    <row r="462" spans="1:15" x14ac:dyDescent="0.3">
      <c r="A462" t="s">
        <v>2277</v>
      </c>
      <c r="B462" t="s">
        <v>1866</v>
      </c>
      <c r="C462" t="s">
        <v>1867</v>
      </c>
      <c r="D462">
        <v>14</v>
      </c>
      <c r="E462" t="s">
        <v>1447</v>
      </c>
      <c r="F462" t="s">
        <v>1872</v>
      </c>
      <c r="G462" t="s">
        <v>1737</v>
      </c>
      <c r="H462" t="s">
        <v>2279</v>
      </c>
      <c r="I462" t="s">
        <v>2279</v>
      </c>
      <c r="J462" t="s">
        <v>2279</v>
      </c>
      <c r="K462" t="s">
        <v>2279</v>
      </c>
      <c r="L462" t="s">
        <v>2381</v>
      </c>
      <c r="M462" t="s">
        <v>2279</v>
      </c>
      <c r="N462" t="s">
        <v>2279</v>
      </c>
      <c r="O462" s="190" t="str">
        <f>"["&amp;$C462&amp;"]["&amp;$D462&amp;"]["&amp;$F462&amp;"]"</f>
        <v>[S05_CategoryCHighestTierNotApplied][14][HighestTierRequired]</v>
      </c>
    </row>
    <row r="463" spans="1:15" x14ac:dyDescent="0.3">
      <c r="A463" t="s">
        <v>2277</v>
      </c>
      <c r="B463" t="s">
        <v>1866</v>
      </c>
      <c r="C463" t="s">
        <v>1867</v>
      </c>
      <c r="D463">
        <v>1</v>
      </c>
      <c r="E463" t="s">
        <v>1447</v>
      </c>
      <c r="F463" t="s">
        <v>1873</v>
      </c>
      <c r="G463" t="s">
        <v>1737</v>
      </c>
      <c r="H463" t="s">
        <v>2279</v>
      </c>
      <c r="I463" t="s">
        <v>2279</v>
      </c>
      <c r="J463" t="s">
        <v>2279</v>
      </c>
      <c r="K463" t="s">
        <v>2279</v>
      </c>
      <c r="L463" t="s">
        <v>1534</v>
      </c>
      <c r="M463" t="s">
        <v>2279</v>
      </c>
      <c r="N463" t="s">
        <v>2279</v>
      </c>
      <c r="O463" s="190" t="str">
        <f>"["&amp;$C463&amp;"]["&amp;$D463&amp;"]["&amp;$F463&amp;"]"</f>
        <v>[S05_CategoryCHighestTierNotApplied][1][TierInPractice]</v>
      </c>
    </row>
    <row r="464" spans="1:15" x14ac:dyDescent="0.3">
      <c r="A464" t="s">
        <v>2277</v>
      </c>
      <c r="B464" t="s">
        <v>1866</v>
      </c>
      <c r="C464" t="s">
        <v>1867</v>
      </c>
      <c r="D464">
        <v>2</v>
      </c>
      <c r="E464" t="s">
        <v>1447</v>
      </c>
      <c r="F464" t="s">
        <v>1873</v>
      </c>
      <c r="G464" t="s">
        <v>1737</v>
      </c>
      <c r="H464" t="s">
        <v>2279</v>
      </c>
      <c r="I464" t="s">
        <v>2279</v>
      </c>
      <c r="J464" t="s">
        <v>2279</v>
      </c>
      <c r="K464" t="s">
        <v>2279</v>
      </c>
      <c r="L464" t="s">
        <v>1507</v>
      </c>
      <c r="M464" t="s">
        <v>2279</v>
      </c>
      <c r="N464" t="s">
        <v>2279</v>
      </c>
      <c r="O464" s="190" t="str">
        <f>"["&amp;$C464&amp;"]["&amp;$D464&amp;"]["&amp;$F464&amp;"]"</f>
        <v>[S05_CategoryCHighestTierNotApplied][2][TierInPractice]</v>
      </c>
    </row>
    <row r="465" spans="1:15" x14ac:dyDescent="0.3">
      <c r="A465" t="s">
        <v>2277</v>
      </c>
      <c r="B465" t="s">
        <v>1866</v>
      </c>
      <c r="C465" t="s">
        <v>1867</v>
      </c>
      <c r="D465">
        <v>3</v>
      </c>
      <c r="E465" t="s">
        <v>1447</v>
      </c>
      <c r="F465" t="s">
        <v>1873</v>
      </c>
      <c r="G465" t="s">
        <v>1737</v>
      </c>
      <c r="H465" t="s">
        <v>2279</v>
      </c>
      <c r="I465" t="s">
        <v>2279</v>
      </c>
      <c r="J465" t="s">
        <v>2279</v>
      </c>
      <c r="K465" t="s">
        <v>2279</v>
      </c>
      <c r="L465" t="s">
        <v>1507</v>
      </c>
      <c r="M465" t="s">
        <v>2279</v>
      </c>
      <c r="N465" t="s">
        <v>2279</v>
      </c>
      <c r="O465" s="190" t="str">
        <f>"["&amp;$C465&amp;"]["&amp;$D465&amp;"]["&amp;$F465&amp;"]"</f>
        <v>[S05_CategoryCHighestTierNotApplied][3][TierInPractice]</v>
      </c>
    </row>
    <row r="466" spans="1:15" x14ac:dyDescent="0.3">
      <c r="A466" t="s">
        <v>2277</v>
      </c>
      <c r="B466" t="s">
        <v>1866</v>
      </c>
      <c r="C466" t="s">
        <v>1867</v>
      </c>
      <c r="D466">
        <v>4</v>
      </c>
      <c r="E466" t="s">
        <v>1447</v>
      </c>
      <c r="F466" t="s">
        <v>1873</v>
      </c>
      <c r="G466" t="s">
        <v>1737</v>
      </c>
      <c r="H466" t="s">
        <v>2279</v>
      </c>
      <c r="I466" t="s">
        <v>2279</v>
      </c>
      <c r="J466" t="s">
        <v>2279</v>
      </c>
      <c r="K466" t="s">
        <v>2279</v>
      </c>
      <c r="L466" t="s">
        <v>1534</v>
      </c>
      <c r="M466" t="s">
        <v>2279</v>
      </c>
      <c r="N466" t="s">
        <v>2279</v>
      </c>
      <c r="O466" s="190" t="str">
        <f>"["&amp;$C466&amp;"]["&amp;$D466&amp;"]["&amp;$F466&amp;"]"</f>
        <v>[S05_CategoryCHighestTierNotApplied][4][TierInPractice]</v>
      </c>
    </row>
    <row r="467" spans="1:15" x14ac:dyDescent="0.3">
      <c r="A467" t="s">
        <v>2277</v>
      </c>
      <c r="B467" t="s">
        <v>1866</v>
      </c>
      <c r="C467" t="s">
        <v>1867</v>
      </c>
      <c r="D467">
        <v>5</v>
      </c>
      <c r="E467" t="s">
        <v>1447</v>
      </c>
      <c r="F467" t="s">
        <v>1873</v>
      </c>
      <c r="G467" t="s">
        <v>1737</v>
      </c>
      <c r="H467" t="s">
        <v>2279</v>
      </c>
      <c r="I467" t="s">
        <v>2279</v>
      </c>
      <c r="J467" t="s">
        <v>2279</v>
      </c>
      <c r="K467" t="s">
        <v>2279</v>
      </c>
      <c r="L467" t="s">
        <v>1534</v>
      </c>
      <c r="M467" t="s">
        <v>2279</v>
      </c>
      <c r="N467" t="s">
        <v>2279</v>
      </c>
      <c r="O467" s="190" t="str">
        <f>"["&amp;$C467&amp;"]["&amp;$D467&amp;"]["&amp;$F467&amp;"]"</f>
        <v>[S05_CategoryCHighestTierNotApplied][5][TierInPractice]</v>
      </c>
    </row>
    <row r="468" spans="1:15" x14ac:dyDescent="0.3">
      <c r="A468" t="s">
        <v>2277</v>
      </c>
      <c r="B468" t="s">
        <v>1866</v>
      </c>
      <c r="C468" t="s">
        <v>1867</v>
      </c>
      <c r="D468">
        <v>6</v>
      </c>
      <c r="E468" t="s">
        <v>1447</v>
      </c>
      <c r="F468" t="s">
        <v>1873</v>
      </c>
      <c r="G468" t="s">
        <v>1737</v>
      </c>
      <c r="H468" t="s">
        <v>2279</v>
      </c>
      <c r="I468" t="s">
        <v>2279</v>
      </c>
      <c r="J468" t="s">
        <v>2279</v>
      </c>
      <c r="K468" t="s">
        <v>2279</v>
      </c>
      <c r="L468" t="s">
        <v>1534</v>
      </c>
      <c r="M468" t="s">
        <v>2279</v>
      </c>
      <c r="N468" t="s">
        <v>2279</v>
      </c>
      <c r="O468" s="190" t="str">
        <f>"["&amp;$C468&amp;"]["&amp;$D468&amp;"]["&amp;$F468&amp;"]"</f>
        <v>[S05_CategoryCHighestTierNotApplied][6][TierInPractice]</v>
      </c>
    </row>
    <row r="469" spans="1:15" x14ac:dyDescent="0.3">
      <c r="A469" t="s">
        <v>2277</v>
      </c>
      <c r="B469" t="s">
        <v>1866</v>
      </c>
      <c r="C469" t="s">
        <v>1867</v>
      </c>
      <c r="D469">
        <v>7</v>
      </c>
      <c r="E469" t="s">
        <v>1447</v>
      </c>
      <c r="F469" t="s">
        <v>1873</v>
      </c>
      <c r="G469" t="s">
        <v>1737</v>
      </c>
      <c r="H469" t="s">
        <v>2279</v>
      </c>
      <c r="I469" t="s">
        <v>2279</v>
      </c>
      <c r="J469" t="s">
        <v>2279</v>
      </c>
      <c r="K469" t="s">
        <v>2279</v>
      </c>
      <c r="L469" t="s">
        <v>1507</v>
      </c>
      <c r="M469" t="s">
        <v>2279</v>
      </c>
      <c r="N469" t="s">
        <v>2279</v>
      </c>
      <c r="O469" s="190" t="str">
        <f>"["&amp;$C469&amp;"]["&amp;$D469&amp;"]["&amp;$F469&amp;"]"</f>
        <v>[S05_CategoryCHighestTierNotApplied][7][TierInPractice]</v>
      </c>
    </row>
    <row r="470" spans="1:15" x14ac:dyDescent="0.3">
      <c r="A470" t="s">
        <v>2277</v>
      </c>
      <c r="B470" t="s">
        <v>1866</v>
      </c>
      <c r="C470" t="s">
        <v>1867</v>
      </c>
      <c r="D470">
        <v>8</v>
      </c>
      <c r="E470" t="s">
        <v>1447</v>
      </c>
      <c r="F470" t="s">
        <v>1873</v>
      </c>
      <c r="G470" t="s">
        <v>1737</v>
      </c>
      <c r="H470" t="s">
        <v>2279</v>
      </c>
      <c r="I470" t="s">
        <v>2279</v>
      </c>
      <c r="J470" t="s">
        <v>2279</v>
      </c>
      <c r="K470" t="s">
        <v>2279</v>
      </c>
      <c r="L470" t="s">
        <v>1522</v>
      </c>
      <c r="M470" t="s">
        <v>2279</v>
      </c>
      <c r="N470" t="s">
        <v>2279</v>
      </c>
      <c r="O470" s="190" t="str">
        <f>"["&amp;$C470&amp;"]["&amp;$D470&amp;"]["&amp;$F470&amp;"]"</f>
        <v>[S05_CategoryCHighestTierNotApplied][8][TierInPractice]</v>
      </c>
    </row>
    <row r="471" spans="1:15" x14ac:dyDescent="0.3">
      <c r="A471" t="s">
        <v>2277</v>
      </c>
      <c r="B471" t="s">
        <v>1866</v>
      </c>
      <c r="C471" t="s">
        <v>1867</v>
      </c>
      <c r="D471">
        <v>9</v>
      </c>
      <c r="E471" t="s">
        <v>1447</v>
      </c>
      <c r="F471" t="s">
        <v>1873</v>
      </c>
      <c r="G471" t="s">
        <v>1737</v>
      </c>
      <c r="H471" t="s">
        <v>2279</v>
      </c>
      <c r="I471" t="s">
        <v>2279</v>
      </c>
      <c r="J471" t="s">
        <v>2279</v>
      </c>
      <c r="K471" t="s">
        <v>2279</v>
      </c>
      <c r="L471" t="s">
        <v>1522</v>
      </c>
      <c r="M471" t="s">
        <v>2279</v>
      </c>
      <c r="N471" t="s">
        <v>2279</v>
      </c>
      <c r="O471" s="190" t="str">
        <f>"["&amp;$C471&amp;"]["&amp;$D471&amp;"]["&amp;$F471&amp;"]"</f>
        <v>[S05_CategoryCHighestTierNotApplied][9][TierInPractice]</v>
      </c>
    </row>
    <row r="472" spans="1:15" x14ac:dyDescent="0.3">
      <c r="A472" t="s">
        <v>2277</v>
      </c>
      <c r="B472" t="s">
        <v>1866</v>
      </c>
      <c r="C472" t="s">
        <v>1867</v>
      </c>
      <c r="D472">
        <v>10</v>
      </c>
      <c r="E472" t="s">
        <v>1447</v>
      </c>
      <c r="F472" t="s">
        <v>1873</v>
      </c>
      <c r="G472" t="s">
        <v>1737</v>
      </c>
      <c r="H472" t="s">
        <v>2279</v>
      </c>
      <c r="I472" t="s">
        <v>2279</v>
      </c>
      <c r="J472" t="s">
        <v>2279</v>
      </c>
      <c r="K472" t="s">
        <v>2279</v>
      </c>
      <c r="L472" t="s">
        <v>1522</v>
      </c>
      <c r="M472" t="s">
        <v>2279</v>
      </c>
      <c r="N472" t="s">
        <v>2279</v>
      </c>
      <c r="O472" s="190" t="str">
        <f>"["&amp;$C472&amp;"]["&amp;$D472&amp;"]["&amp;$F472&amp;"]"</f>
        <v>[S05_CategoryCHighestTierNotApplied][10][TierInPractice]</v>
      </c>
    </row>
    <row r="473" spans="1:15" x14ac:dyDescent="0.3">
      <c r="A473" t="s">
        <v>2277</v>
      </c>
      <c r="B473" t="s">
        <v>1866</v>
      </c>
      <c r="C473" t="s">
        <v>1867</v>
      </c>
      <c r="D473">
        <v>11</v>
      </c>
      <c r="E473" t="s">
        <v>1447</v>
      </c>
      <c r="F473" t="s">
        <v>1873</v>
      </c>
      <c r="G473" t="s">
        <v>1737</v>
      </c>
      <c r="H473" t="s">
        <v>2279</v>
      </c>
      <c r="I473" t="s">
        <v>2279</v>
      </c>
      <c r="J473" t="s">
        <v>2279</v>
      </c>
      <c r="K473" t="s">
        <v>2279</v>
      </c>
      <c r="L473" t="s">
        <v>1485</v>
      </c>
      <c r="M473" t="s">
        <v>2279</v>
      </c>
      <c r="N473" t="s">
        <v>2279</v>
      </c>
      <c r="O473" s="190" t="str">
        <f>"["&amp;$C473&amp;"]["&amp;$D473&amp;"]["&amp;$F473&amp;"]"</f>
        <v>[S05_CategoryCHighestTierNotApplied][11][TierInPractice]</v>
      </c>
    </row>
    <row r="474" spans="1:15" x14ac:dyDescent="0.3">
      <c r="A474" t="s">
        <v>2277</v>
      </c>
      <c r="B474" t="s">
        <v>1866</v>
      </c>
      <c r="C474" t="s">
        <v>1867</v>
      </c>
      <c r="D474">
        <v>12</v>
      </c>
      <c r="E474" t="s">
        <v>1447</v>
      </c>
      <c r="F474" t="s">
        <v>1873</v>
      </c>
      <c r="G474" t="s">
        <v>1737</v>
      </c>
      <c r="H474" t="s">
        <v>2279</v>
      </c>
      <c r="I474" t="s">
        <v>2279</v>
      </c>
      <c r="J474" t="s">
        <v>2279</v>
      </c>
      <c r="K474" t="s">
        <v>2279</v>
      </c>
      <c r="L474" t="s">
        <v>1507</v>
      </c>
      <c r="M474" t="s">
        <v>2279</v>
      </c>
      <c r="N474" t="s">
        <v>2279</v>
      </c>
      <c r="O474" s="190" t="str">
        <f>"["&amp;$C474&amp;"]["&amp;$D474&amp;"]["&amp;$F474&amp;"]"</f>
        <v>[S05_CategoryCHighestTierNotApplied][12][TierInPractice]</v>
      </c>
    </row>
    <row r="475" spans="1:15" x14ac:dyDescent="0.3">
      <c r="A475" t="s">
        <v>2277</v>
      </c>
      <c r="B475" t="s">
        <v>1866</v>
      </c>
      <c r="C475" t="s">
        <v>1867</v>
      </c>
      <c r="D475">
        <v>13</v>
      </c>
      <c r="E475" t="s">
        <v>1447</v>
      </c>
      <c r="F475" t="s">
        <v>1873</v>
      </c>
      <c r="G475" t="s">
        <v>1737</v>
      </c>
      <c r="H475" t="s">
        <v>2279</v>
      </c>
      <c r="I475" t="s">
        <v>2279</v>
      </c>
      <c r="J475" t="s">
        <v>2279</v>
      </c>
      <c r="K475" t="s">
        <v>2279</v>
      </c>
      <c r="L475" t="s">
        <v>1507</v>
      </c>
      <c r="M475" t="s">
        <v>2279</v>
      </c>
      <c r="N475" t="s">
        <v>2279</v>
      </c>
      <c r="O475" s="190" t="str">
        <f>"["&amp;$C475&amp;"]["&amp;$D475&amp;"]["&amp;$F475&amp;"]"</f>
        <v>[S05_CategoryCHighestTierNotApplied][13][TierInPractice]</v>
      </c>
    </row>
    <row r="476" spans="1:15" x14ac:dyDescent="0.3">
      <c r="A476" t="s">
        <v>2277</v>
      </c>
      <c r="B476" t="s">
        <v>1866</v>
      </c>
      <c r="C476" t="s">
        <v>1867</v>
      </c>
      <c r="D476">
        <v>14</v>
      </c>
      <c r="E476" t="s">
        <v>1447</v>
      </c>
      <c r="F476" t="s">
        <v>1873</v>
      </c>
      <c r="G476" t="s">
        <v>1737</v>
      </c>
      <c r="H476" t="s">
        <v>2279</v>
      </c>
      <c r="I476" t="s">
        <v>2279</v>
      </c>
      <c r="J476" t="s">
        <v>2279</v>
      </c>
      <c r="K476" t="s">
        <v>2279</v>
      </c>
      <c r="L476" t="s">
        <v>1534</v>
      </c>
      <c r="M476" t="s">
        <v>2279</v>
      </c>
      <c r="N476" t="s">
        <v>2279</v>
      </c>
      <c r="O476" s="190" t="str">
        <f>"["&amp;$C476&amp;"]["&amp;$D476&amp;"]["&amp;$F476&amp;"]"</f>
        <v>[S05_CategoryCHighestTierNotApplied][14][TierInPractice]</v>
      </c>
    </row>
    <row r="477" spans="1:15" x14ac:dyDescent="0.3">
      <c r="A477" t="s">
        <v>2277</v>
      </c>
      <c r="B477" t="s">
        <v>1874</v>
      </c>
      <c r="C477" t="s">
        <v>1875</v>
      </c>
      <c r="D477">
        <v>1</v>
      </c>
      <c r="E477" t="s">
        <v>1447</v>
      </c>
      <c r="F477" t="s">
        <v>1876</v>
      </c>
      <c r="G477" t="s">
        <v>1737</v>
      </c>
      <c r="H477" t="s">
        <v>2279</v>
      </c>
      <c r="I477" t="s">
        <v>2279</v>
      </c>
      <c r="J477" t="s">
        <v>2279</v>
      </c>
      <c r="K477" t="s">
        <v>2279</v>
      </c>
      <c r="L477" t="s">
        <v>1430</v>
      </c>
      <c r="M477" t="s">
        <v>2279</v>
      </c>
      <c r="N477" t="s">
        <v>2279</v>
      </c>
      <c r="O477" s="190" t="str">
        <f>"["&amp;$C477&amp;"]["&amp;$D477&amp;"]["&amp;$F477&amp;"]"</f>
        <v>[S05_CategoryBHighestTierNotApplied][1][MonitoringMethodology]</v>
      </c>
    </row>
    <row r="478" spans="1:15" x14ac:dyDescent="0.3">
      <c r="A478" t="s">
        <v>2277</v>
      </c>
      <c r="B478" t="s">
        <v>1874</v>
      </c>
      <c r="C478" t="s">
        <v>1875</v>
      </c>
      <c r="D478">
        <v>2</v>
      </c>
      <c r="E478" t="s">
        <v>1447</v>
      </c>
      <c r="F478" t="s">
        <v>1876</v>
      </c>
      <c r="G478" t="s">
        <v>1737</v>
      </c>
      <c r="H478" t="s">
        <v>2279</v>
      </c>
      <c r="I478" t="s">
        <v>2279</v>
      </c>
      <c r="J478" t="s">
        <v>2279</v>
      </c>
      <c r="K478" t="s">
        <v>2279</v>
      </c>
      <c r="L478" t="s">
        <v>1430</v>
      </c>
      <c r="M478" t="s">
        <v>2279</v>
      </c>
      <c r="N478" t="s">
        <v>2279</v>
      </c>
      <c r="O478" s="190" t="str">
        <f>"["&amp;$C478&amp;"]["&amp;$D478&amp;"]["&amp;$F478&amp;"]"</f>
        <v>[S05_CategoryBHighestTierNotApplied][2][MonitoringMethodology]</v>
      </c>
    </row>
    <row r="479" spans="1:15" x14ac:dyDescent="0.3">
      <c r="A479" t="s">
        <v>2277</v>
      </c>
      <c r="B479" t="s">
        <v>1874</v>
      </c>
      <c r="C479" t="s">
        <v>1875</v>
      </c>
      <c r="D479">
        <v>3</v>
      </c>
      <c r="E479" t="s">
        <v>1447</v>
      </c>
      <c r="F479" t="s">
        <v>1876</v>
      </c>
      <c r="G479" t="s">
        <v>1737</v>
      </c>
      <c r="H479" t="s">
        <v>2279</v>
      </c>
      <c r="I479" t="s">
        <v>2279</v>
      </c>
      <c r="J479" t="s">
        <v>2279</v>
      </c>
      <c r="K479" t="s">
        <v>2279</v>
      </c>
      <c r="L479" t="s">
        <v>1430</v>
      </c>
      <c r="M479" t="s">
        <v>2279</v>
      </c>
      <c r="N479" t="s">
        <v>2279</v>
      </c>
      <c r="O479" s="190" t="str">
        <f>"["&amp;$C479&amp;"]["&amp;$D479&amp;"]["&amp;$F479&amp;"]"</f>
        <v>[S05_CategoryBHighestTierNotApplied][3][MonitoringMethodology]</v>
      </c>
    </row>
    <row r="480" spans="1:15" x14ac:dyDescent="0.3">
      <c r="A480" t="s">
        <v>2277</v>
      </c>
      <c r="B480" t="s">
        <v>1874</v>
      </c>
      <c r="C480" t="s">
        <v>1875</v>
      </c>
      <c r="D480">
        <v>4</v>
      </c>
      <c r="E480" t="s">
        <v>1447</v>
      </c>
      <c r="F480" t="s">
        <v>1876</v>
      </c>
      <c r="G480" t="s">
        <v>1737</v>
      </c>
      <c r="H480" t="s">
        <v>2279</v>
      </c>
      <c r="I480" t="s">
        <v>2279</v>
      </c>
      <c r="J480" t="s">
        <v>2279</v>
      </c>
      <c r="K480" t="s">
        <v>2279</v>
      </c>
      <c r="L480" t="s">
        <v>1430</v>
      </c>
      <c r="M480" t="s">
        <v>2279</v>
      </c>
      <c r="N480" t="s">
        <v>2279</v>
      </c>
      <c r="O480" s="190" t="str">
        <f>"["&amp;$C480&amp;"]["&amp;$D480&amp;"]["&amp;$F480&amp;"]"</f>
        <v>[S05_CategoryBHighestTierNotApplied][4][MonitoringMethodology]</v>
      </c>
    </row>
    <row r="481" spans="1:15" x14ac:dyDescent="0.3">
      <c r="A481" t="s">
        <v>2277</v>
      </c>
      <c r="B481" t="s">
        <v>1874</v>
      </c>
      <c r="C481" t="s">
        <v>1875</v>
      </c>
      <c r="D481">
        <v>5</v>
      </c>
      <c r="E481" t="s">
        <v>1447</v>
      </c>
      <c r="F481" t="s">
        <v>1876</v>
      </c>
      <c r="G481" t="s">
        <v>1737</v>
      </c>
      <c r="H481" t="s">
        <v>2279</v>
      </c>
      <c r="I481" t="s">
        <v>2279</v>
      </c>
      <c r="J481" t="s">
        <v>2279</v>
      </c>
      <c r="K481" t="s">
        <v>2279</v>
      </c>
      <c r="L481" t="s">
        <v>1430</v>
      </c>
      <c r="M481" t="s">
        <v>2279</v>
      </c>
      <c r="N481" t="s">
        <v>2279</v>
      </c>
      <c r="O481" s="190" t="str">
        <f>"["&amp;$C481&amp;"]["&amp;$D481&amp;"]["&amp;$F481&amp;"]"</f>
        <v>[S05_CategoryBHighestTierNotApplied][5][MonitoringMethodology]</v>
      </c>
    </row>
    <row r="482" spans="1:15" x14ac:dyDescent="0.3">
      <c r="A482" t="s">
        <v>2277</v>
      </c>
      <c r="B482" t="s">
        <v>1874</v>
      </c>
      <c r="C482" t="s">
        <v>1875</v>
      </c>
      <c r="D482">
        <v>6</v>
      </c>
      <c r="E482" t="s">
        <v>1447</v>
      </c>
      <c r="F482" t="s">
        <v>1876</v>
      </c>
      <c r="G482" t="s">
        <v>1737</v>
      </c>
      <c r="H482" t="s">
        <v>2279</v>
      </c>
      <c r="I482" t="s">
        <v>2279</v>
      </c>
      <c r="J482" t="s">
        <v>2279</v>
      </c>
      <c r="K482" t="s">
        <v>2279</v>
      </c>
      <c r="L482" t="s">
        <v>1430</v>
      </c>
      <c r="M482" t="s">
        <v>2279</v>
      </c>
      <c r="N482" t="s">
        <v>2279</v>
      </c>
      <c r="O482" s="190" t="str">
        <f>"["&amp;$C482&amp;"]["&amp;$D482&amp;"]["&amp;$F482&amp;"]"</f>
        <v>[S05_CategoryBHighestTierNotApplied][6][MonitoringMethodology]</v>
      </c>
    </row>
    <row r="483" spans="1:15" x14ac:dyDescent="0.3">
      <c r="A483" t="s">
        <v>2277</v>
      </c>
      <c r="B483" t="s">
        <v>1874</v>
      </c>
      <c r="C483" t="s">
        <v>1875</v>
      </c>
      <c r="D483">
        <v>7</v>
      </c>
      <c r="E483" t="s">
        <v>1447</v>
      </c>
      <c r="F483" t="s">
        <v>1876</v>
      </c>
      <c r="G483" t="s">
        <v>1737</v>
      </c>
      <c r="H483" t="s">
        <v>2279</v>
      </c>
      <c r="I483" t="s">
        <v>2279</v>
      </c>
      <c r="J483" t="s">
        <v>2279</v>
      </c>
      <c r="K483" t="s">
        <v>2279</v>
      </c>
      <c r="L483" t="s">
        <v>1430</v>
      </c>
      <c r="M483" t="s">
        <v>2279</v>
      </c>
      <c r="N483" t="s">
        <v>2279</v>
      </c>
      <c r="O483" s="190" t="str">
        <f>"["&amp;$C483&amp;"]["&amp;$D483&amp;"]["&amp;$F483&amp;"]"</f>
        <v>[S05_CategoryBHighestTierNotApplied][7][MonitoringMethodology]</v>
      </c>
    </row>
    <row r="484" spans="1:15" x14ac:dyDescent="0.3">
      <c r="A484" t="s">
        <v>2277</v>
      </c>
      <c r="B484" t="s">
        <v>1874</v>
      </c>
      <c r="C484" t="s">
        <v>1875</v>
      </c>
      <c r="D484">
        <v>1</v>
      </c>
      <c r="E484" t="s">
        <v>1447</v>
      </c>
      <c r="F484" t="s">
        <v>1877</v>
      </c>
      <c r="G484" t="s">
        <v>1737</v>
      </c>
      <c r="H484" t="s">
        <v>2279</v>
      </c>
      <c r="I484" t="s">
        <v>2279</v>
      </c>
      <c r="J484" t="s">
        <v>2279</v>
      </c>
      <c r="K484" t="s">
        <v>2279</v>
      </c>
      <c r="L484" t="s">
        <v>1420</v>
      </c>
      <c r="M484" t="s">
        <v>2279</v>
      </c>
      <c r="N484" t="s">
        <v>2279</v>
      </c>
      <c r="O484" s="190" t="str">
        <f>"["&amp;$C484&amp;"]["&amp;$D484&amp;"]["&amp;$F484&amp;"]"</f>
        <v>[S05_CategoryBHighestTierNotApplied][1][CategoryBMainActivity]</v>
      </c>
    </row>
    <row r="485" spans="1:15" x14ac:dyDescent="0.3">
      <c r="A485" t="s">
        <v>2277</v>
      </c>
      <c r="B485" t="s">
        <v>1874</v>
      </c>
      <c r="C485" t="s">
        <v>1875</v>
      </c>
      <c r="D485">
        <v>2</v>
      </c>
      <c r="E485" t="s">
        <v>1447</v>
      </c>
      <c r="F485" t="s">
        <v>1877</v>
      </c>
      <c r="G485" t="s">
        <v>1737</v>
      </c>
      <c r="H485" t="s">
        <v>2279</v>
      </c>
      <c r="I485" t="s">
        <v>2279</v>
      </c>
      <c r="J485" t="s">
        <v>2279</v>
      </c>
      <c r="K485" t="s">
        <v>2279</v>
      </c>
      <c r="L485" t="s">
        <v>1448</v>
      </c>
      <c r="M485" t="s">
        <v>2279</v>
      </c>
      <c r="N485" t="s">
        <v>2279</v>
      </c>
      <c r="O485" s="190" t="str">
        <f>"["&amp;$C485&amp;"]["&amp;$D485&amp;"]["&amp;$F485&amp;"]"</f>
        <v>[S05_CategoryBHighestTierNotApplied][2][CategoryBMainActivity]</v>
      </c>
    </row>
    <row r="486" spans="1:15" x14ac:dyDescent="0.3">
      <c r="A486" t="s">
        <v>2277</v>
      </c>
      <c r="B486" t="s">
        <v>1874</v>
      </c>
      <c r="C486" t="s">
        <v>1875</v>
      </c>
      <c r="D486">
        <v>3</v>
      </c>
      <c r="E486" t="s">
        <v>1447</v>
      </c>
      <c r="F486" t="s">
        <v>1877</v>
      </c>
      <c r="G486" t="s">
        <v>1737</v>
      </c>
      <c r="H486" t="s">
        <v>2279</v>
      </c>
      <c r="I486" t="s">
        <v>2279</v>
      </c>
      <c r="J486" t="s">
        <v>2279</v>
      </c>
      <c r="K486" t="s">
        <v>2279</v>
      </c>
      <c r="L486" t="s">
        <v>1518</v>
      </c>
      <c r="M486" t="s">
        <v>2279</v>
      </c>
      <c r="N486" t="s">
        <v>2279</v>
      </c>
      <c r="O486" s="190" t="str">
        <f>"["&amp;$C486&amp;"]["&amp;$D486&amp;"]["&amp;$F486&amp;"]"</f>
        <v>[S05_CategoryBHighestTierNotApplied][3][CategoryBMainActivity]</v>
      </c>
    </row>
    <row r="487" spans="1:15" x14ac:dyDescent="0.3">
      <c r="A487" t="s">
        <v>2277</v>
      </c>
      <c r="B487" t="s">
        <v>1874</v>
      </c>
      <c r="C487" t="s">
        <v>1875</v>
      </c>
      <c r="D487">
        <v>4</v>
      </c>
      <c r="E487" t="s">
        <v>1447</v>
      </c>
      <c r="F487" t="s">
        <v>1877</v>
      </c>
      <c r="G487" t="s">
        <v>1737</v>
      </c>
      <c r="H487" t="s">
        <v>2279</v>
      </c>
      <c r="I487" t="s">
        <v>2279</v>
      </c>
      <c r="J487" t="s">
        <v>2279</v>
      </c>
      <c r="K487" t="s">
        <v>2279</v>
      </c>
      <c r="L487" t="s">
        <v>1562</v>
      </c>
      <c r="M487" t="s">
        <v>2279</v>
      </c>
      <c r="N487" t="s">
        <v>2279</v>
      </c>
      <c r="O487" s="190" t="str">
        <f>"["&amp;$C487&amp;"]["&amp;$D487&amp;"]["&amp;$F487&amp;"]"</f>
        <v>[S05_CategoryBHighestTierNotApplied][4][CategoryBMainActivity]</v>
      </c>
    </row>
    <row r="488" spans="1:15" x14ac:dyDescent="0.3">
      <c r="A488" t="s">
        <v>2277</v>
      </c>
      <c r="B488" t="s">
        <v>1874</v>
      </c>
      <c r="C488" t="s">
        <v>1875</v>
      </c>
      <c r="D488">
        <v>5</v>
      </c>
      <c r="E488" t="s">
        <v>1447</v>
      </c>
      <c r="F488" t="s">
        <v>1877</v>
      </c>
      <c r="G488" t="s">
        <v>1737</v>
      </c>
      <c r="H488" t="s">
        <v>2279</v>
      </c>
      <c r="I488" t="s">
        <v>2279</v>
      </c>
      <c r="J488" t="s">
        <v>2279</v>
      </c>
      <c r="K488" t="s">
        <v>2279</v>
      </c>
      <c r="L488" t="s">
        <v>1573</v>
      </c>
      <c r="M488" t="s">
        <v>2279</v>
      </c>
      <c r="N488" t="s">
        <v>2279</v>
      </c>
      <c r="O488" s="190" t="str">
        <f>"["&amp;$C488&amp;"]["&amp;$D488&amp;"]["&amp;$F488&amp;"]"</f>
        <v>[S05_CategoryBHighestTierNotApplied][5][CategoryBMainActivity]</v>
      </c>
    </row>
    <row r="489" spans="1:15" x14ac:dyDescent="0.3">
      <c r="A489" t="s">
        <v>2277</v>
      </c>
      <c r="B489" t="s">
        <v>1874</v>
      </c>
      <c r="C489" t="s">
        <v>1875</v>
      </c>
      <c r="D489">
        <v>6</v>
      </c>
      <c r="E489" t="s">
        <v>1447</v>
      </c>
      <c r="F489" t="s">
        <v>1877</v>
      </c>
      <c r="G489" t="s">
        <v>1737</v>
      </c>
      <c r="H489" t="s">
        <v>2279</v>
      </c>
      <c r="I489" t="s">
        <v>2279</v>
      </c>
      <c r="J489" t="s">
        <v>2279</v>
      </c>
      <c r="K489" t="s">
        <v>2279</v>
      </c>
      <c r="L489" t="s">
        <v>1597</v>
      </c>
      <c r="M489" t="s">
        <v>2279</v>
      </c>
      <c r="N489" t="s">
        <v>2279</v>
      </c>
      <c r="O489" s="190" t="str">
        <f>"["&amp;$C489&amp;"]["&amp;$D489&amp;"]["&amp;$F489&amp;"]"</f>
        <v>[S05_CategoryBHighestTierNotApplied][6][CategoryBMainActivity]</v>
      </c>
    </row>
    <row r="490" spans="1:15" x14ac:dyDescent="0.3">
      <c r="A490" t="s">
        <v>2277</v>
      </c>
      <c r="B490" t="s">
        <v>1874</v>
      </c>
      <c r="C490" t="s">
        <v>1875</v>
      </c>
      <c r="D490">
        <v>7</v>
      </c>
      <c r="E490" t="s">
        <v>1447</v>
      </c>
      <c r="F490" t="s">
        <v>1877</v>
      </c>
      <c r="G490" t="s">
        <v>1737</v>
      </c>
      <c r="H490" t="s">
        <v>2279</v>
      </c>
      <c r="I490" t="s">
        <v>2279</v>
      </c>
      <c r="J490" t="s">
        <v>2279</v>
      </c>
      <c r="K490" t="s">
        <v>2279</v>
      </c>
      <c r="L490" t="s">
        <v>1626</v>
      </c>
      <c r="M490" t="s">
        <v>2279</v>
      </c>
      <c r="N490" t="s">
        <v>2279</v>
      </c>
      <c r="O490" s="190" t="str">
        <f>"["&amp;$C490&amp;"]["&amp;$D490&amp;"]["&amp;$F490&amp;"]"</f>
        <v>[S05_CategoryBHighestTierNotApplied][7][CategoryBMainActivity]</v>
      </c>
    </row>
    <row r="491" spans="1:15" x14ac:dyDescent="0.3">
      <c r="A491" t="s">
        <v>2277</v>
      </c>
      <c r="B491" t="s">
        <v>1874</v>
      </c>
      <c r="C491" t="s">
        <v>1875</v>
      </c>
      <c r="D491">
        <v>1</v>
      </c>
      <c r="E491" t="s">
        <v>1447</v>
      </c>
      <c r="F491" t="s">
        <v>1878</v>
      </c>
      <c r="G491" t="s">
        <v>1748</v>
      </c>
      <c r="H491" t="s">
        <v>2279</v>
      </c>
      <c r="I491">
        <v>9</v>
      </c>
      <c r="J491" t="s">
        <v>2279</v>
      </c>
      <c r="K491" t="s">
        <v>2279</v>
      </c>
      <c r="L491" t="s">
        <v>2279</v>
      </c>
      <c r="M491" t="s">
        <v>2279</v>
      </c>
      <c r="N491" t="s">
        <v>2279</v>
      </c>
      <c r="O491" s="190" t="str">
        <f>"["&amp;$C491&amp;"]["&amp;$D491&amp;"]["&amp;$F491&amp;"]"</f>
        <v>[S05_CategoryBHighestTierNotApplied][1][CategoryBInstallationsAffected]</v>
      </c>
    </row>
    <row r="492" spans="1:15" x14ac:dyDescent="0.3">
      <c r="A492" t="s">
        <v>2277</v>
      </c>
      <c r="B492" t="s">
        <v>1874</v>
      </c>
      <c r="C492" t="s">
        <v>1875</v>
      </c>
      <c r="D492">
        <v>2</v>
      </c>
      <c r="E492" t="s">
        <v>1447</v>
      </c>
      <c r="F492" t="s">
        <v>1878</v>
      </c>
      <c r="G492" t="s">
        <v>1748</v>
      </c>
      <c r="H492" t="s">
        <v>2279</v>
      </c>
      <c r="I492">
        <v>1</v>
      </c>
      <c r="J492" t="s">
        <v>2279</v>
      </c>
      <c r="K492" t="s">
        <v>2279</v>
      </c>
      <c r="L492" t="s">
        <v>2279</v>
      </c>
      <c r="M492" t="s">
        <v>2279</v>
      </c>
      <c r="N492" t="s">
        <v>2279</v>
      </c>
      <c r="O492" s="190" t="str">
        <f>"["&amp;$C492&amp;"]["&amp;$D492&amp;"]["&amp;$F492&amp;"]"</f>
        <v>[S05_CategoryBHighestTierNotApplied][2][CategoryBInstallationsAffected]</v>
      </c>
    </row>
    <row r="493" spans="1:15" x14ac:dyDescent="0.3">
      <c r="A493" t="s">
        <v>2277</v>
      </c>
      <c r="B493" t="s">
        <v>1874</v>
      </c>
      <c r="C493" t="s">
        <v>1875</v>
      </c>
      <c r="D493">
        <v>3</v>
      </c>
      <c r="E493" t="s">
        <v>1447</v>
      </c>
      <c r="F493" t="s">
        <v>1878</v>
      </c>
      <c r="G493" t="s">
        <v>1748</v>
      </c>
      <c r="H493" t="s">
        <v>2279</v>
      </c>
      <c r="I493">
        <v>4</v>
      </c>
      <c r="J493" t="s">
        <v>2279</v>
      </c>
      <c r="K493" t="s">
        <v>2279</v>
      </c>
      <c r="L493" t="s">
        <v>2279</v>
      </c>
      <c r="M493" t="s">
        <v>2279</v>
      </c>
      <c r="N493" t="s">
        <v>2279</v>
      </c>
      <c r="O493" s="190" t="str">
        <f>"["&amp;$C493&amp;"]["&amp;$D493&amp;"]["&amp;$F493&amp;"]"</f>
        <v>[S05_CategoryBHighestTierNotApplied][3][CategoryBInstallationsAffected]</v>
      </c>
    </row>
    <row r="494" spans="1:15" x14ac:dyDescent="0.3">
      <c r="A494" t="s">
        <v>2277</v>
      </c>
      <c r="B494" t="s">
        <v>1874</v>
      </c>
      <c r="C494" t="s">
        <v>1875</v>
      </c>
      <c r="D494">
        <v>4</v>
      </c>
      <c r="E494" t="s">
        <v>1447</v>
      </c>
      <c r="F494" t="s">
        <v>1878</v>
      </c>
      <c r="G494" t="s">
        <v>1748</v>
      </c>
      <c r="H494" t="s">
        <v>2279</v>
      </c>
      <c r="I494">
        <v>4</v>
      </c>
      <c r="J494" t="s">
        <v>2279</v>
      </c>
      <c r="K494" t="s">
        <v>2279</v>
      </c>
      <c r="L494" t="s">
        <v>2279</v>
      </c>
      <c r="M494" t="s">
        <v>2279</v>
      </c>
      <c r="N494" t="s">
        <v>2279</v>
      </c>
      <c r="O494" s="190" t="str">
        <f>"["&amp;$C494&amp;"]["&amp;$D494&amp;"]["&amp;$F494&amp;"]"</f>
        <v>[S05_CategoryBHighestTierNotApplied][4][CategoryBInstallationsAffected]</v>
      </c>
    </row>
    <row r="495" spans="1:15" x14ac:dyDescent="0.3">
      <c r="A495" t="s">
        <v>2277</v>
      </c>
      <c r="B495" t="s">
        <v>1874</v>
      </c>
      <c r="C495" t="s">
        <v>1875</v>
      </c>
      <c r="D495">
        <v>5</v>
      </c>
      <c r="E495" t="s">
        <v>1447</v>
      </c>
      <c r="F495" t="s">
        <v>1878</v>
      </c>
      <c r="G495" t="s">
        <v>1748</v>
      </c>
      <c r="H495" t="s">
        <v>2279</v>
      </c>
      <c r="I495">
        <v>1</v>
      </c>
      <c r="J495" t="s">
        <v>2279</v>
      </c>
      <c r="K495" t="s">
        <v>2279</v>
      </c>
      <c r="L495" t="s">
        <v>2279</v>
      </c>
      <c r="M495" t="s">
        <v>2279</v>
      </c>
      <c r="N495" t="s">
        <v>2279</v>
      </c>
      <c r="O495" s="190" t="str">
        <f>"["&amp;$C495&amp;"]["&amp;$D495&amp;"]["&amp;$F495&amp;"]"</f>
        <v>[S05_CategoryBHighestTierNotApplied][5][CategoryBInstallationsAffected]</v>
      </c>
    </row>
    <row r="496" spans="1:15" x14ac:dyDescent="0.3">
      <c r="A496" t="s">
        <v>2277</v>
      </c>
      <c r="B496" t="s">
        <v>1874</v>
      </c>
      <c r="C496" t="s">
        <v>1875</v>
      </c>
      <c r="D496">
        <v>6</v>
      </c>
      <c r="E496" t="s">
        <v>1447</v>
      </c>
      <c r="F496" t="s">
        <v>1878</v>
      </c>
      <c r="G496" t="s">
        <v>1748</v>
      </c>
      <c r="H496" t="s">
        <v>2279</v>
      </c>
      <c r="I496">
        <v>1</v>
      </c>
      <c r="J496" t="s">
        <v>2279</v>
      </c>
      <c r="K496" t="s">
        <v>2279</v>
      </c>
      <c r="L496" t="s">
        <v>2279</v>
      </c>
      <c r="M496" t="s">
        <v>2279</v>
      </c>
      <c r="N496" t="s">
        <v>2279</v>
      </c>
      <c r="O496" s="190" t="str">
        <f>"["&amp;$C496&amp;"]["&amp;$D496&amp;"]["&amp;$F496&amp;"]"</f>
        <v>[S05_CategoryBHighestTierNotApplied][6][CategoryBInstallationsAffected]</v>
      </c>
    </row>
    <row r="497" spans="1:15" x14ac:dyDescent="0.3">
      <c r="A497" t="s">
        <v>2277</v>
      </c>
      <c r="B497" t="s">
        <v>1874</v>
      </c>
      <c r="C497" t="s">
        <v>1875</v>
      </c>
      <c r="D497">
        <v>7</v>
      </c>
      <c r="E497" t="s">
        <v>1447</v>
      </c>
      <c r="F497" t="s">
        <v>1878</v>
      </c>
      <c r="G497" t="s">
        <v>1748</v>
      </c>
      <c r="H497" t="s">
        <v>2279</v>
      </c>
      <c r="I497">
        <v>1</v>
      </c>
      <c r="J497" t="s">
        <v>2279</v>
      </c>
      <c r="K497" t="s">
        <v>2279</v>
      </c>
      <c r="L497" t="s">
        <v>2279</v>
      </c>
      <c r="M497" t="s">
        <v>2279</v>
      </c>
      <c r="N497" t="s">
        <v>2279</v>
      </c>
      <c r="O497" s="190" t="str">
        <f>"["&amp;$C497&amp;"]["&amp;$D497&amp;"]["&amp;$F497&amp;"]"</f>
        <v>[S05_CategoryBHighestTierNotApplied][7][CategoryBInstallationsAffected]</v>
      </c>
    </row>
    <row r="498" spans="1:15" x14ac:dyDescent="0.3">
      <c r="A498" t="s">
        <v>2277</v>
      </c>
      <c r="B498" t="s">
        <v>1879</v>
      </c>
      <c r="C498" t="s">
        <v>1880</v>
      </c>
      <c r="D498">
        <v>0</v>
      </c>
      <c r="E498" t="s">
        <v>1447</v>
      </c>
      <c r="F498" t="s">
        <v>1880</v>
      </c>
      <c r="G498" t="s">
        <v>1759</v>
      </c>
      <c r="H498" t="s">
        <v>2279</v>
      </c>
      <c r="I498" t="s">
        <v>2279</v>
      </c>
      <c r="J498" t="s">
        <v>2279</v>
      </c>
      <c r="K498" t="s">
        <v>2279</v>
      </c>
      <c r="L498" t="s">
        <v>1419</v>
      </c>
      <c r="M498" t="s">
        <v>2279</v>
      </c>
      <c r="N498" t="s">
        <v>2279</v>
      </c>
      <c r="O498" s="190" t="str">
        <f>"["&amp;$C498&amp;"]["&amp;$D498&amp;"]["&amp;$F498&amp;"]"</f>
        <v>[FallBackApproachApplied][0][FallBackApproachApplied]</v>
      </c>
    </row>
    <row r="499" spans="1:15" x14ac:dyDescent="0.3">
      <c r="A499" t="s">
        <v>2277</v>
      </c>
      <c r="B499" t="s">
        <v>1879</v>
      </c>
      <c r="C499" t="s">
        <v>1881</v>
      </c>
      <c r="D499">
        <v>1</v>
      </c>
      <c r="E499" t="s">
        <v>1447</v>
      </c>
      <c r="F499" t="s">
        <v>1882</v>
      </c>
      <c r="G499" t="s">
        <v>1741</v>
      </c>
      <c r="H499" t="s">
        <v>2383</v>
      </c>
      <c r="I499" t="s">
        <v>2279</v>
      </c>
      <c r="J499" t="s">
        <v>2279</v>
      </c>
      <c r="K499" t="s">
        <v>2279</v>
      </c>
      <c r="L499" t="s">
        <v>2279</v>
      </c>
      <c r="M499" t="s">
        <v>2279</v>
      </c>
      <c r="N499" t="s">
        <v>2279</v>
      </c>
      <c r="O499" s="190" t="str">
        <f>"["&amp;$C499&amp;"]["&amp;$D499&amp;"]["&amp;$F499&amp;"]"</f>
        <v>[S05_FallBackApproachAppliedDetail][1][FallbackInstallationID]</v>
      </c>
    </row>
    <row r="500" spans="1:15" x14ac:dyDescent="0.3">
      <c r="A500" t="s">
        <v>2277</v>
      </c>
      <c r="B500" t="s">
        <v>1879</v>
      </c>
      <c r="C500" t="s">
        <v>1881</v>
      </c>
      <c r="D500">
        <v>2</v>
      </c>
      <c r="E500" t="s">
        <v>1447</v>
      </c>
      <c r="F500" t="s">
        <v>1882</v>
      </c>
      <c r="G500" t="s">
        <v>1741</v>
      </c>
      <c r="H500" t="s">
        <v>2384</v>
      </c>
      <c r="I500" t="s">
        <v>2279</v>
      </c>
      <c r="J500" t="s">
        <v>2279</v>
      </c>
      <c r="K500" t="s">
        <v>2279</v>
      </c>
      <c r="L500" t="s">
        <v>2279</v>
      </c>
      <c r="M500" t="s">
        <v>2279</v>
      </c>
      <c r="N500" t="s">
        <v>2279</v>
      </c>
      <c r="O500" s="190" t="str">
        <f>"["&amp;$C500&amp;"]["&amp;$D500&amp;"]["&amp;$F500&amp;"]"</f>
        <v>[S05_FallBackApproachAppliedDetail][2][FallbackInstallationID]</v>
      </c>
    </row>
    <row r="501" spans="1:15" x14ac:dyDescent="0.3">
      <c r="A501" t="s">
        <v>2277</v>
      </c>
      <c r="B501" t="s">
        <v>1879</v>
      </c>
      <c r="C501" t="s">
        <v>1881</v>
      </c>
      <c r="D501">
        <v>3</v>
      </c>
      <c r="E501" t="s">
        <v>1447</v>
      </c>
      <c r="F501" t="s">
        <v>1882</v>
      </c>
      <c r="G501" t="s">
        <v>1741</v>
      </c>
      <c r="H501" t="s">
        <v>2384</v>
      </c>
      <c r="I501" t="s">
        <v>2279</v>
      </c>
      <c r="J501" t="s">
        <v>2279</v>
      </c>
      <c r="K501" t="s">
        <v>2279</v>
      </c>
      <c r="L501" t="s">
        <v>2279</v>
      </c>
      <c r="M501" t="s">
        <v>2279</v>
      </c>
      <c r="N501" t="s">
        <v>2279</v>
      </c>
      <c r="O501" s="190" t="str">
        <f>"["&amp;$C501&amp;"]["&amp;$D501&amp;"]["&amp;$F501&amp;"]"</f>
        <v>[S05_FallBackApproachAppliedDetail][3][FallbackInstallationID]</v>
      </c>
    </row>
    <row r="502" spans="1:15" x14ac:dyDescent="0.3">
      <c r="A502" t="s">
        <v>2277</v>
      </c>
      <c r="B502" t="s">
        <v>1879</v>
      </c>
      <c r="C502" t="s">
        <v>1881</v>
      </c>
      <c r="D502">
        <v>4</v>
      </c>
      <c r="E502" t="s">
        <v>1447</v>
      </c>
      <c r="F502" t="s">
        <v>1882</v>
      </c>
      <c r="G502" t="s">
        <v>1741</v>
      </c>
      <c r="H502" t="s">
        <v>2385</v>
      </c>
      <c r="I502" t="s">
        <v>2279</v>
      </c>
      <c r="J502" t="s">
        <v>2279</v>
      </c>
      <c r="K502" t="s">
        <v>2279</v>
      </c>
      <c r="L502" t="s">
        <v>2279</v>
      </c>
      <c r="M502" t="s">
        <v>2279</v>
      </c>
      <c r="N502" t="s">
        <v>2279</v>
      </c>
      <c r="O502" s="190" t="str">
        <f>"["&amp;$C502&amp;"]["&amp;$D502&amp;"]["&amp;$F502&amp;"]"</f>
        <v>[S05_FallBackApproachAppliedDetail][4][FallbackInstallationID]</v>
      </c>
    </row>
    <row r="503" spans="1:15" x14ac:dyDescent="0.3">
      <c r="A503" t="s">
        <v>2277</v>
      </c>
      <c r="B503" t="s">
        <v>1879</v>
      </c>
      <c r="C503" t="s">
        <v>1881</v>
      </c>
      <c r="D503">
        <v>5</v>
      </c>
      <c r="E503" t="s">
        <v>1447</v>
      </c>
      <c r="F503" t="s">
        <v>1882</v>
      </c>
      <c r="G503" t="s">
        <v>1741</v>
      </c>
      <c r="H503" t="s">
        <v>2386</v>
      </c>
      <c r="I503" t="s">
        <v>2279</v>
      </c>
      <c r="J503" t="s">
        <v>2279</v>
      </c>
      <c r="K503" t="s">
        <v>2279</v>
      </c>
      <c r="L503" t="s">
        <v>2279</v>
      </c>
      <c r="M503" t="s">
        <v>2279</v>
      </c>
      <c r="N503" t="s">
        <v>2279</v>
      </c>
      <c r="O503" s="190" t="str">
        <f>"["&amp;$C503&amp;"]["&amp;$D503&amp;"]["&amp;$F503&amp;"]"</f>
        <v>[S05_FallBackApproachAppliedDetail][5][FallbackInstallationID]</v>
      </c>
    </row>
    <row r="504" spans="1:15" x14ac:dyDescent="0.3">
      <c r="A504" t="s">
        <v>2277</v>
      </c>
      <c r="B504" t="s">
        <v>1879</v>
      </c>
      <c r="C504" t="s">
        <v>1881</v>
      </c>
      <c r="D504">
        <v>6</v>
      </c>
      <c r="E504" t="s">
        <v>1447</v>
      </c>
      <c r="F504" t="s">
        <v>1882</v>
      </c>
      <c r="G504" t="s">
        <v>1741</v>
      </c>
      <c r="H504" t="s">
        <v>2387</v>
      </c>
      <c r="I504" t="s">
        <v>2279</v>
      </c>
      <c r="J504" t="s">
        <v>2279</v>
      </c>
      <c r="K504" t="s">
        <v>2279</v>
      </c>
      <c r="L504" t="s">
        <v>2279</v>
      </c>
      <c r="M504" t="s">
        <v>2279</v>
      </c>
      <c r="N504" t="s">
        <v>2279</v>
      </c>
      <c r="O504" s="190" t="str">
        <f>"["&amp;$C504&amp;"]["&amp;$D504&amp;"]["&amp;$F504&amp;"]"</f>
        <v>[S05_FallBackApproachAppliedDetail][6][FallbackInstallationID]</v>
      </c>
    </row>
    <row r="505" spans="1:15" x14ac:dyDescent="0.3">
      <c r="A505" t="s">
        <v>2277</v>
      </c>
      <c r="B505" t="s">
        <v>1879</v>
      </c>
      <c r="C505" t="s">
        <v>1881</v>
      </c>
      <c r="D505">
        <v>7</v>
      </c>
      <c r="E505" t="s">
        <v>1447</v>
      </c>
      <c r="F505" t="s">
        <v>1882</v>
      </c>
      <c r="G505" t="s">
        <v>1741</v>
      </c>
      <c r="H505" t="s">
        <v>2388</v>
      </c>
      <c r="I505" t="s">
        <v>2279</v>
      </c>
      <c r="J505" t="s">
        <v>2279</v>
      </c>
      <c r="K505" t="s">
        <v>2279</v>
      </c>
      <c r="L505" t="s">
        <v>2279</v>
      </c>
      <c r="M505" t="s">
        <v>2279</v>
      </c>
      <c r="N505" t="s">
        <v>2279</v>
      </c>
      <c r="O505" s="190" t="str">
        <f>"["&amp;$C505&amp;"]["&amp;$D505&amp;"]["&amp;$F505&amp;"]"</f>
        <v>[S05_FallBackApproachAppliedDetail][7][FallbackInstallationID]</v>
      </c>
    </row>
    <row r="506" spans="1:15" x14ac:dyDescent="0.3">
      <c r="A506" t="s">
        <v>2277</v>
      </c>
      <c r="B506" t="s">
        <v>1879</v>
      </c>
      <c r="C506" t="s">
        <v>1881</v>
      </c>
      <c r="D506">
        <v>1</v>
      </c>
      <c r="E506" t="s">
        <v>1447</v>
      </c>
      <c r="F506" t="s">
        <v>1883</v>
      </c>
      <c r="G506" t="s">
        <v>1737</v>
      </c>
      <c r="H506" t="s">
        <v>2279</v>
      </c>
      <c r="I506" t="s">
        <v>2279</v>
      </c>
      <c r="J506" t="s">
        <v>2279</v>
      </c>
      <c r="K506" t="s">
        <v>2279</v>
      </c>
      <c r="L506" t="s">
        <v>1486</v>
      </c>
      <c r="M506" t="s">
        <v>2279</v>
      </c>
      <c r="N506" t="s">
        <v>2279</v>
      </c>
      <c r="O506" s="190" t="str">
        <f>"["&amp;$C506&amp;"]["&amp;$D506&amp;"]["&amp;$F506&amp;"]"</f>
        <v>[S05_FallBackApproachAppliedDetail][1][FallBackReason]</v>
      </c>
    </row>
    <row r="507" spans="1:15" x14ac:dyDescent="0.3">
      <c r="A507" t="s">
        <v>2277</v>
      </c>
      <c r="B507" t="s">
        <v>1879</v>
      </c>
      <c r="C507" t="s">
        <v>1881</v>
      </c>
      <c r="D507">
        <v>2</v>
      </c>
      <c r="E507" t="s">
        <v>1447</v>
      </c>
      <c r="F507" t="s">
        <v>1883</v>
      </c>
      <c r="G507" t="s">
        <v>1737</v>
      </c>
      <c r="H507" t="s">
        <v>2279</v>
      </c>
      <c r="I507" t="s">
        <v>2279</v>
      </c>
      <c r="J507" t="s">
        <v>2279</v>
      </c>
      <c r="K507" t="s">
        <v>2279</v>
      </c>
      <c r="L507" t="s">
        <v>1486</v>
      </c>
      <c r="M507" t="s">
        <v>2279</v>
      </c>
      <c r="N507" t="s">
        <v>2279</v>
      </c>
      <c r="O507" s="190" t="str">
        <f>"["&amp;$C507&amp;"]["&amp;$D507&amp;"]["&amp;$F507&amp;"]"</f>
        <v>[S05_FallBackApproachAppliedDetail][2][FallBackReason]</v>
      </c>
    </row>
    <row r="508" spans="1:15" x14ac:dyDescent="0.3">
      <c r="A508" t="s">
        <v>2277</v>
      </c>
      <c r="B508" t="s">
        <v>1879</v>
      </c>
      <c r="C508" t="s">
        <v>1881</v>
      </c>
      <c r="D508">
        <v>3</v>
      </c>
      <c r="E508" t="s">
        <v>1447</v>
      </c>
      <c r="F508" t="s">
        <v>1883</v>
      </c>
      <c r="G508" t="s">
        <v>1737</v>
      </c>
      <c r="H508" t="s">
        <v>2279</v>
      </c>
      <c r="I508" t="s">
        <v>2279</v>
      </c>
      <c r="J508" t="s">
        <v>2279</v>
      </c>
      <c r="K508" t="s">
        <v>2279</v>
      </c>
      <c r="L508" t="s">
        <v>1459</v>
      </c>
      <c r="M508" t="s">
        <v>2279</v>
      </c>
      <c r="N508" t="s">
        <v>2279</v>
      </c>
      <c r="O508" s="190" t="str">
        <f>"["&amp;$C508&amp;"]["&amp;$D508&amp;"]["&amp;$F508&amp;"]"</f>
        <v>[S05_FallBackApproachAppliedDetail][3][FallBackReason]</v>
      </c>
    </row>
    <row r="509" spans="1:15" x14ac:dyDescent="0.3">
      <c r="A509" t="s">
        <v>2277</v>
      </c>
      <c r="B509" t="s">
        <v>1879</v>
      </c>
      <c r="C509" t="s">
        <v>1881</v>
      </c>
      <c r="D509">
        <v>4</v>
      </c>
      <c r="E509" t="s">
        <v>1447</v>
      </c>
      <c r="F509" t="s">
        <v>1883</v>
      </c>
      <c r="G509" t="s">
        <v>1737</v>
      </c>
      <c r="H509" t="s">
        <v>2279</v>
      </c>
      <c r="I509" t="s">
        <v>2279</v>
      </c>
      <c r="J509" t="s">
        <v>2279</v>
      </c>
      <c r="K509" t="s">
        <v>2279</v>
      </c>
      <c r="L509" t="s">
        <v>1459</v>
      </c>
      <c r="M509" t="s">
        <v>2279</v>
      </c>
      <c r="N509" t="s">
        <v>2279</v>
      </c>
      <c r="O509" s="190" t="str">
        <f>"["&amp;$C509&amp;"]["&amp;$D509&amp;"]["&amp;$F509&amp;"]"</f>
        <v>[S05_FallBackApproachAppliedDetail][4][FallBackReason]</v>
      </c>
    </row>
    <row r="510" spans="1:15" x14ac:dyDescent="0.3">
      <c r="A510" t="s">
        <v>2277</v>
      </c>
      <c r="B510" t="s">
        <v>1879</v>
      </c>
      <c r="C510" t="s">
        <v>1881</v>
      </c>
      <c r="D510">
        <v>5</v>
      </c>
      <c r="E510" t="s">
        <v>1447</v>
      </c>
      <c r="F510" t="s">
        <v>1883</v>
      </c>
      <c r="G510" t="s">
        <v>1737</v>
      </c>
      <c r="H510" t="s">
        <v>2279</v>
      </c>
      <c r="I510" t="s">
        <v>2279</v>
      </c>
      <c r="J510" t="s">
        <v>2279</v>
      </c>
      <c r="K510" t="s">
        <v>2279</v>
      </c>
      <c r="L510" t="s">
        <v>1459</v>
      </c>
      <c r="M510" t="s">
        <v>2279</v>
      </c>
      <c r="N510" t="s">
        <v>2279</v>
      </c>
      <c r="O510" s="190" t="str">
        <f>"["&amp;$C510&amp;"]["&amp;$D510&amp;"]["&amp;$F510&amp;"]"</f>
        <v>[S05_FallBackApproachAppliedDetail][5][FallBackReason]</v>
      </c>
    </row>
    <row r="511" spans="1:15" x14ac:dyDescent="0.3">
      <c r="A511" t="s">
        <v>2277</v>
      </c>
      <c r="B511" t="s">
        <v>1879</v>
      </c>
      <c r="C511" t="s">
        <v>1881</v>
      </c>
      <c r="D511">
        <v>6</v>
      </c>
      <c r="E511" t="s">
        <v>1447</v>
      </c>
      <c r="F511" t="s">
        <v>1883</v>
      </c>
      <c r="G511" t="s">
        <v>1737</v>
      </c>
      <c r="H511" t="s">
        <v>2279</v>
      </c>
      <c r="I511" t="s">
        <v>2279</v>
      </c>
      <c r="J511" t="s">
        <v>2279</v>
      </c>
      <c r="K511" t="s">
        <v>2279</v>
      </c>
      <c r="L511" t="s">
        <v>1459</v>
      </c>
      <c r="M511" t="s">
        <v>2279</v>
      </c>
      <c r="N511" t="s">
        <v>2279</v>
      </c>
      <c r="O511" s="190" t="str">
        <f>"["&amp;$C511&amp;"]["&amp;$D511&amp;"]["&amp;$F511&amp;"]"</f>
        <v>[S05_FallBackApproachAppliedDetail][6][FallBackReason]</v>
      </c>
    </row>
    <row r="512" spans="1:15" x14ac:dyDescent="0.3">
      <c r="A512" t="s">
        <v>2277</v>
      </c>
      <c r="B512" t="s">
        <v>1879</v>
      </c>
      <c r="C512" t="s">
        <v>1881</v>
      </c>
      <c r="D512">
        <v>7</v>
      </c>
      <c r="E512" t="s">
        <v>1447</v>
      </c>
      <c r="F512" t="s">
        <v>1883</v>
      </c>
      <c r="G512" t="s">
        <v>1737</v>
      </c>
      <c r="H512" t="s">
        <v>2279</v>
      </c>
      <c r="I512" t="s">
        <v>2279</v>
      </c>
      <c r="J512" t="s">
        <v>2279</v>
      </c>
      <c r="K512" t="s">
        <v>2279</v>
      </c>
      <c r="L512" t="s">
        <v>1486</v>
      </c>
      <c r="M512" t="s">
        <v>2279</v>
      </c>
      <c r="N512" t="s">
        <v>2279</v>
      </c>
      <c r="O512" s="190" t="str">
        <f>"["&amp;$C512&amp;"]["&amp;$D512&amp;"]["&amp;$F512&amp;"]"</f>
        <v>[S05_FallBackApproachAppliedDetail][7][FallBackReason]</v>
      </c>
    </row>
    <row r="513" spans="1:15" x14ac:dyDescent="0.3">
      <c r="A513" t="s">
        <v>2277</v>
      </c>
      <c r="B513" t="s">
        <v>1879</v>
      </c>
      <c r="C513" t="s">
        <v>1881</v>
      </c>
      <c r="D513">
        <v>1</v>
      </c>
      <c r="E513" t="s">
        <v>1447</v>
      </c>
      <c r="F513" t="s">
        <v>1884</v>
      </c>
      <c r="G513" t="s">
        <v>1737</v>
      </c>
      <c r="H513" t="s">
        <v>2279</v>
      </c>
      <c r="I513" t="s">
        <v>2279</v>
      </c>
      <c r="J513" t="s">
        <v>2279</v>
      </c>
      <c r="K513" t="s">
        <v>2279</v>
      </c>
      <c r="L513" t="s">
        <v>1428</v>
      </c>
      <c r="M513" t="s">
        <v>2279</v>
      </c>
      <c r="N513" t="s">
        <v>2279</v>
      </c>
      <c r="O513" s="190" t="str">
        <f>"["&amp;$C513&amp;"]["&amp;$D513&amp;"]["&amp;$F513&amp;"]"</f>
        <v>[S05_FallBackApproachAppliedDetail][1][ParameterNotTier1]</v>
      </c>
    </row>
    <row r="514" spans="1:15" x14ac:dyDescent="0.3">
      <c r="A514" t="s">
        <v>2277</v>
      </c>
      <c r="B514" t="s">
        <v>1879</v>
      </c>
      <c r="C514" t="s">
        <v>1881</v>
      </c>
      <c r="D514">
        <v>2</v>
      </c>
      <c r="E514" t="s">
        <v>1447</v>
      </c>
      <c r="F514" t="s">
        <v>1884</v>
      </c>
      <c r="G514" t="s">
        <v>1737</v>
      </c>
      <c r="H514" t="s">
        <v>2279</v>
      </c>
      <c r="I514" t="s">
        <v>2279</v>
      </c>
      <c r="J514" t="s">
        <v>2279</v>
      </c>
      <c r="K514" t="s">
        <v>2279</v>
      </c>
      <c r="L514" t="s">
        <v>1428</v>
      </c>
      <c r="M514" t="s">
        <v>2279</v>
      </c>
      <c r="N514" t="s">
        <v>2279</v>
      </c>
      <c r="O514" s="190" t="str">
        <f>"["&amp;$C514&amp;"]["&amp;$D514&amp;"]["&amp;$F514&amp;"]"</f>
        <v>[S05_FallBackApproachAppliedDetail][2][ParameterNotTier1]</v>
      </c>
    </row>
    <row r="515" spans="1:15" x14ac:dyDescent="0.3">
      <c r="A515" t="s">
        <v>2277</v>
      </c>
      <c r="B515" t="s">
        <v>1879</v>
      </c>
      <c r="C515" t="s">
        <v>1881</v>
      </c>
      <c r="D515">
        <v>3</v>
      </c>
      <c r="E515" t="s">
        <v>1447</v>
      </c>
      <c r="F515" t="s">
        <v>1884</v>
      </c>
      <c r="G515" t="s">
        <v>1737</v>
      </c>
      <c r="H515" t="s">
        <v>2279</v>
      </c>
      <c r="I515" t="s">
        <v>2279</v>
      </c>
      <c r="J515" t="s">
        <v>2279</v>
      </c>
      <c r="K515" t="s">
        <v>2279</v>
      </c>
      <c r="L515" t="s">
        <v>1565</v>
      </c>
      <c r="M515" t="s">
        <v>2279</v>
      </c>
      <c r="N515" t="s">
        <v>2279</v>
      </c>
      <c r="O515" s="190" t="str">
        <f>"["&amp;$C515&amp;"]["&amp;$D515&amp;"]["&amp;$F515&amp;"]"</f>
        <v>[S05_FallBackApproachAppliedDetail][3][ParameterNotTier1]</v>
      </c>
    </row>
    <row r="516" spans="1:15" x14ac:dyDescent="0.3">
      <c r="A516" t="s">
        <v>2277</v>
      </c>
      <c r="B516" t="s">
        <v>1879</v>
      </c>
      <c r="C516" t="s">
        <v>1881</v>
      </c>
      <c r="D516">
        <v>4</v>
      </c>
      <c r="E516" t="s">
        <v>1447</v>
      </c>
      <c r="F516" t="s">
        <v>1884</v>
      </c>
      <c r="G516" t="s">
        <v>1737</v>
      </c>
      <c r="H516" t="s">
        <v>2279</v>
      </c>
      <c r="I516" t="s">
        <v>2279</v>
      </c>
      <c r="J516" t="s">
        <v>2279</v>
      </c>
      <c r="K516" t="s">
        <v>2279</v>
      </c>
      <c r="L516" t="s">
        <v>1456</v>
      </c>
      <c r="M516" t="s">
        <v>2279</v>
      </c>
      <c r="N516" t="s">
        <v>2279</v>
      </c>
      <c r="O516" s="190" t="str">
        <f>"["&amp;$C516&amp;"]["&amp;$D516&amp;"]["&amp;$F516&amp;"]"</f>
        <v>[S05_FallBackApproachAppliedDetail][4][ParameterNotTier1]</v>
      </c>
    </row>
    <row r="517" spans="1:15" x14ac:dyDescent="0.3">
      <c r="A517" t="s">
        <v>2277</v>
      </c>
      <c r="B517" t="s">
        <v>1879</v>
      </c>
      <c r="C517" t="s">
        <v>1881</v>
      </c>
      <c r="D517">
        <v>5</v>
      </c>
      <c r="E517" t="s">
        <v>1447</v>
      </c>
      <c r="F517" t="s">
        <v>1884</v>
      </c>
      <c r="G517" t="s">
        <v>1737</v>
      </c>
      <c r="H517" t="s">
        <v>2279</v>
      </c>
      <c r="I517" t="s">
        <v>2279</v>
      </c>
      <c r="J517" t="s">
        <v>2279</v>
      </c>
      <c r="K517" t="s">
        <v>2279</v>
      </c>
      <c r="L517" t="s">
        <v>1428</v>
      </c>
      <c r="M517" t="s">
        <v>2279</v>
      </c>
      <c r="N517" t="s">
        <v>2279</v>
      </c>
      <c r="O517" s="190" t="str">
        <f>"["&amp;$C517&amp;"]["&amp;$D517&amp;"]["&amp;$F517&amp;"]"</f>
        <v>[S05_FallBackApproachAppliedDetail][5][ParameterNotTier1]</v>
      </c>
    </row>
    <row r="518" spans="1:15" x14ac:dyDescent="0.3">
      <c r="A518" t="s">
        <v>2277</v>
      </c>
      <c r="B518" t="s">
        <v>1879</v>
      </c>
      <c r="C518" t="s">
        <v>1881</v>
      </c>
      <c r="D518">
        <v>6</v>
      </c>
      <c r="E518" t="s">
        <v>1447</v>
      </c>
      <c r="F518" t="s">
        <v>1884</v>
      </c>
      <c r="G518" t="s">
        <v>1737</v>
      </c>
      <c r="H518" t="s">
        <v>2279</v>
      </c>
      <c r="I518" t="s">
        <v>2279</v>
      </c>
      <c r="J518" t="s">
        <v>2279</v>
      </c>
      <c r="K518" t="s">
        <v>2279</v>
      </c>
      <c r="L518" t="s">
        <v>1428</v>
      </c>
      <c r="M518" t="s">
        <v>2279</v>
      </c>
      <c r="N518" t="s">
        <v>2279</v>
      </c>
      <c r="O518" s="190" t="str">
        <f>"["&amp;$C518&amp;"]["&amp;$D518&amp;"]["&amp;$F518&amp;"]"</f>
        <v>[S05_FallBackApproachAppliedDetail][6][ParameterNotTier1]</v>
      </c>
    </row>
    <row r="519" spans="1:15" x14ac:dyDescent="0.3">
      <c r="A519" t="s">
        <v>2277</v>
      </c>
      <c r="B519" t="s">
        <v>1879</v>
      </c>
      <c r="C519" t="s">
        <v>1881</v>
      </c>
      <c r="D519">
        <v>7</v>
      </c>
      <c r="E519" t="s">
        <v>1447</v>
      </c>
      <c r="F519" t="s">
        <v>1884</v>
      </c>
      <c r="G519" t="s">
        <v>1737</v>
      </c>
      <c r="H519" t="s">
        <v>2279</v>
      </c>
      <c r="I519" t="s">
        <v>2279</v>
      </c>
      <c r="J519" t="s">
        <v>2279</v>
      </c>
      <c r="K519" t="s">
        <v>2279</v>
      </c>
      <c r="L519" t="s">
        <v>1428</v>
      </c>
      <c r="M519" t="s">
        <v>2279</v>
      </c>
      <c r="N519" t="s">
        <v>2279</v>
      </c>
      <c r="O519" s="190" t="str">
        <f>"["&amp;$C519&amp;"]["&amp;$D519&amp;"]["&amp;$F519&amp;"]"</f>
        <v>[S05_FallBackApproachAppliedDetail][7][ParameterNotTier1]</v>
      </c>
    </row>
    <row r="520" spans="1:15" x14ac:dyDescent="0.3">
      <c r="A520" t="s">
        <v>2277</v>
      </c>
      <c r="B520" t="s">
        <v>1879</v>
      </c>
      <c r="C520" t="s">
        <v>1881</v>
      </c>
      <c r="D520">
        <v>1</v>
      </c>
      <c r="E520" t="s">
        <v>1447</v>
      </c>
      <c r="F520" t="s">
        <v>1885</v>
      </c>
      <c r="G520" t="s">
        <v>1806</v>
      </c>
      <c r="H520" t="s">
        <v>2279</v>
      </c>
      <c r="I520" t="s">
        <v>2279</v>
      </c>
      <c r="J520">
        <v>13728.02</v>
      </c>
      <c r="K520" t="s">
        <v>2279</v>
      </c>
      <c r="L520" t="s">
        <v>2279</v>
      </c>
      <c r="M520" t="s">
        <v>2279</v>
      </c>
      <c r="N520" t="s">
        <v>2279</v>
      </c>
      <c r="O520" s="190" t="str">
        <f>"["&amp;$C520&amp;"]["&amp;$D520&amp;"]["&amp;$F520&amp;"]"</f>
        <v>[S05_FallBackApproachAppliedDetail][1][ParameterEmissions]</v>
      </c>
    </row>
    <row r="521" spans="1:15" x14ac:dyDescent="0.3">
      <c r="A521" t="s">
        <v>2277</v>
      </c>
      <c r="B521" t="s">
        <v>1879</v>
      </c>
      <c r="C521" t="s">
        <v>1881</v>
      </c>
      <c r="D521">
        <v>2</v>
      </c>
      <c r="E521" t="s">
        <v>1447</v>
      </c>
      <c r="F521" t="s">
        <v>1885</v>
      </c>
      <c r="G521" t="s">
        <v>1806</v>
      </c>
      <c r="H521" t="s">
        <v>2279</v>
      </c>
      <c r="I521" t="s">
        <v>2279</v>
      </c>
      <c r="J521">
        <v>903.36</v>
      </c>
      <c r="K521" t="s">
        <v>2279</v>
      </c>
      <c r="L521" t="s">
        <v>2279</v>
      </c>
      <c r="M521" t="s">
        <v>2279</v>
      </c>
      <c r="N521" t="s">
        <v>2279</v>
      </c>
      <c r="O521" s="190" t="str">
        <f>"["&amp;$C521&amp;"]["&amp;$D521&amp;"]["&amp;$F521&amp;"]"</f>
        <v>[S05_FallBackApproachAppliedDetail][2][ParameterEmissions]</v>
      </c>
    </row>
    <row r="522" spans="1:15" x14ac:dyDescent="0.3">
      <c r="A522" t="s">
        <v>2277</v>
      </c>
      <c r="B522" t="s">
        <v>1879</v>
      </c>
      <c r="C522" t="s">
        <v>1881</v>
      </c>
      <c r="D522">
        <v>3</v>
      </c>
      <c r="E522" t="s">
        <v>1447</v>
      </c>
      <c r="F522" t="s">
        <v>1885</v>
      </c>
      <c r="G522" t="s">
        <v>1806</v>
      </c>
      <c r="H522" t="s">
        <v>2279</v>
      </c>
      <c r="I522" t="s">
        <v>2279</v>
      </c>
      <c r="J522">
        <v>416.75</v>
      </c>
      <c r="K522" t="s">
        <v>2279</v>
      </c>
      <c r="L522" t="s">
        <v>2279</v>
      </c>
      <c r="M522" t="s">
        <v>2279</v>
      </c>
      <c r="N522" t="s">
        <v>2279</v>
      </c>
      <c r="O522" s="190" t="str">
        <f>"["&amp;$C522&amp;"]["&amp;$D522&amp;"]["&amp;$F522&amp;"]"</f>
        <v>[S05_FallBackApproachAppliedDetail][3][ParameterEmissions]</v>
      </c>
    </row>
    <row r="523" spans="1:15" x14ac:dyDescent="0.3">
      <c r="A523" t="s">
        <v>2277</v>
      </c>
      <c r="B523" t="s">
        <v>1879</v>
      </c>
      <c r="C523" t="s">
        <v>1881</v>
      </c>
      <c r="D523">
        <v>4</v>
      </c>
      <c r="E523" t="s">
        <v>1447</v>
      </c>
      <c r="F523" t="s">
        <v>1885</v>
      </c>
      <c r="G523" t="s">
        <v>1806</v>
      </c>
      <c r="H523" t="s">
        <v>2279</v>
      </c>
      <c r="I523" t="s">
        <v>2279</v>
      </c>
      <c r="J523">
        <v>-4999.8320000000003</v>
      </c>
      <c r="K523" t="s">
        <v>2279</v>
      </c>
      <c r="L523" t="s">
        <v>2279</v>
      </c>
      <c r="M523" t="s">
        <v>2279</v>
      </c>
      <c r="N523" t="s">
        <v>2279</v>
      </c>
      <c r="O523" s="190" t="str">
        <f>"["&amp;$C523&amp;"]["&amp;$D523&amp;"]["&amp;$F523&amp;"]"</f>
        <v>[S05_FallBackApproachAppliedDetail][4][ParameterEmissions]</v>
      </c>
    </row>
    <row r="524" spans="1:15" x14ac:dyDescent="0.3">
      <c r="A524" t="s">
        <v>2277</v>
      </c>
      <c r="B524" t="s">
        <v>1879</v>
      </c>
      <c r="C524" t="s">
        <v>1881</v>
      </c>
      <c r="D524">
        <v>5</v>
      </c>
      <c r="E524" t="s">
        <v>1447</v>
      </c>
      <c r="F524" t="s">
        <v>1885</v>
      </c>
      <c r="G524" t="s">
        <v>1806</v>
      </c>
      <c r="H524" t="s">
        <v>2279</v>
      </c>
      <c r="I524" t="s">
        <v>2279</v>
      </c>
      <c r="J524">
        <v>558.4</v>
      </c>
      <c r="K524" t="s">
        <v>2279</v>
      </c>
      <c r="L524" t="s">
        <v>2279</v>
      </c>
      <c r="M524" t="s">
        <v>2279</v>
      </c>
      <c r="N524" t="s">
        <v>2279</v>
      </c>
      <c r="O524" s="190" t="str">
        <f>"["&amp;$C524&amp;"]["&amp;$D524&amp;"]["&amp;$F524&amp;"]"</f>
        <v>[S05_FallBackApproachAppliedDetail][5][ParameterEmissions]</v>
      </c>
    </row>
    <row r="525" spans="1:15" x14ac:dyDescent="0.3">
      <c r="A525" t="s">
        <v>2277</v>
      </c>
      <c r="B525" t="s">
        <v>1879</v>
      </c>
      <c r="C525" t="s">
        <v>1881</v>
      </c>
      <c r="D525">
        <v>6</v>
      </c>
      <c r="E525" t="s">
        <v>1447</v>
      </c>
      <c r="F525" t="s">
        <v>1885</v>
      </c>
      <c r="G525" t="s">
        <v>1806</v>
      </c>
      <c r="H525" t="s">
        <v>2279</v>
      </c>
      <c r="I525" t="s">
        <v>2279</v>
      </c>
      <c r="J525">
        <v>3597.4</v>
      </c>
      <c r="K525" t="s">
        <v>2279</v>
      </c>
      <c r="L525" t="s">
        <v>2279</v>
      </c>
      <c r="M525" t="s">
        <v>2279</v>
      </c>
      <c r="N525" t="s">
        <v>2279</v>
      </c>
      <c r="O525" s="190" t="str">
        <f>"["&amp;$C525&amp;"]["&amp;$D525&amp;"]["&amp;$F525&amp;"]"</f>
        <v>[S05_FallBackApproachAppliedDetail][6][ParameterEmissions]</v>
      </c>
    </row>
    <row r="526" spans="1:15" x14ac:dyDescent="0.3">
      <c r="A526" t="s">
        <v>2277</v>
      </c>
      <c r="B526" t="s">
        <v>1879</v>
      </c>
      <c r="C526" t="s">
        <v>1881</v>
      </c>
      <c r="D526">
        <v>7</v>
      </c>
      <c r="E526" t="s">
        <v>1447</v>
      </c>
      <c r="F526" t="s">
        <v>1885</v>
      </c>
      <c r="G526" t="s">
        <v>1806</v>
      </c>
      <c r="H526" t="s">
        <v>2279</v>
      </c>
      <c r="I526" t="s">
        <v>2279</v>
      </c>
      <c r="J526">
        <v>13584</v>
      </c>
      <c r="K526" t="s">
        <v>2279</v>
      </c>
      <c r="L526" t="s">
        <v>2279</v>
      </c>
      <c r="M526" t="s">
        <v>2279</v>
      </c>
      <c r="N526" t="s">
        <v>2279</v>
      </c>
      <c r="O526" s="190" t="str">
        <f>"["&amp;$C526&amp;"]["&amp;$D526&amp;"]["&amp;$F526&amp;"]"</f>
        <v>[S05_FallBackApproachAppliedDetail][7][ParameterEmissions]</v>
      </c>
    </row>
    <row r="527" spans="1:15" x14ac:dyDescent="0.3">
      <c r="A527" t="s">
        <v>2277</v>
      </c>
      <c r="B527" t="s">
        <v>1886</v>
      </c>
      <c r="C527" t="s">
        <v>1887</v>
      </c>
      <c r="D527">
        <v>1</v>
      </c>
      <c r="E527" t="s">
        <v>1447</v>
      </c>
      <c r="F527" t="s">
        <v>1856</v>
      </c>
      <c r="G527" t="s">
        <v>1737</v>
      </c>
      <c r="H527" t="s">
        <v>2279</v>
      </c>
      <c r="I527" t="s">
        <v>2279</v>
      </c>
      <c r="J527" t="s">
        <v>2279</v>
      </c>
      <c r="K527" t="s">
        <v>2279</v>
      </c>
      <c r="L527" t="s">
        <v>1460</v>
      </c>
      <c r="M527" t="s">
        <v>2279</v>
      </c>
      <c r="N527" t="s">
        <v>2279</v>
      </c>
      <c r="O527" s="190" t="str">
        <f>"["&amp;$C527&amp;"]["&amp;$D527&amp;"]["&amp;$F527&amp;"]"</f>
        <v>[S05_ImprovementReportArt69][1][InstallationCategory]</v>
      </c>
    </row>
    <row r="528" spans="1:15" x14ac:dyDescent="0.3">
      <c r="A528" t="s">
        <v>2277</v>
      </c>
      <c r="B528" t="s">
        <v>1886</v>
      </c>
      <c r="C528" t="s">
        <v>1887</v>
      </c>
      <c r="D528">
        <v>2</v>
      </c>
      <c r="E528" t="s">
        <v>1447</v>
      </c>
      <c r="F528" t="s">
        <v>1856</v>
      </c>
      <c r="G528" t="s">
        <v>1737</v>
      </c>
      <c r="H528" t="s">
        <v>2279</v>
      </c>
      <c r="I528" t="s">
        <v>2279</v>
      </c>
      <c r="J528" t="s">
        <v>2279</v>
      </c>
      <c r="K528" t="s">
        <v>2279</v>
      </c>
      <c r="L528" t="s">
        <v>1460</v>
      </c>
      <c r="M528" t="s">
        <v>2279</v>
      </c>
      <c r="N528" t="s">
        <v>2279</v>
      </c>
      <c r="O528" s="190" t="str">
        <f>"["&amp;$C528&amp;"]["&amp;$D528&amp;"]["&amp;$F528&amp;"]"</f>
        <v>[S05_ImprovementReportArt69][2][InstallationCategory]</v>
      </c>
    </row>
    <row r="529" spans="1:15" x14ac:dyDescent="0.3">
      <c r="A529" t="s">
        <v>2277</v>
      </c>
      <c r="B529" t="s">
        <v>1886</v>
      </c>
      <c r="C529" t="s">
        <v>1887</v>
      </c>
      <c r="D529">
        <v>3</v>
      </c>
      <c r="E529" t="s">
        <v>1447</v>
      </c>
      <c r="F529" t="s">
        <v>1856</v>
      </c>
      <c r="G529" t="s">
        <v>1737</v>
      </c>
      <c r="H529" t="s">
        <v>2279</v>
      </c>
      <c r="I529" t="s">
        <v>2279</v>
      </c>
      <c r="J529" t="s">
        <v>2279</v>
      </c>
      <c r="K529" t="s">
        <v>2279</v>
      </c>
      <c r="L529" t="s">
        <v>1487</v>
      </c>
      <c r="M529" t="s">
        <v>2279</v>
      </c>
      <c r="N529" t="s">
        <v>2279</v>
      </c>
      <c r="O529" s="190" t="str">
        <f>"["&amp;$C529&amp;"]["&amp;$D529&amp;"]["&amp;$F529&amp;"]"</f>
        <v>[S05_ImprovementReportArt69][3][InstallationCategory]</v>
      </c>
    </row>
    <row r="530" spans="1:15" x14ac:dyDescent="0.3">
      <c r="A530" t="s">
        <v>2277</v>
      </c>
      <c r="B530" t="s">
        <v>1886</v>
      </c>
      <c r="C530" t="s">
        <v>1887</v>
      </c>
      <c r="D530">
        <v>4</v>
      </c>
      <c r="E530" t="s">
        <v>1447</v>
      </c>
      <c r="F530" t="s">
        <v>1856</v>
      </c>
      <c r="G530" t="s">
        <v>1737</v>
      </c>
      <c r="H530" t="s">
        <v>2279</v>
      </c>
      <c r="I530" t="s">
        <v>2279</v>
      </c>
      <c r="J530" t="s">
        <v>2279</v>
      </c>
      <c r="K530" t="s">
        <v>2279</v>
      </c>
      <c r="L530" t="s">
        <v>1487</v>
      </c>
      <c r="M530" t="s">
        <v>2279</v>
      </c>
      <c r="N530" t="s">
        <v>2279</v>
      </c>
      <c r="O530" s="190" t="str">
        <f>"["&amp;$C530&amp;"]["&amp;$D530&amp;"]["&amp;$F530&amp;"]"</f>
        <v>[S05_ImprovementReportArt69][4][InstallationCategory]</v>
      </c>
    </row>
    <row r="531" spans="1:15" x14ac:dyDescent="0.3">
      <c r="A531" t="s">
        <v>2277</v>
      </c>
      <c r="B531" t="s">
        <v>1886</v>
      </c>
      <c r="C531" t="s">
        <v>1887</v>
      </c>
      <c r="D531">
        <v>5</v>
      </c>
      <c r="E531" t="s">
        <v>1447</v>
      </c>
      <c r="F531" t="s">
        <v>1856</v>
      </c>
      <c r="G531" t="s">
        <v>1737</v>
      </c>
      <c r="H531" t="s">
        <v>2279</v>
      </c>
      <c r="I531" t="s">
        <v>2279</v>
      </c>
      <c r="J531" t="s">
        <v>2279</v>
      </c>
      <c r="K531" t="s">
        <v>2279</v>
      </c>
      <c r="L531" t="s">
        <v>1487</v>
      </c>
      <c r="M531" t="s">
        <v>2279</v>
      </c>
      <c r="N531" t="s">
        <v>2279</v>
      </c>
      <c r="O531" s="190" t="str">
        <f>"["&amp;$C531&amp;"]["&amp;$D531&amp;"]["&amp;$F531&amp;"]"</f>
        <v>[S05_ImprovementReportArt69][5][InstallationCategory]</v>
      </c>
    </row>
    <row r="532" spans="1:15" x14ac:dyDescent="0.3">
      <c r="A532" t="s">
        <v>2277</v>
      </c>
      <c r="B532" t="s">
        <v>1886</v>
      </c>
      <c r="C532" t="s">
        <v>1887</v>
      </c>
      <c r="D532">
        <v>6</v>
      </c>
      <c r="E532" t="s">
        <v>1447</v>
      </c>
      <c r="F532" t="s">
        <v>1856</v>
      </c>
      <c r="G532" t="s">
        <v>1737</v>
      </c>
      <c r="H532" t="s">
        <v>2279</v>
      </c>
      <c r="I532" t="s">
        <v>2279</v>
      </c>
      <c r="J532" t="s">
        <v>2279</v>
      </c>
      <c r="K532" t="s">
        <v>2279</v>
      </c>
      <c r="L532" t="s">
        <v>1487</v>
      </c>
      <c r="M532" t="s">
        <v>2279</v>
      </c>
      <c r="N532" t="s">
        <v>2279</v>
      </c>
      <c r="O532" s="190" t="str">
        <f>"["&amp;$C532&amp;"]["&amp;$D532&amp;"]["&amp;$F532&amp;"]"</f>
        <v>[S05_ImprovementReportArt69][6][InstallationCategory]</v>
      </c>
    </row>
    <row r="533" spans="1:15" x14ac:dyDescent="0.3">
      <c r="A533" t="s">
        <v>2277</v>
      </c>
      <c r="B533" t="s">
        <v>1886</v>
      </c>
      <c r="C533" t="s">
        <v>1887</v>
      </c>
      <c r="D533">
        <v>7</v>
      </c>
      <c r="E533" t="s">
        <v>1447</v>
      </c>
      <c r="F533" t="s">
        <v>1856</v>
      </c>
      <c r="G533" t="s">
        <v>1737</v>
      </c>
      <c r="H533" t="s">
        <v>2279</v>
      </c>
      <c r="I533" t="s">
        <v>2279</v>
      </c>
      <c r="J533" t="s">
        <v>2279</v>
      </c>
      <c r="K533" t="s">
        <v>2279</v>
      </c>
      <c r="L533" t="s">
        <v>1487</v>
      </c>
      <c r="M533" t="s">
        <v>2279</v>
      </c>
      <c r="N533" t="s">
        <v>2279</v>
      </c>
      <c r="O533" s="190" t="str">
        <f>"["&amp;$C533&amp;"]["&amp;$D533&amp;"]["&amp;$F533&amp;"]"</f>
        <v>[S05_ImprovementReportArt69][7][InstallationCategory]</v>
      </c>
    </row>
    <row r="534" spans="1:15" x14ac:dyDescent="0.3">
      <c r="A534" t="s">
        <v>2277</v>
      </c>
      <c r="B534" t="s">
        <v>1886</v>
      </c>
      <c r="C534" t="s">
        <v>1887</v>
      </c>
      <c r="D534">
        <v>8</v>
      </c>
      <c r="E534" t="s">
        <v>1447</v>
      </c>
      <c r="F534" t="s">
        <v>1856</v>
      </c>
      <c r="G534" t="s">
        <v>1737</v>
      </c>
      <c r="H534" t="s">
        <v>2279</v>
      </c>
      <c r="I534" t="s">
        <v>2279</v>
      </c>
      <c r="J534" t="s">
        <v>2279</v>
      </c>
      <c r="K534" t="s">
        <v>2279</v>
      </c>
      <c r="L534" t="s">
        <v>1487</v>
      </c>
      <c r="M534" t="s">
        <v>2279</v>
      </c>
      <c r="N534" t="s">
        <v>2279</v>
      </c>
      <c r="O534" s="190" t="str">
        <f>"["&amp;$C534&amp;"]["&amp;$D534&amp;"]["&amp;$F534&amp;"]"</f>
        <v>[S05_ImprovementReportArt69][8][InstallationCategory]</v>
      </c>
    </row>
    <row r="535" spans="1:15" x14ac:dyDescent="0.3">
      <c r="A535" t="s">
        <v>2277</v>
      </c>
      <c r="B535" t="s">
        <v>1886</v>
      </c>
      <c r="C535" t="s">
        <v>1887</v>
      </c>
      <c r="D535">
        <v>9</v>
      </c>
      <c r="E535" t="s">
        <v>1447</v>
      </c>
      <c r="F535" t="s">
        <v>1856</v>
      </c>
      <c r="G535" t="s">
        <v>1737</v>
      </c>
      <c r="H535" t="s">
        <v>2279</v>
      </c>
      <c r="I535" t="s">
        <v>2279</v>
      </c>
      <c r="J535" t="s">
        <v>2279</v>
      </c>
      <c r="K535" t="s">
        <v>2279</v>
      </c>
      <c r="L535" t="s">
        <v>1487</v>
      </c>
      <c r="M535" t="s">
        <v>2279</v>
      </c>
      <c r="N535" t="s">
        <v>2279</v>
      </c>
      <c r="O535" s="190" t="str">
        <f>"["&amp;$C535&amp;"]["&amp;$D535&amp;"]["&amp;$F535&amp;"]"</f>
        <v>[S05_ImprovementReportArt69][9][InstallationCategory]</v>
      </c>
    </row>
    <row r="536" spans="1:15" x14ac:dyDescent="0.3">
      <c r="A536" t="s">
        <v>2277</v>
      </c>
      <c r="B536" t="s">
        <v>1886</v>
      </c>
      <c r="C536" t="s">
        <v>1887</v>
      </c>
      <c r="D536">
        <v>10</v>
      </c>
      <c r="E536" t="s">
        <v>1447</v>
      </c>
      <c r="F536" t="s">
        <v>1856</v>
      </c>
      <c r="G536" t="s">
        <v>1737</v>
      </c>
      <c r="H536" t="s">
        <v>2279</v>
      </c>
      <c r="I536" t="s">
        <v>2279</v>
      </c>
      <c r="J536" t="s">
        <v>2279</v>
      </c>
      <c r="K536" t="s">
        <v>2279</v>
      </c>
      <c r="L536" t="s">
        <v>1487</v>
      </c>
      <c r="M536" t="s">
        <v>2279</v>
      </c>
      <c r="N536" t="s">
        <v>2279</v>
      </c>
      <c r="O536" s="190" t="str">
        <f>"["&amp;$C536&amp;"]["&amp;$D536&amp;"]["&amp;$F536&amp;"]"</f>
        <v>[S05_ImprovementReportArt69][10][InstallationCategory]</v>
      </c>
    </row>
    <row r="537" spans="1:15" x14ac:dyDescent="0.3">
      <c r="A537" t="s">
        <v>2277</v>
      </c>
      <c r="B537" t="s">
        <v>1886</v>
      </c>
      <c r="C537" t="s">
        <v>1887</v>
      </c>
      <c r="D537">
        <v>11</v>
      </c>
      <c r="E537" t="s">
        <v>1447</v>
      </c>
      <c r="F537" t="s">
        <v>1856</v>
      </c>
      <c r="G537" t="s">
        <v>1737</v>
      </c>
      <c r="H537" t="s">
        <v>2279</v>
      </c>
      <c r="I537" t="s">
        <v>2279</v>
      </c>
      <c r="J537" t="s">
        <v>2279</v>
      </c>
      <c r="K537" t="s">
        <v>2279</v>
      </c>
      <c r="L537" t="s">
        <v>1487</v>
      </c>
      <c r="M537" t="s">
        <v>2279</v>
      </c>
      <c r="N537" t="s">
        <v>2279</v>
      </c>
      <c r="O537" s="190" t="str">
        <f>"["&amp;$C537&amp;"]["&amp;$D537&amp;"]["&amp;$F537&amp;"]"</f>
        <v>[S05_ImprovementReportArt69][11][InstallationCategory]</v>
      </c>
    </row>
    <row r="538" spans="1:15" x14ac:dyDescent="0.3">
      <c r="A538" t="s">
        <v>2277</v>
      </c>
      <c r="B538" t="s">
        <v>1886</v>
      </c>
      <c r="C538" t="s">
        <v>1887</v>
      </c>
      <c r="D538">
        <v>12</v>
      </c>
      <c r="E538" t="s">
        <v>1447</v>
      </c>
      <c r="F538" t="s">
        <v>1856</v>
      </c>
      <c r="G538" t="s">
        <v>1737</v>
      </c>
      <c r="H538" t="s">
        <v>2279</v>
      </c>
      <c r="I538" t="s">
        <v>2279</v>
      </c>
      <c r="J538" t="s">
        <v>2279</v>
      </c>
      <c r="K538" t="s">
        <v>2279</v>
      </c>
      <c r="L538" t="s">
        <v>1487</v>
      </c>
      <c r="M538" t="s">
        <v>2279</v>
      </c>
      <c r="N538" t="s">
        <v>2279</v>
      </c>
      <c r="O538" s="190" t="str">
        <f>"["&amp;$C538&amp;"]["&amp;$D538&amp;"]["&amp;$F538&amp;"]"</f>
        <v>[S05_ImprovementReportArt69][12][InstallationCategory]</v>
      </c>
    </row>
    <row r="539" spans="1:15" x14ac:dyDescent="0.3">
      <c r="A539" t="s">
        <v>2277</v>
      </c>
      <c r="B539" t="s">
        <v>1886</v>
      </c>
      <c r="C539" t="s">
        <v>1887</v>
      </c>
      <c r="D539">
        <v>13</v>
      </c>
      <c r="E539" t="s">
        <v>1447</v>
      </c>
      <c r="F539" t="s">
        <v>1856</v>
      </c>
      <c r="G539" t="s">
        <v>1737</v>
      </c>
      <c r="H539" t="s">
        <v>2279</v>
      </c>
      <c r="I539" t="s">
        <v>2279</v>
      </c>
      <c r="J539" t="s">
        <v>2279</v>
      </c>
      <c r="K539" t="s">
        <v>2279</v>
      </c>
      <c r="L539" t="s">
        <v>1487</v>
      </c>
      <c r="M539" t="s">
        <v>2279</v>
      </c>
      <c r="N539" t="s">
        <v>2279</v>
      </c>
      <c r="O539" s="190" t="str">
        <f>"["&amp;$C539&amp;"]["&amp;$D539&amp;"]["&amp;$F539&amp;"]"</f>
        <v>[S05_ImprovementReportArt69][13][InstallationCategory]</v>
      </c>
    </row>
    <row r="540" spans="1:15" x14ac:dyDescent="0.3">
      <c r="A540" t="s">
        <v>2277</v>
      </c>
      <c r="B540" t="s">
        <v>1886</v>
      </c>
      <c r="C540" t="s">
        <v>1887</v>
      </c>
      <c r="D540">
        <v>14</v>
      </c>
      <c r="E540" t="s">
        <v>1447</v>
      </c>
      <c r="F540" t="s">
        <v>1856</v>
      </c>
      <c r="G540" t="s">
        <v>1737</v>
      </c>
      <c r="H540" t="s">
        <v>2279</v>
      </c>
      <c r="I540" t="s">
        <v>2279</v>
      </c>
      <c r="J540" t="s">
        <v>2279</v>
      </c>
      <c r="K540" t="s">
        <v>2279</v>
      </c>
      <c r="L540" t="s">
        <v>1487</v>
      </c>
      <c r="M540" t="s">
        <v>2279</v>
      </c>
      <c r="N540" t="s">
        <v>2279</v>
      </c>
      <c r="O540" s="190" t="str">
        <f>"["&amp;$C540&amp;"]["&amp;$D540&amp;"]["&amp;$F540&amp;"]"</f>
        <v>[S05_ImprovementReportArt69][14][InstallationCategory]</v>
      </c>
    </row>
    <row r="541" spans="1:15" x14ac:dyDescent="0.3">
      <c r="A541" t="s">
        <v>2277</v>
      </c>
      <c r="B541" t="s">
        <v>1886</v>
      </c>
      <c r="C541" t="s">
        <v>1887</v>
      </c>
      <c r="D541">
        <v>15</v>
      </c>
      <c r="E541" t="s">
        <v>1447</v>
      </c>
      <c r="F541" t="s">
        <v>1856</v>
      </c>
      <c r="G541" t="s">
        <v>1737</v>
      </c>
      <c r="H541" t="s">
        <v>2279</v>
      </c>
      <c r="I541" t="s">
        <v>2279</v>
      </c>
      <c r="J541" t="s">
        <v>2279</v>
      </c>
      <c r="K541" t="s">
        <v>2279</v>
      </c>
      <c r="L541" t="s">
        <v>1460</v>
      </c>
      <c r="M541" t="s">
        <v>2279</v>
      </c>
      <c r="N541" t="s">
        <v>2279</v>
      </c>
      <c r="O541" s="190" t="str">
        <f>"["&amp;$C541&amp;"]["&amp;$D541&amp;"]["&amp;$F541&amp;"]"</f>
        <v>[S05_ImprovementReportArt69][15][InstallationCategory]</v>
      </c>
    </row>
    <row r="542" spans="1:15" x14ac:dyDescent="0.3">
      <c r="A542" t="s">
        <v>2277</v>
      </c>
      <c r="B542" t="s">
        <v>1886</v>
      </c>
      <c r="C542" t="s">
        <v>1887</v>
      </c>
      <c r="D542">
        <v>16</v>
      </c>
      <c r="E542" t="s">
        <v>1447</v>
      </c>
      <c r="F542" t="s">
        <v>1856</v>
      </c>
      <c r="G542" t="s">
        <v>1737</v>
      </c>
      <c r="H542" t="s">
        <v>2279</v>
      </c>
      <c r="I542" t="s">
        <v>2279</v>
      </c>
      <c r="J542" t="s">
        <v>2279</v>
      </c>
      <c r="K542" t="s">
        <v>2279</v>
      </c>
      <c r="L542" t="s">
        <v>1460</v>
      </c>
      <c r="M542" t="s">
        <v>2279</v>
      </c>
      <c r="N542" t="s">
        <v>2279</v>
      </c>
      <c r="O542" s="190" t="str">
        <f>"["&amp;$C542&amp;"]["&amp;$D542&amp;"]["&amp;$F542&amp;"]"</f>
        <v>[S05_ImprovementReportArt69][16][InstallationCategory]</v>
      </c>
    </row>
    <row r="543" spans="1:15" x14ac:dyDescent="0.3">
      <c r="A543" t="s">
        <v>2277</v>
      </c>
      <c r="B543" t="s">
        <v>1886</v>
      </c>
      <c r="C543" t="s">
        <v>1887</v>
      </c>
      <c r="D543">
        <v>17</v>
      </c>
      <c r="E543" t="s">
        <v>1447</v>
      </c>
      <c r="F543" t="s">
        <v>1856</v>
      </c>
      <c r="G543" t="s">
        <v>1737</v>
      </c>
      <c r="H543" t="s">
        <v>2279</v>
      </c>
      <c r="I543" t="s">
        <v>2279</v>
      </c>
      <c r="J543" t="s">
        <v>2279</v>
      </c>
      <c r="K543" t="s">
        <v>2279</v>
      </c>
      <c r="L543" t="s">
        <v>1460</v>
      </c>
      <c r="M543" t="s">
        <v>2279</v>
      </c>
      <c r="N543" t="s">
        <v>2279</v>
      </c>
      <c r="O543" s="190" t="str">
        <f>"["&amp;$C543&amp;"]["&amp;$D543&amp;"]["&amp;$F543&amp;"]"</f>
        <v>[S05_ImprovementReportArt69][17][InstallationCategory]</v>
      </c>
    </row>
    <row r="544" spans="1:15" x14ac:dyDescent="0.3">
      <c r="A544" t="s">
        <v>2277</v>
      </c>
      <c r="B544" t="s">
        <v>1886</v>
      </c>
      <c r="C544" t="s">
        <v>1887</v>
      </c>
      <c r="D544">
        <v>18</v>
      </c>
      <c r="E544" t="s">
        <v>1447</v>
      </c>
      <c r="F544" t="s">
        <v>1856</v>
      </c>
      <c r="G544" t="s">
        <v>1737</v>
      </c>
      <c r="H544" t="s">
        <v>2279</v>
      </c>
      <c r="I544" t="s">
        <v>2279</v>
      </c>
      <c r="J544" t="s">
        <v>2279</v>
      </c>
      <c r="K544" t="s">
        <v>2279</v>
      </c>
      <c r="L544" t="s">
        <v>1460</v>
      </c>
      <c r="M544" t="s">
        <v>2279</v>
      </c>
      <c r="N544" t="s">
        <v>2279</v>
      </c>
      <c r="O544" s="190" t="str">
        <f>"["&amp;$C544&amp;"]["&amp;$D544&amp;"]["&amp;$F544&amp;"]"</f>
        <v>[S05_ImprovementReportArt69][18][InstallationCategory]</v>
      </c>
    </row>
    <row r="545" spans="1:15" x14ac:dyDescent="0.3">
      <c r="A545" t="s">
        <v>2277</v>
      </c>
      <c r="B545" t="s">
        <v>1886</v>
      </c>
      <c r="C545" t="s">
        <v>1887</v>
      </c>
      <c r="D545">
        <v>19</v>
      </c>
      <c r="E545" t="s">
        <v>1447</v>
      </c>
      <c r="F545" t="s">
        <v>1856</v>
      </c>
      <c r="G545" t="s">
        <v>1737</v>
      </c>
      <c r="H545" t="s">
        <v>2279</v>
      </c>
      <c r="I545" t="s">
        <v>2279</v>
      </c>
      <c r="J545" t="s">
        <v>2279</v>
      </c>
      <c r="K545" t="s">
        <v>2279</v>
      </c>
      <c r="L545" t="s">
        <v>1460</v>
      </c>
      <c r="M545" t="s">
        <v>2279</v>
      </c>
      <c r="N545" t="s">
        <v>2279</v>
      </c>
      <c r="O545" s="190" t="str">
        <f>"["&amp;$C545&amp;"]["&amp;$D545&amp;"]["&amp;$F545&amp;"]"</f>
        <v>[S05_ImprovementReportArt69][19][InstallationCategory]</v>
      </c>
    </row>
    <row r="546" spans="1:15" x14ac:dyDescent="0.3">
      <c r="A546" t="s">
        <v>2277</v>
      </c>
      <c r="B546" t="s">
        <v>1886</v>
      </c>
      <c r="C546" t="s">
        <v>1887</v>
      </c>
      <c r="D546">
        <v>20</v>
      </c>
      <c r="E546" t="s">
        <v>1447</v>
      </c>
      <c r="F546" t="s">
        <v>1856</v>
      </c>
      <c r="G546" t="s">
        <v>1737</v>
      </c>
      <c r="H546" t="s">
        <v>2279</v>
      </c>
      <c r="I546" t="s">
        <v>2279</v>
      </c>
      <c r="J546" t="s">
        <v>2279</v>
      </c>
      <c r="K546" t="s">
        <v>2279</v>
      </c>
      <c r="L546" t="s">
        <v>1460</v>
      </c>
      <c r="M546" t="s">
        <v>2279</v>
      </c>
      <c r="N546" t="s">
        <v>2279</v>
      </c>
      <c r="O546" s="190" t="str">
        <f>"["&amp;$C546&amp;"]["&amp;$D546&amp;"]["&amp;$F546&amp;"]"</f>
        <v>[S05_ImprovementReportArt69][20][InstallationCategory]</v>
      </c>
    </row>
    <row r="547" spans="1:15" x14ac:dyDescent="0.3">
      <c r="A547" t="s">
        <v>2277</v>
      </c>
      <c r="B547" t="s">
        <v>1886</v>
      </c>
      <c r="C547" t="s">
        <v>1887</v>
      </c>
      <c r="D547">
        <v>21</v>
      </c>
      <c r="E547" t="s">
        <v>1447</v>
      </c>
      <c r="F547" t="s">
        <v>1856</v>
      </c>
      <c r="G547" t="s">
        <v>1737</v>
      </c>
      <c r="H547" t="s">
        <v>2279</v>
      </c>
      <c r="I547" t="s">
        <v>2279</v>
      </c>
      <c r="J547" t="s">
        <v>2279</v>
      </c>
      <c r="K547" t="s">
        <v>2279</v>
      </c>
      <c r="L547" t="s">
        <v>1460</v>
      </c>
      <c r="M547" t="s">
        <v>2279</v>
      </c>
      <c r="N547" t="s">
        <v>2279</v>
      </c>
      <c r="O547" s="190" t="str">
        <f>"["&amp;$C547&amp;"]["&amp;$D547&amp;"]["&amp;$F547&amp;"]"</f>
        <v>[S05_ImprovementReportArt69][21][InstallationCategory]</v>
      </c>
    </row>
    <row r="548" spans="1:15" x14ac:dyDescent="0.3">
      <c r="A548" t="s">
        <v>2277</v>
      </c>
      <c r="B548" t="s">
        <v>1886</v>
      </c>
      <c r="C548" t="s">
        <v>1887</v>
      </c>
      <c r="D548">
        <v>22</v>
      </c>
      <c r="E548" t="s">
        <v>1447</v>
      </c>
      <c r="F548" t="s">
        <v>1856</v>
      </c>
      <c r="G548" t="s">
        <v>1737</v>
      </c>
      <c r="H548" t="s">
        <v>2279</v>
      </c>
      <c r="I548" t="s">
        <v>2279</v>
      </c>
      <c r="J548" t="s">
        <v>2279</v>
      </c>
      <c r="K548" t="s">
        <v>2279</v>
      </c>
      <c r="L548" t="s">
        <v>1460</v>
      </c>
      <c r="M548" t="s">
        <v>2279</v>
      </c>
      <c r="N548" t="s">
        <v>2279</v>
      </c>
      <c r="O548" s="190" t="str">
        <f>"["&amp;$C548&amp;"]["&amp;$D548&amp;"]["&amp;$F548&amp;"]"</f>
        <v>[S05_ImprovementReportArt69][22][InstallationCategory]</v>
      </c>
    </row>
    <row r="549" spans="1:15" x14ac:dyDescent="0.3">
      <c r="A549" t="s">
        <v>2277</v>
      </c>
      <c r="B549" t="s">
        <v>1886</v>
      </c>
      <c r="C549" t="s">
        <v>1887</v>
      </c>
      <c r="D549">
        <v>23</v>
      </c>
      <c r="E549" t="s">
        <v>1447</v>
      </c>
      <c r="F549" t="s">
        <v>1856</v>
      </c>
      <c r="G549" t="s">
        <v>1737</v>
      </c>
      <c r="H549" t="s">
        <v>2279</v>
      </c>
      <c r="I549" t="s">
        <v>2279</v>
      </c>
      <c r="J549" t="s">
        <v>2279</v>
      </c>
      <c r="K549" t="s">
        <v>2279</v>
      </c>
      <c r="L549" t="s">
        <v>1460</v>
      </c>
      <c r="M549" t="s">
        <v>2279</v>
      </c>
      <c r="N549" t="s">
        <v>2279</v>
      </c>
      <c r="O549" s="190" t="str">
        <f>"["&amp;$C549&amp;"]["&amp;$D549&amp;"]["&amp;$F549&amp;"]"</f>
        <v>[S05_ImprovementReportArt69][23][InstallationCategory]</v>
      </c>
    </row>
    <row r="550" spans="1:15" x14ac:dyDescent="0.3">
      <c r="A550" t="s">
        <v>2277</v>
      </c>
      <c r="B550" t="s">
        <v>1886</v>
      </c>
      <c r="C550" t="s">
        <v>1887</v>
      </c>
      <c r="D550">
        <v>24</v>
      </c>
      <c r="E550" t="s">
        <v>1447</v>
      </c>
      <c r="F550" t="s">
        <v>1856</v>
      </c>
      <c r="G550" t="s">
        <v>1737</v>
      </c>
      <c r="H550" t="s">
        <v>2279</v>
      </c>
      <c r="I550" t="s">
        <v>2279</v>
      </c>
      <c r="J550" t="s">
        <v>2279</v>
      </c>
      <c r="K550" t="s">
        <v>2279</v>
      </c>
      <c r="L550" t="s">
        <v>1460</v>
      </c>
      <c r="M550" t="s">
        <v>2279</v>
      </c>
      <c r="N550" t="s">
        <v>2279</v>
      </c>
      <c r="O550" s="190" t="str">
        <f>"["&amp;$C550&amp;"]["&amp;$D550&amp;"]["&amp;$F550&amp;"]"</f>
        <v>[S05_ImprovementReportArt69][24][InstallationCategory]</v>
      </c>
    </row>
    <row r="551" spans="1:15" x14ac:dyDescent="0.3">
      <c r="A551" t="s">
        <v>2277</v>
      </c>
      <c r="B551" t="s">
        <v>1886</v>
      </c>
      <c r="C551" t="s">
        <v>1887</v>
      </c>
      <c r="D551">
        <v>25</v>
      </c>
      <c r="E551" t="s">
        <v>1447</v>
      </c>
      <c r="F551" t="s">
        <v>1856</v>
      </c>
      <c r="G551" t="s">
        <v>1737</v>
      </c>
      <c r="H551" t="s">
        <v>2279</v>
      </c>
      <c r="I551" t="s">
        <v>2279</v>
      </c>
      <c r="J551" t="s">
        <v>2279</v>
      </c>
      <c r="K551" t="s">
        <v>2279</v>
      </c>
      <c r="L551" t="s">
        <v>1460</v>
      </c>
      <c r="M551" t="s">
        <v>2279</v>
      </c>
      <c r="N551" t="s">
        <v>2279</v>
      </c>
      <c r="O551" s="190" t="str">
        <f>"["&amp;$C551&amp;"]["&amp;$D551&amp;"]["&amp;$F551&amp;"]"</f>
        <v>[S05_ImprovementReportArt69][25][InstallationCategory]</v>
      </c>
    </row>
    <row r="552" spans="1:15" x14ac:dyDescent="0.3">
      <c r="A552" t="s">
        <v>2277</v>
      </c>
      <c r="B552" t="s">
        <v>1886</v>
      </c>
      <c r="C552" t="s">
        <v>1887</v>
      </c>
      <c r="D552">
        <v>26</v>
      </c>
      <c r="E552" t="s">
        <v>1447</v>
      </c>
      <c r="F552" t="s">
        <v>1856</v>
      </c>
      <c r="G552" t="s">
        <v>1737</v>
      </c>
      <c r="H552" t="s">
        <v>2279</v>
      </c>
      <c r="I552" t="s">
        <v>2279</v>
      </c>
      <c r="J552" t="s">
        <v>2279</v>
      </c>
      <c r="K552" t="s">
        <v>2279</v>
      </c>
      <c r="L552" t="s">
        <v>1460</v>
      </c>
      <c r="M552" t="s">
        <v>2279</v>
      </c>
      <c r="N552" t="s">
        <v>2279</v>
      </c>
      <c r="O552" s="190" t="str">
        <f>"["&amp;$C552&amp;"]["&amp;$D552&amp;"]["&amp;$F552&amp;"]"</f>
        <v>[S05_ImprovementReportArt69][26][InstallationCategory]</v>
      </c>
    </row>
    <row r="553" spans="1:15" x14ac:dyDescent="0.3">
      <c r="A553" t="s">
        <v>2277</v>
      </c>
      <c r="B553" t="s">
        <v>1886</v>
      </c>
      <c r="C553" t="s">
        <v>1887</v>
      </c>
      <c r="D553">
        <v>27</v>
      </c>
      <c r="E553" t="s">
        <v>1447</v>
      </c>
      <c r="F553" t="s">
        <v>1856</v>
      </c>
      <c r="G553" t="s">
        <v>1737</v>
      </c>
      <c r="H553" t="s">
        <v>2279</v>
      </c>
      <c r="I553" t="s">
        <v>2279</v>
      </c>
      <c r="J553" t="s">
        <v>2279</v>
      </c>
      <c r="K553" t="s">
        <v>2279</v>
      </c>
      <c r="L553" t="s">
        <v>1460</v>
      </c>
      <c r="M553" t="s">
        <v>2279</v>
      </c>
      <c r="N553" t="s">
        <v>2279</v>
      </c>
      <c r="O553" s="190" t="str">
        <f>"["&amp;$C553&amp;"]["&amp;$D553&amp;"]["&amp;$F553&amp;"]"</f>
        <v>[S05_ImprovementReportArt69][27][InstallationCategory]</v>
      </c>
    </row>
    <row r="554" spans="1:15" x14ac:dyDescent="0.3">
      <c r="A554" t="s">
        <v>2277</v>
      </c>
      <c r="B554" t="s">
        <v>1886</v>
      </c>
      <c r="C554" t="s">
        <v>1887</v>
      </c>
      <c r="D554">
        <v>28</v>
      </c>
      <c r="E554" t="s">
        <v>1447</v>
      </c>
      <c r="F554" t="s">
        <v>1856</v>
      </c>
      <c r="G554" t="s">
        <v>1737</v>
      </c>
      <c r="H554" t="s">
        <v>2279</v>
      </c>
      <c r="I554" t="s">
        <v>2279</v>
      </c>
      <c r="J554" t="s">
        <v>2279</v>
      </c>
      <c r="K554" t="s">
        <v>2279</v>
      </c>
      <c r="L554" t="s">
        <v>1460</v>
      </c>
      <c r="M554" t="s">
        <v>2279</v>
      </c>
      <c r="N554" t="s">
        <v>2279</v>
      </c>
      <c r="O554" s="190" t="str">
        <f>"["&amp;$C554&amp;"]["&amp;$D554&amp;"]["&amp;$F554&amp;"]"</f>
        <v>[S05_ImprovementReportArt69][28][InstallationCategory]</v>
      </c>
    </row>
    <row r="555" spans="1:15" x14ac:dyDescent="0.3">
      <c r="A555" t="s">
        <v>2277</v>
      </c>
      <c r="B555" t="s">
        <v>1886</v>
      </c>
      <c r="C555" t="s">
        <v>1887</v>
      </c>
      <c r="D555">
        <v>29</v>
      </c>
      <c r="E555" t="s">
        <v>1447</v>
      </c>
      <c r="F555" t="s">
        <v>1856</v>
      </c>
      <c r="G555" t="s">
        <v>1737</v>
      </c>
      <c r="H555" t="s">
        <v>2279</v>
      </c>
      <c r="I555" t="s">
        <v>2279</v>
      </c>
      <c r="J555" t="s">
        <v>2279</v>
      </c>
      <c r="K555" t="s">
        <v>2279</v>
      </c>
      <c r="L555" t="s">
        <v>1460</v>
      </c>
      <c r="M555" t="s">
        <v>2279</v>
      </c>
      <c r="N555" t="s">
        <v>2279</v>
      </c>
      <c r="O555" s="190" t="str">
        <f>"["&amp;$C555&amp;"]["&amp;$D555&amp;"]["&amp;$F555&amp;"]"</f>
        <v>[S05_ImprovementReportArt69][29][InstallationCategory]</v>
      </c>
    </row>
    <row r="556" spans="1:15" x14ac:dyDescent="0.3">
      <c r="A556" t="s">
        <v>2277</v>
      </c>
      <c r="B556" t="s">
        <v>1886</v>
      </c>
      <c r="C556" t="s">
        <v>1887</v>
      </c>
      <c r="D556">
        <v>30</v>
      </c>
      <c r="E556" t="s">
        <v>1447</v>
      </c>
      <c r="F556" t="s">
        <v>1856</v>
      </c>
      <c r="G556" t="s">
        <v>1737</v>
      </c>
      <c r="H556" t="s">
        <v>2279</v>
      </c>
      <c r="I556" t="s">
        <v>2279</v>
      </c>
      <c r="J556" t="s">
        <v>2279</v>
      </c>
      <c r="K556" t="s">
        <v>2279</v>
      </c>
      <c r="L556" t="s">
        <v>1460</v>
      </c>
      <c r="M556" t="s">
        <v>2279</v>
      </c>
      <c r="N556" t="s">
        <v>2279</v>
      </c>
      <c r="O556" s="190" t="str">
        <f>"["&amp;$C556&amp;"]["&amp;$D556&amp;"]["&amp;$F556&amp;"]"</f>
        <v>[S05_ImprovementReportArt69][30][InstallationCategory]</v>
      </c>
    </row>
    <row r="557" spans="1:15" x14ac:dyDescent="0.3">
      <c r="A557" t="s">
        <v>2277</v>
      </c>
      <c r="B557" t="s">
        <v>1886</v>
      </c>
      <c r="C557" t="s">
        <v>1887</v>
      </c>
      <c r="D557">
        <v>31</v>
      </c>
      <c r="E557" t="s">
        <v>1447</v>
      </c>
      <c r="F557" t="s">
        <v>1856</v>
      </c>
      <c r="G557" t="s">
        <v>1737</v>
      </c>
      <c r="H557" t="s">
        <v>2279</v>
      </c>
      <c r="I557" t="s">
        <v>2279</v>
      </c>
      <c r="J557" t="s">
        <v>2279</v>
      </c>
      <c r="K557" t="s">
        <v>2279</v>
      </c>
      <c r="L557" t="s">
        <v>1432</v>
      </c>
      <c r="M557" t="s">
        <v>2279</v>
      </c>
      <c r="N557" t="s">
        <v>2279</v>
      </c>
      <c r="O557" s="190" t="str">
        <f>"["&amp;$C557&amp;"]["&amp;$D557&amp;"]["&amp;$F557&amp;"]"</f>
        <v>[S05_ImprovementReportArt69][31][InstallationCategory]</v>
      </c>
    </row>
    <row r="558" spans="1:15" x14ac:dyDescent="0.3">
      <c r="A558" t="s">
        <v>2277</v>
      </c>
      <c r="B558" t="s">
        <v>1886</v>
      </c>
      <c r="C558" t="s">
        <v>1887</v>
      </c>
      <c r="D558">
        <v>32</v>
      </c>
      <c r="E558" t="s">
        <v>1447</v>
      </c>
      <c r="F558" t="s">
        <v>1856</v>
      </c>
      <c r="G558" t="s">
        <v>1737</v>
      </c>
      <c r="H558" t="s">
        <v>2279</v>
      </c>
      <c r="I558" t="s">
        <v>2279</v>
      </c>
      <c r="J558" t="s">
        <v>2279</v>
      </c>
      <c r="K558" t="s">
        <v>2279</v>
      </c>
      <c r="L558" t="s">
        <v>1432</v>
      </c>
      <c r="M558" t="s">
        <v>2279</v>
      </c>
      <c r="N558" t="s">
        <v>2279</v>
      </c>
      <c r="O558" s="190" t="str">
        <f>"["&amp;$C558&amp;"]["&amp;$D558&amp;"]["&amp;$F558&amp;"]"</f>
        <v>[S05_ImprovementReportArt69][32][InstallationCategory]</v>
      </c>
    </row>
    <row r="559" spans="1:15" x14ac:dyDescent="0.3">
      <c r="A559" t="s">
        <v>2277</v>
      </c>
      <c r="B559" t="s">
        <v>1886</v>
      </c>
      <c r="C559" t="s">
        <v>1887</v>
      </c>
      <c r="D559">
        <v>33</v>
      </c>
      <c r="E559" t="s">
        <v>1447</v>
      </c>
      <c r="F559" t="s">
        <v>1856</v>
      </c>
      <c r="G559" t="s">
        <v>1737</v>
      </c>
      <c r="H559" t="s">
        <v>2279</v>
      </c>
      <c r="I559" t="s">
        <v>2279</v>
      </c>
      <c r="J559" t="s">
        <v>2279</v>
      </c>
      <c r="K559" t="s">
        <v>2279</v>
      </c>
      <c r="L559" t="s">
        <v>1432</v>
      </c>
      <c r="M559" t="s">
        <v>2279</v>
      </c>
      <c r="N559" t="s">
        <v>2279</v>
      </c>
      <c r="O559" s="190" t="str">
        <f>"["&amp;$C559&amp;"]["&amp;$D559&amp;"]["&amp;$F559&amp;"]"</f>
        <v>[S05_ImprovementReportArt69][33][InstallationCategory]</v>
      </c>
    </row>
    <row r="560" spans="1:15" x14ac:dyDescent="0.3">
      <c r="A560" t="s">
        <v>2277</v>
      </c>
      <c r="B560" t="s">
        <v>1886</v>
      </c>
      <c r="C560" t="s">
        <v>1887</v>
      </c>
      <c r="D560">
        <v>34</v>
      </c>
      <c r="E560" t="s">
        <v>1447</v>
      </c>
      <c r="F560" t="s">
        <v>1856</v>
      </c>
      <c r="G560" t="s">
        <v>1737</v>
      </c>
      <c r="H560" t="s">
        <v>2279</v>
      </c>
      <c r="I560" t="s">
        <v>2279</v>
      </c>
      <c r="J560" t="s">
        <v>2279</v>
      </c>
      <c r="K560" t="s">
        <v>2279</v>
      </c>
      <c r="L560" t="s">
        <v>1432</v>
      </c>
      <c r="M560" t="s">
        <v>2279</v>
      </c>
      <c r="N560" t="s">
        <v>2279</v>
      </c>
      <c r="O560" s="190" t="str">
        <f>"["&amp;$C560&amp;"]["&amp;$D560&amp;"]["&amp;$F560&amp;"]"</f>
        <v>[S05_ImprovementReportArt69][34][InstallationCategory]</v>
      </c>
    </row>
    <row r="561" spans="1:15" x14ac:dyDescent="0.3">
      <c r="A561" t="s">
        <v>2277</v>
      </c>
      <c r="B561" t="s">
        <v>1886</v>
      </c>
      <c r="C561" t="s">
        <v>1887</v>
      </c>
      <c r="D561">
        <v>35</v>
      </c>
      <c r="E561" t="s">
        <v>1447</v>
      </c>
      <c r="F561" t="s">
        <v>1856</v>
      </c>
      <c r="G561" t="s">
        <v>1737</v>
      </c>
      <c r="H561" t="s">
        <v>2279</v>
      </c>
      <c r="I561" t="s">
        <v>2279</v>
      </c>
      <c r="J561" t="s">
        <v>2279</v>
      </c>
      <c r="K561" t="s">
        <v>2279</v>
      </c>
      <c r="L561" t="s">
        <v>1432</v>
      </c>
      <c r="M561" t="s">
        <v>2279</v>
      </c>
      <c r="N561" t="s">
        <v>2279</v>
      </c>
      <c r="O561" s="190" t="str">
        <f>"["&amp;$C561&amp;"]["&amp;$D561&amp;"]["&amp;$F561&amp;"]"</f>
        <v>[S05_ImprovementReportArt69][35][InstallationCategory]</v>
      </c>
    </row>
    <row r="562" spans="1:15" x14ac:dyDescent="0.3">
      <c r="A562" t="s">
        <v>2277</v>
      </c>
      <c r="B562" t="s">
        <v>1886</v>
      </c>
      <c r="C562" t="s">
        <v>1887</v>
      </c>
      <c r="D562">
        <v>36</v>
      </c>
      <c r="E562" t="s">
        <v>1447</v>
      </c>
      <c r="F562" t="s">
        <v>1856</v>
      </c>
      <c r="G562" t="s">
        <v>1737</v>
      </c>
      <c r="H562" t="s">
        <v>2279</v>
      </c>
      <c r="I562" t="s">
        <v>2279</v>
      </c>
      <c r="J562" t="s">
        <v>2279</v>
      </c>
      <c r="K562" t="s">
        <v>2279</v>
      </c>
      <c r="L562" t="s">
        <v>1432</v>
      </c>
      <c r="M562" t="s">
        <v>2279</v>
      </c>
      <c r="N562" t="s">
        <v>2279</v>
      </c>
      <c r="O562" s="190" t="str">
        <f>"["&amp;$C562&amp;"]["&amp;$D562&amp;"]["&amp;$F562&amp;"]"</f>
        <v>[S05_ImprovementReportArt69][36][InstallationCategory]</v>
      </c>
    </row>
    <row r="563" spans="1:15" x14ac:dyDescent="0.3">
      <c r="A563" t="s">
        <v>2277</v>
      </c>
      <c r="B563" t="s">
        <v>1886</v>
      </c>
      <c r="C563" t="s">
        <v>1887</v>
      </c>
      <c r="D563">
        <v>37</v>
      </c>
      <c r="E563" t="s">
        <v>1447</v>
      </c>
      <c r="F563" t="s">
        <v>1856</v>
      </c>
      <c r="G563" t="s">
        <v>1737</v>
      </c>
      <c r="H563" t="s">
        <v>2279</v>
      </c>
      <c r="I563" t="s">
        <v>2279</v>
      </c>
      <c r="J563" t="s">
        <v>2279</v>
      </c>
      <c r="K563" t="s">
        <v>2279</v>
      </c>
      <c r="L563" t="s">
        <v>1432</v>
      </c>
      <c r="M563" t="s">
        <v>2279</v>
      </c>
      <c r="N563" t="s">
        <v>2279</v>
      </c>
      <c r="O563" s="190" t="str">
        <f>"["&amp;$C563&amp;"]["&amp;$D563&amp;"]["&amp;$F563&amp;"]"</f>
        <v>[S05_ImprovementReportArt69][37][InstallationCategory]</v>
      </c>
    </row>
    <row r="564" spans="1:15" x14ac:dyDescent="0.3">
      <c r="A564" t="s">
        <v>2277</v>
      </c>
      <c r="B564" t="s">
        <v>1886</v>
      </c>
      <c r="C564" t="s">
        <v>1887</v>
      </c>
      <c r="D564">
        <v>38</v>
      </c>
      <c r="E564" t="s">
        <v>1447</v>
      </c>
      <c r="F564" t="s">
        <v>1856</v>
      </c>
      <c r="G564" t="s">
        <v>1737</v>
      </c>
      <c r="H564" t="s">
        <v>2279</v>
      </c>
      <c r="I564" t="s">
        <v>2279</v>
      </c>
      <c r="J564" t="s">
        <v>2279</v>
      </c>
      <c r="K564" t="s">
        <v>2279</v>
      </c>
      <c r="L564" t="s">
        <v>1432</v>
      </c>
      <c r="M564" t="s">
        <v>2279</v>
      </c>
      <c r="N564" t="s">
        <v>2279</v>
      </c>
      <c r="O564" s="190" t="str">
        <f>"["&amp;$C564&amp;"]["&amp;$D564&amp;"]["&amp;$F564&amp;"]"</f>
        <v>[S05_ImprovementReportArt69][38][InstallationCategory]</v>
      </c>
    </row>
    <row r="565" spans="1:15" x14ac:dyDescent="0.3">
      <c r="A565" t="s">
        <v>2277</v>
      </c>
      <c r="B565" t="s">
        <v>1886</v>
      </c>
      <c r="C565" t="s">
        <v>1887</v>
      </c>
      <c r="D565">
        <v>39</v>
      </c>
      <c r="E565" t="s">
        <v>1447</v>
      </c>
      <c r="F565" t="s">
        <v>1856</v>
      </c>
      <c r="G565" t="s">
        <v>1737</v>
      </c>
      <c r="H565" t="s">
        <v>2279</v>
      </c>
      <c r="I565" t="s">
        <v>2279</v>
      </c>
      <c r="J565" t="s">
        <v>2279</v>
      </c>
      <c r="K565" t="s">
        <v>2279</v>
      </c>
      <c r="L565" t="s">
        <v>1432</v>
      </c>
      <c r="M565" t="s">
        <v>2279</v>
      </c>
      <c r="N565" t="s">
        <v>2279</v>
      </c>
      <c r="O565" s="190" t="str">
        <f>"["&amp;$C565&amp;"]["&amp;$D565&amp;"]["&amp;$F565&amp;"]"</f>
        <v>[S05_ImprovementReportArt69][39][InstallationCategory]</v>
      </c>
    </row>
    <row r="566" spans="1:15" x14ac:dyDescent="0.3">
      <c r="A566" t="s">
        <v>2277</v>
      </c>
      <c r="B566" t="s">
        <v>1886</v>
      </c>
      <c r="C566" t="s">
        <v>1887</v>
      </c>
      <c r="D566">
        <v>40</v>
      </c>
      <c r="E566" t="s">
        <v>1447</v>
      </c>
      <c r="F566" t="s">
        <v>1856</v>
      </c>
      <c r="G566" t="s">
        <v>1737</v>
      </c>
      <c r="H566" t="s">
        <v>2279</v>
      </c>
      <c r="I566" t="s">
        <v>2279</v>
      </c>
      <c r="J566" t="s">
        <v>2279</v>
      </c>
      <c r="K566" t="s">
        <v>2279</v>
      </c>
      <c r="L566" t="s">
        <v>1432</v>
      </c>
      <c r="M566" t="s">
        <v>2279</v>
      </c>
      <c r="N566" t="s">
        <v>2279</v>
      </c>
      <c r="O566" s="190" t="str">
        <f>"["&amp;$C566&amp;"]["&amp;$D566&amp;"]["&amp;$F566&amp;"]"</f>
        <v>[S05_ImprovementReportArt69][40][InstallationCategory]</v>
      </c>
    </row>
    <row r="567" spans="1:15" x14ac:dyDescent="0.3">
      <c r="A567" t="s">
        <v>2277</v>
      </c>
      <c r="B567" t="s">
        <v>1886</v>
      </c>
      <c r="C567" t="s">
        <v>1887</v>
      </c>
      <c r="D567">
        <v>41</v>
      </c>
      <c r="E567" t="s">
        <v>1447</v>
      </c>
      <c r="F567" t="s">
        <v>1856</v>
      </c>
      <c r="G567" t="s">
        <v>1737</v>
      </c>
      <c r="H567" t="s">
        <v>2279</v>
      </c>
      <c r="I567" t="s">
        <v>2279</v>
      </c>
      <c r="J567" t="s">
        <v>2279</v>
      </c>
      <c r="K567" t="s">
        <v>2279</v>
      </c>
      <c r="L567" t="s">
        <v>1432</v>
      </c>
      <c r="M567" t="s">
        <v>2279</v>
      </c>
      <c r="N567" t="s">
        <v>2279</v>
      </c>
      <c r="O567" s="190" t="str">
        <f>"["&amp;$C567&amp;"]["&amp;$D567&amp;"]["&amp;$F567&amp;"]"</f>
        <v>[S05_ImprovementReportArt69][41][InstallationCategory]</v>
      </c>
    </row>
    <row r="568" spans="1:15" x14ac:dyDescent="0.3">
      <c r="A568" t="s">
        <v>2277</v>
      </c>
      <c r="B568" t="s">
        <v>1886</v>
      </c>
      <c r="C568" t="s">
        <v>1887</v>
      </c>
      <c r="D568">
        <v>42</v>
      </c>
      <c r="E568" t="s">
        <v>1447</v>
      </c>
      <c r="F568" t="s">
        <v>1856</v>
      </c>
      <c r="G568" t="s">
        <v>1737</v>
      </c>
      <c r="H568" t="s">
        <v>2279</v>
      </c>
      <c r="I568" t="s">
        <v>2279</v>
      </c>
      <c r="J568" t="s">
        <v>2279</v>
      </c>
      <c r="K568" t="s">
        <v>2279</v>
      </c>
      <c r="L568" t="s">
        <v>1432</v>
      </c>
      <c r="M568" t="s">
        <v>2279</v>
      </c>
      <c r="N568" t="s">
        <v>2279</v>
      </c>
      <c r="O568" s="190" t="str">
        <f>"["&amp;$C568&amp;"]["&amp;$D568&amp;"]["&amp;$F568&amp;"]"</f>
        <v>[S05_ImprovementReportArt69][42][InstallationCategory]</v>
      </c>
    </row>
    <row r="569" spans="1:15" x14ac:dyDescent="0.3">
      <c r="A569" t="s">
        <v>2277</v>
      </c>
      <c r="B569" t="s">
        <v>1886</v>
      </c>
      <c r="C569" t="s">
        <v>1887</v>
      </c>
      <c r="D569">
        <v>43</v>
      </c>
      <c r="E569" t="s">
        <v>1447</v>
      </c>
      <c r="F569" t="s">
        <v>1856</v>
      </c>
      <c r="G569" t="s">
        <v>1737</v>
      </c>
      <c r="H569" t="s">
        <v>2279</v>
      </c>
      <c r="I569" t="s">
        <v>2279</v>
      </c>
      <c r="J569" t="s">
        <v>2279</v>
      </c>
      <c r="K569" t="s">
        <v>2279</v>
      </c>
      <c r="L569" t="s">
        <v>1432</v>
      </c>
      <c r="M569" t="s">
        <v>2279</v>
      </c>
      <c r="N569" t="s">
        <v>2279</v>
      </c>
      <c r="O569" s="190" t="str">
        <f>"["&amp;$C569&amp;"]["&amp;$D569&amp;"]["&amp;$F569&amp;"]"</f>
        <v>[S05_ImprovementReportArt69][43][InstallationCategory]</v>
      </c>
    </row>
    <row r="570" spans="1:15" x14ac:dyDescent="0.3">
      <c r="A570" t="s">
        <v>2277</v>
      </c>
      <c r="B570" t="s">
        <v>1886</v>
      </c>
      <c r="C570" t="s">
        <v>1887</v>
      </c>
      <c r="D570">
        <v>44</v>
      </c>
      <c r="E570" t="s">
        <v>1447</v>
      </c>
      <c r="F570" t="s">
        <v>1856</v>
      </c>
      <c r="G570" t="s">
        <v>1737</v>
      </c>
      <c r="H570" t="s">
        <v>2279</v>
      </c>
      <c r="I570" t="s">
        <v>2279</v>
      </c>
      <c r="J570" t="s">
        <v>2279</v>
      </c>
      <c r="K570" t="s">
        <v>2279</v>
      </c>
      <c r="L570" t="s">
        <v>1432</v>
      </c>
      <c r="M570" t="s">
        <v>2279</v>
      </c>
      <c r="N570" t="s">
        <v>2279</v>
      </c>
      <c r="O570" s="190" t="str">
        <f>"["&amp;$C570&amp;"]["&amp;$D570&amp;"]["&amp;$F570&amp;"]"</f>
        <v>[S05_ImprovementReportArt69][44][InstallationCategory]</v>
      </c>
    </row>
    <row r="571" spans="1:15" x14ac:dyDescent="0.3">
      <c r="A571" t="s">
        <v>2277</v>
      </c>
      <c r="B571" t="s">
        <v>1886</v>
      </c>
      <c r="C571" t="s">
        <v>1887</v>
      </c>
      <c r="D571">
        <v>45</v>
      </c>
      <c r="E571" t="s">
        <v>1447</v>
      </c>
      <c r="F571" t="s">
        <v>1856</v>
      </c>
      <c r="G571" t="s">
        <v>1737</v>
      </c>
      <c r="H571" t="s">
        <v>2279</v>
      </c>
      <c r="I571" t="s">
        <v>2279</v>
      </c>
      <c r="J571" t="s">
        <v>2279</v>
      </c>
      <c r="K571" t="s">
        <v>2279</v>
      </c>
      <c r="L571" t="s">
        <v>1432</v>
      </c>
      <c r="M571" t="s">
        <v>2279</v>
      </c>
      <c r="N571" t="s">
        <v>2279</v>
      </c>
      <c r="O571" s="190" t="str">
        <f>"["&amp;$C571&amp;"]["&amp;$D571&amp;"]["&amp;$F571&amp;"]"</f>
        <v>[S05_ImprovementReportArt69][45][InstallationCategory]</v>
      </c>
    </row>
    <row r="572" spans="1:15" x14ac:dyDescent="0.3">
      <c r="A572" t="s">
        <v>2277</v>
      </c>
      <c r="B572" t="s">
        <v>1886</v>
      </c>
      <c r="C572" t="s">
        <v>1887</v>
      </c>
      <c r="D572">
        <v>46</v>
      </c>
      <c r="E572" t="s">
        <v>1447</v>
      </c>
      <c r="F572" t="s">
        <v>1856</v>
      </c>
      <c r="G572" t="s">
        <v>1737</v>
      </c>
      <c r="H572" t="s">
        <v>2279</v>
      </c>
      <c r="I572" t="s">
        <v>2279</v>
      </c>
      <c r="J572" t="s">
        <v>2279</v>
      </c>
      <c r="K572" t="s">
        <v>2279</v>
      </c>
      <c r="L572" t="s">
        <v>1432</v>
      </c>
      <c r="M572" t="s">
        <v>2279</v>
      </c>
      <c r="N572" t="s">
        <v>2279</v>
      </c>
      <c r="O572" s="190" t="str">
        <f>"["&amp;$C572&amp;"]["&amp;$D572&amp;"]["&amp;$F572&amp;"]"</f>
        <v>[S05_ImprovementReportArt69][46][InstallationCategory]</v>
      </c>
    </row>
    <row r="573" spans="1:15" x14ac:dyDescent="0.3">
      <c r="A573" t="s">
        <v>2277</v>
      </c>
      <c r="B573" t="s">
        <v>1886</v>
      </c>
      <c r="C573" t="s">
        <v>1887</v>
      </c>
      <c r="D573">
        <v>47</v>
      </c>
      <c r="E573" t="s">
        <v>1447</v>
      </c>
      <c r="F573" t="s">
        <v>1856</v>
      </c>
      <c r="G573" t="s">
        <v>1737</v>
      </c>
      <c r="H573" t="s">
        <v>2279</v>
      </c>
      <c r="I573" t="s">
        <v>2279</v>
      </c>
      <c r="J573" t="s">
        <v>2279</v>
      </c>
      <c r="K573" t="s">
        <v>2279</v>
      </c>
      <c r="L573" t="s">
        <v>1432</v>
      </c>
      <c r="M573" t="s">
        <v>2279</v>
      </c>
      <c r="N573" t="s">
        <v>2279</v>
      </c>
      <c r="O573" s="190" t="str">
        <f>"["&amp;$C573&amp;"]["&amp;$D573&amp;"]["&amp;$F573&amp;"]"</f>
        <v>[S05_ImprovementReportArt69][47][InstallationCategory]</v>
      </c>
    </row>
    <row r="574" spans="1:15" x14ac:dyDescent="0.3">
      <c r="A574" t="s">
        <v>2277</v>
      </c>
      <c r="B574" t="s">
        <v>1886</v>
      </c>
      <c r="C574" t="s">
        <v>1887</v>
      </c>
      <c r="D574">
        <v>1</v>
      </c>
      <c r="E574" t="s">
        <v>1447</v>
      </c>
      <c r="F574" t="s">
        <v>1888</v>
      </c>
      <c r="G574" t="s">
        <v>1737</v>
      </c>
      <c r="H574" t="s">
        <v>2279</v>
      </c>
      <c r="I574" t="s">
        <v>2279</v>
      </c>
      <c r="J574" t="s">
        <v>2279</v>
      </c>
      <c r="K574" t="s">
        <v>2279</v>
      </c>
      <c r="L574" t="s">
        <v>1420</v>
      </c>
      <c r="M574" t="s">
        <v>2279</v>
      </c>
      <c r="N574" t="s">
        <v>2279</v>
      </c>
      <c r="O574" s="190" t="str">
        <f>"["&amp;$C574&amp;"]["&amp;$D574&amp;"]["&amp;$F574&amp;"]"</f>
        <v>[S05_ImprovementReportArt69][1][Annex1Activity]</v>
      </c>
    </row>
    <row r="575" spans="1:15" x14ac:dyDescent="0.3">
      <c r="A575" t="s">
        <v>2277</v>
      </c>
      <c r="B575" t="s">
        <v>1886</v>
      </c>
      <c r="C575" t="s">
        <v>1887</v>
      </c>
      <c r="D575">
        <v>2</v>
      </c>
      <c r="E575" t="s">
        <v>1447</v>
      </c>
      <c r="F575" t="s">
        <v>1888</v>
      </c>
      <c r="G575" t="s">
        <v>1737</v>
      </c>
      <c r="H575" t="s">
        <v>2279</v>
      </c>
      <c r="I575" t="s">
        <v>2279</v>
      </c>
      <c r="J575" t="s">
        <v>2279</v>
      </c>
      <c r="K575" t="s">
        <v>2279</v>
      </c>
      <c r="L575" t="s">
        <v>1562</v>
      </c>
      <c r="M575" t="s">
        <v>2279</v>
      </c>
      <c r="N575" t="s">
        <v>2279</v>
      </c>
      <c r="O575" s="190" t="str">
        <f>"["&amp;$C575&amp;"]["&amp;$D575&amp;"]["&amp;$F575&amp;"]"</f>
        <v>[S05_ImprovementReportArt69][2][Annex1Activity]</v>
      </c>
    </row>
    <row r="576" spans="1:15" x14ac:dyDescent="0.3">
      <c r="A576" t="s">
        <v>2277</v>
      </c>
      <c r="B576" t="s">
        <v>1886</v>
      </c>
      <c r="C576" t="s">
        <v>1887</v>
      </c>
      <c r="D576">
        <v>3</v>
      </c>
      <c r="E576" t="s">
        <v>1447</v>
      </c>
      <c r="F576" t="s">
        <v>1888</v>
      </c>
      <c r="G576" t="s">
        <v>1737</v>
      </c>
      <c r="H576" t="s">
        <v>2279</v>
      </c>
      <c r="I576" t="s">
        <v>2279</v>
      </c>
      <c r="J576" t="s">
        <v>2279</v>
      </c>
      <c r="K576" t="s">
        <v>2279</v>
      </c>
      <c r="L576" t="s">
        <v>1562</v>
      </c>
      <c r="M576" t="s">
        <v>2279</v>
      </c>
      <c r="N576" t="s">
        <v>2279</v>
      </c>
      <c r="O576" s="190" t="str">
        <f>"["&amp;$C576&amp;"]["&amp;$D576&amp;"]["&amp;$F576&amp;"]"</f>
        <v>[S05_ImprovementReportArt69][3][Annex1Activity]</v>
      </c>
    </row>
    <row r="577" spans="1:15" x14ac:dyDescent="0.3">
      <c r="A577" t="s">
        <v>2277</v>
      </c>
      <c r="B577" t="s">
        <v>1886</v>
      </c>
      <c r="C577" t="s">
        <v>1887</v>
      </c>
      <c r="D577">
        <v>4</v>
      </c>
      <c r="E577" t="s">
        <v>1447</v>
      </c>
      <c r="F577" t="s">
        <v>1888</v>
      </c>
      <c r="G577" t="s">
        <v>1737</v>
      </c>
      <c r="H577" t="s">
        <v>2279</v>
      </c>
      <c r="I577" t="s">
        <v>2279</v>
      </c>
      <c r="J577" t="s">
        <v>2279</v>
      </c>
      <c r="K577" t="s">
        <v>2279</v>
      </c>
      <c r="L577" t="s">
        <v>1448</v>
      </c>
      <c r="M577" t="s">
        <v>2279</v>
      </c>
      <c r="N577" t="s">
        <v>2279</v>
      </c>
      <c r="O577" s="190" t="str">
        <f>"["&amp;$C577&amp;"]["&amp;$D577&amp;"]["&amp;$F577&amp;"]"</f>
        <v>[S05_ImprovementReportArt69][4][Annex1Activity]</v>
      </c>
    </row>
    <row r="578" spans="1:15" x14ac:dyDescent="0.3">
      <c r="A578" t="s">
        <v>2277</v>
      </c>
      <c r="B578" t="s">
        <v>1886</v>
      </c>
      <c r="C578" t="s">
        <v>1887</v>
      </c>
      <c r="D578">
        <v>5</v>
      </c>
      <c r="E578" t="s">
        <v>1447</v>
      </c>
      <c r="F578" t="s">
        <v>1888</v>
      </c>
      <c r="G578" t="s">
        <v>1737</v>
      </c>
      <c r="H578" t="s">
        <v>2279</v>
      </c>
      <c r="I578" t="s">
        <v>2279</v>
      </c>
      <c r="J578" t="s">
        <v>2279</v>
      </c>
      <c r="K578" t="s">
        <v>2279</v>
      </c>
      <c r="L578" t="s">
        <v>1420</v>
      </c>
      <c r="M578" t="s">
        <v>2279</v>
      </c>
      <c r="N578" t="s">
        <v>2279</v>
      </c>
      <c r="O578" s="190" t="str">
        <f>"["&amp;$C578&amp;"]["&amp;$D578&amp;"]["&amp;$F578&amp;"]"</f>
        <v>[S05_ImprovementReportArt69][5][Annex1Activity]</v>
      </c>
    </row>
    <row r="579" spans="1:15" x14ac:dyDescent="0.3">
      <c r="A579" t="s">
        <v>2277</v>
      </c>
      <c r="B579" t="s">
        <v>1886</v>
      </c>
      <c r="C579" t="s">
        <v>1887</v>
      </c>
      <c r="D579">
        <v>6</v>
      </c>
      <c r="E579" t="s">
        <v>1447</v>
      </c>
      <c r="F579" t="s">
        <v>1888</v>
      </c>
      <c r="G579" t="s">
        <v>1737</v>
      </c>
      <c r="H579" t="s">
        <v>2279</v>
      </c>
      <c r="I579" t="s">
        <v>2279</v>
      </c>
      <c r="J579" t="s">
        <v>2279</v>
      </c>
      <c r="K579" t="s">
        <v>2279</v>
      </c>
      <c r="L579" t="s">
        <v>1502</v>
      </c>
      <c r="M579" t="s">
        <v>2279</v>
      </c>
      <c r="N579" t="s">
        <v>2279</v>
      </c>
      <c r="O579" s="190" t="str">
        <f>"["&amp;$C579&amp;"]["&amp;$D579&amp;"]["&amp;$F579&amp;"]"</f>
        <v>[S05_ImprovementReportArt69][6][Annex1Activity]</v>
      </c>
    </row>
    <row r="580" spans="1:15" x14ac:dyDescent="0.3">
      <c r="A580" t="s">
        <v>2277</v>
      </c>
      <c r="B580" t="s">
        <v>1886</v>
      </c>
      <c r="C580" t="s">
        <v>1887</v>
      </c>
      <c r="D580">
        <v>7</v>
      </c>
      <c r="E580" t="s">
        <v>1447</v>
      </c>
      <c r="F580" t="s">
        <v>1888</v>
      </c>
      <c r="G580" t="s">
        <v>1737</v>
      </c>
      <c r="H580" t="s">
        <v>2279</v>
      </c>
      <c r="I580" t="s">
        <v>2279</v>
      </c>
      <c r="J580" t="s">
        <v>2279</v>
      </c>
      <c r="K580" t="s">
        <v>2279</v>
      </c>
      <c r="L580" t="s">
        <v>1540</v>
      </c>
      <c r="M580" t="s">
        <v>2279</v>
      </c>
      <c r="N580" t="s">
        <v>2279</v>
      </c>
      <c r="O580" s="190" t="str">
        <f>"["&amp;$C580&amp;"]["&amp;$D580&amp;"]["&amp;$F580&amp;"]"</f>
        <v>[S05_ImprovementReportArt69][7][Annex1Activity]</v>
      </c>
    </row>
    <row r="581" spans="1:15" x14ac:dyDescent="0.3">
      <c r="A581" t="s">
        <v>2277</v>
      </c>
      <c r="B581" t="s">
        <v>1886</v>
      </c>
      <c r="C581" t="s">
        <v>1887</v>
      </c>
      <c r="D581">
        <v>8</v>
      </c>
      <c r="E581" t="s">
        <v>1447</v>
      </c>
      <c r="F581" t="s">
        <v>1888</v>
      </c>
      <c r="G581" t="s">
        <v>1737</v>
      </c>
      <c r="H581" t="s">
        <v>2279</v>
      </c>
      <c r="I581" t="s">
        <v>2279</v>
      </c>
      <c r="J581" t="s">
        <v>2279</v>
      </c>
      <c r="K581" t="s">
        <v>2279</v>
      </c>
      <c r="L581" t="s">
        <v>1622</v>
      </c>
      <c r="M581" t="s">
        <v>2279</v>
      </c>
      <c r="N581" t="s">
        <v>2279</v>
      </c>
      <c r="O581" s="190" t="str">
        <f>"["&amp;$C581&amp;"]["&amp;$D581&amp;"]["&amp;$F581&amp;"]"</f>
        <v>[S05_ImprovementReportArt69][8][Annex1Activity]</v>
      </c>
    </row>
    <row r="582" spans="1:15" x14ac:dyDescent="0.3">
      <c r="A582" t="s">
        <v>2277</v>
      </c>
      <c r="B582" t="s">
        <v>1886</v>
      </c>
      <c r="C582" t="s">
        <v>1887</v>
      </c>
      <c r="D582">
        <v>9</v>
      </c>
      <c r="E582" t="s">
        <v>1447</v>
      </c>
      <c r="F582" t="s">
        <v>1888</v>
      </c>
      <c r="G582" t="s">
        <v>1737</v>
      </c>
      <c r="H582" t="s">
        <v>2279</v>
      </c>
      <c r="I582" t="s">
        <v>2279</v>
      </c>
      <c r="J582" t="s">
        <v>2279</v>
      </c>
      <c r="K582" t="s">
        <v>2279</v>
      </c>
      <c r="L582" t="s">
        <v>1568</v>
      </c>
      <c r="M582" t="s">
        <v>2279</v>
      </c>
      <c r="N582" t="s">
        <v>2279</v>
      </c>
      <c r="O582" s="190" t="str">
        <f>"["&amp;$C582&amp;"]["&amp;$D582&amp;"]["&amp;$F582&amp;"]"</f>
        <v>[S05_ImprovementReportArt69][9][Annex1Activity]</v>
      </c>
    </row>
    <row r="583" spans="1:15" x14ac:dyDescent="0.3">
      <c r="A583" t="s">
        <v>2277</v>
      </c>
      <c r="B583" t="s">
        <v>1886</v>
      </c>
      <c r="C583" t="s">
        <v>1887</v>
      </c>
      <c r="D583">
        <v>10</v>
      </c>
      <c r="E583" t="s">
        <v>1447</v>
      </c>
      <c r="F583" t="s">
        <v>1888</v>
      </c>
      <c r="G583" t="s">
        <v>1737</v>
      </c>
      <c r="H583" t="s">
        <v>2279</v>
      </c>
      <c r="I583" t="s">
        <v>2279</v>
      </c>
      <c r="J583" t="s">
        <v>2279</v>
      </c>
      <c r="K583" t="s">
        <v>2279</v>
      </c>
      <c r="L583" t="s">
        <v>1562</v>
      </c>
      <c r="M583" t="s">
        <v>2279</v>
      </c>
      <c r="N583" t="s">
        <v>2279</v>
      </c>
      <c r="O583" s="190" t="str">
        <f>"["&amp;$C583&amp;"]["&amp;$D583&amp;"]["&amp;$F583&amp;"]"</f>
        <v>[S05_ImprovementReportArt69][10][Annex1Activity]</v>
      </c>
    </row>
    <row r="584" spans="1:15" x14ac:dyDescent="0.3">
      <c r="A584" t="s">
        <v>2277</v>
      </c>
      <c r="B584" t="s">
        <v>1886</v>
      </c>
      <c r="C584" t="s">
        <v>1887</v>
      </c>
      <c r="D584">
        <v>11</v>
      </c>
      <c r="E584" t="s">
        <v>1447</v>
      </c>
      <c r="F584" t="s">
        <v>1888</v>
      </c>
      <c r="G584" t="s">
        <v>1737</v>
      </c>
      <c r="H584" t="s">
        <v>2279</v>
      </c>
      <c r="I584" t="s">
        <v>2279</v>
      </c>
      <c r="J584" t="s">
        <v>2279</v>
      </c>
      <c r="K584" t="s">
        <v>2279</v>
      </c>
      <c r="L584" t="s">
        <v>1518</v>
      </c>
      <c r="M584" t="s">
        <v>2279</v>
      </c>
      <c r="N584" t="s">
        <v>2279</v>
      </c>
      <c r="O584" s="190" t="str">
        <f>"["&amp;$C584&amp;"]["&amp;$D584&amp;"]["&amp;$F584&amp;"]"</f>
        <v>[S05_ImprovementReportArt69][11][Annex1Activity]</v>
      </c>
    </row>
    <row r="585" spans="1:15" x14ac:dyDescent="0.3">
      <c r="A585" t="s">
        <v>2277</v>
      </c>
      <c r="B585" t="s">
        <v>1886</v>
      </c>
      <c r="C585" t="s">
        <v>1887</v>
      </c>
      <c r="D585">
        <v>12</v>
      </c>
      <c r="E585" t="s">
        <v>1447</v>
      </c>
      <c r="F585" t="s">
        <v>1888</v>
      </c>
      <c r="G585" t="s">
        <v>1737</v>
      </c>
      <c r="H585" t="s">
        <v>2279</v>
      </c>
      <c r="I585" t="s">
        <v>2279</v>
      </c>
      <c r="J585" t="s">
        <v>2279</v>
      </c>
      <c r="K585" t="s">
        <v>2279</v>
      </c>
      <c r="L585" t="s">
        <v>1626</v>
      </c>
      <c r="M585" t="s">
        <v>2279</v>
      </c>
      <c r="N585" t="s">
        <v>2279</v>
      </c>
      <c r="O585" s="190" t="str">
        <f>"["&amp;$C585&amp;"]["&amp;$D585&amp;"]["&amp;$F585&amp;"]"</f>
        <v>[S05_ImprovementReportArt69][12][Annex1Activity]</v>
      </c>
    </row>
    <row r="586" spans="1:15" x14ac:dyDescent="0.3">
      <c r="A586" t="s">
        <v>2277</v>
      </c>
      <c r="B586" t="s">
        <v>1886</v>
      </c>
      <c r="C586" t="s">
        <v>1887</v>
      </c>
      <c r="D586">
        <v>13</v>
      </c>
      <c r="E586" t="s">
        <v>1447</v>
      </c>
      <c r="F586" t="s">
        <v>1888</v>
      </c>
      <c r="G586" t="s">
        <v>1737</v>
      </c>
      <c r="H586" t="s">
        <v>2279</v>
      </c>
      <c r="I586" t="s">
        <v>2279</v>
      </c>
      <c r="J586" t="s">
        <v>2279</v>
      </c>
      <c r="K586" t="s">
        <v>2279</v>
      </c>
      <c r="L586" t="s">
        <v>1636</v>
      </c>
      <c r="M586" t="s">
        <v>2279</v>
      </c>
      <c r="N586" t="s">
        <v>2279</v>
      </c>
      <c r="O586" s="190" t="str">
        <f>"["&amp;$C586&amp;"]["&amp;$D586&amp;"]["&amp;$F586&amp;"]"</f>
        <v>[S05_ImprovementReportArt69][13][Annex1Activity]</v>
      </c>
    </row>
    <row r="587" spans="1:15" x14ac:dyDescent="0.3">
      <c r="A587" t="s">
        <v>2277</v>
      </c>
      <c r="B587" t="s">
        <v>1886</v>
      </c>
      <c r="C587" t="s">
        <v>1887</v>
      </c>
      <c r="D587">
        <v>14</v>
      </c>
      <c r="E587" t="s">
        <v>1447</v>
      </c>
      <c r="F587" t="s">
        <v>1888</v>
      </c>
      <c r="G587" t="s">
        <v>1737</v>
      </c>
      <c r="H587" t="s">
        <v>2279</v>
      </c>
      <c r="I587" t="s">
        <v>2279</v>
      </c>
      <c r="J587" t="s">
        <v>2279</v>
      </c>
      <c r="K587" t="s">
        <v>2279</v>
      </c>
      <c r="L587" t="s">
        <v>1448</v>
      </c>
      <c r="M587" t="s">
        <v>2279</v>
      </c>
      <c r="N587" t="s">
        <v>2279</v>
      </c>
      <c r="O587" s="190" t="str">
        <f>"["&amp;$C587&amp;"]["&amp;$D587&amp;"]["&amp;$F587&amp;"]"</f>
        <v>[S05_ImprovementReportArt69][14][Annex1Activity]</v>
      </c>
    </row>
    <row r="588" spans="1:15" x14ac:dyDescent="0.3">
      <c r="A588" t="s">
        <v>2277</v>
      </c>
      <c r="B588" t="s">
        <v>1886</v>
      </c>
      <c r="C588" t="s">
        <v>1887</v>
      </c>
      <c r="D588">
        <v>15</v>
      </c>
      <c r="E588" t="s">
        <v>1447</v>
      </c>
      <c r="F588" t="s">
        <v>1888</v>
      </c>
      <c r="G588" t="s">
        <v>1737</v>
      </c>
      <c r="H588" t="s">
        <v>2279</v>
      </c>
      <c r="I588" t="s">
        <v>2279</v>
      </c>
      <c r="J588" t="s">
        <v>2279</v>
      </c>
      <c r="K588" t="s">
        <v>2279</v>
      </c>
      <c r="L588" t="s">
        <v>1420</v>
      </c>
      <c r="M588" t="s">
        <v>2279</v>
      </c>
      <c r="N588" t="s">
        <v>2279</v>
      </c>
      <c r="O588" s="190" t="str">
        <f>"["&amp;$C588&amp;"]["&amp;$D588&amp;"]["&amp;$F588&amp;"]"</f>
        <v>[S05_ImprovementReportArt69][15][Annex1Activity]</v>
      </c>
    </row>
    <row r="589" spans="1:15" x14ac:dyDescent="0.3">
      <c r="A589" t="s">
        <v>2277</v>
      </c>
      <c r="B589" t="s">
        <v>1886</v>
      </c>
      <c r="C589" t="s">
        <v>1887</v>
      </c>
      <c r="D589">
        <v>16</v>
      </c>
      <c r="E589" t="s">
        <v>1447</v>
      </c>
      <c r="F589" t="s">
        <v>1888</v>
      </c>
      <c r="G589" t="s">
        <v>1737</v>
      </c>
      <c r="H589" t="s">
        <v>2279</v>
      </c>
      <c r="I589" t="s">
        <v>2279</v>
      </c>
      <c r="J589" t="s">
        <v>2279</v>
      </c>
      <c r="K589" t="s">
        <v>2279</v>
      </c>
      <c r="L589" t="s">
        <v>1582</v>
      </c>
      <c r="M589" t="s">
        <v>2279</v>
      </c>
      <c r="N589" t="s">
        <v>2279</v>
      </c>
      <c r="O589" s="190" t="str">
        <f>"["&amp;$C589&amp;"]["&amp;$D589&amp;"]["&amp;$F589&amp;"]"</f>
        <v>[S05_ImprovementReportArt69][16][Annex1Activity]</v>
      </c>
    </row>
    <row r="590" spans="1:15" x14ac:dyDescent="0.3">
      <c r="A590" t="s">
        <v>2277</v>
      </c>
      <c r="B590" t="s">
        <v>1886</v>
      </c>
      <c r="C590" t="s">
        <v>1887</v>
      </c>
      <c r="D590">
        <v>17</v>
      </c>
      <c r="E590" t="s">
        <v>1447</v>
      </c>
      <c r="F590" t="s">
        <v>1888</v>
      </c>
      <c r="G590" t="s">
        <v>1737</v>
      </c>
      <c r="H590" t="s">
        <v>2279</v>
      </c>
      <c r="I590" t="s">
        <v>2279</v>
      </c>
      <c r="J590" t="s">
        <v>2279</v>
      </c>
      <c r="K590" t="s">
        <v>2279</v>
      </c>
      <c r="L590" t="s">
        <v>1573</v>
      </c>
      <c r="M590" t="s">
        <v>2279</v>
      </c>
      <c r="N590" t="s">
        <v>2279</v>
      </c>
      <c r="O590" s="190" t="str">
        <f>"["&amp;$C590&amp;"]["&amp;$D590&amp;"]["&amp;$F590&amp;"]"</f>
        <v>[S05_ImprovementReportArt69][17][Annex1Activity]</v>
      </c>
    </row>
    <row r="591" spans="1:15" x14ac:dyDescent="0.3">
      <c r="A591" t="s">
        <v>2277</v>
      </c>
      <c r="B591" t="s">
        <v>1886</v>
      </c>
      <c r="C591" t="s">
        <v>1887</v>
      </c>
      <c r="D591">
        <v>18</v>
      </c>
      <c r="E591" t="s">
        <v>1447</v>
      </c>
      <c r="F591" t="s">
        <v>1888</v>
      </c>
      <c r="G591" t="s">
        <v>1737</v>
      </c>
      <c r="H591" t="s">
        <v>2279</v>
      </c>
      <c r="I591" t="s">
        <v>2279</v>
      </c>
      <c r="J591" t="s">
        <v>2279</v>
      </c>
      <c r="K591" t="s">
        <v>2279</v>
      </c>
      <c r="L591" t="s">
        <v>1612</v>
      </c>
      <c r="M591" t="s">
        <v>2279</v>
      </c>
      <c r="N591" t="s">
        <v>2279</v>
      </c>
      <c r="O591" s="190" t="str">
        <f>"["&amp;$C591&amp;"]["&amp;$D591&amp;"]["&amp;$F591&amp;"]"</f>
        <v>[S05_ImprovementReportArt69][18][Annex1Activity]</v>
      </c>
    </row>
    <row r="592" spans="1:15" x14ac:dyDescent="0.3">
      <c r="A592" t="s">
        <v>2277</v>
      </c>
      <c r="B592" t="s">
        <v>1886</v>
      </c>
      <c r="C592" t="s">
        <v>1887</v>
      </c>
      <c r="D592">
        <v>19</v>
      </c>
      <c r="E592" t="s">
        <v>1447</v>
      </c>
      <c r="F592" t="s">
        <v>1888</v>
      </c>
      <c r="G592" t="s">
        <v>1737</v>
      </c>
      <c r="H592" t="s">
        <v>2279</v>
      </c>
      <c r="I592" t="s">
        <v>2279</v>
      </c>
      <c r="J592" t="s">
        <v>2279</v>
      </c>
      <c r="K592" t="s">
        <v>2279</v>
      </c>
      <c r="L592" t="s">
        <v>1568</v>
      </c>
      <c r="M592" t="s">
        <v>2279</v>
      </c>
      <c r="N592" t="s">
        <v>2279</v>
      </c>
      <c r="O592" s="190" t="str">
        <f>"["&amp;$C592&amp;"]["&amp;$D592&amp;"]["&amp;$F592&amp;"]"</f>
        <v>[S05_ImprovementReportArt69][19][Annex1Activity]</v>
      </c>
    </row>
    <row r="593" spans="1:15" x14ac:dyDescent="0.3">
      <c r="A593" t="s">
        <v>2277</v>
      </c>
      <c r="B593" t="s">
        <v>1886</v>
      </c>
      <c r="C593" t="s">
        <v>1887</v>
      </c>
      <c r="D593">
        <v>20</v>
      </c>
      <c r="E593" t="s">
        <v>1447</v>
      </c>
      <c r="F593" t="s">
        <v>1888</v>
      </c>
      <c r="G593" t="s">
        <v>1737</v>
      </c>
      <c r="H593" t="s">
        <v>2279</v>
      </c>
      <c r="I593" t="s">
        <v>2279</v>
      </c>
      <c r="J593" t="s">
        <v>2279</v>
      </c>
      <c r="K593" t="s">
        <v>2279</v>
      </c>
      <c r="L593" t="s">
        <v>1562</v>
      </c>
      <c r="M593" t="s">
        <v>2279</v>
      </c>
      <c r="N593" t="s">
        <v>2279</v>
      </c>
      <c r="O593" s="190" t="str">
        <f>"["&amp;$C593&amp;"]["&amp;$D593&amp;"]["&amp;$F593&amp;"]"</f>
        <v>[S05_ImprovementReportArt69][20][Annex1Activity]</v>
      </c>
    </row>
    <row r="594" spans="1:15" x14ac:dyDescent="0.3">
      <c r="A594" t="s">
        <v>2277</v>
      </c>
      <c r="B594" t="s">
        <v>1886</v>
      </c>
      <c r="C594" t="s">
        <v>1887</v>
      </c>
      <c r="D594">
        <v>21</v>
      </c>
      <c r="E594" t="s">
        <v>1447</v>
      </c>
      <c r="F594" t="s">
        <v>1888</v>
      </c>
      <c r="G594" t="s">
        <v>1737</v>
      </c>
      <c r="H594" t="s">
        <v>2279</v>
      </c>
      <c r="I594" t="s">
        <v>2279</v>
      </c>
      <c r="J594" t="s">
        <v>2279</v>
      </c>
      <c r="K594" t="s">
        <v>2279</v>
      </c>
      <c r="L594" t="s">
        <v>1518</v>
      </c>
      <c r="M594" t="s">
        <v>2279</v>
      </c>
      <c r="N594" t="s">
        <v>2279</v>
      </c>
      <c r="O594" s="190" t="str">
        <f>"["&amp;$C594&amp;"]["&amp;$D594&amp;"]["&amp;$F594&amp;"]"</f>
        <v>[S05_ImprovementReportArt69][21][Annex1Activity]</v>
      </c>
    </row>
    <row r="595" spans="1:15" x14ac:dyDescent="0.3">
      <c r="A595" t="s">
        <v>2277</v>
      </c>
      <c r="B595" t="s">
        <v>1886</v>
      </c>
      <c r="C595" t="s">
        <v>1887</v>
      </c>
      <c r="D595">
        <v>22</v>
      </c>
      <c r="E595" t="s">
        <v>1447</v>
      </c>
      <c r="F595" t="s">
        <v>1888</v>
      </c>
      <c r="G595" t="s">
        <v>1737</v>
      </c>
      <c r="H595" t="s">
        <v>2279</v>
      </c>
      <c r="I595" t="s">
        <v>2279</v>
      </c>
      <c r="J595" t="s">
        <v>2279</v>
      </c>
      <c r="K595" t="s">
        <v>2279</v>
      </c>
      <c r="L595" t="s">
        <v>1602</v>
      </c>
      <c r="M595" t="s">
        <v>2279</v>
      </c>
      <c r="N595" t="s">
        <v>2279</v>
      </c>
      <c r="O595" s="190" t="str">
        <f>"["&amp;$C595&amp;"]["&amp;$D595&amp;"]["&amp;$F595&amp;"]"</f>
        <v>[S05_ImprovementReportArt69][22][Annex1Activity]</v>
      </c>
    </row>
    <row r="596" spans="1:15" x14ac:dyDescent="0.3">
      <c r="A596" t="s">
        <v>2277</v>
      </c>
      <c r="B596" t="s">
        <v>1886</v>
      </c>
      <c r="C596" t="s">
        <v>1887</v>
      </c>
      <c r="D596">
        <v>23</v>
      </c>
      <c r="E596" t="s">
        <v>1447</v>
      </c>
      <c r="F596" t="s">
        <v>1888</v>
      </c>
      <c r="G596" t="s">
        <v>1737</v>
      </c>
      <c r="H596" t="s">
        <v>2279</v>
      </c>
      <c r="I596" t="s">
        <v>2279</v>
      </c>
      <c r="J596" t="s">
        <v>2279</v>
      </c>
      <c r="K596" t="s">
        <v>2279</v>
      </c>
      <c r="L596" t="s">
        <v>1597</v>
      </c>
      <c r="M596" t="s">
        <v>2279</v>
      </c>
      <c r="N596" t="s">
        <v>2279</v>
      </c>
      <c r="O596" s="190" t="str">
        <f>"["&amp;$C596&amp;"]["&amp;$D596&amp;"]["&amp;$F596&amp;"]"</f>
        <v>[S05_ImprovementReportArt69][23][Annex1Activity]</v>
      </c>
    </row>
    <row r="597" spans="1:15" x14ac:dyDescent="0.3">
      <c r="A597" t="s">
        <v>2277</v>
      </c>
      <c r="B597" t="s">
        <v>1886</v>
      </c>
      <c r="C597" t="s">
        <v>1887</v>
      </c>
      <c r="D597">
        <v>24</v>
      </c>
      <c r="E597" t="s">
        <v>1447</v>
      </c>
      <c r="F597" t="s">
        <v>1888</v>
      </c>
      <c r="G597" t="s">
        <v>1737</v>
      </c>
      <c r="H597" t="s">
        <v>2279</v>
      </c>
      <c r="I597" t="s">
        <v>2279</v>
      </c>
      <c r="J597" t="s">
        <v>2279</v>
      </c>
      <c r="K597" t="s">
        <v>2279</v>
      </c>
      <c r="L597" t="s">
        <v>1592</v>
      </c>
      <c r="M597" t="s">
        <v>2279</v>
      </c>
      <c r="N597" t="s">
        <v>2279</v>
      </c>
      <c r="O597" s="190" t="str">
        <f>"["&amp;$C597&amp;"]["&amp;$D597&amp;"]["&amp;$F597&amp;"]"</f>
        <v>[S05_ImprovementReportArt69][24][Annex1Activity]</v>
      </c>
    </row>
    <row r="598" spans="1:15" x14ac:dyDescent="0.3">
      <c r="A598" t="s">
        <v>2277</v>
      </c>
      <c r="B598" t="s">
        <v>1886</v>
      </c>
      <c r="C598" t="s">
        <v>1887</v>
      </c>
      <c r="D598">
        <v>25</v>
      </c>
      <c r="E598" t="s">
        <v>1447</v>
      </c>
      <c r="F598" t="s">
        <v>1888</v>
      </c>
      <c r="G598" t="s">
        <v>1737</v>
      </c>
      <c r="H598" t="s">
        <v>2279</v>
      </c>
      <c r="I598" t="s">
        <v>2279</v>
      </c>
      <c r="J598" t="s">
        <v>2279</v>
      </c>
      <c r="K598" t="s">
        <v>2279</v>
      </c>
      <c r="L598" t="s">
        <v>1626</v>
      </c>
      <c r="M598" t="s">
        <v>2279</v>
      </c>
      <c r="N598" t="s">
        <v>2279</v>
      </c>
      <c r="O598" s="190" t="str">
        <f>"["&amp;$C598&amp;"]["&amp;$D598&amp;"]["&amp;$F598&amp;"]"</f>
        <v>[S05_ImprovementReportArt69][25][Annex1Activity]</v>
      </c>
    </row>
    <row r="599" spans="1:15" x14ac:dyDescent="0.3">
      <c r="A599" t="s">
        <v>2277</v>
      </c>
      <c r="B599" t="s">
        <v>1886</v>
      </c>
      <c r="C599" t="s">
        <v>1887</v>
      </c>
      <c r="D599">
        <v>26</v>
      </c>
      <c r="E599" t="s">
        <v>1447</v>
      </c>
      <c r="F599" t="s">
        <v>1888</v>
      </c>
      <c r="G599" t="s">
        <v>1737</v>
      </c>
      <c r="H599" t="s">
        <v>2279</v>
      </c>
      <c r="I599" t="s">
        <v>2279</v>
      </c>
      <c r="J599" t="s">
        <v>2279</v>
      </c>
      <c r="K599" t="s">
        <v>2279</v>
      </c>
      <c r="L599" t="s">
        <v>1631</v>
      </c>
      <c r="M599" t="s">
        <v>2279</v>
      </c>
      <c r="N599" t="s">
        <v>2279</v>
      </c>
      <c r="O599" s="190" t="str">
        <f>"["&amp;$C599&amp;"]["&amp;$D599&amp;"]["&amp;$F599&amp;"]"</f>
        <v>[S05_ImprovementReportArt69][26][Annex1Activity]</v>
      </c>
    </row>
    <row r="600" spans="1:15" x14ac:dyDescent="0.3">
      <c r="A600" t="s">
        <v>2277</v>
      </c>
      <c r="B600" t="s">
        <v>1886</v>
      </c>
      <c r="C600" t="s">
        <v>1887</v>
      </c>
      <c r="D600">
        <v>27</v>
      </c>
      <c r="E600" t="s">
        <v>1447</v>
      </c>
      <c r="F600" t="s">
        <v>1888</v>
      </c>
      <c r="G600" t="s">
        <v>1737</v>
      </c>
      <c r="H600" t="s">
        <v>2279</v>
      </c>
      <c r="I600" t="s">
        <v>2279</v>
      </c>
      <c r="J600" t="s">
        <v>2279</v>
      </c>
      <c r="K600" t="s">
        <v>2279</v>
      </c>
      <c r="L600" t="s">
        <v>1530</v>
      </c>
      <c r="M600" t="s">
        <v>2279</v>
      </c>
      <c r="N600" t="s">
        <v>2279</v>
      </c>
      <c r="O600" s="190" t="str">
        <f>"["&amp;$C600&amp;"]["&amp;$D600&amp;"]["&amp;$F600&amp;"]"</f>
        <v>[S05_ImprovementReportArt69][27][Annex1Activity]</v>
      </c>
    </row>
    <row r="601" spans="1:15" x14ac:dyDescent="0.3">
      <c r="A601" t="s">
        <v>2277</v>
      </c>
      <c r="B601" t="s">
        <v>1886</v>
      </c>
      <c r="C601" t="s">
        <v>1887</v>
      </c>
      <c r="D601">
        <v>28</v>
      </c>
      <c r="E601" t="s">
        <v>1447</v>
      </c>
      <c r="F601" t="s">
        <v>1888</v>
      </c>
      <c r="G601" t="s">
        <v>1737</v>
      </c>
      <c r="H601" t="s">
        <v>2279</v>
      </c>
      <c r="I601" t="s">
        <v>2279</v>
      </c>
      <c r="J601" t="s">
        <v>2279</v>
      </c>
      <c r="K601" t="s">
        <v>2279</v>
      </c>
      <c r="L601" t="s">
        <v>1557</v>
      </c>
      <c r="M601" t="s">
        <v>2279</v>
      </c>
      <c r="N601" t="s">
        <v>2279</v>
      </c>
      <c r="O601" s="190" t="str">
        <f>"["&amp;$C601&amp;"]["&amp;$D601&amp;"]["&amp;$F601&amp;"]"</f>
        <v>[S05_ImprovementReportArt69][28][Annex1Activity]</v>
      </c>
    </row>
    <row r="602" spans="1:15" x14ac:dyDescent="0.3">
      <c r="A602" t="s">
        <v>2277</v>
      </c>
      <c r="B602" t="s">
        <v>1886</v>
      </c>
      <c r="C602" t="s">
        <v>1887</v>
      </c>
      <c r="D602">
        <v>29</v>
      </c>
      <c r="E602" t="s">
        <v>1447</v>
      </c>
      <c r="F602" t="s">
        <v>1888</v>
      </c>
      <c r="G602" t="s">
        <v>1737</v>
      </c>
      <c r="H602" t="s">
        <v>2279</v>
      </c>
      <c r="I602" t="s">
        <v>2279</v>
      </c>
      <c r="J602" t="s">
        <v>2279</v>
      </c>
      <c r="K602" t="s">
        <v>2279</v>
      </c>
      <c r="L602" t="s">
        <v>1448</v>
      </c>
      <c r="M602" t="s">
        <v>2279</v>
      </c>
      <c r="N602" t="s">
        <v>2279</v>
      </c>
      <c r="O602" s="190" t="str">
        <f>"["&amp;$C602&amp;"]["&amp;$D602&amp;"]["&amp;$F602&amp;"]"</f>
        <v>[S05_ImprovementReportArt69][29][Annex1Activity]</v>
      </c>
    </row>
    <row r="603" spans="1:15" x14ac:dyDescent="0.3">
      <c r="A603" t="s">
        <v>2277</v>
      </c>
      <c r="B603" t="s">
        <v>1886</v>
      </c>
      <c r="C603" t="s">
        <v>1887</v>
      </c>
      <c r="D603">
        <v>30</v>
      </c>
      <c r="E603" t="s">
        <v>1447</v>
      </c>
      <c r="F603" t="s">
        <v>1888</v>
      </c>
      <c r="G603" t="s">
        <v>1737</v>
      </c>
      <c r="H603" t="s">
        <v>2279</v>
      </c>
      <c r="I603" t="s">
        <v>2279</v>
      </c>
      <c r="J603" t="s">
        <v>2279</v>
      </c>
      <c r="K603" t="s">
        <v>2279</v>
      </c>
      <c r="L603" t="s">
        <v>1587</v>
      </c>
      <c r="M603" t="s">
        <v>2279</v>
      </c>
      <c r="N603" t="s">
        <v>2279</v>
      </c>
      <c r="O603" s="190" t="str">
        <f>"["&amp;$C603&amp;"]["&amp;$D603&amp;"]["&amp;$F603&amp;"]"</f>
        <v>[S05_ImprovementReportArt69][30][Annex1Activity]</v>
      </c>
    </row>
    <row r="604" spans="1:15" x14ac:dyDescent="0.3">
      <c r="A604" t="s">
        <v>2277</v>
      </c>
      <c r="B604" t="s">
        <v>1886</v>
      </c>
      <c r="C604" t="s">
        <v>1887</v>
      </c>
      <c r="D604">
        <v>31</v>
      </c>
      <c r="E604" t="s">
        <v>1447</v>
      </c>
      <c r="F604" t="s">
        <v>1888</v>
      </c>
      <c r="G604" t="s">
        <v>1737</v>
      </c>
      <c r="H604" t="s">
        <v>2279</v>
      </c>
      <c r="I604" t="s">
        <v>2279</v>
      </c>
      <c r="J604" t="s">
        <v>2279</v>
      </c>
      <c r="K604" t="s">
        <v>2279</v>
      </c>
      <c r="L604" t="s">
        <v>1420</v>
      </c>
      <c r="M604" t="s">
        <v>2279</v>
      </c>
      <c r="N604" t="s">
        <v>2279</v>
      </c>
      <c r="O604" s="190" t="str">
        <f>"["&amp;$C604&amp;"]["&amp;$D604&amp;"]["&amp;$F604&amp;"]"</f>
        <v>[S05_ImprovementReportArt69][31][Annex1Activity]</v>
      </c>
    </row>
    <row r="605" spans="1:15" x14ac:dyDescent="0.3">
      <c r="A605" t="s">
        <v>2277</v>
      </c>
      <c r="B605" t="s">
        <v>1886</v>
      </c>
      <c r="C605" t="s">
        <v>1887</v>
      </c>
      <c r="D605">
        <v>32</v>
      </c>
      <c r="E605" t="s">
        <v>1447</v>
      </c>
      <c r="F605" t="s">
        <v>1888</v>
      </c>
      <c r="G605" t="s">
        <v>1737</v>
      </c>
      <c r="H605" t="s">
        <v>2279</v>
      </c>
      <c r="I605" t="s">
        <v>2279</v>
      </c>
      <c r="J605" t="s">
        <v>2279</v>
      </c>
      <c r="K605" t="s">
        <v>2279</v>
      </c>
      <c r="L605" t="s">
        <v>1582</v>
      </c>
      <c r="M605" t="s">
        <v>2279</v>
      </c>
      <c r="N605" t="s">
        <v>2279</v>
      </c>
      <c r="O605" s="190" t="str">
        <f>"["&amp;$C605&amp;"]["&amp;$D605&amp;"]["&amp;$F605&amp;"]"</f>
        <v>[S05_ImprovementReportArt69][32][Annex1Activity]</v>
      </c>
    </row>
    <row r="606" spans="1:15" x14ac:dyDescent="0.3">
      <c r="A606" t="s">
        <v>2277</v>
      </c>
      <c r="B606" t="s">
        <v>1886</v>
      </c>
      <c r="C606" t="s">
        <v>1887</v>
      </c>
      <c r="D606">
        <v>33</v>
      </c>
      <c r="E606" t="s">
        <v>1447</v>
      </c>
      <c r="F606" t="s">
        <v>1888</v>
      </c>
      <c r="G606" t="s">
        <v>1737</v>
      </c>
      <c r="H606" t="s">
        <v>2279</v>
      </c>
      <c r="I606" t="s">
        <v>2279</v>
      </c>
      <c r="J606" t="s">
        <v>2279</v>
      </c>
      <c r="K606" t="s">
        <v>2279</v>
      </c>
      <c r="L606" t="s">
        <v>1577</v>
      </c>
      <c r="M606" t="s">
        <v>2279</v>
      </c>
      <c r="N606" t="s">
        <v>2279</v>
      </c>
      <c r="O606" s="190" t="str">
        <f>"["&amp;$C606&amp;"]["&amp;$D606&amp;"]["&amp;$F606&amp;"]"</f>
        <v>[S05_ImprovementReportArt69][33][Annex1Activity]</v>
      </c>
    </row>
    <row r="607" spans="1:15" x14ac:dyDescent="0.3">
      <c r="A607" t="s">
        <v>2277</v>
      </c>
      <c r="B607" t="s">
        <v>1886</v>
      </c>
      <c r="C607" t="s">
        <v>1887</v>
      </c>
      <c r="D607">
        <v>34</v>
      </c>
      <c r="E607" t="s">
        <v>1447</v>
      </c>
      <c r="F607" t="s">
        <v>1888</v>
      </c>
      <c r="G607" t="s">
        <v>1737</v>
      </c>
      <c r="H607" t="s">
        <v>2279</v>
      </c>
      <c r="I607" t="s">
        <v>2279</v>
      </c>
      <c r="J607" t="s">
        <v>2279</v>
      </c>
      <c r="K607" t="s">
        <v>2279</v>
      </c>
      <c r="L607" t="s">
        <v>1573</v>
      </c>
      <c r="M607" t="s">
        <v>2279</v>
      </c>
      <c r="N607" t="s">
        <v>2279</v>
      </c>
      <c r="O607" s="190" t="str">
        <f>"["&amp;$C607&amp;"]["&amp;$D607&amp;"]["&amp;$F607&amp;"]"</f>
        <v>[S05_ImprovementReportArt69][34][Annex1Activity]</v>
      </c>
    </row>
    <row r="608" spans="1:15" x14ac:dyDescent="0.3">
      <c r="A608" t="s">
        <v>2277</v>
      </c>
      <c r="B608" t="s">
        <v>1886</v>
      </c>
      <c r="C608" t="s">
        <v>1887</v>
      </c>
      <c r="D608">
        <v>35</v>
      </c>
      <c r="E608" t="s">
        <v>1447</v>
      </c>
      <c r="F608" t="s">
        <v>1888</v>
      </c>
      <c r="G608" t="s">
        <v>1737</v>
      </c>
      <c r="H608" t="s">
        <v>2279</v>
      </c>
      <c r="I608" t="s">
        <v>2279</v>
      </c>
      <c r="J608" t="s">
        <v>2279</v>
      </c>
      <c r="K608" t="s">
        <v>2279</v>
      </c>
      <c r="L608" t="s">
        <v>1540</v>
      </c>
      <c r="M608" t="s">
        <v>2279</v>
      </c>
      <c r="N608" t="s">
        <v>2279</v>
      </c>
      <c r="O608" s="190" t="str">
        <f>"["&amp;$C608&amp;"]["&amp;$D608&amp;"]["&amp;$F608&amp;"]"</f>
        <v>[S05_ImprovementReportArt69][35][Annex1Activity]</v>
      </c>
    </row>
    <row r="609" spans="1:15" x14ac:dyDescent="0.3">
      <c r="A609" t="s">
        <v>2277</v>
      </c>
      <c r="B609" t="s">
        <v>1886</v>
      </c>
      <c r="C609" t="s">
        <v>1887</v>
      </c>
      <c r="D609">
        <v>36</v>
      </c>
      <c r="E609" t="s">
        <v>1447</v>
      </c>
      <c r="F609" t="s">
        <v>1888</v>
      </c>
      <c r="G609" t="s">
        <v>1737</v>
      </c>
      <c r="H609" t="s">
        <v>2279</v>
      </c>
      <c r="I609" t="s">
        <v>2279</v>
      </c>
      <c r="J609" t="s">
        <v>2279</v>
      </c>
      <c r="K609" t="s">
        <v>2279</v>
      </c>
      <c r="L609" t="s">
        <v>1568</v>
      </c>
      <c r="M609" t="s">
        <v>2279</v>
      </c>
      <c r="N609" t="s">
        <v>2279</v>
      </c>
      <c r="O609" s="190" t="str">
        <f>"["&amp;$C609&amp;"]["&amp;$D609&amp;"]["&amp;$F609&amp;"]"</f>
        <v>[S05_ImprovementReportArt69][36][Annex1Activity]</v>
      </c>
    </row>
    <row r="610" spans="1:15" x14ac:dyDescent="0.3">
      <c r="A610" t="s">
        <v>2277</v>
      </c>
      <c r="B610" t="s">
        <v>1886</v>
      </c>
      <c r="C610" t="s">
        <v>1887</v>
      </c>
      <c r="D610">
        <v>37</v>
      </c>
      <c r="E610" t="s">
        <v>1447</v>
      </c>
      <c r="F610" t="s">
        <v>1888</v>
      </c>
      <c r="G610" t="s">
        <v>1737</v>
      </c>
      <c r="H610" t="s">
        <v>2279</v>
      </c>
      <c r="I610" t="s">
        <v>2279</v>
      </c>
      <c r="J610" t="s">
        <v>2279</v>
      </c>
      <c r="K610" t="s">
        <v>2279</v>
      </c>
      <c r="L610" t="s">
        <v>1518</v>
      </c>
      <c r="M610" t="s">
        <v>2279</v>
      </c>
      <c r="N610" t="s">
        <v>2279</v>
      </c>
      <c r="O610" s="190" t="str">
        <f>"["&amp;$C610&amp;"]["&amp;$D610&amp;"]["&amp;$F610&amp;"]"</f>
        <v>[S05_ImprovementReportArt69][37][Annex1Activity]</v>
      </c>
    </row>
    <row r="611" spans="1:15" x14ac:dyDescent="0.3">
      <c r="A611" t="s">
        <v>2277</v>
      </c>
      <c r="B611" t="s">
        <v>1886</v>
      </c>
      <c r="C611" t="s">
        <v>1887</v>
      </c>
      <c r="D611">
        <v>38</v>
      </c>
      <c r="E611" t="s">
        <v>1447</v>
      </c>
      <c r="F611" t="s">
        <v>1888</v>
      </c>
      <c r="G611" t="s">
        <v>1737</v>
      </c>
      <c r="H611" t="s">
        <v>2279</v>
      </c>
      <c r="I611" t="s">
        <v>2279</v>
      </c>
      <c r="J611" t="s">
        <v>2279</v>
      </c>
      <c r="K611" t="s">
        <v>2279</v>
      </c>
      <c r="L611" t="s">
        <v>1597</v>
      </c>
      <c r="M611" t="s">
        <v>2279</v>
      </c>
      <c r="N611" t="s">
        <v>2279</v>
      </c>
      <c r="O611" s="190" t="str">
        <f>"["&amp;$C611&amp;"]["&amp;$D611&amp;"]["&amp;$F611&amp;"]"</f>
        <v>[S05_ImprovementReportArt69][38][Annex1Activity]</v>
      </c>
    </row>
    <row r="612" spans="1:15" x14ac:dyDescent="0.3">
      <c r="A612" t="s">
        <v>2277</v>
      </c>
      <c r="B612" t="s">
        <v>1886</v>
      </c>
      <c r="C612" t="s">
        <v>1887</v>
      </c>
      <c r="D612">
        <v>39</v>
      </c>
      <c r="E612" t="s">
        <v>1447</v>
      </c>
      <c r="F612" t="s">
        <v>1888</v>
      </c>
      <c r="G612" t="s">
        <v>1737</v>
      </c>
      <c r="H612" t="s">
        <v>2279</v>
      </c>
      <c r="I612" t="s">
        <v>2279</v>
      </c>
      <c r="J612" t="s">
        <v>2279</v>
      </c>
      <c r="K612" t="s">
        <v>2279</v>
      </c>
      <c r="L612" t="s">
        <v>1626</v>
      </c>
      <c r="M612" t="s">
        <v>2279</v>
      </c>
      <c r="N612" t="s">
        <v>2279</v>
      </c>
      <c r="O612" s="190" t="str">
        <f>"["&amp;$C612&amp;"]["&amp;$D612&amp;"]["&amp;$F612&amp;"]"</f>
        <v>[S05_ImprovementReportArt69][39][Annex1Activity]</v>
      </c>
    </row>
    <row r="613" spans="1:15" x14ac:dyDescent="0.3">
      <c r="A613" t="s">
        <v>2277</v>
      </c>
      <c r="B613" t="s">
        <v>1886</v>
      </c>
      <c r="C613" t="s">
        <v>1887</v>
      </c>
      <c r="D613">
        <v>40</v>
      </c>
      <c r="E613" t="s">
        <v>1447</v>
      </c>
      <c r="F613" t="s">
        <v>1888</v>
      </c>
      <c r="G613" t="s">
        <v>1737</v>
      </c>
      <c r="H613" t="s">
        <v>2279</v>
      </c>
      <c r="I613" t="s">
        <v>2279</v>
      </c>
      <c r="J613" t="s">
        <v>2279</v>
      </c>
      <c r="K613" t="s">
        <v>2279</v>
      </c>
      <c r="L613" t="s">
        <v>1530</v>
      </c>
      <c r="M613" t="s">
        <v>2279</v>
      </c>
      <c r="N613" t="s">
        <v>2279</v>
      </c>
      <c r="O613" s="190" t="str">
        <f>"["&amp;$C613&amp;"]["&amp;$D613&amp;"]["&amp;$F613&amp;"]"</f>
        <v>[S05_ImprovementReportArt69][40][Annex1Activity]</v>
      </c>
    </row>
    <row r="614" spans="1:15" x14ac:dyDescent="0.3">
      <c r="A614" t="s">
        <v>2277</v>
      </c>
      <c r="B614" t="s">
        <v>1886</v>
      </c>
      <c r="C614" t="s">
        <v>1887</v>
      </c>
      <c r="D614">
        <v>41</v>
      </c>
      <c r="E614" t="s">
        <v>1447</v>
      </c>
      <c r="F614" t="s">
        <v>1888</v>
      </c>
      <c r="G614" t="s">
        <v>1737</v>
      </c>
      <c r="H614" t="s">
        <v>2279</v>
      </c>
      <c r="I614" t="s">
        <v>2279</v>
      </c>
      <c r="J614" t="s">
        <v>2279</v>
      </c>
      <c r="K614" t="s">
        <v>2279</v>
      </c>
      <c r="L614" t="s">
        <v>1557</v>
      </c>
      <c r="M614" t="s">
        <v>2279</v>
      </c>
      <c r="N614" t="s">
        <v>2279</v>
      </c>
      <c r="O614" s="190" t="str">
        <f>"["&amp;$C614&amp;"]["&amp;$D614&amp;"]["&amp;$F614&amp;"]"</f>
        <v>[S05_ImprovementReportArt69][41][Annex1Activity]</v>
      </c>
    </row>
    <row r="615" spans="1:15" x14ac:dyDescent="0.3">
      <c r="A615" t="s">
        <v>2277</v>
      </c>
      <c r="B615" t="s">
        <v>1886</v>
      </c>
      <c r="C615" t="s">
        <v>1887</v>
      </c>
      <c r="D615">
        <v>42</v>
      </c>
      <c r="E615" t="s">
        <v>1447</v>
      </c>
      <c r="F615" t="s">
        <v>1888</v>
      </c>
      <c r="G615" t="s">
        <v>1737</v>
      </c>
      <c r="H615" t="s">
        <v>2279</v>
      </c>
      <c r="I615" t="s">
        <v>2279</v>
      </c>
      <c r="J615" t="s">
        <v>2279</v>
      </c>
      <c r="K615" t="s">
        <v>2279</v>
      </c>
      <c r="L615" t="s">
        <v>1587</v>
      </c>
      <c r="M615" t="s">
        <v>2279</v>
      </c>
      <c r="N615" t="s">
        <v>2279</v>
      </c>
      <c r="O615" s="190" t="str">
        <f>"["&amp;$C615&amp;"]["&amp;$D615&amp;"]["&amp;$F615&amp;"]"</f>
        <v>[S05_ImprovementReportArt69][42][Annex1Activity]</v>
      </c>
    </row>
    <row r="616" spans="1:15" x14ac:dyDescent="0.3">
      <c r="A616" t="s">
        <v>2277</v>
      </c>
      <c r="B616" t="s">
        <v>1886</v>
      </c>
      <c r="C616" t="s">
        <v>1887</v>
      </c>
      <c r="D616">
        <v>43</v>
      </c>
      <c r="E616" t="s">
        <v>1447</v>
      </c>
      <c r="F616" t="s">
        <v>1888</v>
      </c>
      <c r="G616" t="s">
        <v>1737</v>
      </c>
      <c r="H616" t="s">
        <v>2279</v>
      </c>
      <c r="I616" t="s">
        <v>2279</v>
      </c>
      <c r="J616" t="s">
        <v>2279</v>
      </c>
      <c r="K616" t="s">
        <v>2279</v>
      </c>
      <c r="L616" t="s">
        <v>1631</v>
      </c>
      <c r="M616" t="s">
        <v>2279</v>
      </c>
      <c r="N616" t="s">
        <v>2279</v>
      </c>
      <c r="O616" s="190" t="str">
        <f>"["&amp;$C616&amp;"]["&amp;$D616&amp;"]["&amp;$F616&amp;"]"</f>
        <v>[S05_ImprovementReportArt69][43][Annex1Activity]</v>
      </c>
    </row>
    <row r="617" spans="1:15" x14ac:dyDescent="0.3">
      <c r="A617" t="s">
        <v>2277</v>
      </c>
      <c r="B617" t="s">
        <v>1886</v>
      </c>
      <c r="C617" t="s">
        <v>1887</v>
      </c>
      <c r="D617">
        <v>44</v>
      </c>
      <c r="E617" t="s">
        <v>1447</v>
      </c>
      <c r="F617" t="s">
        <v>1888</v>
      </c>
      <c r="G617" t="s">
        <v>1737</v>
      </c>
      <c r="H617" t="s">
        <v>2279</v>
      </c>
      <c r="I617" t="s">
        <v>2279</v>
      </c>
      <c r="J617" t="s">
        <v>2279</v>
      </c>
      <c r="K617" t="s">
        <v>2279</v>
      </c>
      <c r="L617" t="s">
        <v>1592</v>
      </c>
      <c r="M617" t="s">
        <v>2279</v>
      </c>
      <c r="N617" t="s">
        <v>2279</v>
      </c>
      <c r="O617" s="190" t="str">
        <f>"["&amp;$C617&amp;"]["&amp;$D617&amp;"]["&amp;$F617&amp;"]"</f>
        <v>[S05_ImprovementReportArt69][44][Annex1Activity]</v>
      </c>
    </row>
    <row r="618" spans="1:15" x14ac:dyDescent="0.3">
      <c r="A618" t="s">
        <v>2277</v>
      </c>
      <c r="B618" t="s">
        <v>1886</v>
      </c>
      <c r="C618" t="s">
        <v>1887</v>
      </c>
      <c r="D618">
        <v>45</v>
      </c>
      <c r="E618" t="s">
        <v>1447</v>
      </c>
      <c r="F618" t="s">
        <v>1888</v>
      </c>
      <c r="G618" t="s">
        <v>1737</v>
      </c>
      <c r="H618" t="s">
        <v>2279</v>
      </c>
      <c r="I618" t="s">
        <v>2279</v>
      </c>
      <c r="J618" t="s">
        <v>2279</v>
      </c>
      <c r="K618" t="s">
        <v>2279</v>
      </c>
      <c r="L618" t="s">
        <v>1562</v>
      </c>
      <c r="M618" t="s">
        <v>2279</v>
      </c>
      <c r="N618" t="s">
        <v>2279</v>
      </c>
      <c r="O618" s="190" t="str">
        <f>"["&amp;$C618&amp;"]["&amp;$D618&amp;"]["&amp;$F618&amp;"]"</f>
        <v>[S05_ImprovementReportArt69][45][Annex1Activity]</v>
      </c>
    </row>
    <row r="619" spans="1:15" x14ac:dyDescent="0.3">
      <c r="A619" t="s">
        <v>2277</v>
      </c>
      <c r="B619" t="s">
        <v>1886</v>
      </c>
      <c r="C619" t="s">
        <v>1887</v>
      </c>
      <c r="D619">
        <v>46</v>
      </c>
      <c r="E619" t="s">
        <v>1447</v>
      </c>
      <c r="F619" t="s">
        <v>1888</v>
      </c>
      <c r="G619" t="s">
        <v>1737</v>
      </c>
      <c r="H619" t="s">
        <v>2279</v>
      </c>
      <c r="I619" t="s">
        <v>2279</v>
      </c>
      <c r="J619" t="s">
        <v>2279</v>
      </c>
      <c r="K619" t="s">
        <v>2279</v>
      </c>
      <c r="L619" t="s">
        <v>1549</v>
      </c>
      <c r="M619" t="s">
        <v>2279</v>
      </c>
      <c r="N619" t="s">
        <v>2279</v>
      </c>
      <c r="O619" s="190" t="str">
        <f>"["&amp;$C619&amp;"]["&amp;$D619&amp;"]["&amp;$F619&amp;"]"</f>
        <v>[S05_ImprovementReportArt69][46][Annex1Activity]</v>
      </c>
    </row>
    <row r="620" spans="1:15" x14ac:dyDescent="0.3">
      <c r="A620" t="s">
        <v>2277</v>
      </c>
      <c r="B620" t="s">
        <v>1886</v>
      </c>
      <c r="C620" t="s">
        <v>1887</v>
      </c>
      <c r="D620">
        <v>47</v>
      </c>
      <c r="E620" t="s">
        <v>1447</v>
      </c>
      <c r="F620" t="s">
        <v>1888</v>
      </c>
      <c r="G620" t="s">
        <v>1737</v>
      </c>
      <c r="H620" t="s">
        <v>2279</v>
      </c>
      <c r="I620" t="s">
        <v>2279</v>
      </c>
      <c r="J620" t="s">
        <v>2279</v>
      </c>
      <c r="K620" t="s">
        <v>2279</v>
      </c>
      <c r="L620" t="s">
        <v>1607</v>
      </c>
      <c r="M620" t="s">
        <v>2279</v>
      </c>
      <c r="N620" t="s">
        <v>2279</v>
      </c>
      <c r="O620" s="190" t="str">
        <f>"["&amp;$C620&amp;"]["&amp;$D620&amp;"]["&amp;$F620&amp;"]"</f>
        <v>[S05_ImprovementReportArt69][47][Annex1Activity]</v>
      </c>
    </row>
    <row r="621" spans="1:15" x14ac:dyDescent="0.3">
      <c r="A621" t="s">
        <v>2277</v>
      </c>
      <c r="B621" t="s">
        <v>1886</v>
      </c>
      <c r="C621" t="s">
        <v>1887</v>
      </c>
      <c r="D621">
        <v>1</v>
      </c>
      <c r="E621" t="s">
        <v>1447</v>
      </c>
      <c r="F621" t="s">
        <v>1889</v>
      </c>
      <c r="G621" t="s">
        <v>1737</v>
      </c>
      <c r="H621" t="s">
        <v>2279</v>
      </c>
      <c r="I621" t="s">
        <v>2279</v>
      </c>
      <c r="J621" t="s">
        <v>2279</v>
      </c>
      <c r="K621" t="s">
        <v>2279</v>
      </c>
      <c r="L621" t="s">
        <v>1433</v>
      </c>
      <c r="M621" t="s">
        <v>2279</v>
      </c>
      <c r="N621" t="s">
        <v>2279</v>
      </c>
      <c r="O621" s="190" t="str">
        <f>"["&amp;$C621&amp;"]["&amp;$D621&amp;"]["&amp;$F621&amp;"]"</f>
        <v>[S05_ImprovementReportArt69][1][ImprovementReportType]</v>
      </c>
    </row>
    <row r="622" spans="1:15" x14ac:dyDescent="0.3">
      <c r="A622" t="s">
        <v>2277</v>
      </c>
      <c r="B622" t="s">
        <v>1886</v>
      </c>
      <c r="C622" t="s">
        <v>1887</v>
      </c>
      <c r="D622">
        <v>2</v>
      </c>
      <c r="E622" t="s">
        <v>1447</v>
      </c>
      <c r="F622" t="s">
        <v>1889</v>
      </c>
      <c r="G622" t="s">
        <v>1737</v>
      </c>
      <c r="H622" t="s">
        <v>2279</v>
      </c>
      <c r="I622" t="s">
        <v>2279</v>
      </c>
      <c r="J622" t="s">
        <v>2279</v>
      </c>
      <c r="K622" t="s">
        <v>2279</v>
      </c>
      <c r="L622" t="s">
        <v>1433</v>
      </c>
      <c r="M622" t="s">
        <v>2279</v>
      </c>
      <c r="N622" t="s">
        <v>2279</v>
      </c>
      <c r="O622" s="190" t="str">
        <f>"["&amp;$C622&amp;"]["&amp;$D622&amp;"]["&amp;$F622&amp;"]"</f>
        <v>[S05_ImprovementReportArt69][2][ImprovementReportType]</v>
      </c>
    </row>
    <row r="623" spans="1:15" x14ac:dyDescent="0.3">
      <c r="A623" t="s">
        <v>2277</v>
      </c>
      <c r="B623" t="s">
        <v>1886</v>
      </c>
      <c r="C623" t="s">
        <v>1887</v>
      </c>
      <c r="D623">
        <v>3</v>
      </c>
      <c r="E623" t="s">
        <v>1447</v>
      </c>
      <c r="F623" t="s">
        <v>1889</v>
      </c>
      <c r="G623" t="s">
        <v>1737</v>
      </c>
      <c r="H623" t="s">
        <v>2279</v>
      </c>
      <c r="I623" t="s">
        <v>2279</v>
      </c>
      <c r="J623" t="s">
        <v>2279</v>
      </c>
      <c r="K623" t="s">
        <v>2279</v>
      </c>
      <c r="L623" t="s">
        <v>1433</v>
      </c>
      <c r="M623" t="s">
        <v>2279</v>
      </c>
      <c r="N623" t="s">
        <v>2279</v>
      </c>
      <c r="O623" s="190" t="str">
        <f>"["&amp;$C623&amp;"]["&amp;$D623&amp;"]["&amp;$F623&amp;"]"</f>
        <v>[S05_ImprovementReportArt69][3][ImprovementReportType]</v>
      </c>
    </row>
    <row r="624" spans="1:15" x14ac:dyDescent="0.3">
      <c r="A624" t="s">
        <v>2277</v>
      </c>
      <c r="B624" t="s">
        <v>1886</v>
      </c>
      <c r="C624" t="s">
        <v>1887</v>
      </c>
      <c r="D624">
        <v>4</v>
      </c>
      <c r="E624" t="s">
        <v>1447</v>
      </c>
      <c r="F624" t="s">
        <v>1889</v>
      </c>
      <c r="G624" t="s">
        <v>1737</v>
      </c>
      <c r="H624" t="s">
        <v>2279</v>
      </c>
      <c r="I624" t="s">
        <v>2279</v>
      </c>
      <c r="J624" t="s">
        <v>2279</v>
      </c>
      <c r="K624" t="s">
        <v>2279</v>
      </c>
      <c r="L624" t="s">
        <v>1433</v>
      </c>
      <c r="M624" t="s">
        <v>2279</v>
      </c>
      <c r="N624" t="s">
        <v>2279</v>
      </c>
      <c r="O624" s="190" t="str">
        <f>"["&amp;$C624&amp;"]["&amp;$D624&amp;"]["&amp;$F624&amp;"]"</f>
        <v>[S05_ImprovementReportArt69][4][ImprovementReportType]</v>
      </c>
    </row>
    <row r="625" spans="1:15" x14ac:dyDescent="0.3">
      <c r="A625" t="s">
        <v>2277</v>
      </c>
      <c r="B625" t="s">
        <v>1886</v>
      </c>
      <c r="C625" t="s">
        <v>1887</v>
      </c>
      <c r="D625">
        <v>5</v>
      </c>
      <c r="E625" t="s">
        <v>1447</v>
      </c>
      <c r="F625" t="s">
        <v>1889</v>
      </c>
      <c r="G625" t="s">
        <v>1737</v>
      </c>
      <c r="H625" t="s">
        <v>2279</v>
      </c>
      <c r="I625" t="s">
        <v>2279</v>
      </c>
      <c r="J625" t="s">
        <v>2279</v>
      </c>
      <c r="K625" t="s">
        <v>2279</v>
      </c>
      <c r="L625" t="s">
        <v>1488</v>
      </c>
      <c r="M625" t="s">
        <v>2279</v>
      </c>
      <c r="N625" t="s">
        <v>2279</v>
      </c>
      <c r="O625" s="190" t="str">
        <f>"["&amp;$C625&amp;"]["&amp;$D625&amp;"]["&amp;$F625&amp;"]"</f>
        <v>[S05_ImprovementReportArt69][5][ImprovementReportType]</v>
      </c>
    </row>
    <row r="626" spans="1:15" x14ac:dyDescent="0.3">
      <c r="A626" t="s">
        <v>2277</v>
      </c>
      <c r="B626" t="s">
        <v>1886</v>
      </c>
      <c r="C626" t="s">
        <v>1887</v>
      </c>
      <c r="D626">
        <v>6</v>
      </c>
      <c r="E626" t="s">
        <v>1447</v>
      </c>
      <c r="F626" t="s">
        <v>1889</v>
      </c>
      <c r="G626" t="s">
        <v>1737</v>
      </c>
      <c r="H626" t="s">
        <v>2279</v>
      </c>
      <c r="I626" t="s">
        <v>2279</v>
      </c>
      <c r="J626" t="s">
        <v>2279</v>
      </c>
      <c r="K626" t="s">
        <v>2279</v>
      </c>
      <c r="L626" t="s">
        <v>1488</v>
      </c>
      <c r="M626" t="s">
        <v>2279</v>
      </c>
      <c r="N626" t="s">
        <v>2279</v>
      </c>
      <c r="O626" s="190" t="str">
        <f>"["&amp;$C626&amp;"]["&amp;$D626&amp;"]["&amp;$F626&amp;"]"</f>
        <v>[S05_ImprovementReportArt69][6][ImprovementReportType]</v>
      </c>
    </row>
    <row r="627" spans="1:15" x14ac:dyDescent="0.3">
      <c r="A627" t="s">
        <v>2277</v>
      </c>
      <c r="B627" t="s">
        <v>1886</v>
      </c>
      <c r="C627" t="s">
        <v>1887</v>
      </c>
      <c r="D627">
        <v>7</v>
      </c>
      <c r="E627" t="s">
        <v>1447</v>
      </c>
      <c r="F627" t="s">
        <v>1889</v>
      </c>
      <c r="G627" t="s">
        <v>1737</v>
      </c>
      <c r="H627" t="s">
        <v>2279</v>
      </c>
      <c r="I627" t="s">
        <v>2279</v>
      </c>
      <c r="J627" t="s">
        <v>2279</v>
      </c>
      <c r="K627" t="s">
        <v>2279</v>
      </c>
      <c r="L627" t="s">
        <v>1488</v>
      </c>
      <c r="M627" t="s">
        <v>2279</v>
      </c>
      <c r="N627" t="s">
        <v>2279</v>
      </c>
      <c r="O627" s="190" t="str">
        <f>"["&amp;$C627&amp;"]["&amp;$D627&amp;"]["&amp;$F627&amp;"]"</f>
        <v>[S05_ImprovementReportArt69][7][ImprovementReportType]</v>
      </c>
    </row>
    <row r="628" spans="1:15" x14ac:dyDescent="0.3">
      <c r="A628" t="s">
        <v>2277</v>
      </c>
      <c r="B628" t="s">
        <v>1886</v>
      </c>
      <c r="C628" t="s">
        <v>1887</v>
      </c>
      <c r="D628">
        <v>8</v>
      </c>
      <c r="E628" t="s">
        <v>1447</v>
      </c>
      <c r="F628" t="s">
        <v>1889</v>
      </c>
      <c r="G628" t="s">
        <v>1737</v>
      </c>
      <c r="H628" t="s">
        <v>2279</v>
      </c>
      <c r="I628" t="s">
        <v>2279</v>
      </c>
      <c r="J628" t="s">
        <v>2279</v>
      </c>
      <c r="K628" t="s">
        <v>2279</v>
      </c>
      <c r="L628" t="s">
        <v>1488</v>
      </c>
      <c r="M628" t="s">
        <v>2279</v>
      </c>
      <c r="N628" t="s">
        <v>2279</v>
      </c>
      <c r="O628" s="190" t="str">
        <f>"["&amp;$C628&amp;"]["&amp;$D628&amp;"]["&amp;$F628&amp;"]"</f>
        <v>[S05_ImprovementReportArt69][8][ImprovementReportType]</v>
      </c>
    </row>
    <row r="629" spans="1:15" x14ac:dyDescent="0.3">
      <c r="A629" t="s">
        <v>2277</v>
      </c>
      <c r="B629" t="s">
        <v>1886</v>
      </c>
      <c r="C629" t="s">
        <v>1887</v>
      </c>
      <c r="D629">
        <v>9</v>
      </c>
      <c r="E629" t="s">
        <v>1447</v>
      </c>
      <c r="F629" t="s">
        <v>1889</v>
      </c>
      <c r="G629" t="s">
        <v>1737</v>
      </c>
      <c r="H629" t="s">
        <v>2279</v>
      </c>
      <c r="I629" t="s">
        <v>2279</v>
      </c>
      <c r="J629" t="s">
        <v>2279</v>
      </c>
      <c r="K629" t="s">
        <v>2279</v>
      </c>
      <c r="L629" t="s">
        <v>1488</v>
      </c>
      <c r="M629" t="s">
        <v>2279</v>
      </c>
      <c r="N629" t="s">
        <v>2279</v>
      </c>
      <c r="O629" s="190" t="str">
        <f>"["&amp;$C629&amp;"]["&amp;$D629&amp;"]["&amp;$F629&amp;"]"</f>
        <v>[S05_ImprovementReportArt69][9][ImprovementReportType]</v>
      </c>
    </row>
    <row r="630" spans="1:15" x14ac:dyDescent="0.3">
      <c r="A630" t="s">
        <v>2277</v>
      </c>
      <c r="B630" t="s">
        <v>1886</v>
      </c>
      <c r="C630" t="s">
        <v>1887</v>
      </c>
      <c r="D630">
        <v>10</v>
      </c>
      <c r="E630" t="s">
        <v>1447</v>
      </c>
      <c r="F630" t="s">
        <v>1889</v>
      </c>
      <c r="G630" t="s">
        <v>1737</v>
      </c>
      <c r="H630" t="s">
        <v>2279</v>
      </c>
      <c r="I630" t="s">
        <v>2279</v>
      </c>
      <c r="J630" t="s">
        <v>2279</v>
      </c>
      <c r="K630" t="s">
        <v>2279</v>
      </c>
      <c r="L630" t="s">
        <v>1488</v>
      </c>
      <c r="M630" t="s">
        <v>2279</v>
      </c>
      <c r="N630" t="s">
        <v>2279</v>
      </c>
      <c r="O630" s="190" t="str">
        <f>"["&amp;$C630&amp;"]["&amp;$D630&amp;"]["&amp;$F630&amp;"]"</f>
        <v>[S05_ImprovementReportArt69][10][ImprovementReportType]</v>
      </c>
    </row>
    <row r="631" spans="1:15" x14ac:dyDescent="0.3">
      <c r="A631" t="s">
        <v>2277</v>
      </c>
      <c r="B631" t="s">
        <v>1886</v>
      </c>
      <c r="C631" t="s">
        <v>1887</v>
      </c>
      <c r="D631">
        <v>11</v>
      </c>
      <c r="E631" t="s">
        <v>1447</v>
      </c>
      <c r="F631" t="s">
        <v>1889</v>
      </c>
      <c r="G631" t="s">
        <v>1737</v>
      </c>
      <c r="H631" t="s">
        <v>2279</v>
      </c>
      <c r="I631" t="s">
        <v>2279</v>
      </c>
      <c r="J631" t="s">
        <v>2279</v>
      </c>
      <c r="K631" t="s">
        <v>2279</v>
      </c>
      <c r="L631" t="s">
        <v>1488</v>
      </c>
      <c r="M631" t="s">
        <v>2279</v>
      </c>
      <c r="N631" t="s">
        <v>2279</v>
      </c>
      <c r="O631" s="190" t="str">
        <f>"["&amp;$C631&amp;"]["&amp;$D631&amp;"]["&amp;$F631&amp;"]"</f>
        <v>[S05_ImprovementReportArt69][11][ImprovementReportType]</v>
      </c>
    </row>
    <row r="632" spans="1:15" x14ac:dyDescent="0.3">
      <c r="A632" t="s">
        <v>2277</v>
      </c>
      <c r="B632" t="s">
        <v>1886</v>
      </c>
      <c r="C632" t="s">
        <v>1887</v>
      </c>
      <c r="D632">
        <v>12</v>
      </c>
      <c r="E632" t="s">
        <v>1447</v>
      </c>
      <c r="F632" t="s">
        <v>1889</v>
      </c>
      <c r="G632" t="s">
        <v>1737</v>
      </c>
      <c r="H632" t="s">
        <v>2279</v>
      </c>
      <c r="I632" t="s">
        <v>2279</v>
      </c>
      <c r="J632" t="s">
        <v>2279</v>
      </c>
      <c r="K632" t="s">
        <v>2279</v>
      </c>
      <c r="L632" t="s">
        <v>1488</v>
      </c>
      <c r="M632" t="s">
        <v>2279</v>
      </c>
      <c r="N632" t="s">
        <v>2279</v>
      </c>
      <c r="O632" s="190" t="str">
        <f>"["&amp;$C632&amp;"]["&amp;$D632&amp;"]["&amp;$F632&amp;"]"</f>
        <v>[S05_ImprovementReportArt69][12][ImprovementReportType]</v>
      </c>
    </row>
    <row r="633" spans="1:15" x14ac:dyDescent="0.3">
      <c r="A633" t="s">
        <v>2277</v>
      </c>
      <c r="B633" t="s">
        <v>1886</v>
      </c>
      <c r="C633" t="s">
        <v>1887</v>
      </c>
      <c r="D633">
        <v>13</v>
      </c>
      <c r="E633" t="s">
        <v>1447</v>
      </c>
      <c r="F633" t="s">
        <v>1889</v>
      </c>
      <c r="G633" t="s">
        <v>1737</v>
      </c>
      <c r="H633" t="s">
        <v>2279</v>
      </c>
      <c r="I633" t="s">
        <v>2279</v>
      </c>
      <c r="J633" t="s">
        <v>2279</v>
      </c>
      <c r="K633" t="s">
        <v>2279</v>
      </c>
      <c r="L633" t="s">
        <v>1488</v>
      </c>
      <c r="M633" t="s">
        <v>2279</v>
      </c>
      <c r="N633" t="s">
        <v>2279</v>
      </c>
      <c r="O633" s="190" t="str">
        <f>"["&amp;$C633&amp;"]["&amp;$D633&amp;"]["&amp;$F633&amp;"]"</f>
        <v>[S05_ImprovementReportArt69][13][ImprovementReportType]</v>
      </c>
    </row>
    <row r="634" spans="1:15" x14ac:dyDescent="0.3">
      <c r="A634" t="s">
        <v>2277</v>
      </c>
      <c r="B634" t="s">
        <v>1886</v>
      </c>
      <c r="C634" t="s">
        <v>1887</v>
      </c>
      <c r="D634">
        <v>14</v>
      </c>
      <c r="E634" t="s">
        <v>1447</v>
      </c>
      <c r="F634" t="s">
        <v>1889</v>
      </c>
      <c r="G634" t="s">
        <v>1737</v>
      </c>
      <c r="H634" t="s">
        <v>2279</v>
      </c>
      <c r="I634" t="s">
        <v>2279</v>
      </c>
      <c r="J634" t="s">
        <v>2279</v>
      </c>
      <c r="K634" t="s">
        <v>2279</v>
      </c>
      <c r="L634" t="s">
        <v>1488</v>
      </c>
      <c r="M634" t="s">
        <v>2279</v>
      </c>
      <c r="N634" t="s">
        <v>2279</v>
      </c>
      <c r="O634" s="190" t="str">
        <f>"["&amp;$C634&amp;"]["&amp;$D634&amp;"]["&amp;$F634&amp;"]"</f>
        <v>[S05_ImprovementReportArt69][14][ImprovementReportType]</v>
      </c>
    </row>
    <row r="635" spans="1:15" x14ac:dyDescent="0.3">
      <c r="A635" t="s">
        <v>2277</v>
      </c>
      <c r="B635" t="s">
        <v>1886</v>
      </c>
      <c r="C635" t="s">
        <v>1887</v>
      </c>
      <c r="D635">
        <v>15</v>
      </c>
      <c r="E635" t="s">
        <v>1447</v>
      </c>
      <c r="F635" t="s">
        <v>1889</v>
      </c>
      <c r="G635" t="s">
        <v>1737</v>
      </c>
      <c r="H635" t="s">
        <v>2279</v>
      </c>
      <c r="I635" t="s">
        <v>2279</v>
      </c>
      <c r="J635" t="s">
        <v>2279</v>
      </c>
      <c r="K635" t="s">
        <v>2279</v>
      </c>
      <c r="L635" t="s">
        <v>1488</v>
      </c>
      <c r="M635" t="s">
        <v>2279</v>
      </c>
      <c r="N635" t="s">
        <v>2279</v>
      </c>
      <c r="O635" s="190" t="str">
        <f>"["&amp;$C635&amp;"]["&amp;$D635&amp;"]["&amp;$F635&amp;"]"</f>
        <v>[S05_ImprovementReportArt69][15][ImprovementReportType]</v>
      </c>
    </row>
    <row r="636" spans="1:15" x14ac:dyDescent="0.3">
      <c r="A636" t="s">
        <v>2277</v>
      </c>
      <c r="B636" t="s">
        <v>1886</v>
      </c>
      <c r="C636" t="s">
        <v>1887</v>
      </c>
      <c r="D636">
        <v>16</v>
      </c>
      <c r="E636" t="s">
        <v>1447</v>
      </c>
      <c r="F636" t="s">
        <v>1889</v>
      </c>
      <c r="G636" t="s">
        <v>1737</v>
      </c>
      <c r="H636" t="s">
        <v>2279</v>
      </c>
      <c r="I636" t="s">
        <v>2279</v>
      </c>
      <c r="J636" t="s">
        <v>2279</v>
      </c>
      <c r="K636" t="s">
        <v>2279</v>
      </c>
      <c r="L636" t="s">
        <v>1488</v>
      </c>
      <c r="M636" t="s">
        <v>2279</v>
      </c>
      <c r="N636" t="s">
        <v>2279</v>
      </c>
      <c r="O636" s="190" t="str">
        <f>"["&amp;$C636&amp;"]["&amp;$D636&amp;"]["&amp;$F636&amp;"]"</f>
        <v>[S05_ImprovementReportArt69][16][ImprovementReportType]</v>
      </c>
    </row>
    <row r="637" spans="1:15" x14ac:dyDescent="0.3">
      <c r="A637" t="s">
        <v>2277</v>
      </c>
      <c r="B637" t="s">
        <v>1886</v>
      </c>
      <c r="C637" t="s">
        <v>1887</v>
      </c>
      <c r="D637">
        <v>17</v>
      </c>
      <c r="E637" t="s">
        <v>1447</v>
      </c>
      <c r="F637" t="s">
        <v>1889</v>
      </c>
      <c r="G637" t="s">
        <v>1737</v>
      </c>
      <c r="H637" t="s">
        <v>2279</v>
      </c>
      <c r="I637" t="s">
        <v>2279</v>
      </c>
      <c r="J637" t="s">
        <v>2279</v>
      </c>
      <c r="K637" t="s">
        <v>2279</v>
      </c>
      <c r="L637" t="s">
        <v>1488</v>
      </c>
      <c r="M637" t="s">
        <v>2279</v>
      </c>
      <c r="N637" t="s">
        <v>2279</v>
      </c>
      <c r="O637" s="190" t="str">
        <f>"["&amp;$C637&amp;"]["&amp;$D637&amp;"]["&amp;$F637&amp;"]"</f>
        <v>[S05_ImprovementReportArt69][17][ImprovementReportType]</v>
      </c>
    </row>
    <row r="638" spans="1:15" x14ac:dyDescent="0.3">
      <c r="A638" t="s">
        <v>2277</v>
      </c>
      <c r="B638" t="s">
        <v>1886</v>
      </c>
      <c r="C638" t="s">
        <v>1887</v>
      </c>
      <c r="D638">
        <v>18</v>
      </c>
      <c r="E638" t="s">
        <v>1447</v>
      </c>
      <c r="F638" t="s">
        <v>1889</v>
      </c>
      <c r="G638" t="s">
        <v>1737</v>
      </c>
      <c r="H638" t="s">
        <v>2279</v>
      </c>
      <c r="I638" t="s">
        <v>2279</v>
      </c>
      <c r="J638" t="s">
        <v>2279</v>
      </c>
      <c r="K638" t="s">
        <v>2279</v>
      </c>
      <c r="L638" t="s">
        <v>1488</v>
      </c>
      <c r="M638" t="s">
        <v>2279</v>
      </c>
      <c r="N638" t="s">
        <v>2279</v>
      </c>
      <c r="O638" s="190" t="str">
        <f>"["&amp;$C638&amp;"]["&amp;$D638&amp;"]["&amp;$F638&amp;"]"</f>
        <v>[S05_ImprovementReportArt69][18][ImprovementReportType]</v>
      </c>
    </row>
    <row r="639" spans="1:15" x14ac:dyDescent="0.3">
      <c r="A639" t="s">
        <v>2277</v>
      </c>
      <c r="B639" t="s">
        <v>1886</v>
      </c>
      <c r="C639" t="s">
        <v>1887</v>
      </c>
      <c r="D639">
        <v>19</v>
      </c>
      <c r="E639" t="s">
        <v>1447</v>
      </c>
      <c r="F639" t="s">
        <v>1889</v>
      </c>
      <c r="G639" t="s">
        <v>1737</v>
      </c>
      <c r="H639" t="s">
        <v>2279</v>
      </c>
      <c r="I639" t="s">
        <v>2279</v>
      </c>
      <c r="J639" t="s">
        <v>2279</v>
      </c>
      <c r="K639" t="s">
        <v>2279</v>
      </c>
      <c r="L639" t="s">
        <v>1488</v>
      </c>
      <c r="M639" t="s">
        <v>2279</v>
      </c>
      <c r="N639" t="s">
        <v>2279</v>
      </c>
      <c r="O639" s="190" t="str">
        <f>"["&amp;$C639&amp;"]["&amp;$D639&amp;"]["&amp;$F639&amp;"]"</f>
        <v>[S05_ImprovementReportArt69][19][ImprovementReportType]</v>
      </c>
    </row>
    <row r="640" spans="1:15" x14ac:dyDescent="0.3">
      <c r="A640" t="s">
        <v>2277</v>
      </c>
      <c r="B640" t="s">
        <v>1886</v>
      </c>
      <c r="C640" t="s">
        <v>1887</v>
      </c>
      <c r="D640">
        <v>20</v>
      </c>
      <c r="E640" t="s">
        <v>1447</v>
      </c>
      <c r="F640" t="s">
        <v>1889</v>
      </c>
      <c r="G640" t="s">
        <v>1737</v>
      </c>
      <c r="H640" t="s">
        <v>2279</v>
      </c>
      <c r="I640" t="s">
        <v>2279</v>
      </c>
      <c r="J640" t="s">
        <v>2279</v>
      </c>
      <c r="K640" t="s">
        <v>2279</v>
      </c>
      <c r="L640" t="s">
        <v>1488</v>
      </c>
      <c r="M640" t="s">
        <v>2279</v>
      </c>
      <c r="N640" t="s">
        <v>2279</v>
      </c>
      <c r="O640" s="190" t="str">
        <f>"["&amp;$C640&amp;"]["&amp;$D640&amp;"]["&amp;$F640&amp;"]"</f>
        <v>[S05_ImprovementReportArt69][20][ImprovementReportType]</v>
      </c>
    </row>
    <row r="641" spans="1:15" x14ac:dyDescent="0.3">
      <c r="A641" t="s">
        <v>2277</v>
      </c>
      <c r="B641" t="s">
        <v>1886</v>
      </c>
      <c r="C641" t="s">
        <v>1887</v>
      </c>
      <c r="D641">
        <v>21</v>
      </c>
      <c r="E641" t="s">
        <v>1447</v>
      </c>
      <c r="F641" t="s">
        <v>1889</v>
      </c>
      <c r="G641" t="s">
        <v>1737</v>
      </c>
      <c r="H641" t="s">
        <v>2279</v>
      </c>
      <c r="I641" t="s">
        <v>2279</v>
      </c>
      <c r="J641" t="s">
        <v>2279</v>
      </c>
      <c r="K641" t="s">
        <v>2279</v>
      </c>
      <c r="L641" t="s">
        <v>1488</v>
      </c>
      <c r="M641" t="s">
        <v>2279</v>
      </c>
      <c r="N641" t="s">
        <v>2279</v>
      </c>
      <c r="O641" s="190" t="str">
        <f>"["&amp;$C641&amp;"]["&amp;$D641&amp;"]["&amp;$F641&amp;"]"</f>
        <v>[S05_ImprovementReportArt69][21][ImprovementReportType]</v>
      </c>
    </row>
    <row r="642" spans="1:15" x14ac:dyDescent="0.3">
      <c r="A642" t="s">
        <v>2277</v>
      </c>
      <c r="B642" t="s">
        <v>1886</v>
      </c>
      <c r="C642" t="s">
        <v>1887</v>
      </c>
      <c r="D642">
        <v>22</v>
      </c>
      <c r="E642" t="s">
        <v>1447</v>
      </c>
      <c r="F642" t="s">
        <v>1889</v>
      </c>
      <c r="G642" t="s">
        <v>1737</v>
      </c>
      <c r="H642" t="s">
        <v>2279</v>
      </c>
      <c r="I642" t="s">
        <v>2279</v>
      </c>
      <c r="J642" t="s">
        <v>2279</v>
      </c>
      <c r="K642" t="s">
        <v>2279</v>
      </c>
      <c r="L642" t="s">
        <v>1488</v>
      </c>
      <c r="M642" t="s">
        <v>2279</v>
      </c>
      <c r="N642" t="s">
        <v>2279</v>
      </c>
      <c r="O642" s="190" t="str">
        <f>"["&amp;$C642&amp;"]["&amp;$D642&amp;"]["&amp;$F642&amp;"]"</f>
        <v>[S05_ImprovementReportArt69][22][ImprovementReportType]</v>
      </c>
    </row>
    <row r="643" spans="1:15" x14ac:dyDescent="0.3">
      <c r="A643" t="s">
        <v>2277</v>
      </c>
      <c r="B643" t="s">
        <v>1886</v>
      </c>
      <c r="C643" t="s">
        <v>1887</v>
      </c>
      <c r="D643">
        <v>23</v>
      </c>
      <c r="E643" t="s">
        <v>1447</v>
      </c>
      <c r="F643" t="s">
        <v>1889</v>
      </c>
      <c r="G643" t="s">
        <v>1737</v>
      </c>
      <c r="H643" t="s">
        <v>2279</v>
      </c>
      <c r="I643" t="s">
        <v>2279</v>
      </c>
      <c r="J643" t="s">
        <v>2279</v>
      </c>
      <c r="K643" t="s">
        <v>2279</v>
      </c>
      <c r="L643" t="s">
        <v>1488</v>
      </c>
      <c r="M643" t="s">
        <v>2279</v>
      </c>
      <c r="N643" t="s">
        <v>2279</v>
      </c>
      <c r="O643" s="190" t="str">
        <f>"["&amp;$C643&amp;"]["&amp;$D643&amp;"]["&amp;$F643&amp;"]"</f>
        <v>[S05_ImprovementReportArt69][23][ImprovementReportType]</v>
      </c>
    </row>
    <row r="644" spans="1:15" x14ac:dyDescent="0.3">
      <c r="A644" t="s">
        <v>2277</v>
      </c>
      <c r="B644" t="s">
        <v>1886</v>
      </c>
      <c r="C644" t="s">
        <v>1887</v>
      </c>
      <c r="D644">
        <v>24</v>
      </c>
      <c r="E644" t="s">
        <v>1447</v>
      </c>
      <c r="F644" t="s">
        <v>1889</v>
      </c>
      <c r="G644" t="s">
        <v>1737</v>
      </c>
      <c r="H644" t="s">
        <v>2279</v>
      </c>
      <c r="I644" t="s">
        <v>2279</v>
      </c>
      <c r="J644" t="s">
        <v>2279</v>
      </c>
      <c r="K644" t="s">
        <v>2279</v>
      </c>
      <c r="L644" t="s">
        <v>1488</v>
      </c>
      <c r="M644" t="s">
        <v>2279</v>
      </c>
      <c r="N644" t="s">
        <v>2279</v>
      </c>
      <c r="O644" s="190" t="str">
        <f>"["&amp;$C644&amp;"]["&amp;$D644&amp;"]["&amp;$F644&amp;"]"</f>
        <v>[S05_ImprovementReportArt69][24][ImprovementReportType]</v>
      </c>
    </row>
    <row r="645" spans="1:15" x14ac:dyDescent="0.3">
      <c r="A645" t="s">
        <v>2277</v>
      </c>
      <c r="B645" t="s">
        <v>1886</v>
      </c>
      <c r="C645" t="s">
        <v>1887</v>
      </c>
      <c r="D645">
        <v>25</v>
      </c>
      <c r="E645" t="s">
        <v>1447</v>
      </c>
      <c r="F645" t="s">
        <v>1889</v>
      </c>
      <c r="G645" t="s">
        <v>1737</v>
      </c>
      <c r="H645" t="s">
        <v>2279</v>
      </c>
      <c r="I645" t="s">
        <v>2279</v>
      </c>
      <c r="J645" t="s">
        <v>2279</v>
      </c>
      <c r="K645" t="s">
        <v>2279</v>
      </c>
      <c r="L645" t="s">
        <v>1488</v>
      </c>
      <c r="M645" t="s">
        <v>2279</v>
      </c>
      <c r="N645" t="s">
        <v>2279</v>
      </c>
      <c r="O645" s="190" t="str">
        <f>"["&amp;$C645&amp;"]["&amp;$D645&amp;"]["&amp;$F645&amp;"]"</f>
        <v>[S05_ImprovementReportArt69][25][ImprovementReportType]</v>
      </c>
    </row>
    <row r="646" spans="1:15" x14ac:dyDescent="0.3">
      <c r="A646" t="s">
        <v>2277</v>
      </c>
      <c r="B646" t="s">
        <v>1886</v>
      </c>
      <c r="C646" t="s">
        <v>1887</v>
      </c>
      <c r="D646">
        <v>26</v>
      </c>
      <c r="E646" t="s">
        <v>1447</v>
      </c>
      <c r="F646" t="s">
        <v>1889</v>
      </c>
      <c r="G646" t="s">
        <v>1737</v>
      </c>
      <c r="H646" t="s">
        <v>2279</v>
      </c>
      <c r="I646" t="s">
        <v>2279</v>
      </c>
      <c r="J646" t="s">
        <v>2279</v>
      </c>
      <c r="K646" t="s">
        <v>2279</v>
      </c>
      <c r="L646" t="s">
        <v>1488</v>
      </c>
      <c r="M646" t="s">
        <v>2279</v>
      </c>
      <c r="N646" t="s">
        <v>2279</v>
      </c>
      <c r="O646" s="190" t="str">
        <f>"["&amp;$C646&amp;"]["&amp;$D646&amp;"]["&amp;$F646&amp;"]"</f>
        <v>[S05_ImprovementReportArt69][26][ImprovementReportType]</v>
      </c>
    </row>
    <row r="647" spans="1:15" x14ac:dyDescent="0.3">
      <c r="A647" t="s">
        <v>2277</v>
      </c>
      <c r="B647" t="s">
        <v>1886</v>
      </c>
      <c r="C647" t="s">
        <v>1887</v>
      </c>
      <c r="D647">
        <v>27</v>
      </c>
      <c r="E647" t="s">
        <v>1447</v>
      </c>
      <c r="F647" t="s">
        <v>1889</v>
      </c>
      <c r="G647" t="s">
        <v>1737</v>
      </c>
      <c r="H647" t="s">
        <v>2279</v>
      </c>
      <c r="I647" t="s">
        <v>2279</v>
      </c>
      <c r="J647" t="s">
        <v>2279</v>
      </c>
      <c r="K647" t="s">
        <v>2279</v>
      </c>
      <c r="L647" t="s">
        <v>1488</v>
      </c>
      <c r="M647" t="s">
        <v>2279</v>
      </c>
      <c r="N647" t="s">
        <v>2279</v>
      </c>
      <c r="O647" s="190" t="str">
        <f>"["&amp;$C647&amp;"]["&amp;$D647&amp;"]["&amp;$F647&amp;"]"</f>
        <v>[S05_ImprovementReportArt69][27][ImprovementReportType]</v>
      </c>
    </row>
    <row r="648" spans="1:15" x14ac:dyDescent="0.3">
      <c r="A648" t="s">
        <v>2277</v>
      </c>
      <c r="B648" t="s">
        <v>1886</v>
      </c>
      <c r="C648" t="s">
        <v>1887</v>
      </c>
      <c r="D648">
        <v>28</v>
      </c>
      <c r="E648" t="s">
        <v>1447</v>
      </c>
      <c r="F648" t="s">
        <v>1889</v>
      </c>
      <c r="G648" t="s">
        <v>1737</v>
      </c>
      <c r="H648" t="s">
        <v>2279</v>
      </c>
      <c r="I648" t="s">
        <v>2279</v>
      </c>
      <c r="J648" t="s">
        <v>2279</v>
      </c>
      <c r="K648" t="s">
        <v>2279</v>
      </c>
      <c r="L648" t="s">
        <v>1488</v>
      </c>
      <c r="M648" t="s">
        <v>2279</v>
      </c>
      <c r="N648" t="s">
        <v>2279</v>
      </c>
      <c r="O648" s="190" t="str">
        <f>"["&amp;$C648&amp;"]["&amp;$D648&amp;"]["&amp;$F648&amp;"]"</f>
        <v>[S05_ImprovementReportArt69][28][ImprovementReportType]</v>
      </c>
    </row>
    <row r="649" spans="1:15" x14ac:dyDescent="0.3">
      <c r="A649" t="s">
        <v>2277</v>
      </c>
      <c r="B649" t="s">
        <v>1886</v>
      </c>
      <c r="C649" t="s">
        <v>1887</v>
      </c>
      <c r="D649">
        <v>29</v>
      </c>
      <c r="E649" t="s">
        <v>1447</v>
      </c>
      <c r="F649" t="s">
        <v>1889</v>
      </c>
      <c r="G649" t="s">
        <v>1737</v>
      </c>
      <c r="H649" t="s">
        <v>2279</v>
      </c>
      <c r="I649" t="s">
        <v>2279</v>
      </c>
      <c r="J649" t="s">
        <v>2279</v>
      </c>
      <c r="K649" t="s">
        <v>2279</v>
      </c>
      <c r="L649" t="s">
        <v>1488</v>
      </c>
      <c r="M649" t="s">
        <v>2279</v>
      </c>
      <c r="N649" t="s">
        <v>2279</v>
      </c>
      <c r="O649" s="190" t="str">
        <f>"["&amp;$C649&amp;"]["&amp;$D649&amp;"]["&amp;$F649&amp;"]"</f>
        <v>[S05_ImprovementReportArt69][29][ImprovementReportType]</v>
      </c>
    </row>
    <row r="650" spans="1:15" x14ac:dyDescent="0.3">
      <c r="A650" t="s">
        <v>2277</v>
      </c>
      <c r="B650" t="s">
        <v>1886</v>
      </c>
      <c r="C650" t="s">
        <v>1887</v>
      </c>
      <c r="D650">
        <v>30</v>
      </c>
      <c r="E650" t="s">
        <v>1447</v>
      </c>
      <c r="F650" t="s">
        <v>1889</v>
      </c>
      <c r="G650" t="s">
        <v>1737</v>
      </c>
      <c r="H650" t="s">
        <v>2279</v>
      </c>
      <c r="I650" t="s">
        <v>2279</v>
      </c>
      <c r="J650" t="s">
        <v>2279</v>
      </c>
      <c r="K650" t="s">
        <v>2279</v>
      </c>
      <c r="L650" t="s">
        <v>1488</v>
      </c>
      <c r="M650" t="s">
        <v>2279</v>
      </c>
      <c r="N650" t="s">
        <v>2279</v>
      </c>
      <c r="O650" s="190" t="str">
        <f>"["&amp;$C650&amp;"]["&amp;$D650&amp;"]["&amp;$F650&amp;"]"</f>
        <v>[S05_ImprovementReportArt69][30][ImprovementReportType]</v>
      </c>
    </row>
    <row r="651" spans="1:15" x14ac:dyDescent="0.3">
      <c r="A651" t="s">
        <v>2277</v>
      </c>
      <c r="B651" t="s">
        <v>1886</v>
      </c>
      <c r="C651" t="s">
        <v>1887</v>
      </c>
      <c r="D651">
        <v>31</v>
      </c>
      <c r="E651" t="s">
        <v>1447</v>
      </c>
      <c r="F651" t="s">
        <v>1889</v>
      </c>
      <c r="G651" t="s">
        <v>1737</v>
      </c>
      <c r="H651" t="s">
        <v>2279</v>
      </c>
      <c r="I651" t="s">
        <v>2279</v>
      </c>
      <c r="J651" t="s">
        <v>2279</v>
      </c>
      <c r="K651" t="s">
        <v>2279</v>
      </c>
      <c r="L651" t="s">
        <v>1488</v>
      </c>
      <c r="M651" t="s">
        <v>2279</v>
      </c>
      <c r="N651" t="s">
        <v>2279</v>
      </c>
      <c r="O651" s="190" t="str">
        <f>"["&amp;$C651&amp;"]["&amp;$D651&amp;"]["&amp;$F651&amp;"]"</f>
        <v>[S05_ImprovementReportArt69][31][ImprovementReportType]</v>
      </c>
    </row>
    <row r="652" spans="1:15" x14ac:dyDescent="0.3">
      <c r="A652" t="s">
        <v>2277</v>
      </c>
      <c r="B652" t="s">
        <v>1886</v>
      </c>
      <c r="C652" t="s">
        <v>1887</v>
      </c>
      <c r="D652">
        <v>32</v>
      </c>
      <c r="E652" t="s">
        <v>1447</v>
      </c>
      <c r="F652" t="s">
        <v>1889</v>
      </c>
      <c r="G652" t="s">
        <v>1737</v>
      </c>
      <c r="H652" t="s">
        <v>2279</v>
      </c>
      <c r="I652" t="s">
        <v>2279</v>
      </c>
      <c r="J652" t="s">
        <v>2279</v>
      </c>
      <c r="K652" t="s">
        <v>2279</v>
      </c>
      <c r="L652" t="s">
        <v>1488</v>
      </c>
      <c r="M652" t="s">
        <v>2279</v>
      </c>
      <c r="N652" t="s">
        <v>2279</v>
      </c>
      <c r="O652" s="190" t="str">
        <f>"["&amp;$C652&amp;"]["&amp;$D652&amp;"]["&amp;$F652&amp;"]"</f>
        <v>[S05_ImprovementReportArt69][32][ImprovementReportType]</v>
      </c>
    </row>
    <row r="653" spans="1:15" x14ac:dyDescent="0.3">
      <c r="A653" t="s">
        <v>2277</v>
      </c>
      <c r="B653" t="s">
        <v>1886</v>
      </c>
      <c r="C653" t="s">
        <v>1887</v>
      </c>
      <c r="D653">
        <v>33</v>
      </c>
      <c r="E653" t="s">
        <v>1447</v>
      </c>
      <c r="F653" t="s">
        <v>1889</v>
      </c>
      <c r="G653" t="s">
        <v>1737</v>
      </c>
      <c r="H653" t="s">
        <v>2279</v>
      </c>
      <c r="I653" t="s">
        <v>2279</v>
      </c>
      <c r="J653" t="s">
        <v>2279</v>
      </c>
      <c r="K653" t="s">
        <v>2279</v>
      </c>
      <c r="L653" t="s">
        <v>1488</v>
      </c>
      <c r="M653" t="s">
        <v>2279</v>
      </c>
      <c r="N653" t="s">
        <v>2279</v>
      </c>
      <c r="O653" s="190" t="str">
        <f>"["&amp;$C653&amp;"]["&amp;$D653&amp;"]["&amp;$F653&amp;"]"</f>
        <v>[S05_ImprovementReportArt69][33][ImprovementReportType]</v>
      </c>
    </row>
    <row r="654" spans="1:15" x14ac:dyDescent="0.3">
      <c r="A654" t="s">
        <v>2277</v>
      </c>
      <c r="B654" t="s">
        <v>1886</v>
      </c>
      <c r="C654" t="s">
        <v>1887</v>
      </c>
      <c r="D654">
        <v>34</v>
      </c>
      <c r="E654" t="s">
        <v>1447</v>
      </c>
      <c r="F654" t="s">
        <v>1889</v>
      </c>
      <c r="G654" t="s">
        <v>1737</v>
      </c>
      <c r="H654" t="s">
        <v>2279</v>
      </c>
      <c r="I654" t="s">
        <v>2279</v>
      </c>
      <c r="J654" t="s">
        <v>2279</v>
      </c>
      <c r="K654" t="s">
        <v>2279</v>
      </c>
      <c r="L654" t="s">
        <v>1488</v>
      </c>
      <c r="M654" t="s">
        <v>2279</v>
      </c>
      <c r="N654" t="s">
        <v>2279</v>
      </c>
      <c r="O654" s="190" t="str">
        <f>"["&amp;$C654&amp;"]["&amp;$D654&amp;"]["&amp;$F654&amp;"]"</f>
        <v>[S05_ImprovementReportArt69][34][ImprovementReportType]</v>
      </c>
    </row>
    <row r="655" spans="1:15" x14ac:dyDescent="0.3">
      <c r="A655" t="s">
        <v>2277</v>
      </c>
      <c r="B655" t="s">
        <v>1886</v>
      </c>
      <c r="C655" t="s">
        <v>1887</v>
      </c>
      <c r="D655">
        <v>35</v>
      </c>
      <c r="E655" t="s">
        <v>1447</v>
      </c>
      <c r="F655" t="s">
        <v>1889</v>
      </c>
      <c r="G655" t="s">
        <v>1737</v>
      </c>
      <c r="H655" t="s">
        <v>2279</v>
      </c>
      <c r="I655" t="s">
        <v>2279</v>
      </c>
      <c r="J655" t="s">
        <v>2279</v>
      </c>
      <c r="K655" t="s">
        <v>2279</v>
      </c>
      <c r="L655" t="s">
        <v>1488</v>
      </c>
      <c r="M655" t="s">
        <v>2279</v>
      </c>
      <c r="N655" t="s">
        <v>2279</v>
      </c>
      <c r="O655" s="190" t="str">
        <f>"["&amp;$C655&amp;"]["&amp;$D655&amp;"]["&amp;$F655&amp;"]"</f>
        <v>[S05_ImprovementReportArt69][35][ImprovementReportType]</v>
      </c>
    </row>
    <row r="656" spans="1:15" x14ac:dyDescent="0.3">
      <c r="A656" t="s">
        <v>2277</v>
      </c>
      <c r="B656" t="s">
        <v>1886</v>
      </c>
      <c r="C656" t="s">
        <v>1887</v>
      </c>
      <c r="D656">
        <v>36</v>
      </c>
      <c r="E656" t="s">
        <v>1447</v>
      </c>
      <c r="F656" t="s">
        <v>1889</v>
      </c>
      <c r="G656" t="s">
        <v>1737</v>
      </c>
      <c r="H656" t="s">
        <v>2279</v>
      </c>
      <c r="I656" t="s">
        <v>2279</v>
      </c>
      <c r="J656" t="s">
        <v>2279</v>
      </c>
      <c r="K656" t="s">
        <v>2279</v>
      </c>
      <c r="L656" t="s">
        <v>1488</v>
      </c>
      <c r="M656" t="s">
        <v>2279</v>
      </c>
      <c r="N656" t="s">
        <v>2279</v>
      </c>
      <c r="O656" s="190" t="str">
        <f>"["&amp;$C656&amp;"]["&amp;$D656&amp;"]["&amp;$F656&amp;"]"</f>
        <v>[S05_ImprovementReportArt69][36][ImprovementReportType]</v>
      </c>
    </row>
    <row r="657" spans="1:15" x14ac:dyDescent="0.3">
      <c r="A657" t="s">
        <v>2277</v>
      </c>
      <c r="B657" t="s">
        <v>1886</v>
      </c>
      <c r="C657" t="s">
        <v>1887</v>
      </c>
      <c r="D657">
        <v>37</v>
      </c>
      <c r="E657" t="s">
        <v>1447</v>
      </c>
      <c r="F657" t="s">
        <v>1889</v>
      </c>
      <c r="G657" t="s">
        <v>1737</v>
      </c>
      <c r="H657" t="s">
        <v>2279</v>
      </c>
      <c r="I657" t="s">
        <v>2279</v>
      </c>
      <c r="J657" t="s">
        <v>2279</v>
      </c>
      <c r="K657" t="s">
        <v>2279</v>
      </c>
      <c r="L657" t="s">
        <v>1488</v>
      </c>
      <c r="M657" t="s">
        <v>2279</v>
      </c>
      <c r="N657" t="s">
        <v>2279</v>
      </c>
      <c r="O657" s="190" t="str">
        <f>"["&amp;$C657&amp;"]["&amp;$D657&amp;"]["&amp;$F657&amp;"]"</f>
        <v>[S05_ImprovementReportArt69][37][ImprovementReportType]</v>
      </c>
    </row>
    <row r="658" spans="1:15" x14ac:dyDescent="0.3">
      <c r="A658" t="s">
        <v>2277</v>
      </c>
      <c r="B658" t="s">
        <v>1886</v>
      </c>
      <c r="C658" t="s">
        <v>1887</v>
      </c>
      <c r="D658">
        <v>38</v>
      </c>
      <c r="E658" t="s">
        <v>1447</v>
      </c>
      <c r="F658" t="s">
        <v>1889</v>
      </c>
      <c r="G658" t="s">
        <v>1737</v>
      </c>
      <c r="H658" t="s">
        <v>2279</v>
      </c>
      <c r="I658" t="s">
        <v>2279</v>
      </c>
      <c r="J658" t="s">
        <v>2279</v>
      </c>
      <c r="K658" t="s">
        <v>2279</v>
      </c>
      <c r="L658" t="s">
        <v>1488</v>
      </c>
      <c r="M658" t="s">
        <v>2279</v>
      </c>
      <c r="N658" t="s">
        <v>2279</v>
      </c>
      <c r="O658" s="190" t="str">
        <f>"["&amp;$C658&amp;"]["&amp;$D658&amp;"]["&amp;$F658&amp;"]"</f>
        <v>[S05_ImprovementReportArt69][38][ImprovementReportType]</v>
      </c>
    </row>
    <row r="659" spans="1:15" x14ac:dyDescent="0.3">
      <c r="A659" t="s">
        <v>2277</v>
      </c>
      <c r="B659" t="s">
        <v>1886</v>
      </c>
      <c r="C659" t="s">
        <v>1887</v>
      </c>
      <c r="D659">
        <v>39</v>
      </c>
      <c r="E659" t="s">
        <v>1447</v>
      </c>
      <c r="F659" t="s">
        <v>1889</v>
      </c>
      <c r="G659" t="s">
        <v>1737</v>
      </c>
      <c r="H659" t="s">
        <v>2279</v>
      </c>
      <c r="I659" t="s">
        <v>2279</v>
      </c>
      <c r="J659" t="s">
        <v>2279</v>
      </c>
      <c r="K659" t="s">
        <v>2279</v>
      </c>
      <c r="L659" t="s">
        <v>1488</v>
      </c>
      <c r="M659" t="s">
        <v>2279</v>
      </c>
      <c r="N659" t="s">
        <v>2279</v>
      </c>
      <c r="O659" s="190" t="str">
        <f>"["&amp;$C659&amp;"]["&amp;$D659&amp;"]["&amp;$F659&amp;"]"</f>
        <v>[S05_ImprovementReportArt69][39][ImprovementReportType]</v>
      </c>
    </row>
    <row r="660" spans="1:15" x14ac:dyDescent="0.3">
      <c r="A660" t="s">
        <v>2277</v>
      </c>
      <c r="B660" t="s">
        <v>1886</v>
      </c>
      <c r="C660" t="s">
        <v>1887</v>
      </c>
      <c r="D660">
        <v>40</v>
      </c>
      <c r="E660" t="s">
        <v>1447</v>
      </c>
      <c r="F660" t="s">
        <v>1889</v>
      </c>
      <c r="G660" t="s">
        <v>1737</v>
      </c>
      <c r="H660" t="s">
        <v>2279</v>
      </c>
      <c r="I660" t="s">
        <v>2279</v>
      </c>
      <c r="J660" t="s">
        <v>2279</v>
      </c>
      <c r="K660" t="s">
        <v>2279</v>
      </c>
      <c r="L660" t="s">
        <v>1488</v>
      </c>
      <c r="M660" t="s">
        <v>2279</v>
      </c>
      <c r="N660" t="s">
        <v>2279</v>
      </c>
      <c r="O660" s="190" t="str">
        <f>"["&amp;$C660&amp;"]["&amp;$D660&amp;"]["&amp;$F660&amp;"]"</f>
        <v>[S05_ImprovementReportArt69][40][ImprovementReportType]</v>
      </c>
    </row>
    <row r="661" spans="1:15" x14ac:dyDescent="0.3">
      <c r="A661" t="s">
        <v>2277</v>
      </c>
      <c r="B661" t="s">
        <v>1886</v>
      </c>
      <c r="C661" t="s">
        <v>1887</v>
      </c>
      <c r="D661">
        <v>41</v>
      </c>
      <c r="E661" t="s">
        <v>1447</v>
      </c>
      <c r="F661" t="s">
        <v>1889</v>
      </c>
      <c r="G661" t="s">
        <v>1737</v>
      </c>
      <c r="H661" t="s">
        <v>2279</v>
      </c>
      <c r="I661" t="s">
        <v>2279</v>
      </c>
      <c r="J661" t="s">
        <v>2279</v>
      </c>
      <c r="K661" t="s">
        <v>2279</v>
      </c>
      <c r="L661" t="s">
        <v>1488</v>
      </c>
      <c r="M661" t="s">
        <v>2279</v>
      </c>
      <c r="N661" t="s">
        <v>2279</v>
      </c>
      <c r="O661" s="190" t="str">
        <f>"["&amp;$C661&amp;"]["&amp;$D661&amp;"]["&amp;$F661&amp;"]"</f>
        <v>[S05_ImprovementReportArt69][41][ImprovementReportType]</v>
      </c>
    </row>
    <row r="662" spans="1:15" x14ac:dyDescent="0.3">
      <c r="A662" t="s">
        <v>2277</v>
      </c>
      <c r="B662" t="s">
        <v>1886</v>
      </c>
      <c r="C662" t="s">
        <v>1887</v>
      </c>
      <c r="D662">
        <v>42</v>
      </c>
      <c r="E662" t="s">
        <v>1447</v>
      </c>
      <c r="F662" t="s">
        <v>1889</v>
      </c>
      <c r="G662" t="s">
        <v>1737</v>
      </c>
      <c r="H662" t="s">
        <v>2279</v>
      </c>
      <c r="I662" t="s">
        <v>2279</v>
      </c>
      <c r="J662" t="s">
        <v>2279</v>
      </c>
      <c r="K662" t="s">
        <v>2279</v>
      </c>
      <c r="L662" t="s">
        <v>1488</v>
      </c>
      <c r="M662" t="s">
        <v>2279</v>
      </c>
      <c r="N662" t="s">
        <v>2279</v>
      </c>
      <c r="O662" s="190" t="str">
        <f>"["&amp;$C662&amp;"]["&amp;$D662&amp;"]["&amp;$F662&amp;"]"</f>
        <v>[S05_ImprovementReportArt69][42][ImprovementReportType]</v>
      </c>
    </row>
    <row r="663" spans="1:15" x14ac:dyDescent="0.3">
      <c r="A663" t="s">
        <v>2277</v>
      </c>
      <c r="B663" t="s">
        <v>1886</v>
      </c>
      <c r="C663" t="s">
        <v>1887</v>
      </c>
      <c r="D663">
        <v>43</v>
      </c>
      <c r="E663" t="s">
        <v>1447</v>
      </c>
      <c r="F663" t="s">
        <v>1889</v>
      </c>
      <c r="G663" t="s">
        <v>1737</v>
      </c>
      <c r="H663" t="s">
        <v>2279</v>
      </c>
      <c r="I663" t="s">
        <v>2279</v>
      </c>
      <c r="J663" t="s">
        <v>2279</v>
      </c>
      <c r="K663" t="s">
        <v>2279</v>
      </c>
      <c r="L663" t="s">
        <v>1488</v>
      </c>
      <c r="M663" t="s">
        <v>2279</v>
      </c>
      <c r="N663" t="s">
        <v>2279</v>
      </c>
      <c r="O663" s="190" t="str">
        <f>"["&amp;$C663&amp;"]["&amp;$D663&amp;"]["&amp;$F663&amp;"]"</f>
        <v>[S05_ImprovementReportArt69][43][ImprovementReportType]</v>
      </c>
    </row>
    <row r="664" spans="1:15" x14ac:dyDescent="0.3">
      <c r="A664" t="s">
        <v>2277</v>
      </c>
      <c r="B664" t="s">
        <v>1886</v>
      </c>
      <c r="C664" t="s">
        <v>1887</v>
      </c>
      <c r="D664">
        <v>44</v>
      </c>
      <c r="E664" t="s">
        <v>1447</v>
      </c>
      <c r="F664" t="s">
        <v>1889</v>
      </c>
      <c r="G664" t="s">
        <v>1737</v>
      </c>
      <c r="H664" t="s">
        <v>2279</v>
      </c>
      <c r="I664" t="s">
        <v>2279</v>
      </c>
      <c r="J664" t="s">
        <v>2279</v>
      </c>
      <c r="K664" t="s">
        <v>2279</v>
      </c>
      <c r="L664" t="s">
        <v>1488</v>
      </c>
      <c r="M664" t="s">
        <v>2279</v>
      </c>
      <c r="N664" t="s">
        <v>2279</v>
      </c>
      <c r="O664" s="190" t="str">
        <f>"["&amp;$C664&amp;"]["&amp;$D664&amp;"]["&amp;$F664&amp;"]"</f>
        <v>[S05_ImprovementReportArt69][44][ImprovementReportType]</v>
      </c>
    </row>
    <row r="665" spans="1:15" x14ac:dyDescent="0.3">
      <c r="A665" t="s">
        <v>2277</v>
      </c>
      <c r="B665" t="s">
        <v>1886</v>
      </c>
      <c r="C665" t="s">
        <v>1887</v>
      </c>
      <c r="D665">
        <v>45</v>
      </c>
      <c r="E665" t="s">
        <v>1447</v>
      </c>
      <c r="F665" t="s">
        <v>1889</v>
      </c>
      <c r="G665" t="s">
        <v>1737</v>
      </c>
      <c r="H665" t="s">
        <v>2279</v>
      </c>
      <c r="I665" t="s">
        <v>2279</v>
      </c>
      <c r="J665" t="s">
        <v>2279</v>
      </c>
      <c r="K665" t="s">
        <v>2279</v>
      </c>
      <c r="L665" t="s">
        <v>1488</v>
      </c>
      <c r="M665" t="s">
        <v>2279</v>
      </c>
      <c r="N665" t="s">
        <v>2279</v>
      </c>
      <c r="O665" s="190" t="str">
        <f>"["&amp;$C665&amp;"]["&amp;$D665&amp;"]["&amp;$F665&amp;"]"</f>
        <v>[S05_ImprovementReportArt69][45][ImprovementReportType]</v>
      </c>
    </row>
    <row r="666" spans="1:15" x14ac:dyDescent="0.3">
      <c r="A666" t="s">
        <v>2277</v>
      </c>
      <c r="B666" t="s">
        <v>1886</v>
      </c>
      <c r="C666" t="s">
        <v>1887</v>
      </c>
      <c r="D666">
        <v>46</v>
      </c>
      <c r="E666" t="s">
        <v>1447</v>
      </c>
      <c r="F666" t="s">
        <v>1889</v>
      </c>
      <c r="G666" t="s">
        <v>1737</v>
      </c>
      <c r="H666" t="s">
        <v>2279</v>
      </c>
      <c r="I666" t="s">
        <v>2279</v>
      </c>
      <c r="J666" t="s">
        <v>2279</v>
      </c>
      <c r="K666" t="s">
        <v>2279</v>
      </c>
      <c r="L666" t="s">
        <v>1488</v>
      </c>
      <c r="M666" t="s">
        <v>2279</v>
      </c>
      <c r="N666" t="s">
        <v>2279</v>
      </c>
      <c r="O666" s="190" t="str">
        <f>"["&amp;$C666&amp;"]["&amp;$D666&amp;"]["&amp;$F666&amp;"]"</f>
        <v>[S05_ImprovementReportArt69][46][ImprovementReportType]</v>
      </c>
    </row>
    <row r="667" spans="1:15" x14ac:dyDescent="0.3">
      <c r="A667" t="s">
        <v>2277</v>
      </c>
      <c r="B667" t="s">
        <v>1886</v>
      </c>
      <c r="C667" t="s">
        <v>1887</v>
      </c>
      <c r="D667">
        <v>47</v>
      </c>
      <c r="E667" t="s">
        <v>1447</v>
      </c>
      <c r="F667" t="s">
        <v>1889</v>
      </c>
      <c r="G667" t="s">
        <v>1737</v>
      </c>
      <c r="H667" t="s">
        <v>2279</v>
      </c>
      <c r="I667" t="s">
        <v>2279</v>
      </c>
      <c r="J667" t="s">
        <v>2279</v>
      </c>
      <c r="K667" t="s">
        <v>2279</v>
      </c>
      <c r="L667" t="s">
        <v>1488</v>
      </c>
      <c r="M667" t="s">
        <v>2279</v>
      </c>
      <c r="N667" t="s">
        <v>2279</v>
      </c>
      <c r="O667" s="190" t="str">
        <f>"["&amp;$C667&amp;"]["&amp;$D667&amp;"]["&amp;$F667&amp;"]"</f>
        <v>[S05_ImprovementReportArt69][47][ImprovementReportType]</v>
      </c>
    </row>
    <row r="668" spans="1:15" x14ac:dyDescent="0.3">
      <c r="A668" t="s">
        <v>2277</v>
      </c>
      <c r="B668" t="s">
        <v>1886</v>
      </c>
      <c r="C668" t="s">
        <v>1887</v>
      </c>
      <c r="D668">
        <v>1</v>
      </c>
      <c r="E668" t="s">
        <v>1447</v>
      </c>
      <c r="F668" t="s">
        <v>1890</v>
      </c>
      <c r="G668" t="s">
        <v>1748</v>
      </c>
      <c r="H668" t="s">
        <v>2279</v>
      </c>
      <c r="I668">
        <v>2</v>
      </c>
      <c r="J668" t="s">
        <v>2279</v>
      </c>
      <c r="K668" t="s">
        <v>2279</v>
      </c>
      <c r="L668" t="s">
        <v>2279</v>
      </c>
      <c r="M668" t="s">
        <v>2279</v>
      </c>
      <c r="N668" t="s">
        <v>2279</v>
      </c>
      <c r="O668" s="190" t="str">
        <f>"["&amp;$C668&amp;"]["&amp;$D668&amp;"]["&amp;$F668&amp;"]"</f>
        <v>[S05_ImprovementReportArt69][1][ImprovementReportRequired]</v>
      </c>
    </row>
    <row r="669" spans="1:15" x14ac:dyDescent="0.3">
      <c r="A669" t="s">
        <v>2277</v>
      </c>
      <c r="B669" t="s">
        <v>1886</v>
      </c>
      <c r="C669" t="s">
        <v>1887</v>
      </c>
      <c r="D669">
        <v>2</v>
      </c>
      <c r="E669" t="s">
        <v>1447</v>
      </c>
      <c r="F669" t="s">
        <v>1890</v>
      </c>
      <c r="G669" t="s">
        <v>1748</v>
      </c>
      <c r="H669" t="s">
        <v>2279</v>
      </c>
      <c r="I669">
        <v>2</v>
      </c>
      <c r="J669" t="s">
        <v>2279</v>
      </c>
      <c r="K669" t="s">
        <v>2279</v>
      </c>
      <c r="L669" t="s">
        <v>2279</v>
      </c>
      <c r="M669" t="s">
        <v>2279</v>
      </c>
      <c r="N669" t="s">
        <v>2279</v>
      </c>
      <c r="O669" s="190" t="str">
        <f>"["&amp;$C669&amp;"]["&amp;$D669&amp;"]["&amp;$F669&amp;"]"</f>
        <v>[S05_ImprovementReportArt69][2][ImprovementReportRequired]</v>
      </c>
    </row>
    <row r="670" spans="1:15" x14ac:dyDescent="0.3">
      <c r="A670" t="s">
        <v>2277</v>
      </c>
      <c r="B670" t="s">
        <v>1886</v>
      </c>
      <c r="C670" t="s">
        <v>1887</v>
      </c>
      <c r="D670">
        <v>3</v>
      </c>
      <c r="E670" t="s">
        <v>1447</v>
      </c>
      <c r="F670" t="s">
        <v>1890</v>
      </c>
      <c r="G670" t="s">
        <v>1748</v>
      </c>
      <c r="H670" t="s">
        <v>2279</v>
      </c>
      <c r="I670">
        <v>1</v>
      </c>
      <c r="J670" t="s">
        <v>2279</v>
      </c>
      <c r="K670" t="s">
        <v>2279</v>
      </c>
      <c r="L670" t="s">
        <v>2279</v>
      </c>
      <c r="M670" t="s">
        <v>2279</v>
      </c>
      <c r="N670" t="s">
        <v>2279</v>
      </c>
      <c r="O670" s="190" t="str">
        <f>"["&amp;$C670&amp;"]["&amp;$D670&amp;"]["&amp;$F670&amp;"]"</f>
        <v>[S05_ImprovementReportArt69][3][ImprovementReportRequired]</v>
      </c>
    </row>
    <row r="671" spans="1:15" x14ac:dyDescent="0.3">
      <c r="A671" t="s">
        <v>2277</v>
      </c>
      <c r="B671" t="s">
        <v>1886</v>
      </c>
      <c r="C671" t="s">
        <v>1887</v>
      </c>
      <c r="D671">
        <v>4</v>
      </c>
      <c r="E671" t="s">
        <v>1447</v>
      </c>
      <c r="F671" t="s">
        <v>1890</v>
      </c>
      <c r="G671" t="s">
        <v>1748</v>
      </c>
      <c r="H671" t="s">
        <v>2279</v>
      </c>
      <c r="I671">
        <v>1</v>
      </c>
      <c r="J671" t="s">
        <v>2279</v>
      </c>
      <c r="K671" t="s">
        <v>2279</v>
      </c>
      <c r="L671" t="s">
        <v>2279</v>
      </c>
      <c r="M671" t="s">
        <v>2279</v>
      </c>
      <c r="N671" t="s">
        <v>2279</v>
      </c>
      <c r="O671" s="190" t="str">
        <f>"["&amp;$C671&amp;"]["&amp;$D671&amp;"]["&amp;$F671&amp;"]"</f>
        <v>[S05_ImprovementReportArt69][4][ImprovementReportRequired]</v>
      </c>
    </row>
    <row r="672" spans="1:15" x14ac:dyDescent="0.3">
      <c r="A672" t="s">
        <v>2277</v>
      </c>
      <c r="B672" t="s">
        <v>1886</v>
      </c>
      <c r="C672" t="s">
        <v>1887</v>
      </c>
      <c r="D672">
        <v>5</v>
      </c>
      <c r="E672" t="s">
        <v>1447</v>
      </c>
      <c r="F672" t="s">
        <v>1890</v>
      </c>
      <c r="G672" t="s">
        <v>1748</v>
      </c>
      <c r="H672" t="s">
        <v>2279</v>
      </c>
      <c r="I672">
        <v>10</v>
      </c>
      <c r="J672" t="s">
        <v>2279</v>
      </c>
      <c r="K672" t="s">
        <v>2279</v>
      </c>
      <c r="L672" t="s">
        <v>2279</v>
      </c>
      <c r="M672" t="s">
        <v>2279</v>
      </c>
      <c r="N672" t="s">
        <v>2279</v>
      </c>
      <c r="O672" s="190" t="str">
        <f>"["&amp;$C672&amp;"]["&amp;$D672&amp;"]["&amp;$F672&amp;"]"</f>
        <v>[S05_ImprovementReportArt69][5][ImprovementReportRequired]</v>
      </c>
    </row>
    <row r="673" spans="1:15" x14ac:dyDescent="0.3">
      <c r="A673" t="s">
        <v>2277</v>
      </c>
      <c r="B673" t="s">
        <v>1886</v>
      </c>
      <c r="C673" t="s">
        <v>1887</v>
      </c>
      <c r="D673">
        <v>6</v>
      </c>
      <c r="E673" t="s">
        <v>1447</v>
      </c>
      <c r="F673" t="s">
        <v>1890</v>
      </c>
      <c r="G673" t="s">
        <v>1748</v>
      </c>
      <c r="H673" t="s">
        <v>2279</v>
      </c>
      <c r="I673">
        <v>1</v>
      </c>
      <c r="J673" t="s">
        <v>2279</v>
      </c>
      <c r="K673" t="s">
        <v>2279</v>
      </c>
      <c r="L673" t="s">
        <v>2279</v>
      </c>
      <c r="M673" t="s">
        <v>2279</v>
      </c>
      <c r="N673" t="s">
        <v>2279</v>
      </c>
      <c r="O673" s="190" t="str">
        <f>"["&amp;$C673&amp;"]["&amp;$D673&amp;"]["&amp;$F673&amp;"]"</f>
        <v>[S05_ImprovementReportArt69][6][ImprovementReportRequired]</v>
      </c>
    </row>
    <row r="674" spans="1:15" x14ac:dyDescent="0.3">
      <c r="A674" t="s">
        <v>2277</v>
      </c>
      <c r="B674" t="s">
        <v>1886</v>
      </c>
      <c r="C674" t="s">
        <v>1887</v>
      </c>
      <c r="D674">
        <v>7</v>
      </c>
      <c r="E674" t="s">
        <v>1447</v>
      </c>
      <c r="F674" t="s">
        <v>1890</v>
      </c>
      <c r="G674" t="s">
        <v>1748</v>
      </c>
      <c r="H674" t="s">
        <v>2279</v>
      </c>
      <c r="I674">
        <v>1</v>
      </c>
      <c r="J674" t="s">
        <v>2279</v>
      </c>
      <c r="K674" t="s">
        <v>2279</v>
      </c>
      <c r="L674" t="s">
        <v>2279</v>
      </c>
      <c r="M674" t="s">
        <v>2279</v>
      </c>
      <c r="N674" t="s">
        <v>2279</v>
      </c>
      <c r="O674" s="190" t="str">
        <f>"["&amp;$C674&amp;"]["&amp;$D674&amp;"]["&amp;$F674&amp;"]"</f>
        <v>[S05_ImprovementReportArt69][7][ImprovementReportRequired]</v>
      </c>
    </row>
    <row r="675" spans="1:15" x14ac:dyDescent="0.3">
      <c r="A675" t="s">
        <v>2277</v>
      </c>
      <c r="B675" t="s">
        <v>1886</v>
      </c>
      <c r="C675" t="s">
        <v>1887</v>
      </c>
      <c r="D675">
        <v>8</v>
      </c>
      <c r="E675" t="s">
        <v>1447</v>
      </c>
      <c r="F675" t="s">
        <v>1890</v>
      </c>
      <c r="G675" t="s">
        <v>1748</v>
      </c>
      <c r="H675" t="s">
        <v>2279</v>
      </c>
      <c r="I675">
        <v>1</v>
      </c>
      <c r="J675" t="s">
        <v>2279</v>
      </c>
      <c r="K675" t="s">
        <v>2279</v>
      </c>
      <c r="L675" t="s">
        <v>2279</v>
      </c>
      <c r="M675" t="s">
        <v>2279</v>
      </c>
      <c r="N675" t="s">
        <v>2279</v>
      </c>
      <c r="O675" s="190" t="str">
        <f>"["&amp;$C675&amp;"]["&amp;$D675&amp;"]["&amp;$F675&amp;"]"</f>
        <v>[S05_ImprovementReportArt69][8][ImprovementReportRequired]</v>
      </c>
    </row>
    <row r="676" spans="1:15" x14ac:dyDescent="0.3">
      <c r="A676" t="s">
        <v>2277</v>
      </c>
      <c r="B676" t="s">
        <v>1886</v>
      </c>
      <c r="C676" t="s">
        <v>1887</v>
      </c>
      <c r="D676">
        <v>9</v>
      </c>
      <c r="E676" t="s">
        <v>1447</v>
      </c>
      <c r="F676" t="s">
        <v>1890</v>
      </c>
      <c r="G676" t="s">
        <v>1748</v>
      </c>
      <c r="H676" t="s">
        <v>2279</v>
      </c>
      <c r="I676">
        <v>1</v>
      </c>
      <c r="J676" t="s">
        <v>2279</v>
      </c>
      <c r="K676" t="s">
        <v>2279</v>
      </c>
      <c r="L676" t="s">
        <v>2279</v>
      </c>
      <c r="M676" t="s">
        <v>2279</v>
      </c>
      <c r="N676" t="s">
        <v>2279</v>
      </c>
      <c r="O676" s="190" t="str">
        <f>"["&amp;$C676&amp;"]["&amp;$D676&amp;"]["&amp;$F676&amp;"]"</f>
        <v>[S05_ImprovementReportArt69][9][ImprovementReportRequired]</v>
      </c>
    </row>
    <row r="677" spans="1:15" x14ac:dyDescent="0.3">
      <c r="A677" t="s">
        <v>2277</v>
      </c>
      <c r="B677" t="s">
        <v>1886</v>
      </c>
      <c r="C677" t="s">
        <v>1887</v>
      </c>
      <c r="D677">
        <v>10</v>
      </c>
      <c r="E677" t="s">
        <v>1447</v>
      </c>
      <c r="F677" t="s">
        <v>1890</v>
      </c>
      <c r="G677" t="s">
        <v>1748</v>
      </c>
      <c r="H677" t="s">
        <v>2279</v>
      </c>
      <c r="I677">
        <v>8</v>
      </c>
      <c r="J677" t="s">
        <v>2279</v>
      </c>
      <c r="K677" t="s">
        <v>2279</v>
      </c>
      <c r="L677" t="s">
        <v>2279</v>
      </c>
      <c r="M677" t="s">
        <v>2279</v>
      </c>
      <c r="N677" t="s">
        <v>2279</v>
      </c>
      <c r="O677" s="190" t="str">
        <f>"["&amp;$C677&amp;"]["&amp;$D677&amp;"]["&amp;$F677&amp;"]"</f>
        <v>[S05_ImprovementReportArt69][10][ImprovementReportRequired]</v>
      </c>
    </row>
    <row r="678" spans="1:15" x14ac:dyDescent="0.3">
      <c r="A678" t="s">
        <v>2277</v>
      </c>
      <c r="B678" t="s">
        <v>1886</v>
      </c>
      <c r="C678" t="s">
        <v>1887</v>
      </c>
      <c r="D678">
        <v>11</v>
      </c>
      <c r="E678" t="s">
        <v>1447</v>
      </c>
      <c r="F678" t="s">
        <v>1890</v>
      </c>
      <c r="G678" t="s">
        <v>1748</v>
      </c>
      <c r="H678" t="s">
        <v>2279</v>
      </c>
      <c r="I678">
        <v>1</v>
      </c>
      <c r="J678" t="s">
        <v>2279</v>
      </c>
      <c r="K678" t="s">
        <v>2279</v>
      </c>
      <c r="L678" t="s">
        <v>2279</v>
      </c>
      <c r="M678" t="s">
        <v>2279</v>
      </c>
      <c r="N678" t="s">
        <v>2279</v>
      </c>
      <c r="O678" s="190" t="str">
        <f>"["&amp;$C678&amp;"]["&amp;$D678&amp;"]["&amp;$F678&amp;"]"</f>
        <v>[S05_ImprovementReportArt69][11][ImprovementReportRequired]</v>
      </c>
    </row>
    <row r="679" spans="1:15" x14ac:dyDescent="0.3">
      <c r="A679" t="s">
        <v>2277</v>
      </c>
      <c r="B679" t="s">
        <v>1886</v>
      </c>
      <c r="C679" t="s">
        <v>1887</v>
      </c>
      <c r="D679">
        <v>12</v>
      </c>
      <c r="E679" t="s">
        <v>1447</v>
      </c>
      <c r="F679" t="s">
        <v>1890</v>
      </c>
      <c r="G679" t="s">
        <v>1748</v>
      </c>
      <c r="H679" t="s">
        <v>2279</v>
      </c>
      <c r="I679">
        <v>4</v>
      </c>
      <c r="J679" t="s">
        <v>2279</v>
      </c>
      <c r="K679" t="s">
        <v>2279</v>
      </c>
      <c r="L679" t="s">
        <v>2279</v>
      </c>
      <c r="M679" t="s">
        <v>2279</v>
      </c>
      <c r="N679" t="s">
        <v>2279</v>
      </c>
      <c r="O679" s="190" t="str">
        <f>"["&amp;$C679&amp;"]["&amp;$D679&amp;"]["&amp;$F679&amp;"]"</f>
        <v>[S05_ImprovementReportArt69][12][ImprovementReportRequired]</v>
      </c>
    </row>
    <row r="680" spans="1:15" x14ac:dyDescent="0.3">
      <c r="A680" t="s">
        <v>2277</v>
      </c>
      <c r="B680" t="s">
        <v>1886</v>
      </c>
      <c r="C680" t="s">
        <v>1887</v>
      </c>
      <c r="D680">
        <v>13</v>
      </c>
      <c r="E680" t="s">
        <v>1447</v>
      </c>
      <c r="F680" t="s">
        <v>1890</v>
      </c>
      <c r="G680" t="s">
        <v>1748</v>
      </c>
      <c r="H680" t="s">
        <v>2279</v>
      </c>
      <c r="I680">
        <v>1</v>
      </c>
      <c r="J680" t="s">
        <v>2279</v>
      </c>
      <c r="K680" t="s">
        <v>2279</v>
      </c>
      <c r="L680" t="s">
        <v>2279</v>
      </c>
      <c r="M680" t="s">
        <v>2279</v>
      </c>
      <c r="N680" t="s">
        <v>2279</v>
      </c>
      <c r="O680" s="190" t="str">
        <f>"["&amp;$C680&amp;"]["&amp;$D680&amp;"]["&amp;$F680&amp;"]"</f>
        <v>[S05_ImprovementReportArt69][13][ImprovementReportRequired]</v>
      </c>
    </row>
    <row r="681" spans="1:15" x14ac:dyDescent="0.3">
      <c r="A681" t="s">
        <v>2277</v>
      </c>
      <c r="B681" t="s">
        <v>1886</v>
      </c>
      <c r="C681" t="s">
        <v>1887</v>
      </c>
      <c r="D681">
        <v>14</v>
      </c>
      <c r="E681" t="s">
        <v>1447</v>
      </c>
      <c r="F681" t="s">
        <v>1890</v>
      </c>
      <c r="G681" t="s">
        <v>1748</v>
      </c>
      <c r="H681" t="s">
        <v>2279</v>
      </c>
      <c r="I681">
        <v>6</v>
      </c>
      <c r="J681" t="s">
        <v>2279</v>
      </c>
      <c r="K681" t="s">
        <v>2279</v>
      </c>
      <c r="L681" t="s">
        <v>2279</v>
      </c>
      <c r="M681" t="s">
        <v>2279</v>
      </c>
      <c r="N681" t="s">
        <v>2279</v>
      </c>
      <c r="O681" s="190" t="str">
        <f>"["&amp;$C681&amp;"]["&amp;$D681&amp;"]["&amp;$F681&amp;"]"</f>
        <v>[S05_ImprovementReportArt69][14][ImprovementReportRequired]</v>
      </c>
    </row>
    <row r="682" spans="1:15" x14ac:dyDescent="0.3">
      <c r="A682" t="s">
        <v>2277</v>
      </c>
      <c r="B682" t="s">
        <v>1886</v>
      </c>
      <c r="C682" t="s">
        <v>1887</v>
      </c>
      <c r="D682">
        <v>15</v>
      </c>
      <c r="E682" t="s">
        <v>1447</v>
      </c>
      <c r="F682" t="s">
        <v>1890</v>
      </c>
      <c r="G682" t="s">
        <v>1748</v>
      </c>
      <c r="H682" t="s">
        <v>2279</v>
      </c>
      <c r="I682">
        <v>36</v>
      </c>
      <c r="J682" t="s">
        <v>2279</v>
      </c>
      <c r="K682" t="s">
        <v>2279</v>
      </c>
      <c r="L682" t="s">
        <v>2279</v>
      </c>
      <c r="M682" t="s">
        <v>2279</v>
      </c>
      <c r="N682" t="s">
        <v>2279</v>
      </c>
      <c r="O682" s="190" t="str">
        <f>"["&amp;$C682&amp;"]["&amp;$D682&amp;"]["&amp;$F682&amp;"]"</f>
        <v>[S05_ImprovementReportArt69][15][ImprovementReportRequired]</v>
      </c>
    </row>
    <row r="683" spans="1:15" x14ac:dyDescent="0.3">
      <c r="A683" t="s">
        <v>2277</v>
      </c>
      <c r="B683" t="s">
        <v>1886</v>
      </c>
      <c r="C683" t="s">
        <v>1887</v>
      </c>
      <c r="D683">
        <v>16</v>
      </c>
      <c r="E683" t="s">
        <v>1447</v>
      </c>
      <c r="F683" t="s">
        <v>1890</v>
      </c>
      <c r="G683" t="s">
        <v>1748</v>
      </c>
      <c r="H683" t="s">
        <v>2279</v>
      </c>
      <c r="I683">
        <v>1</v>
      </c>
      <c r="J683" t="s">
        <v>2279</v>
      </c>
      <c r="K683" t="s">
        <v>2279</v>
      </c>
      <c r="L683" t="s">
        <v>2279</v>
      </c>
      <c r="M683" t="s">
        <v>2279</v>
      </c>
      <c r="N683" t="s">
        <v>2279</v>
      </c>
      <c r="O683" s="190" t="str">
        <f>"["&amp;$C683&amp;"]["&amp;$D683&amp;"]["&amp;$F683&amp;"]"</f>
        <v>[S05_ImprovementReportArt69][16][ImprovementReportRequired]</v>
      </c>
    </row>
    <row r="684" spans="1:15" x14ac:dyDescent="0.3">
      <c r="A684" t="s">
        <v>2277</v>
      </c>
      <c r="B684" t="s">
        <v>1886</v>
      </c>
      <c r="C684" t="s">
        <v>1887</v>
      </c>
      <c r="D684">
        <v>17</v>
      </c>
      <c r="E684" t="s">
        <v>1447</v>
      </c>
      <c r="F684" t="s">
        <v>1890</v>
      </c>
      <c r="G684" t="s">
        <v>1748</v>
      </c>
      <c r="H684" t="s">
        <v>2279</v>
      </c>
      <c r="I684">
        <v>13</v>
      </c>
      <c r="J684" t="s">
        <v>2279</v>
      </c>
      <c r="K684" t="s">
        <v>2279</v>
      </c>
      <c r="L684" t="s">
        <v>2279</v>
      </c>
      <c r="M684" t="s">
        <v>2279</v>
      </c>
      <c r="N684" t="s">
        <v>2279</v>
      </c>
      <c r="O684" s="190" t="str">
        <f>"["&amp;$C684&amp;"]["&amp;$D684&amp;"]["&amp;$F684&amp;"]"</f>
        <v>[S05_ImprovementReportArt69][17][ImprovementReportRequired]</v>
      </c>
    </row>
    <row r="685" spans="1:15" x14ac:dyDescent="0.3">
      <c r="A685" t="s">
        <v>2277</v>
      </c>
      <c r="B685" t="s">
        <v>1886</v>
      </c>
      <c r="C685" t="s">
        <v>1887</v>
      </c>
      <c r="D685">
        <v>18</v>
      </c>
      <c r="E685" t="s">
        <v>1447</v>
      </c>
      <c r="F685" t="s">
        <v>1890</v>
      </c>
      <c r="G685" t="s">
        <v>1748</v>
      </c>
      <c r="H685" t="s">
        <v>2279</v>
      </c>
      <c r="I685">
        <v>1</v>
      </c>
      <c r="J685" t="s">
        <v>2279</v>
      </c>
      <c r="K685" t="s">
        <v>2279</v>
      </c>
      <c r="L685" t="s">
        <v>2279</v>
      </c>
      <c r="M685" t="s">
        <v>2279</v>
      </c>
      <c r="N685" t="s">
        <v>2279</v>
      </c>
      <c r="O685" s="190" t="str">
        <f>"["&amp;$C685&amp;"]["&amp;$D685&amp;"]["&amp;$F685&amp;"]"</f>
        <v>[S05_ImprovementReportArt69][18][ImprovementReportRequired]</v>
      </c>
    </row>
    <row r="686" spans="1:15" x14ac:dyDescent="0.3">
      <c r="A686" t="s">
        <v>2277</v>
      </c>
      <c r="B686" t="s">
        <v>1886</v>
      </c>
      <c r="C686" t="s">
        <v>1887</v>
      </c>
      <c r="D686">
        <v>19</v>
      </c>
      <c r="E686" t="s">
        <v>1447</v>
      </c>
      <c r="F686" t="s">
        <v>1890</v>
      </c>
      <c r="G686" t="s">
        <v>1748</v>
      </c>
      <c r="H686" t="s">
        <v>2279</v>
      </c>
      <c r="I686">
        <v>13</v>
      </c>
      <c r="J686" t="s">
        <v>2279</v>
      </c>
      <c r="K686" t="s">
        <v>2279</v>
      </c>
      <c r="L686" t="s">
        <v>2279</v>
      </c>
      <c r="M686" t="s">
        <v>2279</v>
      </c>
      <c r="N686" t="s">
        <v>2279</v>
      </c>
      <c r="O686" s="190" t="str">
        <f>"["&amp;$C686&amp;"]["&amp;$D686&amp;"]["&amp;$F686&amp;"]"</f>
        <v>[S05_ImprovementReportArt69][19][ImprovementReportRequired]</v>
      </c>
    </row>
    <row r="687" spans="1:15" x14ac:dyDescent="0.3">
      <c r="A687" t="s">
        <v>2277</v>
      </c>
      <c r="B687" t="s">
        <v>1886</v>
      </c>
      <c r="C687" t="s">
        <v>1887</v>
      </c>
      <c r="D687">
        <v>20</v>
      </c>
      <c r="E687" t="s">
        <v>1447</v>
      </c>
      <c r="F687" t="s">
        <v>1890</v>
      </c>
      <c r="G687" t="s">
        <v>1748</v>
      </c>
      <c r="H687" t="s">
        <v>2279</v>
      </c>
      <c r="I687">
        <v>15</v>
      </c>
      <c r="J687" t="s">
        <v>2279</v>
      </c>
      <c r="K687" t="s">
        <v>2279</v>
      </c>
      <c r="L687" t="s">
        <v>2279</v>
      </c>
      <c r="M687" t="s">
        <v>2279</v>
      </c>
      <c r="N687" t="s">
        <v>2279</v>
      </c>
      <c r="O687" s="190" t="str">
        <f>"["&amp;$C687&amp;"]["&amp;$D687&amp;"]["&amp;$F687&amp;"]"</f>
        <v>[S05_ImprovementReportArt69][20][ImprovementReportRequired]</v>
      </c>
    </row>
    <row r="688" spans="1:15" x14ac:dyDescent="0.3">
      <c r="A688" t="s">
        <v>2277</v>
      </c>
      <c r="B688" t="s">
        <v>1886</v>
      </c>
      <c r="C688" t="s">
        <v>1887</v>
      </c>
      <c r="D688">
        <v>21</v>
      </c>
      <c r="E688" t="s">
        <v>1447</v>
      </c>
      <c r="F688" t="s">
        <v>1890</v>
      </c>
      <c r="G688" t="s">
        <v>1748</v>
      </c>
      <c r="H688" t="s">
        <v>2279</v>
      </c>
      <c r="I688">
        <v>8</v>
      </c>
      <c r="J688" t="s">
        <v>2279</v>
      </c>
      <c r="K688" t="s">
        <v>2279</v>
      </c>
      <c r="L688" t="s">
        <v>2279</v>
      </c>
      <c r="M688" t="s">
        <v>2279</v>
      </c>
      <c r="N688" t="s">
        <v>2279</v>
      </c>
      <c r="O688" s="190" t="str">
        <f>"["&amp;$C688&amp;"]["&amp;$D688&amp;"]["&amp;$F688&amp;"]"</f>
        <v>[S05_ImprovementReportArt69][21][ImprovementReportRequired]</v>
      </c>
    </row>
    <row r="689" spans="1:15" x14ac:dyDescent="0.3">
      <c r="A689" t="s">
        <v>2277</v>
      </c>
      <c r="B689" t="s">
        <v>1886</v>
      </c>
      <c r="C689" t="s">
        <v>1887</v>
      </c>
      <c r="D689">
        <v>22</v>
      </c>
      <c r="E689" t="s">
        <v>1447</v>
      </c>
      <c r="F689" t="s">
        <v>1890</v>
      </c>
      <c r="G689" t="s">
        <v>1748</v>
      </c>
      <c r="H689" t="s">
        <v>2279</v>
      </c>
      <c r="I689">
        <v>1</v>
      </c>
      <c r="J689" t="s">
        <v>2279</v>
      </c>
      <c r="K689" t="s">
        <v>2279</v>
      </c>
      <c r="L689" t="s">
        <v>2279</v>
      </c>
      <c r="M689" t="s">
        <v>2279</v>
      </c>
      <c r="N689" t="s">
        <v>2279</v>
      </c>
      <c r="O689" s="190" t="str">
        <f>"["&amp;$C689&amp;"]["&amp;$D689&amp;"]["&amp;$F689&amp;"]"</f>
        <v>[S05_ImprovementReportArt69][22][ImprovementReportRequired]</v>
      </c>
    </row>
    <row r="690" spans="1:15" x14ac:dyDescent="0.3">
      <c r="A690" t="s">
        <v>2277</v>
      </c>
      <c r="B690" t="s">
        <v>1886</v>
      </c>
      <c r="C690" t="s">
        <v>1887</v>
      </c>
      <c r="D690">
        <v>23</v>
      </c>
      <c r="E690" t="s">
        <v>1447</v>
      </c>
      <c r="F690" t="s">
        <v>1890</v>
      </c>
      <c r="G690" t="s">
        <v>1748</v>
      </c>
      <c r="H690" t="s">
        <v>2279</v>
      </c>
      <c r="I690">
        <v>3</v>
      </c>
      <c r="J690" t="s">
        <v>2279</v>
      </c>
      <c r="K690" t="s">
        <v>2279</v>
      </c>
      <c r="L690" t="s">
        <v>2279</v>
      </c>
      <c r="M690" t="s">
        <v>2279</v>
      </c>
      <c r="N690" t="s">
        <v>2279</v>
      </c>
      <c r="O690" s="190" t="str">
        <f>"["&amp;$C690&amp;"]["&amp;$D690&amp;"]["&amp;$F690&amp;"]"</f>
        <v>[S05_ImprovementReportArt69][23][ImprovementReportRequired]</v>
      </c>
    </row>
    <row r="691" spans="1:15" x14ac:dyDescent="0.3">
      <c r="A691" t="s">
        <v>2277</v>
      </c>
      <c r="B691" t="s">
        <v>1886</v>
      </c>
      <c r="C691" t="s">
        <v>1887</v>
      </c>
      <c r="D691">
        <v>24</v>
      </c>
      <c r="E691" t="s">
        <v>1447</v>
      </c>
      <c r="F691" t="s">
        <v>1890</v>
      </c>
      <c r="G691" t="s">
        <v>1748</v>
      </c>
      <c r="H691" t="s">
        <v>2279</v>
      </c>
      <c r="I691">
        <v>2</v>
      </c>
      <c r="J691" t="s">
        <v>2279</v>
      </c>
      <c r="K691" t="s">
        <v>2279</v>
      </c>
      <c r="L691" t="s">
        <v>2279</v>
      </c>
      <c r="M691" t="s">
        <v>2279</v>
      </c>
      <c r="N691" t="s">
        <v>2279</v>
      </c>
      <c r="O691" s="190" t="str">
        <f>"["&amp;$C691&amp;"]["&amp;$D691&amp;"]["&amp;$F691&amp;"]"</f>
        <v>[S05_ImprovementReportArt69][24][ImprovementReportRequired]</v>
      </c>
    </row>
    <row r="692" spans="1:15" x14ac:dyDescent="0.3">
      <c r="A692" t="s">
        <v>2277</v>
      </c>
      <c r="B692" t="s">
        <v>1886</v>
      </c>
      <c r="C692" t="s">
        <v>1887</v>
      </c>
      <c r="D692">
        <v>25</v>
      </c>
      <c r="E692" t="s">
        <v>1447</v>
      </c>
      <c r="F692" t="s">
        <v>1890</v>
      </c>
      <c r="G692" t="s">
        <v>1748</v>
      </c>
      <c r="H692" t="s">
        <v>2279</v>
      </c>
      <c r="I692">
        <v>14</v>
      </c>
      <c r="J692" t="s">
        <v>2279</v>
      </c>
      <c r="K692" t="s">
        <v>2279</v>
      </c>
      <c r="L692" t="s">
        <v>2279</v>
      </c>
      <c r="M692" t="s">
        <v>2279</v>
      </c>
      <c r="N692" t="s">
        <v>2279</v>
      </c>
      <c r="O692" s="190" t="str">
        <f>"["&amp;$C692&amp;"]["&amp;$D692&amp;"]["&amp;$F692&amp;"]"</f>
        <v>[S05_ImprovementReportArt69][25][ImprovementReportRequired]</v>
      </c>
    </row>
    <row r="693" spans="1:15" x14ac:dyDescent="0.3">
      <c r="A693" t="s">
        <v>2277</v>
      </c>
      <c r="B693" t="s">
        <v>1886</v>
      </c>
      <c r="C693" t="s">
        <v>1887</v>
      </c>
      <c r="D693">
        <v>26</v>
      </c>
      <c r="E693" t="s">
        <v>1447</v>
      </c>
      <c r="F693" t="s">
        <v>1890</v>
      </c>
      <c r="G693" t="s">
        <v>1748</v>
      </c>
      <c r="H693" t="s">
        <v>2279</v>
      </c>
      <c r="I693">
        <v>2</v>
      </c>
      <c r="J693" t="s">
        <v>2279</v>
      </c>
      <c r="K693" t="s">
        <v>2279</v>
      </c>
      <c r="L693" t="s">
        <v>2279</v>
      </c>
      <c r="M693" t="s">
        <v>2279</v>
      </c>
      <c r="N693" t="s">
        <v>2279</v>
      </c>
      <c r="O693" s="190" t="str">
        <f>"["&amp;$C693&amp;"]["&amp;$D693&amp;"]["&amp;$F693&amp;"]"</f>
        <v>[S05_ImprovementReportArt69][26][ImprovementReportRequired]</v>
      </c>
    </row>
    <row r="694" spans="1:15" x14ac:dyDescent="0.3">
      <c r="A694" t="s">
        <v>2277</v>
      </c>
      <c r="B694" t="s">
        <v>1886</v>
      </c>
      <c r="C694" t="s">
        <v>1887</v>
      </c>
      <c r="D694">
        <v>27</v>
      </c>
      <c r="E694" t="s">
        <v>1447</v>
      </c>
      <c r="F694" t="s">
        <v>1890</v>
      </c>
      <c r="G694" t="s">
        <v>1748</v>
      </c>
      <c r="H694" t="s">
        <v>2279</v>
      </c>
      <c r="I694">
        <v>4</v>
      </c>
      <c r="J694" t="s">
        <v>2279</v>
      </c>
      <c r="K694" t="s">
        <v>2279</v>
      </c>
      <c r="L694" t="s">
        <v>2279</v>
      </c>
      <c r="M694" t="s">
        <v>2279</v>
      </c>
      <c r="N694" t="s">
        <v>2279</v>
      </c>
      <c r="O694" s="190" t="str">
        <f>"["&amp;$C694&amp;"]["&amp;$D694&amp;"]["&amp;$F694&amp;"]"</f>
        <v>[S05_ImprovementReportArt69][27][ImprovementReportRequired]</v>
      </c>
    </row>
    <row r="695" spans="1:15" x14ac:dyDescent="0.3">
      <c r="A695" t="s">
        <v>2277</v>
      </c>
      <c r="B695" t="s">
        <v>1886</v>
      </c>
      <c r="C695" t="s">
        <v>1887</v>
      </c>
      <c r="D695">
        <v>28</v>
      </c>
      <c r="E695" t="s">
        <v>1447</v>
      </c>
      <c r="F695" t="s">
        <v>1890</v>
      </c>
      <c r="G695" t="s">
        <v>1748</v>
      </c>
      <c r="H695" t="s">
        <v>2279</v>
      </c>
      <c r="I695">
        <v>4</v>
      </c>
      <c r="J695" t="s">
        <v>2279</v>
      </c>
      <c r="K695" t="s">
        <v>2279</v>
      </c>
      <c r="L695" t="s">
        <v>2279</v>
      </c>
      <c r="M695" t="s">
        <v>2279</v>
      </c>
      <c r="N695" t="s">
        <v>2279</v>
      </c>
      <c r="O695" s="190" t="str">
        <f>"["&amp;$C695&amp;"]["&amp;$D695&amp;"]["&amp;$F695&amp;"]"</f>
        <v>[S05_ImprovementReportArt69][28][ImprovementReportRequired]</v>
      </c>
    </row>
    <row r="696" spans="1:15" x14ac:dyDescent="0.3">
      <c r="A696" t="s">
        <v>2277</v>
      </c>
      <c r="B696" t="s">
        <v>1886</v>
      </c>
      <c r="C696" t="s">
        <v>1887</v>
      </c>
      <c r="D696">
        <v>29</v>
      </c>
      <c r="E696" t="s">
        <v>1447</v>
      </c>
      <c r="F696" t="s">
        <v>1890</v>
      </c>
      <c r="G696" t="s">
        <v>1748</v>
      </c>
      <c r="H696" t="s">
        <v>2279</v>
      </c>
      <c r="I696">
        <v>1</v>
      </c>
      <c r="J696" t="s">
        <v>2279</v>
      </c>
      <c r="K696" t="s">
        <v>2279</v>
      </c>
      <c r="L696" t="s">
        <v>2279</v>
      </c>
      <c r="M696" t="s">
        <v>2279</v>
      </c>
      <c r="N696" t="s">
        <v>2279</v>
      </c>
      <c r="O696" s="190" t="str">
        <f>"["&amp;$C696&amp;"]["&amp;$D696&amp;"]["&amp;$F696&amp;"]"</f>
        <v>[S05_ImprovementReportArt69][29][ImprovementReportRequired]</v>
      </c>
    </row>
    <row r="697" spans="1:15" x14ac:dyDescent="0.3">
      <c r="A697" t="s">
        <v>2277</v>
      </c>
      <c r="B697" t="s">
        <v>1886</v>
      </c>
      <c r="C697" t="s">
        <v>1887</v>
      </c>
      <c r="D697">
        <v>30</v>
      </c>
      <c r="E697" t="s">
        <v>1447</v>
      </c>
      <c r="F697" t="s">
        <v>1890</v>
      </c>
      <c r="G697" t="s">
        <v>1748</v>
      </c>
      <c r="H697" t="s">
        <v>2279</v>
      </c>
      <c r="I697">
        <v>1</v>
      </c>
      <c r="J697" t="s">
        <v>2279</v>
      </c>
      <c r="K697" t="s">
        <v>2279</v>
      </c>
      <c r="L697" t="s">
        <v>2279</v>
      </c>
      <c r="M697" t="s">
        <v>2279</v>
      </c>
      <c r="N697" t="s">
        <v>2279</v>
      </c>
      <c r="O697" s="190" t="str">
        <f>"["&amp;$C697&amp;"]["&amp;$D697&amp;"]["&amp;$F697&amp;"]"</f>
        <v>[S05_ImprovementReportArt69][30][ImprovementReportRequired]</v>
      </c>
    </row>
    <row r="698" spans="1:15" x14ac:dyDescent="0.3">
      <c r="A698" t="s">
        <v>2277</v>
      </c>
      <c r="B698" t="s">
        <v>1886</v>
      </c>
      <c r="C698" t="s">
        <v>1887</v>
      </c>
      <c r="D698">
        <v>31</v>
      </c>
      <c r="E698" t="s">
        <v>1447</v>
      </c>
      <c r="F698" t="s">
        <v>1890</v>
      </c>
      <c r="G698" t="s">
        <v>1748</v>
      </c>
      <c r="H698" t="s">
        <v>2279</v>
      </c>
      <c r="I698">
        <v>176</v>
      </c>
      <c r="J698" t="s">
        <v>2279</v>
      </c>
      <c r="K698" t="s">
        <v>2279</v>
      </c>
      <c r="L698" t="s">
        <v>2279</v>
      </c>
      <c r="M698" t="s">
        <v>2279</v>
      </c>
      <c r="N698" t="s">
        <v>2279</v>
      </c>
      <c r="O698" s="190" t="str">
        <f>"["&amp;$C698&amp;"]["&amp;$D698&amp;"]["&amp;$F698&amp;"]"</f>
        <v>[S05_ImprovementReportArt69][31][ImprovementReportRequired]</v>
      </c>
    </row>
    <row r="699" spans="1:15" x14ac:dyDescent="0.3">
      <c r="A699" t="s">
        <v>2277</v>
      </c>
      <c r="B699" t="s">
        <v>1886</v>
      </c>
      <c r="C699" t="s">
        <v>1887</v>
      </c>
      <c r="D699">
        <v>32</v>
      </c>
      <c r="E699" t="s">
        <v>1447</v>
      </c>
      <c r="F699" t="s">
        <v>1890</v>
      </c>
      <c r="G699" t="s">
        <v>1748</v>
      </c>
      <c r="H699" t="s">
        <v>2279</v>
      </c>
      <c r="I699">
        <v>3</v>
      </c>
      <c r="J699" t="s">
        <v>2279</v>
      </c>
      <c r="K699" t="s">
        <v>2279</v>
      </c>
      <c r="L699" t="s">
        <v>2279</v>
      </c>
      <c r="M699" t="s">
        <v>2279</v>
      </c>
      <c r="N699" t="s">
        <v>2279</v>
      </c>
      <c r="O699" s="190" t="str">
        <f>"["&amp;$C699&amp;"]["&amp;$D699&amp;"]["&amp;$F699&amp;"]"</f>
        <v>[S05_ImprovementReportArt69][32][ImprovementReportRequired]</v>
      </c>
    </row>
    <row r="700" spans="1:15" x14ac:dyDescent="0.3">
      <c r="A700" t="s">
        <v>2277</v>
      </c>
      <c r="B700" t="s">
        <v>1886</v>
      </c>
      <c r="C700" t="s">
        <v>1887</v>
      </c>
      <c r="D700">
        <v>33</v>
      </c>
      <c r="E700" t="s">
        <v>1447</v>
      </c>
      <c r="F700" t="s">
        <v>1890</v>
      </c>
      <c r="G700" t="s">
        <v>1748</v>
      </c>
      <c r="H700" t="s">
        <v>2279</v>
      </c>
      <c r="I700">
        <v>8</v>
      </c>
      <c r="J700" t="s">
        <v>2279</v>
      </c>
      <c r="K700" t="s">
        <v>2279</v>
      </c>
      <c r="L700" t="s">
        <v>2279</v>
      </c>
      <c r="M700" t="s">
        <v>2279</v>
      </c>
      <c r="N700" t="s">
        <v>2279</v>
      </c>
      <c r="O700" s="190" t="str">
        <f>"["&amp;$C700&amp;"]["&amp;$D700&amp;"]["&amp;$F700&amp;"]"</f>
        <v>[S05_ImprovementReportArt69][33][ImprovementReportRequired]</v>
      </c>
    </row>
    <row r="701" spans="1:15" x14ac:dyDescent="0.3">
      <c r="A701" t="s">
        <v>2277</v>
      </c>
      <c r="B701" t="s">
        <v>1886</v>
      </c>
      <c r="C701" t="s">
        <v>1887</v>
      </c>
      <c r="D701">
        <v>34</v>
      </c>
      <c r="E701" t="s">
        <v>1447</v>
      </c>
      <c r="F701" t="s">
        <v>1890</v>
      </c>
      <c r="G701" t="s">
        <v>1748</v>
      </c>
      <c r="H701" t="s">
        <v>2279</v>
      </c>
      <c r="I701">
        <v>9</v>
      </c>
      <c r="J701" t="s">
        <v>2279</v>
      </c>
      <c r="K701" t="s">
        <v>2279</v>
      </c>
      <c r="L701" t="s">
        <v>2279</v>
      </c>
      <c r="M701" t="s">
        <v>2279</v>
      </c>
      <c r="N701" t="s">
        <v>2279</v>
      </c>
      <c r="O701" s="190" t="str">
        <f>"["&amp;$C701&amp;"]["&amp;$D701&amp;"]["&amp;$F701&amp;"]"</f>
        <v>[S05_ImprovementReportArt69][34][ImprovementReportRequired]</v>
      </c>
    </row>
    <row r="702" spans="1:15" x14ac:dyDescent="0.3">
      <c r="A702" t="s">
        <v>2277</v>
      </c>
      <c r="B702" t="s">
        <v>1886</v>
      </c>
      <c r="C702" t="s">
        <v>1887</v>
      </c>
      <c r="D702">
        <v>35</v>
      </c>
      <c r="E702" t="s">
        <v>1447</v>
      </c>
      <c r="F702" t="s">
        <v>1890</v>
      </c>
      <c r="G702" t="s">
        <v>1748</v>
      </c>
      <c r="H702" t="s">
        <v>2279</v>
      </c>
      <c r="I702">
        <v>1</v>
      </c>
      <c r="J702" t="s">
        <v>2279</v>
      </c>
      <c r="K702" t="s">
        <v>2279</v>
      </c>
      <c r="L702" t="s">
        <v>2279</v>
      </c>
      <c r="M702" t="s">
        <v>2279</v>
      </c>
      <c r="N702" t="s">
        <v>2279</v>
      </c>
      <c r="O702" s="190" t="str">
        <f>"["&amp;$C702&amp;"]["&amp;$D702&amp;"]["&amp;$F702&amp;"]"</f>
        <v>[S05_ImprovementReportArt69][35][ImprovementReportRequired]</v>
      </c>
    </row>
    <row r="703" spans="1:15" x14ac:dyDescent="0.3">
      <c r="A703" t="s">
        <v>2277</v>
      </c>
      <c r="B703" t="s">
        <v>1886</v>
      </c>
      <c r="C703" t="s">
        <v>1887</v>
      </c>
      <c r="D703">
        <v>36</v>
      </c>
      <c r="E703" t="s">
        <v>1447</v>
      </c>
      <c r="F703" t="s">
        <v>1890</v>
      </c>
      <c r="G703" t="s">
        <v>1748</v>
      </c>
      <c r="H703" t="s">
        <v>2279</v>
      </c>
      <c r="I703">
        <v>9</v>
      </c>
      <c r="J703" t="s">
        <v>2279</v>
      </c>
      <c r="K703" t="s">
        <v>2279</v>
      </c>
      <c r="L703" t="s">
        <v>2279</v>
      </c>
      <c r="M703" t="s">
        <v>2279</v>
      </c>
      <c r="N703" t="s">
        <v>2279</v>
      </c>
      <c r="O703" s="190" t="str">
        <f>"["&amp;$C703&amp;"]["&amp;$D703&amp;"]["&amp;$F703&amp;"]"</f>
        <v>[S05_ImprovementReportArt69][36][ImprovementReportRequired]</v>
      </c>
    </row>
    <row r="704" spans="1:15" x14ac:dyDescent="0.3">
      <c r="A704" t="s">
        <v>2277</v>
      </c>
      <c r="B704" t="s">
        <v>1886</v>
      </c>
      <c r="C704" t="s">
        <v>1887</v>
      </c>
      <c r="D704">
        <v>37</v>
      </c>
      <c r="E704" t="s">
        <v>1447</v>
      </c>
      <c r="F704" t="s">
        <v>1890</v>
      </c>
      <c r="G704" t="s">
        <v>1748</v>
      </c>
      <c r="H704" t="s">
        <v>2279</v>
      </c>
      <c r="I704">
        <v>4</v>
      </c>
      <c r="J704" t="s">
        <v>2279</v>
      </c>
      <c r="K704" t="s">
        <v>2279</v>
      </c>
      <c r="L704" t="s">
        <v>2279</v>
      </c>
      <c r="M704" t="s">
        <v>2279</v>
      </c>
      <c r="N704" t="s">
        <v>2279</v>
      </c>
      <c r="O704" s="190" t="str">
        <f>"["&amp;$C704&amp;"]["&amp;$D704&amp;"]["&amp;$F704&amp;"]"</f>
        <v>[S05_ImprovementReportArt69][37][ImprovementReportRequired]</v>
      </c>
    </row>
    <row r="705" spans="1:15" x14ac:dyDescent="0.3">
      <c r="A705" t="s">
        <v>2277</v>
      </c>
      <c r="B705" t="s">
        <v>1886</v>
      </c>
      <c r="C705" t="s">
        <v>1887</v>
      </c>
      <c r="D705">
        <v>38</v>
      </c>
      <c r="E705" t="s">
        <v>1447</v>
      </c>
      <c r="F705" t="s">
        <v>1890</v>
      </c>
      <c r="G705" t="s">
        <v>1748</v>
      </c>
      <c r="H705" t="s">
        <v>2279</v>
      </c>
      <c r="I705">
        <v>25</v>
      </c>
      <c r="J705" t="s">
        <v>2279</v>
      </c>
      <c r="K705" t="s">
        <v>2279</v>
      </c>
      <c r="L705" t="s">
        <v>2279</v>
      </c>
      <c r="M705" t="s">
        <v>2279</v>
      </c>
      <c r="N705" t="s">
        <v>2279</v>
      </c>
      <c r="O705" s="190" t="str">
        <f>"["&amp;$C705&amp;"]["&amp;$D705&amp;"]["&amp;$F705&amp;"]"</f>
        <v>[S05_ImprovementReportArt69][38][ImprovementReportRequired]</v>
      </c>
    </row>
    <row r="706" spans="1:15" x14ac:dyDescent="0.3">
      <c r="A706" t="s">
        <v>2277</v>
      </c>
      <c r="B706" t="s">
        <v>1886</v>
      </c>
      <c r="C706" t="s">
        <v>1887</v>
      </c>
      <c r="D706">
        <v>39</v>
      </c>
      <c r="E706" t="s">
        <v>1447</v>
      </c>
      <c r="F706" t="s">
        <v>1890</v>
      </c>
      <c r="G706" t="s">
        <v>1748</v>
      </c>
      <c r="H706" t="s">
        <v>2279</v>
      </c>
      <c r="I706">
        <v>12</v>
      </c>
      <c r="J706" t="s">
        <v>2279</v>
      </c>
      <c r="K706" t="s">
        <v>2279</v>
      </c>
      <c r="L706" t="s">
        <v>2279</v>
      </c>
      <c r="M706" t="s">
        <v>2279</v>
      </c>
      <c r="N706" t="s">
        <v>2279</v>
      </c>
      <c r="O706" s="190" t="str">
        <f>"["&amp;$C706&amp;"]["&amp;$D706&amp;"]["&amp;$F706&amp;"]"</f>
        <v>[S05_ImprovementReportArt69][39][ImprovementReportRequired]</v>
      </c>
    </row>
    <row r="707" spans="1:15" x14ac:dyDescent="0.3">
      <c r="A707" t="s">
        <v>2277</v>
      </c>
      <c r="B707" t="s">
        <v>1886</v>
      </c>
      <c r="C707" t="s">
        <v>1887</v>
      </c>
      <c r="D707">
        <v>40</v>
      </c>
      <c r="E707" t="s">
        <v>1447</v>
      </c>
      <c r="F707" t="s">
        <v>1890</v>
      </c>
      <c r="G707" t="s">
        <v>1748</v>
      </c>
      <c r="H707" t="s">
        <v>2279</v>
      </c>
      <c r="I707">
        <v>11</v>
      </c>
      <c r="J707" t="s">
        <v>2279</v>
      </c>
      <c r="K707" t="s">
        <v>2279</v>
      </c>
      <c r="L707" t="s">
        <v>2279</v>
      </c>
      <c r="M707" t="s">
        <v>2279</v>
      </c>
      <c r="N707" t="s">
        <v>2279</v>
      </c>
      <c r="O707" s="190" t="str">
        <f>"["&amp;$C707&amp;"]["&amp;$D707&amp;"]["&amp;$F707&amp;"]"</f>
        <v>[S05_ImprovementReportArt69][40][ImprovementReportRequired]</v>
      </c>
    </row>
    <row r="708" spans="1:15" x14ac:dyDescent="0.3">
      <c r="A708" t="s">
        <v>2277</v>
      </c>
      <c r="B708" t="s">
        <v>1886</v>
      </c>
      <c r="C708" t="s">
        <v>1887</v>
      </c>
      <c r="D708">
        <v>41</v>
      </c>
      <c r="E708" t="s">
        <v>1447</v>
      </c>
      <c r="F708" t="s">
        <v>1890</v>
      </c>
      <c r="G708" t="s">
        <v>1748</v>
      </c>
      <c r="H708" t="s">
        <v>2279</v>
      </c>
      <c r="I708">
        <v>2</v>
      </c>
      <c r="J708" t="s">
        <v>2279</v>
      </c>
      <c r="K708" t="s">
        <v>2279</v>
      </c>
      <c r="L708" t="s">
        <v>2279</v>
      </c>
      <c r="M708" t="s">
        <v>2279</v>
      </c>
      <c r="N708" t="s">
        <v>2279</v>
      </c>
      <c r="O708" s="190" t="str">
        <f>"["&amp;$C708&amp;"]["&amp;$D708&amp;"]["&amp;$F708&amp;"]"</f>
        <v>[S05_ImprovementReportArt69][41][ImprovementReportRequired]</v>
      </c>
    </row>
    <row r="709" spans="1:15" x14ac:dyDescent="0.3">
      <c r="A709" t="s">
        <v>2277</v>
      </c>
      <c r="B709" t="s">
        <v>1886</v>
      </c>
      <c r="C709" t="s">
        <v>1887</v>
      </c>
      <c r="D709">
        <v>42</v>
      </c>
      <c r="E709" t="s">
        <v>1447</v>
      </c>
      <c r="F709" t="s">
        <v>1890</v>
      </c>
      <c r="G709" t="s">
        <v>1748</v>
      </c>
      <c r="H709" t="s">
        <v>2279</v>
      </c>
      <c r="I709">
        <v>3</v>
      </c>
      <c r="J709" t="s">
        <v>2279</v>
      </c>
      <c r="K709" t="s">
        <v>2279</v>
      </c>
      <c r="L709" t="s">
        <v>2279</v>
      </c>
      <c r="M709" t="s">
        <v>2279</v>
      </c>
      <c r="N709" t="s">
        <v>2279</v>
      </c>
      <c r="O709" s="190" t="str">
        <f>"["&amp;$C709&amp;"]["&amp;$D709&amp;"]["&amp;$F709&amp;"]"</f>
        <v>[S05_ImprovementReportArt69][42][ImprovementReportRequired]</v>
      </c>
    </row>
    <row r="710" spans="1:15" x14ac:dyDescent="0.3">
      <c r="A710" t="s">
        <v>2277</v>
      </c>
      <c r="B710" t="s">
        <v>1886</v>
      </c>
      <c r="C710" t="s">
        <v>1887</v>
      </c>
      <c r="D710">
        <v>43</v>
      </c>
      <c r="E710" t="s">
        <v>1447</v>
      </c>
      <c r="F710" t="s">
        <v>1890</v>
      </c>
      <c r="G710" t="s">
        <v>1748</v>
      </c>
      <c r="H710" t="s">
        <v>2279</v>
      </c>
      <c r="I710">
        <v>1</v>
      </c>
      <c r="J710" t="s">
        <v>2279</v>
      </c>
      <c r="K710" t="s">
        <v>2279</v>
      </c>
      <c r="L710" t="s">
        <v>2279</v>
      </c>
      <c r="M710" t="s">
        <v>2279</v>
      </c>
      <c r="N710" t="s">
        <v>2279</v>
      </c>
      <c r="O710" s="190" t="str">
        <f>"["&amp;$C710&amp;"]["&amp;$D710&amp;"]["&amp;$F710&amp;"]"</f>
        <v>[S05_ImprovementReportArt69][43][ImprovementReportRequired]</v>
      </c>
    </row>
    <row r="711" spans="1:15" x14ac:dyDescent="0.3">
      <c r="A711" t="s">
        <v>2277</v>
      </c>
      <c r="B711" t="s">
        <v>1886</v>
      </c>
      <c r="C711" t="s">
        <v>1887</v>
      </c>
      <c r="D711">
        <v>44</v>
      </c>
      <c r="E711" t="s">
        <v>1447</v>
      </c>
      <c r="F711" t="s">
        <v>1890</v>
      </c>
      <c r="G711" t="s">
        <v>1748</v>
      </c>
      <c r="H711" t="s">
        <v>2279</v>
      </c>
      <c r="I711">
        <v>1</v>
      </c>
      <c r="J711" t="s">
        <v>2279</v>
      </c>
      <c r="K711" t="s">
        <v>2279</v>
      </c>
      <c r="L711" t="s">
        <v>2279</v>
      </c>
      <c r="M711" t="s">
        <v>2279</v>
      </c>
      <c r="N711" t="s">
        <v>2279</v>
      </c>
      <c r="O711" s="190" t="str">
        <f>"["&amp;$C711&amp;"]["&amp;$D711&amp;"]["&amp;$F711&amp;"]"</f>
        <v>[S05_ImprovementReportArt69][44][ImprovementReportRequired]</v>
      </c>
    </row>
    <row r="712" spans="1:15" x14ac:dyDescent="0.3">
      <c r="A712" t="s">
        <v>2277</v>
      </c>
      <c r="B712" t="s">
        <v>1886</v>
      </c>
      <c r="C712" t="s">
        <v>1887</v>
      </c>
      <c r="D712">
        <v>45</v>
      </c>
      <c r="E712" t="s">
        <v>1447</v>
      </c>
      <c r="F712" t="s">
        <v>1890</v>
      </c>
      <c r="G712" t="s">
        <v>1748</v>
      </c>
      <c r="H712" t="s">
        <v>2279</v>
      </c>
      <c r="I712">
        <v>1</v>
      </c>
      <c r="J712" t="s">
        <v>2279</v>
      </c>
      <c r="K712" t="s">
        <v>2279</v>
      </c>
      <c r="L712" t="s">
        <v>2279</v>
      </c>
      <c r="M712" t="s">
        <v>2279</v>
      </c>
      <c r="N712" t="s">
        <v>2279</v>
      </c>
      <c r="O712" s="190" t="str">
        <f>"["&amp;$C712&amp;"]["&amp;$D712&amp;"]["&amp;$F712&amp;"]"</f>
        <v>[S05_ImprovementReportArt69][45][ImprovementReportRequired]</v>
      </c>
    </row>
    <row r="713" spans="1:15" x14ac:dyDescent="0.3">
      <c r="A713" t="s">
        <v>2277</v>
      </c>
      <c r="B713" t="s">
        <v>1886</v>
      </c>
      <c r="C713" t="s">
        <v>1887</v>
      </c>
      <c r="D713">
        <v>46</v>
      </c>
      <c r="E713" t="s">
        <v>1447</v>
      </c>
      <c r="F713" t="s">
        <v>1890</v>
      </c>
      <c r="G713" t="s">
        <v>1748</v>
      </c>
      <c r="H713" t="s">
        <v>2279</v>
      </c>
      <c r="I713">
        <v>1</v>
      </c>
      <c r="J713" t="s">
        <v>2279</v>
      </c>
      <c r="K713" t="s">
        <v>2279</v>
      </c>
      <c r="L713" t="s">
        <v>2279</v>
      </c>
      <c r="M713" t="s">
        <v>2279</v>
      </c>
      <c r="N713" t="s">
        <v>2279</v>
      </c>
      <c r="O713" s="190" t="str">
        <f>"["&amp;$C713&amp;"]["&amp;$D713&amp;"]["&amp;$F713&amp;"]"</f>
        <v>[S05_ImprovementReportArt69][46][ImprovementReportRequired]</v>
      </c>
    </row>
    <row r="714" spans="1:15" x14ac:dyDescent="0.3">
      <c r="A714" t="s">
        <v>2277</v>
      </c>
      <c r="B714" t="s">
        <v>1886</v>
      </c>
      <c r="C714" t="s">
        <v>1887</v>
      </c>
      <c r="D714">
        <v>47</v>
      </c>
      <c r="E714" t="s">
        <v>1447</v>
      </c>
      <c r="F714" t="s">
        <v>1890</v>
      </c>
      <c r="G714" t="s">
        <v>1748</v>
      </c>
      <c r="H714" t="s">
        <v>2279</v>
      </c>
      <c r="I714">
        <v>2</v>
      </c>
      <c r="J714" t="s">
        <v>2279</v>
      </c>
      <c r="K714" t="s">
        <v>2279</v>
      </c>
      <c r="L714" t="s">
        <v>2279</v>
      </c>
      <c r="M714" t="s">
        <v>2279</v>
      </c>
      <c r="N714" t="s">
        <v>2279</v>
      </c>
      <c r="O714" s="190" t="str">
        <f>"["&amp;$C714&amp;"]["&amp;$D714&amp;"]["&amp;$F714&amp;"]"</f>
        <v>[S05_ImprovementReportArt69][47][ImprovementReportRequired]</v>
      </c>
    </row>
    <row r="715" spans="1:15" x14ac:dyDescent="0.3">
      <c r="A715" t="s">
        <v>2277</v>
      </c>
      <c r="B715" t="s">
        <v>1886</v>
      </c>
      <c r="C715" t="s">
        <v>1887</v>
      </c>
      <c r="D715">
        <v>1</v>
      </c>
      <c r="E715" t="s">
        <v>1447</v>
      </c>
      <c r="F715" t="s">
        <v>1891</v>
      </c>
      <c r="G715" t="s">
        <v>1748</v>
      </c>
      <c r="H715" t="s">
        <v>2279</v>
      </c>
      <c r="I715">
        <v>1</v>
      </c>
      <c r="J715" t="s">
        <v>2279</v>
      </c>
      <c r="K715" t="s">
        <v>2279</v>
      </c>
      <c r="L715" t="s">
        <v>2279</v>
      </c>
      <c r="M715" t="s">
        <v>2279</v>
      </c>
      <c r="N715" t="s">
        <v>2279</v>
      </c>
      <c r="O715" s="190" t="str">
        <f>"["&amp;$C715&amp;"]["&amp;$D715&amp;"]["&amp;$F715&amp;"]"</f>
        <v>[S05_ImprovementReportArt69][1][ImprovementReportSubmitted]</v>
      </c>
    </row>
    <row r="716" spans="1:15" x14ac:dyDescent="0.3">
      <c r="A716" t="s">
        <v>2277</v>
      </c>
      <c r="B716" t="s">
        <v>1886</v>
      </c>
      <c r="C716" t="s">
        <v>1887</v>
      </c>
      <c r="D716">
        <v>2</v>
      </c>
      <c r="E716" t="s">
        <v>1447</v>
      </c>
      <c r="F716" t="s">
        <v>1891</v>
      </c>
      <c r="G716" t="s">
        <v>1748</v>
      </c>
      <c r="H716" t="s">
        <v>2279</v>
      </c>
      <c r="I716">
        <v>2</v>
      </c>
      <c r="J716" t="s">
        <v>2279</v>
      </c>
      <c r="K716" t="s">
        <v>2279</v>
      </c>
      <c r="L716" t="s">
        <v>2279</v>
      </c>
      <c r="M716" t="s">
        <v>2279</v>
      </c>
      <c r="N716" t="s">
        <v>2279</v>
      </c>
      <c r="O716" s="190" t="str">
        <f>"["&amp;$C716&amp;"]["&amp;$D716&amp;"]["&amp;$F716&amp;"]"</f>
        <v>[S05_ImprovementReportArt69][2][ImprovementReportSubmitted]</v>
      </c>
    </row>
    <row r="717" spans="1:15" x14ac:dyDescent="0.3">
      <c r="A717" t="s">
        <v>2277</v>
      </c>
      <c r="B717" t="s">
        <v>1886</v>
      </c>
      <c r="C717" t="s">
        <v>1887</v>
      </c>
      <c r="D717">
        <v>3</v>
      </c>
      <c r="E717" t="s">
        <v>1447</v>
      </c>
      <c r="F717" t="s">
        <v>1891</v>
      </c>
      <c r="G717" t="s">
        <v>1748</v>
      </c>
      <c r="H717" t="s">
        <v>2279</v>
      </c>
      <c r="I717">
        <v>1</v>
      </c>
      <c r="J717" t="s">
        <v>2279</v>
      </c>
      <c r="K717" t="s">
        <v>2279</v>
      </c>
      <c r="L717" t="s">
        <v>2279</v>
      </c>
      <c r="M717" t="s">
        <v>2279</v>
      </c>
      <c r="N717" t="s">
        <v>2279</v>
      </c>
      <c r="O717" s="190" t="str">
        <f>"["&amp;$C717&amp;"]["&amp;$D717&amp;"]["&amp;$F717&amp;"]"</f>
        <v>[S05_ImprovementReportArt69][3][ImprovementReportSubmitted]</v>
      </c>
    </row>
    <row r="718" spans="1:15" x14ac:dyDescent="0.3">
      <c r="A718" t="s">
        <v>2277</v>
      </c>
      <c r="B718" t="s">
        <v>1886</v>
      </c>
      <c r="C718" t="s">
        <v>1887</v>
      </c>
      <c r="D718">
        <v>4</v>
      </c>
      <c r="E718" t="s">
        <v>1447</v>
      </c>
      <c r="F718" t="s">
        <v>1891</v>
      </c>
      <c r="G718" t="s">
        <v>1748</v>
      </c>
      <c r="H718" t="s">
        <v>2279</v>
      </c>
      <c r="I718">
        <v>1</v>
      </c>
      <c r="J718" t="s">
        <v>2279</v>
      </c>
      <c r="K718" t="s">
        <v>2279</v>
      </c>
      <c r="L718" t="s">
        <v>2279</v>
      </c>
      <c r="M718" t="s">
        <v>2279</v>
      </c>
      <c r="N718" t="s">
        <v>2279</v>
      </c>
      <c r="O718" s="190" t="str">
        <f>"["&amp;$C718&amp;"]["&amp;$D718&amp;"]["&amp;$F718&amp;"]"</f>
        <v>[S05_ImprovementReportArt69][4][ImprovementReportSubmitted]</v>
      </c>
    </row>
    <row r="719" spans="1:15" x14ac:dyDescent="0.3">
      <c r="A719" t="s">
        <v>2277</v>
      </c>
      <c r="B719" t="s">
        <v>1886</v>
      </c>
      <c r="C719" t="s">
        <v>1887</v>
      </c>
      <c r="D719">
        <v>5</v>
      </c>
      <c r="E719" t="s">
        <v>1447</v>
      </c>
      <c r="F719" t="s">
        <v>1891</v>
      </c>
      <c r="G719" t="s">
        <v>1748</v>
      </c>
      <c r="H719" t="s">
        <v>2279</v>
      </c>
      <c r="I719">
        <v>10</v>
      </c>
      <c r="J719" t="s">
        <v>2279</v>
      </c>
      <c r="K719" t="s">
        <v>2279</v>
      </c>
      <c r="L719" t="s">
        <v>2279</v>
      </c>
      <c r="M719" t="s">
        <v>2279</v>
      </c>
      <c r="N719" t="s">
        <v>2279</v>
      </c>
      <c r="O719" s="190" t="str">
        <f>"["&amp;$C719&amp;"]["&amp;$D719&amp;"]["&amp;$F719&amp;"]"</f>
        <v>[S05_ImprovementReportArt69][5][ImprovementReportSubmitted]</v>
      </c>
    </row>
    <row r="720" spans="1:15" x14ac:dyDescent="0.3">
      <c r="A720" t="s">
        <v>2277</v>
      </c>
      <c r="B720" t="s">
        <v>1886</v>
      </c>
      <c r="C720" t="s">
        <v>1887</v>
      </c>
      <c r="D720">
        <v>6</v>
      </c>
      <c r="E720" t="s">
        <v>1447</v>
      </c>
      <c r="F720" t="s">
        <v>1891</v>
      </c>
      <c r="G720" t="s">
        <v>1748</v>
      </c>
      <c r="H720" t="s">
        <v>2279</v>
      </c>
      <c r="I720">
        <v>1</v>
      </c>
      <c r="J720" t="s">
        <v>2279</v>
      </c>
      <c r="K720" t="s">
        <v>2279</v>
      </c>
      <c r="L720" t="s">
        <v>2279</v>
      </c>
      <c r="M720" t="s">
        <v>2279</v>
      </c>
      <c r="N720" t="s">
        <v>2279</v>
      </c>
      <c r="O720" s="190" t="str">
        <f>"["&amp;$C720&amp;"]["&amp;$D720&amp;"]["&amp;$F720&amp;"]"</f>
        <v>[S05_ImprovementReportArt69][6][ImprovementReportSubmitted]</v>
      </c>
    </row>
    <row r="721" spans="1:15" x14ac:dyDescent="0.3">
      <c r="A721" t="s">
        <v>2277</v>
      </c>
      <c r="B721" t="s">
        <v>1886</v>
      </c>
      <c r="C721" t="s">
        <v>1887</v>
      </c>
      <c r="D721">
        <v>7</v>
      </c>
      <c r="E721" t="s">
        <v>1447</v>
      </c>
      <c r="F721" t="s">
        <v>1891</v>
      </c>
      <c r="G721" t="s">
        <v>1748</v>
      </c>
      <c r="H721" t="s">
        <v>2279</v>
      </c>
      <c r="I721">
        <v>1</v>
      </c>
      <c r="J721" t="s">
        <v>2279</v>
      </c>
      <c r="K721" t="s">
        <v>2279</v>
      </c>
      <c r="L721" t="s">
        <v>2279</v>
      </c>
      <c r="M721" t="s">
        <v>2279</v>
      </c>
      <c r="N721" t="s">
        <v>2279</v>
      </c>
      <c r="O721" s="190" t="str">
        <f>"["&amp;$C721&amp;"]["&amp;$D721&amp;"]["&amp;$F721&amp;"]"</f>
        <v>[S05_ImprovementReportArt69][7][ImprovementReportSubmitted]</v>
      </c>
    </row>
    <row r="722" spans="1:15" x14ac:dyDescent="0.3">
      <c r="A722" t="s">
        <v>2277</v>
      </c>
      <c r="B722" t="s">
        <v>1886</v>
      </c>
      <c r="C722" t="s">
        <v>1887</v>
      </c>
      <c r="D722">
        <v>8</v>
      </c>
      <c r="E722" t="s">
        <v>1447</v>
      </c>
      <c r="F722" t="s">
        <v>1891</v>
      </c>
      <c r="G722" t="s">
        <v>1748</v>
      </c>
      <c r="H722" t="s">
        <v>2279</v>
      </c>
      <c r="I722">
        <v>1</v>
      </c>
      <c r="J722" t="s">
        <v>2279</v>
      </c>
      <c r="K722" t="s">
        <v>2279</v>
      </c>
      <c r="L722" t="s">
        <v>2279</v>
      </c>
      <c r="M722" t="s">
        <v>2279</v>
      </c>
      <c r="N722" t="s">
        <v>2279</v>
      </c>
      <c r="O722" s="190" t="str">
        <f>"["&amp;$C722&amp;"]["&amp;$D722&amp;"]["&amp;$F722&amp;"]"</f>
        <v>[S05_ImprovementReportArt69][8][ImprovementReportSubmitted]</v>
      </c>
    </row>
    <row r="723" spans="1:15" x14ac:dyDescent="0.3">
      <c r="A723" t="s">
        <v>2277</v>
      </c>
      <c r="B723" t="s">
        <v>1886</v>
      </c>
      <c r="C723" t="s">
        <v>1887</v>
      </c>
      <c r="D723">
        <v>9</v>
      </c>
      <c r="E723" t="s">
        <v>1447</v>
      </c>
      <c r="F723" t="s">
        <v>1891</v>
      </c>
      <c r="G723" t="s">
        <v>1748</v>
      </c>
      <c r="H723" t="s">
        <v>2279</v>
      </c>
      <c r="I723">
        <v>1</v>
      </c>
      <c r="J723" t="s">
        <v>2279</v>
      </c>
      <c r="K723" t="s">
        <v>2279</v>
      </c>
      <c r="L723" t="s">
        <v>2279</v>
      </c>
      <c r="M723" t="s">
        <v>2279</v>
      </c>
      <c r="N723" t="s">
        <v>2279</v>
      </c>
      <c r="O723" s="190" t="str">
        <f>"["&amp;$C723&amp;"]["&amp;$D723&amp;"]["&amp;$F723&amp;"]"</f>
        <v>[S05_ImprovementReportArt69][9][ImprovementReportSubmitted]</v>
      </c>
    </row>
    <row r="724" spans="1:15" x14ac:dyDescent="0.3">
      <c r="A724" t="s">
        <v>2277</v>
      </c>
      <c r="B724" t="s">
        <v>1886</v>
      </c>
      <c r="C724" t="s">
        <v>1887</v>
      </c>
      <c r="D724">
        <v>10</v>
      </c>
      <c r="E724" t="s">
        <v>1447</v>
      </c>
      <c r="F724" t="s">
        <v>1891</v>
      </c>
      <c r="G724" t="s">
        <v>1748</v>
      </c>
      <c r="H724" t="s">
        <v>2279</v>
      </c>
      <c r="I724">
        <v>8</v>
      </c>
      <c r="J724" t="s">
        <v>2279</v>
      </c>
      <c r="K724" t="s">
        <v>2279</v>
      </c>
      <c r="L724" t="s">
        <v>2279</v>
      </c>
      <c r="M724" t="s">
        <v>2279</v>
      </c>
      <c r="N724" t="s">
        <v>2279</v>
      </c>
      <c r="O724" s="190" t="str">
        <f>"["&amp;$C724&amp;"]["&amp;$D724&amp;"]["&amp;$F724&amp;"]"</f>
        <v>[S05_ImprovementReportArt69][10][ImprovementReportSubmitted]</v>
      </c>
    </row>
    <row r="725" spans="1:15" x14ac:dyDescent="0.3">
      <c r="A725" t="s">
        <v>2277</v>
      </c>
      <c r="B725" t="s">
        <v>1886</v>
      </c>
      <c r="C725" t="s">
        <v>1887</v>
      </c>
      <c r="D725">
        <v>11</v>
      </c>
      <c r="E725" t="s">
        <v>1447</v>
      </c>
      <c r="F725" t="s">
        <v>1891</v>
      </c>
      <c r="G725" t="s">
        <v>1748</v>
      </c>
      <c r="H725" t="s">
        <v>2279</v>
      </c>
      <c r="I725">
        <v>1</v>
      </c>
      <c r="J725" t="s">
        <v>2279</v>
      </c>
      <c r="K725" t="s">
        <v>2279</v>
      </c>
      <c r="L725" t="s">
        <v>2279</v>
      </c>
      <c r="M725" t="s">
        <v>2279</v>
      </c>
      <c r="N725" t="s">
        <v>2279</v>
      </c>
      <c r="O725" s="190" t="str">
        <f>"["&amp;$C725&amp;"]["&amp;$D725&amp;"]["&amp;$F725&amp;"]"</f>
        <v>[S05_ImprovementReportArt69][11][ImprovementReportSubmitted]</v>
      </c>
    </row>
    <row r="726" spans="1:15" x14ac:dyDescent="0.3">
      <c r="A726" t="s">
        <v>2277</v>
      </c>
      <c r="B726" t="s">
        <v>1886</v>
      </c>
      <c r="C726" t="s">
        <v>1887</v>
      </c>
      <c r="D726">
        <v>12</v>
      </c>
      <c r="E726" t="s">
        <v>1447</v>
      </c>
      <c r="F726" t="s">
        <v>1891</v>
      </c>
      <c r="G726" t="s">
        <v>1748</v>
      </c>
      <c r="H726" t="s">
        <v>2279</v>
      </c>
      <c r="I726">
        <v>4</v>
      </c>
      <c r="J726" t="s">
        <v>2279</v>
      </c>
      <c r="K726" t="s">
        <v>2279</v>
      </c>
      <c r="L726" t="s">
        <v>2279</v>
      </c>
      <c r="M726" t="s">
        <v>2279</v>
      </c>
      <c r="N726" t="s">
        <v>2279</v>
      </c>
      <c r="O726" s="190" t="str">
        <f>"["&amp;$C726&amp;"]["&amp;$D726&amp;"]["&amp;$F726&amp;"]"</f>
        <v>[S05_ImprovementReportArt69][12][ImprovementReportSubmitted]</v>
      </c>
    </row>
    <row r="727" spans="1:15" x14ac:dyDescent="0.3">
      <c r="A727" t="s">
        <v>2277</v>
      </c>
      <c r="B727" t="s">
        <v>1886</v>
      </c>
      <c r="C727" t="s">
        <v>1887</v>
      </c>
      <c r="D727">
        <v>13</v>
      </c>
      <c r="E727" t="s">
        <v>1447</v>
      </c>
      <c r="F727" t="s">
        <v>1891</v>
      </c>
      <c r="G727" t="s">
        <v>1748</v>
      </c>
      <c r="H727" t="s">
        <v>2279</v>
      </c>
      <c r="I727">
        <v>1</v>
      </c>
      <c r="J727" t="s">
        <v>2279</v>
      </c>
      <c r="K727" t="s">
        <v>2279</v>
      </c>
      <c r="L727" t="s">
        <v>2279</v>
      </c>
      <c r="M727" t="s">
        <v>2279</v>
      </c>
      <c r="N727" t="s">
        <v>2279</v>
      </c>
      <c r="O727" s="190" t="str">
        <f>"["&amp;$C727&amp;"]["&amp;$D727&amp;"]["&amp;$F727&amp;"]"</f>
        <v>[S05_ImprovementReportArt69][13][ImprovementReportSubmitted]</v>
      </c>
    </row>
    <row r="728" spans="1:15" x14ac:dyDescent="0.3">
      <c r="A728" t="s">
        <v>2277</v>
      </c>
      <c r="B728" t="s">
        <v>1886</v>
      </c>
      <c r="C728" t="s">
        <v>1887</v>
      </c>
      <c r="D728">
        <v>14</v>
      </c>
      <c r="E728" t="s">
        <v>1447</v>
      </c>
      <c r="F728" t="s">
        <v>1891</v>
      </c>
      <c r="G728" t="s">
        <v>1748</v>
      </c>
      <c r="H728" t="s">
        <v>2279</v>
      </c>
      <c r="I728">
        <v>6</v>
      </c>
      <c r="J728" t="s">
        <v>2279</v>
      </c>
      <c r="K728" t="s">
        <v>2279</v>
      </c>
      <c r="L728" t="s">
        <v>2279</v>
      </c>
      <c r="M728" t="s">
        <v>2279</v>
      </c>
      <c r="N728" t="s">
        <v>2279</v>
      </c>
      <c r="O728" s="190" t="str">
        <f>"["&amp;$C728&amp;"]["&amp;$D728&amp;"]["&amp;$F728&amp;"]"</f>
        <v>[S05_ImprovementReportArt69][14][ImprovementReportSubmitted]</v>
      </c>
    </row>
    <row r="729" spans="1:15" x14ac:dyDescent="0.3">
      <c r="A729" t="s">
        <v>2277</v>
      </c>
      <c r="B729" t="s">
        <v>1886</v>
      </c>
      <c r="C729" t="s">
        <v>1887</v>
      </c>
      <c r="D729">
        <v>15</v>
      </c>
      <c r="E729" t="s">
        <v>1447</v>
      </c>
      <c r="F729" t="s">
        <v>1891</v>
      </c>
      <c r="G729" t="s">
        <v>1748</v>
      </c>
      <c r="H729" t="s">
        <v>2279</v>
      </c>
      <c r="I729">
        <v>30</v>
      </c>
      <c r="J729" t="s">
        <v>2279</v>
      </c>
      <c r="K729" t="s">
        <v>2279</v>
      </c>
      <c r="L729" t="s">
        <v>2279</v>
      </c>
      <c r="M729" t="s">
        <v>2279</v>
      </c>
      <c r="N729" t="s">
        <v>2279</v>
      </c>
      <c r="O729" s="190" t="str">
        <f>"["&amp;$C729&amp;"]["&amp;$D729&amp;"]["&amp;$F729&amp;"]"</f>
        <v>[S05_ImprovementReportArt69][15][ImprovementReportSubmitted]</v>
      </c>
    </row>
    <row r="730" spans="1:15" x14ac:dyDescent="0.3">
      <c r="A730" t="s">
        <v>2277</v>
      </c>
      <c r="B730" t="s">
        <v>1886</v>
      </c>
      <c r="C730" t="s">
        <v>1887</v>
      </c>
      <c r="D730">
        <v>16</v>
      </c>
      <c r="E730" t="s">
        <v>1447</v>
      </c>
      <c r="F730" t="s">
        <v>1891</v>
      </c>
      <c r="G730" t="s">
        <v>1748</v>
      </c>
      <c r="H730" t="s">
        <v>2279</v>
      </c>
      <c r="I730">
        <v>1</v>
      </c>
      <c r="J730" t="s">
        <v>2279</v>
      </c>
      <c r="K730" t="s">
        <v>2279</v>
      </c>
      <c r="L730" t="s">
        <v>2279</v>
      </c>
      <c r="M730" t="s">
        <v>2279</v>
      </c>
      <c r="N730" t="s">
        <v>2279</v>
      </c>
      <c r="O730" s="190" t="str">
        <f>"["&amp;$C730&amp;"]["&amp;$D730&amp;"]["&amp;$F730&amp;"]"</f>
        <v>[S05_ImprovementReportArt69][16][ImprovementReportSubmitted]</v>
      </c>
    </row>
    <row r="731" spans="1:15" x14ac:dyDescent="0.3">
      <c r="A731" t="s">
        <v>2277</v>
      </c>
      <c r="B731" t="s">
        <v>1886</v>
      </c>
      <c r="C731" t="s">
        <v>1887</v>
      </c>
      <c r="D731">
        <v>17</v>
      </c>
      <c r="E731" t="s">
        <v>1447</v>
      </c>
      <c r="F731" t="s">
        <v>1891</v>
      </c>
      <c r="G731" t="s">
        <v>1748</v>
      </c>
      <c r="H731" t="s">
        <v>2279</v>
      </c>
      <c r="I731">
        <v>13</v>
      </c>
      <c r="J731" t="s">
        <v>2279</v>
      </c>
      <c r="K731" t="s">
        <v>2279</v>
      </c>
      <c r="L731" t="s">
        <v>2279</v>
      </c>
      <c r="M731" t="s">
        <v>2279</v>
      </c>
      <c r="N731" t="s">
        <v>2279</v>
      </c>
      <c r="O731" s="190" t="str">
        <f>"["&amp;$C731&amp;"]["&amp;$D731&amp;"]["&amp;$F731&amp;"]"</f>
        <v>[S05_ImprovementReportArt69][17][ImprovementReportSubmitted]</v>
      </c>
    </row>
    <row r="732" spans="1:15" x14ac:dyDescent="0.3">
      <c r="A732" t="s">
        <v>2277</v>
      </c>
      <c r="B732" t="s">
        <v>1886</v>
      </c>
      <c r="C732" t="s">
        <v>1887</v>
      </c>
      <c r="D732">
        <v>18</v>
      </c>
      <c r="E732" t="s">
        <v>1447</v>
      </c>
      <c r="F732" t="s">
        <v>1891</v>
      </c>
      <c r="G732" t="s">
        <v>1748</v>
      </c>
      <c r="H732" t="s">
        <v>2279</v>
      </c>
      <c r="I732">
        <v>1</v>
      </c>
      <c r="J732" t="s">
        <v>2279</v>
      </c>
      <c r="K732" t="s">
        <v>2279</v>
      </c>
      <c r="L732" t="s">
        <v>2279</v>
      </c>
      <c r="M732" t="s">
        <v>2279</v>
      </c>
      <c r="N732" t="s">
        <v>2279</v>
      </c>
      <c r="O732" s="190" t="str">
        <f>"["&amp;$C732&amp;"]["&amp;$D732&amp;"]["&amp;$F732&amp;"]"</f>
        <v>[S05_ImprovementReportArt69][18][ImprovementReportSubmitted]</v>
      </c>
    </row>
    <row r="733" spans="1:15" x14ac:dyDescent="0.3">
      <c r="A733" t="s">
        <v>2277</v>
      </c>
      <c r="B733" t="s">
        <v>1886</v>
      </c>
      <c r="C733" t="s">
        <v>1887</v>
      </c>
      <c r="D733">
        <v>19</v>
      </c>
      <c r="E733" t="s">
        <v>1447</v>
      </c>
      <c r="F733" t="s">
        <v>1891</v>
      </c>
      <c r="G733" t="s">
        <v>1748</v>
      </c>
      <c r="H733" t="s">
        <v>2279</v>
      </c>
      <c r="I733">
        <v>13</v>
      </c>
      <c r="J733" t="s">
        <v>2279</v>
      </c>
      <c r="K733" t="s">
        <v>2279</v>
      </c>
      <c r="L733" t="s">
        <v>2279</v>
      </c>
      <c r="M733" t="s">
        <v>2279</v>
      </c>
      <c r="N733" t="s">
        <v>2279</v>
      </c>
      <c r="O733" s="190" t="str">
        <f>"["&amp;$C733&amp;"]["&amp;$D733&amp;"]["&amp;$F733&amp;"]"</f>
        <v>[S05_ImprovementReportArt69][19][ImprovementReportSubmitted]</v>
      </c>
    </row>
    <row r="734" spans="1:15" x14ac:dyDescent="0.3">
      <c r="A734" t="s">
        <v>2277</v>
      </c>
      <c r="B734" t="s">
        <v>1886</v>
      </c>
      <c r="C734" t="s">
        <v>1887</v>
      </c>
      <c r="D734">
        <v>20</v>
      </c>
      <c r="E734" t="s">
        <v>1447</v>
      </c>
      <c r="F734" t="s">
        <v>1891</v>
      </c>
      <c r="G734" t="s">
        <v>1748</v>
      </c>
      <c r="H734" t="s">
        <v>2279</v>
      </c>
      <c r="I734">
        <v>13</v>
      </c>
      <c r="J734" t="s">
        <v>2279</v>
      </c>
      <c r="K734" t="s">
        <v>2279</v>
      </c>
      <c r="L734" t="s">
        <v>2279</v>
      </c>
      <c r="M734" t="s">
        <v>2279</v>
      </c>
      <c r="N734" t="s">
        <v>2279</v>
      </c>
      <c r="O734" s="190" t="str">
        <f>"["&amp;$C734&amp;"]["&amp;$D734&amp;"]["&amp;$F734&amp;"]"</f>
        <v>[S05_ImprovementReportArt69][20][ImprovementReportSubmitted]</v>
      </c>
    </row>
    <row r="735" spans="1:15" x14ac:dyDescent="0.3">
      <c r="A735" t="s">
        <v>2277</v>
      </c>
      <c r="B735" t="s">
        <v>1886</v>
      </c>
      <c r="C735" t="s">
        <v>1887</v>
      </c>
      <c r="D735">
        <v>21</v>
      </c>
      <c r="E735" t="s">
        <v>1447</v>
      </c>
      <c r="F735" t="s">
        <v>1891</v>
      </c>
      <c r="G735" t="s">
        <v>1748</v>
      </c>
      <c r="H735" t="s">
        <v>2279</v>
      </c>
      <c r="I735">
        <v>8</v>
      </c>
      <c r="J735" t="s">
        <v>2279</v>
      </c>
      <c r="K735" t="s">
        <v>2279</v>
      </c>
      <c r="L735" t="s">
        <v>2279</v>
      </c>
      <c r="M735" t="s">
        <v>2279</v>
      </c>
      <c r="N735" t="s">
        <v>2279</v>
      </c>
      <c r="O735" s="190" t="str">
        <f>"["&amp;$C735&amp;"]["&amp;$D735&amp;"]["&amp;$F735&amp;"]"</f>
        <v>[S05_ImprovementReportArt69][21][ImprovementReportSubmitted]</v>
      </c>
    </row>
    <row r="736" spans="1:15" x14ac:dyDescent="0.3">
      <c r="A736" t="s">
        <v>2277</v>
      </c>
      <c r="B736" t="s">
        <v>1886</v>
      </c>
      <c r="C736" t="s">
        <v>1887</v>
      </c>
      <c r="D736">
        <v>22</v>
      </c>
      <c r="E736" t="s">
        <v>1447</v>
      </c>
      <c r="F736" t="s">
        <v>1891</v>
      </c>
      <c r="G736" t="s">
        <v>1748</v>
      </c>
      <c r="H736" t="s">
        <v>2279</v>
      </c>
      <c r="I736">
        <v>1</v>
      </c>
      <c r="J736" t="s">
        <v>2279</v>
      </c>
      <c r="K736" t="s">
        <v>2279</v>
      </c>
      <c r="L736" t="s">
        <v>2279</v>
      </c>
      <c r="M736" t="s">
        <v>2279</v>
      </c>
      <c r="N736" t="s">
        <v>2279</v>
      </c>
      <c r="O736" s="190" t="str">
        <f>"["&amp;$C736&amp;"]["&amp;$D736&amp;"]["&amp;$F736&amp;"]"</f>
        <v>[S05_ImprovementReportArt69][22][ImprovementReportSubmitted]</v>
      </c>
    </row>
    <row r="737" spans="1:15" x14ac:dyDescent="0.3">
      <c r="A737" t="s">
        <v>2277</v>
      </c>
      <c r="B737" t="s">
        <v>1886</v>
      </c>
      <c r="C737" t="s">
        <v>1887</v>
      </c>
      <c r="D737">
        <v>23</v>
      </c>
      <c r="E737" t="s">
        <v>1447</v>
      </c>
      <c r="F737" t="s">
        <v>1891</v>
      </c>
      <c r="G737" t="s">
        <v>1748</v>
      </c>
      <c r="H737" t="s">
        <v>2279</v>
      </c>
      <c r="I737">
        <v>3</v>
      </c>
      <c r="J737" t="s">
        <v>2279</v>
      </c>
      <c r="K737" t="s">
        <v>2279</v>
      </c>
      <c r="L737" t="s">
        <v>2279</v>
      </c>
      <c r="M737" t="s">
        <v>2279</v>
      </c>
      <c r="N737" t="s">
        <v>2279</v>
      </c>
      <c r="O737" s="190" t="str">
        <f>"["&amp;$C737&amp;"]["&amp;$D737&amp;"]["&amp;$F737&amp;"]"</f>
        <v>[S05_ImprovementReportArt69][23][ImprovementReportSubmitted]</v>
      </c>
    </row>
    <row r="738" spans="1:15" x14ac:dyDescent="0.3">
      <c r="A738" t="s">
        <v>2277</v>
      </c>
      <c r="B738" t="s">
        <v>1886</v>
      </c>
      <c r="C738" t="s">
        <v>1887</v>
      </c>
      <c r="D738">
        <v>24</v>
      </c>
      <c r="E738" t="s">
        <v>1447</v>
      </c>
      <c r="F738" t="s">
        <v>1891</v>
      </c>
      <c r="G738" t="s">
        <v>1748</v>
      </c>
      <c r="H738" t="s">
        <v>2279</v>
      </c>
      <c r="I738">
        <v>2</v>
      </c>
      <c r="J738" t="s">
        <v>2279</v>
      </c>
      <c r="K738" t="s">
        <v>2279</v>
      </c>
      <c r="L738" t="s">
        <v>2279</v>
      </c>
      <c r="M738" t="s">
        <v>2279</v>
      </c>
      <c r="N738" t="s">
        <v>2279</v>
      </c>
      <c r="O738" s="190" t="str">
        <f>"["&amp;$C738&amp;"]["&amp;$D738&amp;"]["&amp;$F738&amp;"]"</f>
        <v>[S05_ImprovementReportArt69][24][ImprovementReportSubmitted]</v>
      </c>
    </row>
    <row r="739" spans="1:15" x14ac:dyDescent="0.3">
      <c r="A739" t="s">
        <v>2277</v>
      </c>
      <c r="B739" t="s">
        <v>1886</v>
      </c>
      <c r="C739" t="s">
        <v>1887</v>
      </c>
      <c r="D739">
        <v>25</v>
      </c>
      <c r="E739" t="s">
        <v>1447</v>
      </c>
      <c r="F739" t="s">
        <v>1891</v>
      </c>
      <c r="G739" t="s">
        <v>1748</v>
      </c>
      <c r="H739" t="s">
        <v>2279</v>
      </c>
      <c r="I739">
        <v>14</v>
      </c>
      <c r="J739" t="s">
        <v>2279</v>
      </c>
      <c r="K739" t="s">
        <v>2279</v>
      </c>
      <c r="L739" t="s">
        <v>2279</v>
      </c>
      <c r="M739" t="s">
        <v>2279</v>
      </c>
      <c r="N739" t="s">
        <v>2279</v>
      </c>
      <c r="O739" s="190" t="str">
        <f>"["&amp;$C739&amp;"]["&amp;$D739&amp;"]["&amp;$F739&amp;"]"</f>
        <v>[S05_ImprovementReportArt69][25][ImprovementReportSubmitted]</v>
      </c>
    </row>
    <row r="740" spans="1:15" x14ac:dyDescent="0.3">
      <c r="A740" t="s">
        <v>2277</v>
      </c>
      <c r="B740" t="s">
        <v>1886</v>
      </c>
      <c r="C740" t="s">
        <v>1887</v>
      </c>
      <c r="D740">
        <v>26</v>
      </c>
      <c r="E740" t="s">
        <v>1447</v>
      </c>
      <c r="F740" t="s">
        <v>1891</v>
      </c>
      <c r="G740" t="s">
        <v>1748</v>
      </c>
      <c r="H740" t="s">
        <v>2279</v>
      </c>
      <c r="I740">
        <v>2</v>
      </c>
      <c r="J740" t="s">
        <v>2279</v>
      </c>
      <c r="K740" t="s">
        <v>2279</v>
      </c>
      <c r="L740" t="s">
        <v>2279</v>
      </c>
      <c r="M740" t="s">
        <v>2279</v>
      </c>
      <c r="N740" t="s">
        <v>2279</v>
      </c>
      <c r="O740" s="190" t="str">
        <f>"["&amp;$C740&amp;"]["&amp;$D740&amp;"]["&amp;$F740&amp;"]"</f>
        <v>[S05_ImprovementReportArt69][26][ImprovementReportSubmitted]</v>
      </c>
    </row>
    <row r="741" spans="1:15" x14ac:dyDescent="0.3">
      <c r="A741" t="s">
        <v>2277</v>
      </c>
      <c r="B741" t="s">
        <v>1886</v>
      </c>
      <c r="C741" t="s">
        <v>1887</v>
      </c>
      <c r="D741">
        <v>27</v>
      </c>
      <c r="E741" t="s">
        <v>1447</v>
      </c>
      <c r="F741" t="s">
        <v>1891</v>
      </c>
      <c r="G741" t="s">
        <v>1748</v>
      </c>
      <c r="H741" t="s">
        <v>2279</v>
      </c>
      <c r="I741">
        <v>4</v>
      </c>
      <c r="J741" t="s">
        <v>2279</v>
      </c>
      <c r="K741" t="s">
        <v>2279</v>
      </c>
      <c r="L741" t="s">
        <v>2279</v>
      </c>
      <c r="M741" t="s">
        <v>2279</v>
      </c>
      <c r="N741" t="s">
        <v>2279</v>
      </c>
      <c r="O741" s="190" t="str">
        <f>"["&amp;$C741&amp;"]["&amp;$D741&amp;"]["&amp;$F741&amp;"]"</f>
        <v>[S05_ImprovementReportArt69][27][ImprovementReportSubmitted]</v>
      </c>
    </row>
    <row r="742" spans="1:15" x14ac:dyDescent="0.3">
      <c r="A742" t="s">
        <v>2277</v>
      </c>
      <c r="B742" t="s">
        <v>1886</v>
      </c>
      <c r="C742" t="s">
        <v>1887</v>
      </c>
      <c r="D742">
        <v>28</v>
      </c>
      <c r="E742" t="s">
        <v>1447</v>
      </c>
      <c r="F742" t="s">
        <v>1891</v>
      </c>
      <c r="G742" t="s">
        <v>1748</v>
      </c>
      <c r="H742" t="s">
        <v>2279</v>
      </c>
      <c r="I742">
        <v>4</v>
      </c>
      <c r="J742" t="s">
        <v>2279</v>
      </c>
      <c r="K742" t="s">
        <v>2279</v>
      </c>
      <c r="L742" t="s">
        <v>2279</v>
      </c>
      <c r="M742" t="s">
        <v>2279</v>
      </c>
      <c r="N742" t="s">
        <v>2279</v>
      </c>
      <c r="O742" s="190" t="str">
        <f>"["&amp;$C742&amp;"]["&amp;$D742&amp;"]["&amp;$F742&amp;"]"</f>
        <v>[S05_ImprovementReportArt69][28][ImprovementReportSubmitted]</v>
      </c>
    </row>
    <row r="743" spans="1:15" x14ac:dyDescent="0.3">
      <c r="A743" t="s">
        <v>2277</v>
      </c>
      <c r="B743" t="s">
        <v>1886</v>
      </c>
      <c r="C743" t="s">
        <v>1887</v>
      </c>
      <c r="D743">
        <v>29</v>
      </c>
      <c r="E743" t="s">
        <v>1447</v>
      </c>
      <c r="F743" t="s">
        <v>1891</v>
      </c>
      <c r="G743" t="s">
        <v>1748</v>
      </c>
      <c r="H743" t="s">
        <v>2279</v>
      </c>
      <c r="I743">
        <v>0</v>
      </c>
      <c r="J743" t="s">
        <v>2279</v>
      </c>
      <c r="K743" t="s">
        <v>2279</v>
      </c>
      <c r="L743" t="s">
        <v>2279</v>
      </c>
      <c r="M743" t="s">
        <v>2279</v>
      </c>
      <c r="N743" t="s">
        <v>2279</v>
      </c>
      <c r="O743" s="190" t="str">
        <f>"["&amp;$C743&amp;"]["&amp;$D743&amp;"]["&amp;$F743&amp;"]"</f>
        <v>[S05_ImprovementReportArt69][29][ImprovementReportSubmitted]</v>
      </c>
    </row>
    <row r="744" spans="1:15" x14ac:dyDescent="0.3">
      <c r="A744" t="s">
        <v>2277</v>
      </c>
      <c r="B744" t="s">
        <v>1886</v>
      </c>
      <c r="C744" t="s">
        <v>1887</v>
      </c>
      <c r="D744">
        <v>30</v>
      </c>
      <c r="E744" t="s">
        <v>1447</v>
      </c>
      <c r="F744" t="s">
        <v>1891</v>
      </c>
      <c r="G744" t="s">
        <v>1748</v>
      </c>
      <c r="H744" t="s">
        <v>2279</v>
      </c>
      <c r="I744">
        <v>1</v>
      </c>
      <c r="J744" t="s">
        <v>2279</v>
      </c>
      <c r="K744" t="s">
        <v>2279</v>
      </c>
      <c r="L744" t="s">
        <v>2279</v>
      </c>
      <c r="M744" t="s">
        <v>2279</v>
      </c>
      <c r="N744" t="s">
        <v>2279</v>
      </c>
      <c r="O744" s="190" t="str">
        <f>"["&amp;$C744&amp;"]["&amp;$D744&amp;"]["&amp;$F744&amp;"]"</f>
        <v>[S05_ImprovementReportArt69][30][ImprovementReportSubmitted]</v>
      </c>
    </row>
    <row r="745" spans="1:15" x14ac:dyDescent="0.3">
      <c r="A745" t="s">
        <v>2277</v>
      </c>
      <c r="B745" t="s">
        <v>1886</v>
      </c>
      <c r="C745" t="s">
        <v>1887</v>
      </c>
      <c r="D745">
        <v>31</v>
      </c>
      <c r="E745" t="s">
        <v>1447</v>
      </c>
      <c r="F745" t="s">
        <v>1891</v>
      </c>
      <c r="G745" t="s">
        <v>1748</v>
      </c>
      <c r="H745" t="s">
        <v>2279</v>
      </c>
      <c r="I745">
        <v>26</v>
      </c>
      <c r="J745" t="s">
        <v>2279</v>
      </c>
      <c r="K745" t="s">
        <v>2279</v>
      </c>
      <c r="L745" t="s">
        <v>2279</v>
      </c>
      <c r="M745" t="s">
        <v>2279</v>
      </c>
      <c r="N745" t="s">
        <v>2279</v>
      </c>
      <c r="O745" s="190" t="str">
        <f>"["&amp;$C745&amp;"]["&amp;$D745&amp;"]["&amp;$F745&amp;"]"</f>
        <v>[S05_ImprovementReportArt69][31][ImprovementReportSubmitted]</v>
      </c>
    </row>
    <row r="746" spans="1:15" x14ac:dyDescent="0.3">
      <c r="A746" t="s">
        <v>2277</v>
      </c>
      <c r="B746" t="s">
        <v>1886</v>
      </c>
      <c r="C746" t="s">
        <v>1887</v>
      </c>
      <c r="D746">
        <v>32</v>
      </c>
      <c r="E746" t="s">
        <v>1447</v>
      </c>
      <c r="F746" t="s">
        <v>1891</v>
      </c>
      <c r="G746" t="s">
        <v>1748</v>
      </c>
      <c r="H746" t="s">
        <v>2279</v>
      </c>
      <c r="I746">
        <v>3</v>
      </c>
      <c r="J746" t="s">
        <v>2279</v>
      </c>
      <c r="K746" t="s">
        <v>2279</v>
      </c>
      <c r="L746" t="s">
        <v>2279</v>
      </c>
      <c r="M746" t="s">
        <v>2279</v>
      </c>
      <c r="N746" t="s">
        <v>2279</v>
      </c>
      <c r="O746" s="190" t="str">
        <f>"["&amp;$C746&amp;"]["&amp;$D746&amp;"]["&amp;$F746&amp;"]"</f>
        <v>[S05_ImprovementReportArt69][32][ImprovementReportSubmitted]</v>
      </c>
    </row>
    <row r="747" spans="1:15" x14ac:dyDescent="0.3">
      <c r="A747" t="s">
        <v>2277</v>
      </c>
      <c r="B747" t="s">
        <v>1886</v>
      </c>
      <c r="C747" t="s">
        <v>1887</v>
      </c>
      <c r="D747">
        <v>33</v>
      </c>
      <c r="E747" t="s">
        <v>1447</v>
      </c>
      <c r="F747" t="s">
        <v>1891</v>
      </c>
      <c r="G747" t="s">
        <v>1748</v>
      </c>
      <c r="H747" t="s">
        <v>2279</v>
      </c>
      <c r="I747">
        <v>7</v>
      </c>
      <c r="J747" t="s">
        <v>2279</v>
      </c>
      <c r="K747" t="s">
        <v>2279</v>
      </c>
      <c r="L747" t="s">
        <v>2279</v>
      </c>
      <c r="M747" t="s">
        <v>2279</v>
      </c>
      <c r="N747" t="s">
        <v>2279</v>
      </c>
      <c r="O747" s="190" t="str">
        <f>"["&amp;$C747&amp;"]["&amp;$D747&amp;"]["&amp;$F747&amp;"]"</f>
        <v>[S05_ImprovementReportArt69][33][ImprovementReportSubmitted]</v>
      </c>
    </row>
    <row r="748" spans="1:15" x14ac:dyDescent="0.3">
      <c r="A748" t="s">
        <v>2277</v>
      </c>
      <c r="B748" t="s">
        <v>1886</v>
      </c>
      <c r="C748" t="s">
        <v>1887</v>
      </c>
      <c r="D748">
        <v>34</v>
      </c>
      <c r="E748" t="s">
        <v>1447</v>
      </c>
      <c r="F748" t="s">
        <v>1891</v>
      </c>
      <c r="G748" t="s">
        <v>1748</v>
      </c>
      <c r="H748" t="s">
        <v>2279</v>
      </c>
      <c r="I748">
        <v>8</v>
      </c>
      <c r="J748" t="s">
        <v>2279</v>
      </c>
      <c r="K748" t="s">
        <v>2279</v>
      </c>
      <c r="L748" t="s">
        <v>2279</v>
      </c>
      <c r="M748" t="s">
        <v>2279</v>
      </c>
      <c r="N748" t="s">
        <v>2279</v>
      </c>
      <c r="O748" s="190" t="str">
        <f>"["&amp;$C748&amp;"]["&amp;$D748&amp;"]["&amp;$F748&amp;"]"</f>
        <v>[S05_ImprovementReportArt69][34][ImprovementReportSubmitted]</v>
      </c>
    </row>
    <row r="749" spans="1:15" x14ac:dyDescent="0.3">
      <c r="A749" t="s">
        <v>2277</v>
      </c>
      <c r="B749" t="s">
        <v>1886</v>
      </c>
      <c r="C749" t="s">
        <v>1887</v>
      </c>
      <c r="D749">
        <v>35</v>
      </c>
      <c r="E749" t="s">
        <v>1447</v>
      </c>
      <c r="F749" t="s">
        <v>1891</v>
      </c>
      <c r="G749" t="s">
        <v>1748</v>
      </c>
      <c r="H749" t="s">
        <v>2279</v>
      </c>
      <c r="I749">
        <v>1</v>
      </c>
      <c r="J749" t="s">
        <v>2279</v>
      </c>
      <c r="K749" t="s">
        <v>2279</v>
      </c>
      <c r="L749" t="s">
        <v>2279</v>
      </c>
      <c r="M749" t="s">
        <v>2279</v>
      </c>
      <c r="N749" t="s">
        <v>2279</v>
      </c>
      <c r="O749" s="190" t="str">
        <f>"["&amp;$C749&amp;"]["&amp;$D749&amp;"]["&amp;$F749&amp;"]"</f>
        <v>[S05_ImprovementReportArt69][35][ImprovementReportSubmitted]</v>
      </c>
    </row>
    <row r="750" spans="1:15" x14ac:dyDescent="0.3">
      <c r="A750" t="s">
        <v>2277</v>
      </c>
      <c r="B750" t="s">
        <v>1886</v>
      </c>
      <c r="C750" t="s">
        <v>1887</v>
      </c>
      <c r="D750">
        <v>36</v>
      </c>
      <c r="E750" t="s">
        <v>1447</v>
      </c>
      <c r="F750" t="s">
        <v>1891</v>
      </c>
      <c r="G750" t="s">
        <v>1748</v>
      </c>
      <c r="H750" t="s">
        <v>2279</v>
      </c>
      <c r="I750">
        <v>8</v>
      </c>
      <c r="J750" t="s">
        <v>2279</v>
      </c>
      <c r="K750" t="s">
        <v>2279</v>
      </c>
      <c r="L750" t="s">
        <v>2279</v>
      </c>
      <c r="M750" t="s">
        <v>2279</v>
      </c>
      <c r="N750" t="s">
        <v>2279</v>
      </c>
      <c r="O750" s="190" t="str">
        <f>"["&amp;$C750&amp;"]["&amp;$D750&amp;"]["&amp;$F750&amp;"]"</f>
        <v>[S05_ImprovementReportArt69][36][ImprovementReportSubmitted]</v>
      </c>
    </row>
    <row r="751" spans="1:15" x14ac:dyDescent="0.3">
      <c r="A751" t="s">
        <v>2277</v>
      </c>
      <c r="B751" t="s">
        <v>1886</v>
      </c>
      <c r="C751" t="s">
        <v>1887</v>
      </c>
      <c r="D751">
        <v>37</v>
      </c>
      <c r="E751" t="s">
        <v>1447</v>
      </c>
      <c r="F751" t="s">
        <v>1891</v>
      </c>
      <c r="G751" t="s">
        <v>1748</v>
      </c>
      <c r="H751" t="s">
        <v>2279</v>
      </c>
      <c r="I751">
        <v>3</v>
      </c>
      <c r="J751" t="s">
        <v>2279</v>
      </c>
      <c r="K751" t="s">
        <v>2279</v>
      </c>
      <c r="L751" t="s">
        <v>2279</v>
      </c>
      <c r="M751" t="s">
        <v>2279</v>
      </c>
      <c r="N751" t="s">
        <v>2279</v>
      </c>
      <c r="O751" s="190" t="str">
        <f>"["&amp;$C751&amp;"]["&amp;$D751&amp;"]["&amp;$F751&amp;"]"</f>
        <v>[S05_ImprovementReportArt69][37][ImprovementReportSubmitted]</v>
      </c>
    </row>
    <row r="752" spans="1:15" x14ac:dyDescent="0.3">
      <c r="A752" t="s">
        <v>2277</v>
      </c>
      <c r="B752" t="s">
        <v>1886</v>
      </c>
      <c r="C752" t="s">
        <v>1887</v>
      </c>
      <c r="D752">
        <v>38</v>
      </c>
      <c r="E752" t="s">
        <v>1447</v>
      </c>
      <c r="F752" t="s">
        <v>1891</v>
      </c>
      <c r="G752" t="s">
        <v>1748</v>
      </c>
      <c r="H752" t="s">
        <v>2279</v>
      </c>
      <c r="I752">
        <v>23</v>
      </c>
      <c r="J752" t="s">
        <v>2279</v>
      </c>
      <c r="K752" t="s">
        <v>2279</v>
      </c>
      <c r="L752" t="s">
        <v>2279</v>
      </c>
      <c r="M752" t="s">
        <v>2279</v>
      </c>
      <c r="N752" t="s">
        <v>2279</v>
      </c>
      <c r="O752" s="190" t="str">
        <f>"["&amp;$C752&amp;"]["&amp;$D752&amp;"]["&amp;$F752&amp;"]"</f>
        <v>[S05_ImprovementReportArt69][38][ImprovementReportSubmitted]</v>
      </c>
    </row>
    <row r="753" spans="1:15" x14ac:dyDescent="0.3">
      <c r="A753" t="s">
        <v>2277</v>
      </c>
      <c r="B753" t="s">
        <v>1886</v>
      </c>
      <c r="C753" t="s">
        <v>1887</v>
      </c>
      <c r="D753">
        <v>39</v>
      </c>
      <c r="E753" t="s">
        <v>1447</v>
      </c>
      <c r="F753" t="s">
        <v>1891</v>
      </c>
      <c r="G753" t="s">
        <v>1748</v>
      </c>
      <c r="H753" t="s">
        <v>2279</v>
      </c>
      <c r="I753">
        <v>10</v>
      </c>
      <c r="J753" t="s">
        <v>2279</v>
      </c>
      <c r="K753" t="s">
        <v>2279</v>
      </c>
      <c r="L753" t="s">
        <v>2279</v>
      </c>
      <c r="M753" t="s">
        <v>2279</v>
      </c>
      <c r="N753" t="s">
        <v>2279</v>
      </c>
      <c r="O753" s="190" t="str">
        <f>"["&amp;$C753&amp;"]["&amp;$D753&amp;"]["&amp;$F753&amp;"]"</f>
        <v>[S05_ImprovementReportArt69][39][ImprovementReportSubmitted]</v>
      </c>
    </row>
    <row r="754" spans="1:15" x14ac:dyDescent="0.3">
      <c r="A754" t="s">
        <v>2277</v>
      </c>
      <c r="B754" t="s">
        <v>1886</v>
      </c>
      <c r="C754" t="s">
        <v>1887</v>
      </c>
      <c r="D754">
        <v>40</v>
      </c>
      <c r="E754" t="s">
        <v>1447</v>
      </c>
      <c r="F754" t="s">
        <v>1891</v>
      </c>
      <c r="G754" t="s">
        <v>1748</v>
      </c>
      <c r="H754" t="s">
        <v>2279</v>
      </c>
      <c r="I754">
        <v>10</v>
      </c>
      <c r="J754" t="s">
        <v>2279</v>
      </c>
      <c r="K754" t="s">
        <v>2279</v>
      </c>
      <c r="L754" t="s">
        <v>2279</v>
      </c>
      <c r="M754" t="s">
        <v>2279</v>
      </c>
      <c r="N754" t="s">
        <v>2279</v>
      </c>
      <c r="O754" s="190" t="str">
        <f>"["&amp;$C754&amp;"]["&amp;$D754&amp;"]["&amp;$F754&amp;"]"</f>
        <v>[S05_ImprovementReportArt69][40][ImprovementReportSubmitted]</v>
      </c>
    </row>
    <row r="755" spans="1:15" x14ac:dyDescent="0.3">
      <c r="A755" t="s">
        <v>2277</v>
      </c>
      <c r="B755" t="s">
        <v>1886</v>
      </c>
      <c r="C755" t="s">
        <v>1887</v>
      </c>
      <c r="D755">
        <v>41</v>
      </c>
      <c r="E755" t="s">
        <v>1447</v>
      </c>
      <c r="F755" t="s">
        <v>1891</v>
      </c>
      <c r="G755" t="s">
        <v>1748</v>
      </c>
      <c r="H755" t="s">
        <v>2279</v>
      </c>
      <c r="I755">
        <v>2</v>
      </c>
      <c r="J755" t="s">
        <v>2279</v>
      </c>
      <c r="K755" t="s">
        <v>2279</v>
      </c>
      <c r="L755" t="s">
        <v>2279</v>
      </c>
      <c r="M755" t="s">
        <v>2279</v>
      </c>
      <c r="N755" t="s">
        <v>2279</v>
      </c>
      <c r="O755" s="190" t="str">
        <f>"["&amp;$C755&amp;"]["&amp;$D755&amp;"]["&amp;$F755&amp;"]"</f>
        <v>[S05_ImprovementReportArt69][41][ImprovementReportSubmitted]</v>
      </c>
    </row>
    <row r="756" spans="1:15" x14ac:dyDescent="0.3">
      <c r="A756" t="s">
        <v>2277</v>
      </c>
      <c r="B756" t="s">
        <v>1886</v>
      </c>
      <c r="C756" t="s">
        <v>1887</v>
      </c>
      <c r="D756">
        <v>42</v>
      </c>
      <c r="E756" t="s">
        <v>1447</v>
      </c>
      <c r="F756" t="s">
        <v>1891</v>
      </c>
      <c r="G756" t="s">
        <v>1748</v>
      </c>
      <c r="H756" t="s">
        <v>2279</v>
      </c>
      <c r="I756">
        <v>3</v>
      </c>
      <c r="J756" t="s">
        <v>2279</v>
      </c>
      <c r="K756" t="s">
        <v>2279</v>
      </c>
      <c r="L756" t="s">
        <v>2279</v>
      </c>
      <c r="M756" t="s">
        <v>2279</v>
      </c>
      <c r="N756" t="s">
        <v>2279</v>
      </c>
      <c r="O756" s="190" t="str">
        <f>"["&amp;$C756&amp;"]["&amp;$D756&amp;"]["&amp;$F756&amp;"]"</f>
        <v>[S05_ImprovementReportArt69][42][ImprovementReportSubmitted]</v>
      </c>
    </row>
    <row r="757" spans="1:15" x14ac:dyDescent="0.3">
      <c r="A757" t="s">
        <v>2277</v>
      </c>
      <c r="B757" t="s">
        <v>1886</v>
      </c>
      <c r="C757" t="s">
        <v>1887</v>
      </c>
      <c r="D757">
        <v>43</v>
      </c>
      <c r="E757" t="s">
        <v>1447</v>
      </c>
      <c r="F757" t="s">
        <v>1891</v>
      </c>
      <c r="G757" t="s">
        <v>1748</v>
      </c>
      <c r="H757" t="s">
        <v>2279</v>
      </c>
      <c r="I757">
        <v>1</v>
      </c>
      <c r="J757" t="s">
        <v>2279</v>
      </c>
      <c r="K757" t="s">
        <v>2279</v>
      </c>
      <c r="L757" t="s">
        <v>2279</v>
      </c>
      <c r="M757" t="s">
        <v>2279</v>
      </c>
      <c r="N757" t="s">
        <v>2279</v>
      </c>
      <c r="O757" s="190" t="str">
        <f>"["&amp;$C757&amp;"]["&amp;$D757&amp;"]["&amp;$F757&amp;"]"</f>
        <v>[S05_ImprovementReportArt69][43][ImprovementReportSubmitted]</v>
      </c>
    </row>
    <row r="758" spans="1:15" x14ac:dyDescent="0.3">
      <c r="A758" t="s">
        <v>2277</v>
      </c>
      <c r="B758" t="s">
        <v>1886</v>
      </c>
      <c r="C758" t="s">
        <v>1887</v>
      </c>
      <c r="D758">
        <v>44</v>
      </c>
      <c r="E758" t="s">
        <v>1447</v>
      </c>
      <c r="F758" t="s">
        <v>1891</v>
      </c>
      <c r="G758" t="s">
        <v>1748</v>
      </c>
      <c r="H758" t="s">
        <v>2279</v>
      </c>
      <c r="I758">
        <v>1</v>
      </c>
      <c r="J758" t="s">
        <v>2279</v>
      </c>
      <c r="K758" t="s">
        <v>2279</v>
      </c>
      <c r="L758" t="s">
        <v>2279</v>
      </c>
      <c r="M758" t="s">
        <v>2279</v>
      </c>
      <c r="N758" t="s">
        <v>2279</v>
      </c>
      <c r="O758" s="190" t="str">
        <f>"["&amp;$C758&amp;"]["&amp;$D758&amp;"]["&amp;$F758&amp;"]"</f>
        <v>[S05_ImprovementReportArt69][44][ImprovementReportSubmitted]</v>
      </c>
    </row>
    <row r="759" spans="1:15" x14ac:dyDescent="0.3">
      <c r="A759" t="s">
        <v>2277</v>
      </c>
      <c r="B759" t="s">
        <v>1886</v>
      </c>
      <c r="C759" t="s">
        <v>1887</v>
      </c>
      <c r="D759">
        <v>45</v>
      </c>
      <c r="E759" t="s">
        <v>1447</v>
      </c>
      <c r="F759" t="s">
        <v>1891</v>
      </c>
      <c r="G759" t="s">
        <v>1748</v>
      </c>
      <c r="H759" t="s">
        <v>2279</v>
      </c>
      <c r="I759">
        <v>1</v>
      </c>
      <c r="J759" t="s">
        <v>2279</v>
      </c>
      <c r="K759" t="s">
        <v>2279</v>
      </c>
      <c r="L759" t="s">
        <v>2279</v>
      </c>
      <c r="M759" t="s">
        <v>2279</v>
      </c>
      <c r="N759" t="s">
        <v>2279</v>
      </c>
      <c r="O759" s="190" t="str">
        <f>"["&amp;$C759&amp;"]["&amp;$D759&amp;"]["&amp;$F759&amp;"]"</f>
        <v>[S05_ImprovementReportArt69][45][ImprovementReportSubmitted]</v>
      </c>
    </row>
    <row r="760" spans="1:15" x14ac:dyDescent="0.3">
      <c r="A760" t="s">
        <v>2277</v>
      </c>
      <c r="B760" t="s">
        <v>1886</v>
      </c>
      <c r="C760" t="s">
        <v>1887</v>
      </c>
      <c r="D760">
        <v>46</v>
      </c>
      <c r="E760" t="s">
        <v>1447</v>
      </c>
      <c r="F760" t="s">
        <v>1891</v>
      </c>
      <c r="G760" t="s">
        <v>1748</v>
      </c>
      <c r="H760" t="s">
        <v>2279</v>
      </c>
      <c r="I760">
        <v>1</v>
      </c>
      <c r="J760" t="s">
        <v>2279</v>
      </c>
      <c r="K760" t="s">
        <v>2279</v>
      </c>
      <c r="L760" t="s">
        <v>2279</v>
      </c>
      <c r="M760" t="s">
        <v>2279</v>
      </c>
      <c r="N760" t="s">
        <v>2279</v>
      </c>
      <c r="O760" s="190" t="str">
        <f>"["&amp;$C760&amp;"]["&amp;$D760&amp;"]["&amp;$F760&amp;"]"</f>
        <v>[S05_ImprovementReportArt69][46][ImprovementReportSubmitted]</v>
      </c>
    </row>
    <row r="761" spans="1:15" x14ac:dyDescent="0.3">
      <c r="A761" t="s">
        <v>2277</v>
      </c>
      <c r="B761" t="s">
        <v>1886</v>
      </c>
      <c r="C761" t="s">
        <v>1887</v>
      </c>
      <c r="D761">
        <v>47</v>
      </c>
      <c r="E761" t="s">
        <v>1447</v>
      </c>
      <c r="F761" t="s">
        <v>1891</v>
      </c>
      <c r="G761" t="s">
        <v>1748</v>
      </c>
      <c r="H761" t="s">
        <v>2279</v>
      </c>
      <c r="I761">
        <v>2</v>
      </c>
      <c r="J761" t="s">
        <v>2279</v>
      </c>
      <c r="K761" t="s">
        <v>2279</v>
      </c>
      <c r="L761" t="s">
        <v>2279</v>
      </c>
      <c r="M761" t="s">
        <v>2279</v>
      </c>
      <c r="N761" t="s">
        <v>2279</v>
      </c>
      <c r="O761" s="190" t="str">
        <f>"["&amp;$C761&amp;"]["&amp;$D761&amp;"]["&amp;$F761&amp;"]"</f>
        <v>[S05_ImprovementReportArt69][47][ImprovementReportSubmitted]</v>
      </c>
    </row>
    <row r="762" spans="1:15" x14ac:dyDescent="0.3">
      <c r="A762" t="s">
        <v>2277</v>
      </c>
      <c r="B762" t="s">
        <v>1892</v>
      </c>
      <c r="C762" t="s">
        <v>1893</v>
      </c>
      <c r="D762">
        <v>0</v>
      </c>
      <c r="E762" t="s">
        <v>1447</v>
      </c>
      <c r="F762" t="s">
        <v>1893</v>
      </c>
      <c r="G762" t="s">
        <v>1759</v>
      </c>
      <c r="H762" t="s">
        <v>2279</v>
      </c>
      <c r="I762" t="s">
        <v>2279</v>
      </c>
      <c r="J762" t="s">
        <v>2279</v>
      </c>
      <c r="K762" t="s">
        <v>2279</v>
      </c>
      <c r="L762" t="s">
        <v>1419</v>
      </c>
      <c r="M762" t="s">
        <v>2279</v>
      </c>
      <c r="N762" t="s">
        <v>2279</v>
      </c>
      <c r="O762" s="190" t="str">
        <f>"["&amp;$C762&amp;"]["&amp;$D762&amp;"]["&amp;$F762&amp;"]"</f>
        <v>[InherentCarbonTransferred][0][InherentCarbonTransferred]</v>
      </c>
    </row>
    <row r="763" spans="1:15" x14ac:dyDescent="0.3">
      <c r="A763" t="s">
        <v>2277</v>
      </c>
      <c r="B763" t="s">
        <v>1892</v>
      </c>
      <c r="C763" t="s">
        <v>1894</v>
      </c>
      <c r="D763">
        <v>1</v>
      </c>
      <c r="E763" t="s">
        <v>1447</v>
      </c>
      <c r="F763" t="s">
        <v>1895</v>
      </c>
      <c r="G763" t="s">
        <v>1737</v>
      </c>
      <c r="H763" t="s">
        <v>2279</v>
      </c>
      <c r="I763" t="s">
        <v>2279</v>
      </c>
      <c r="J763" t="s">
        <v>2279</v>
      </c>
      <c r="K763" t="s">
        <v>2279</v>
      </c>
      <c r="L763" t="s">
        <v>1489</v>
      </c>
      <c r="M763" t="s">
        <v>2279</v>
      </c>
      <c r="N763" t="s">
        <v>2279</v>
      </c>
      <c r="O763" s="190" t="str">
        <f>"["&amp;$C763&amp;"]["&amp;$D763&amp;"]["&amp;$F763&amp;"]"</f>
        <v>[S05_InherentCarbonTransferredDetail][1][TransferType]</v>
      </c>
    </row>
    <row r="764" spans="1:15" x14ac:dyDescent="0.3">
      <c r="A764" t="s">
        <v>2277</v>
      </c>
      <c r="B764" t="s">
        <v>1892</v>
      </c>
      <c r="C764" t="s">
        <v>1894</v>
      </c>
      <c r="D764">
        <v>2</v>
      </c>
      <c r="E764" t="s">
        <v>1447</v>
      </c>
      <c r="F764" t="s">
        <v>1895</v>
      </c>
      <c r="G764" t="s">
        <v>1737</v>
      </c>
      <c r="H764" t="s">
        <v>2279</v>
      </c>
      <c r="I764" t="s">
        <v>2279</v>
      </c>
      <c r="J764" t="s">
        <v>2279</v>
      </c>
      <c r="K764" t="s">
        <v>2279</v>
      </c>
      <c r="L764" t="s">
        <v>1489</v>
      </c>
      <c r="M764" t="s">
        <v>2279</v>
      </c>
      <c r="N764" t="s">
        <v>2279</v>
      </c>
      <c r="O764" s="190" t="str">
        <f>"["&amp;$C764&amp;"]["&amp;$D764&amp;"]["&amp;$F764&amp;"]"</f>
        <v>[S05_InherentCarbonTransferredDetail][2][TransferType]</v>
      </c>
    </row>
    <row r="765" spans="1:15" x14ac:dyDescent="0.3">
      <c r="A765" t="s">
        <v>2277</v>
      </c>
      <c r="B765" t="s">
        <v>1892</v>
      </c>
      <c r="C765" t="s">
        <v>1894</v>
      </c>
      <c r="D765">
        <v>3</v>
      </c>
      <c r="E765" t="s">
        <v>1447</v>
      </c>
      <c r="F765" t="s">
        <v>1895</v>
      </c>
      <c r="G765" t="s">
        <v>1737</v>
      </c>
      <c r="H765" t="s">
        <v>2279</v>
      </c>
      <c r="I765" t="s">
        <v>2279</v>
      </c>
      <c r="J765" t="s">
        <v>2279</v>
      </c>
      <c r="K765" t="s">
        <v>2279</v>
      </c>
      <c r="L765" t="s">
        <v>1489</v>
      </c>
      <c r="M765" t="s">
        <v>2279</v>
      </c>
      <c r="N765" t="s">
        <v>2279</v>
      </c>
      <c r="O765" s="190" t="str">
        <f>"["&amp;$C765&amp;"]["&amp;$D765&amp;"]["&amp;$F765&amp;"]"</f>
        <v>[S05_InherentCarbonTransferredDetail][3][TransferType]</v>
      </c>
    </row>
    <row r="766" spans="1:15" x14ac:dyDescent="0.3">
      <c r="A766" t="s">
        <v>2277</v>
      </c>
      <c r="B766" t="s">
        <v>1892</v>
      </c>
      <c r="C766" t="s">
        <v>1894</v>
      </c>
      <c r="D766">
        <v>4</v>
      </c>
      <c r="E766" t="s">
        <v>1447</v>
      </c>
      <c r="F766" t="s">
        <v>1895</v>
      </c>
      <c r="G766" t="s">
        <v>1737</v>
      </c>
      <c r="H766" t="s">
        <v>2279</v>
      </c>
      <c r="I766" t="s">
        <v>2279</v>
      </c>
      <c r="J766" t="s">
        <v>2279</v>
      </c>
      <c r="K766" t="s">
        <v>2279</v>
      </c>
      <c r="L766" t="s">
        <v>1434</v>
      </c>
      <c r="M766" t="s">
        <v>2279</v>
      </c>
      <c r="N766" t="s">
        <v>2279</v>
      </c>
      <c r="O766" s="190" t="str">
        <f>"["&amp;$C766&amp;"]["&amp;$D766&amp;"]["&amp;$F766&amp;"]"</f>
        <v>[S05_InherentCarbonTransferredDetail][4][TransferType]</v>
      </c>
    </row>
    <row r="767" spans="1:15" x14ac:dyDescent="0.3">
      <c r="A767" t="s">
        <v>2277</v>
      </c>
      <c r="B767" t="s">
        <v>1892</v>
      </c>
      <c r="C767" t="s">
        <v>1894</v>
      </c>
      <c r="D767">
        <v>5</v>
      </c>
      <c r="E767" t="s">
        <v>1447</v>
      </c>
      <c r="F767" t="s">
        <v>1895</v>
      </c>
      <c r="G767" t="s">
        <v>1737</v>
      </c>
      <c r="H767" t="s">
        <v>2279</v>
      </c>
      <c r="I767" t="s">
        <v>2279</v>
      </c>
      <c r="J767" t="s">
        <v>2279</v>
      </c>
      <c r="K767" t="s">
        <v>2279</v>
      </c>
      <c r="L767" t="s">
        <v>1489</v>
      </c>
      <c r="M767" t="s">
        <v>2279</v>
      </c>
      <c r="N767" t="s">
        <v>2279</v>
      </c>
      <c r="O767" s="190" t="str">
        <f>"["&amp;$C767&amp;"]["&amp;$D767&amp;"]["&amp;$F767&amp;"]"</f>
        <v>[S05_InherentCarbonTransferredDetail][5][TransferType]</v>
      </c>
    </row>
    <row r="768" spans="1:15" x14ac:dyDescent="0.3">
      <c r="A768" t="s">
        <v>2277</v>
      </c>
      <c r="B768" t="s">
        <v>1892</v>
      </c>
      <c r="C768" t="s">
        <v>1894</v>
      </c>
      <c r="D768">
        <v>1</v>
      </c>
      <c r="E768" t="s">
        <v>1447</v>
      </c>
      <c r="F768" t="s">
        <v>1896</v>
      </c>
      <c r="G768" t="s">
        <v>1741</v>
      </c>
      <c r="H768" t="s">
        <v>2389</v>
      </c>
      <c r="I768" t="s">
        <v>2279</v>
      </c>
      <c r="J768" t="s">
        <v>2279</v>
      </c>
      <c r="K768" t="s">
        <v>2279</v>
      </c>
      <c r="L768" t="s">
        <v>2279</v>
      </c>
      <c r="M768" t="s">
        <v>2279</v>
      </c>
      <c r="N768" t="s">
        <v>2279</v>
      </c>
      <c r="O768" s="190" t="str">
        <f>"["&amp;$C768&amp;"]["&amp;$D768&amp;"]["&amp;$F768&amp;"]"</f>
        <v>[S05_InherentCarbonTransferredDetail][1][InstallationIdTransferring]</v>
      </c>
    </row>
    <row r="769" spans="1:15" x14ac:dyDescent="0.3">
      <c r="A769" t="s">
        <v>2277</v>
      </c>
      <c r="B769" t="s">
        <v>1892</v>
      </c>
      <c r="C769" t="s">
        <v>1894</v>
      </c>
      <c r="D769">
        <v>2</v>
      </c>
      <c r="E769" t="s">
        <v>1447</v>
      </c>
      <c r="F769" t="s">
        <v>1896</v>
      </c>
      <c r="G769" t="s">
        <v>1741</v>
      </c>
      <c r="H769" t="s">
        <v>2390</v>
      </c>
      <c r="I769" t="s">
        <v>2279</v>
      </c>
      <c r="J769" t="s">
        <v>2279</v>
      </c>
      <c r="K769" t="s">
        <v>2279</v>
      </c>
      <c r="L769" t="s">
        <v>2279</v>
      </c>
      <c r="M769" t="s">
        <v>2279</v>
      </c>
      <c r="N769" t="s">
        <v>2279</v>
      </c>
      <c r="O769" s="190" t="str">
        <f>"["&amp;$C769&amp;"]["&amp;$D769&amp;"]["&amp;$F769&amp;"]"</f>
        <v>[S05_InherentCarbonTransferredDetail][2][InstallationIdTransferring]</v>
      </c>
    </row>
    <row r="770" spans="1:15" x14ac:dyDescent="0.3">
      <c r="A770" t="s">
        <v>2277</v>
      </c>
      <c r="B770" t="s">
        <v>1892</v>
      </c>
      <c r="C770" t="s">
        <v>1894</v>
      </c>
      <c r="D770">
        <v>3</v>
      </c>
      <c r="E770" t="s">
        <v>1447</v>
      </c>
      <c r="F770" t="s">
        <v>1896</v>
      </c>
      <c r="G770" t="s">
        <v>1741</v>
      </c>
      <c r="H770" t="s">
        <v>2391</v>
      </c>
      <c r="I770" t="s">
        <v>2279</v>
      </c>
      <c r="J770" t="s">
        <v>2279</v>
      </c>
      <c r="K770" t="s">
        <v>2279</v>
      </c>
      <c r="L770" t="s">
        <v>2279</v>
      </c>
      <c r="M770" t="s">
        <v>2279</v>
      </c>
      <c r="N770" t="s">
        <v>2279</v>
      </c>
      <c r="O770" s="190" t="str">
        <f>"["&amp;$C770&amp;"]["&amp;$D770&amp;"]["&amp;$F770&amp;"]"</f>
        <v>[S05_InherentCarbonTransferredDetail][3][InstallationIdTransferring]</v>
      </c>
    </row>
    <row r="771" spans="1:15" x14ac:dyDescent="0.3">
      <c r="A771" t="s">
        <v>2277</v>
      </c>
      <c r="B771" t="s">
        <v>1892</v>
      </c>
      <c r="C771" t="s">
        <v>1894</v>
      </c>
      <c r="D771">
        <v>4</v>
      </c>
      <c r="E771" t="s">
        <v>1447</v>
      </c>
      <c r="F771" t="s">
        <v>1896</v>
      </c>
      <c r="G771" t="s">
        <v>1741</v>
      </c>
      <c r="H771" t="s">
        <v>2392</v>
      </c>
      <c r="I771" t="s">
        <v>2279</v>
      </c>
      <c r="J771" t="s">
        <v>2279</v>
      </c>
      <c r="K771" t="s">
        <v>2279</v>
      </c>
      <c r="L771" t="s">
        <v>2279</v>
      </c>
      <c r="M771" t="s">
        <v>2279</v>
      </c>
      <c r="N771" t="s">
        <v>2279</v>
      </c>
      <c r="O771" s="190" t="str">
        <f>"["&amp;$C771&amp;"]["&amp;$D771&amp;"]["&amp;$F771&amp;"]"</f>
        <v>[S05_InherentCarbonTransferredDetail][4][InstallationIdTransferring]</v>
      </c>
    </row>
    <row r="772" spans="1:15" x14ac:dyDescent="0.3">
      <c r="A772" t="s">
        <v>2277</v>
      </c>
      <c r="B772" t="s">
        <v>1892</v>
      </c>
      <c r="C772" t="s">
        <v>1894</v>
      </c>
      <c r="D772">
        <v>5</v>
      </c>
      <c r="E772" t="s">
        <v>1447</v>
      </c>
      <c r="F772" t="s">
        <v>1896</v>
      </c>
      <c r="G772" t="s">
        <v>1741</v>
      </c>
      <c r="H772" t="s">
        <v>2393</v>
      </c>
      <c r="I772" t="s">
        <v>2279</v>
      </c>
      <c r="J772" t="s">
        <v>2279</v>
      </c>
      <c r="K772" t="s">
        <v>2279</v>
      </c>
      <c r="L772" t="s">
        <v>2279</v>
      </c>
      <c r="M772" t="s">
        <v>2279</v>
      </c>
      <c r="N772" t="s">
        <v>2279</v>
      </c>
      <c r="O772" s="190" t="str">
        <f>"["&amp;$C772&amp;"]["&amp;$D772&amp;"]["&amp;$F772&amp;"]"</f>
        <v>[S05_InherentCarbonTransferredDetail][5][InstallationIdTransferring]</v>
      </c>
    </row>
    <row r="773" spans="1:15" x14ac:dyDescent="0.3">
      <c r="A773" t="s">
        <v>2277</v>
      </c>
      <c r="B773" t="s">
        <v>1892</v>
      </c>
      <c r="C773" t="s">
        <v>1894</v>
      </c>
      <c r="D773">
        <v>1</v>
      </c>
      <c r="E773" t="s">
        <v>1447</v>
      </c>
      <c r="F773" t="s">
        <v>1897</v>
      </c>
      <c r="G773" t="s">
        <v>1741</v>
      </c>
      <c r="H773" t="s">
        <v>2394</v>
      </c>
      <c r="I773" t="s">
        <v>2279</v>
      </c>
      <c r="J773" t="s">
        <v>2279</v>
      </c>
      <c r="K773" t="s">
        <v>2279</v>
      </c>
      <c r="L773" t="s">
        <v>2279</v>
      </c>
      <c r="M773" t="s">
        <v>2279</v>
      </c>
      <c r="N773" t="s">
        <v>2279</v>
      </c>
      <c r="O773" s="190" t="str">
        <f>"["&amp;$C773&amp;"]["&amp;$D773&amp;"]["&amp;$F773&amp;"]"</f>
        <v>[S05_InherentCarbonTransferredDetail][1][InstallationIdReceiving]</v>
      </c>
    </row>
    <row r="774" spans="1:15" x14ac:dyDescent="0.3">
      <c r="A774" t="s">
        <v>2277</v>
      </c>
      <c r="B774" t="s">
        <v>1892</v>
      </c>
      <c r="C774" t="s">
        <v>1894</v>
      </c>
      <c r="D774">
        <v>2</v>
      </c>
      <c r="E774" t="s">
        <v>1447</v>
      </c>
      <c r="F774" t="s">
        <v>1897</v>
      </c>
      <c r="G774" t="s">
        <v>1741</v>
      </c>
      <c r="H774" t="s">
        <v>2395</v>
      </c>
      <c r="I774" t="s">
        <v>2279</v>
      </c>
      <c r="J774" t="s">
        <v>2279</v>
      </c>
      <c r="K774" t="s">
        <v>2279</v>
      </c>
      <c r="L774" t="s">
        <v>2279</v>
      </c>
      <c r="M774" t="s">
        <v>2279</v>
      </c>
      <c r="N774" t="s">
        <v>2279</v>
      </c>
      <c r="O774" s="190" t="str">
        <f>"["&amp;$C774&amp;"]["&amp;$D774&amp;"]["&amp;$F774&amp;"]"</f>
        <v>[S05_InherentCarbonTransferredDetail][2][InstallationIdReceiving]</v>
      </c>
    </row>
    <row r="775" spans="1:15" x14ac:dyDescent="0.3">
      <c r="A775" t="s">
        <v>2277</v>
      </c>
      <c r="B775" t="s">
        <v>1892</v>
      </c>
      <c r="C775" t="s">
        <v>1894</v>
      </c>
      <c r="D775">
        <v>3</v>
      </c>
      <c r="E775" t="s">
        <v>1447</v>
      </c>
      <c r="F775" t="s">
        <v>1897</v>
      </c>
      <c r="G775" t="s">
        <v>1741</v>
      </c>
      <c r="H775" t="s">
        <v>2395</v>
      </c>
      <c r="I775" t="s">
        <v>2279</v>
      </c>
      <c r="J775" t="s">
        <v>2279</v>
      </c>
      <c r="K775" t="s">
        <v>2279</v>
      </c>
      <c r="L775" t="s">
        <v>2279</v>
      </c>
      <c r="M775" t="s">
        <v>2279</v>
      </c>
      <c r="N775" t="s">
        <v>2279</v>
      </c>
      <c r="O775" s="190" t="str">
        <f>"["&amp;$C775&amp;"]["&amp;$D775&amp;"]["&amp;$F775&amp;"]"</f>
        <v>[S05_InherentCarbonTransferredDetail][3][InstallationIdReceiving]</v>
      </c>
    </row>
    <row r="776" spans="1:15" x14ac:dyDescent="0.3">
      <c r="A776" t="s">
        <v>2277</v>
      </c>
      <c r="B776" t="s">
        <v>1892</v>
      </c>
      <c r="C776" t="s">
        <v>1894</v>
      </c>
      <c r="D776">
        <v>4</v>
      </c>
      <c r="E776" t="s">
        <v>1447</v>
      </c>
      <c r="F776" t="s">
        <v>1897</v>
      </c>
      <c r="G776" t="s">
        <v>1741</v>
      </c>
      <c r="H776" t="s">
        <v>2396</v>
      </c>
      <c r="I776" t="s">
        <v>2279</v>
      </c>
      <c r="J776" t="s">
        <v>2279</v>
      </c>
      <c r="K776" t="s">
        <v>2279</v>
      </c>
      <c r="L776" t="s">
        <v>2279</v>
      </c>
      <c r="M776" t="s">
        <v>2279</v>
      </c>
      <c r="N776" t="s">
        <v>2279</v>
      </c>
      <c r="O776" s="190" t="str">
        <f>"["&amp;$C776&amp;"]["&amp;$D776&amp;"]["&amp;$F776&amp;"]"</f>
        <v>[S05_InherentCarbonTransferredDetail][4][InstallationIdReceiving]</v>
      </c>
    </row>
    <row r="777" spans="1:15" x14ac:dyDescent="0.3">
      <c r="A777" t="s">
        <v>2277</v>
      </c>
      <c r="B777" t="s">
        <v>1892</v>
      </c>
      <c r="C777" t="s">
        <v>1894</v>
      </c>
      <c r="D777">
        <v>5</v>
      </c>
      <c r="E777" t="s">
        <v>1447</v>
      </c>
      <c r="F777" t="s">
        <v>1897</v>
      </c>
      <c r="G777" t="s">
        <v>1741</v>
      </c>
      <c r="H777" t="s">
        <v>2397</v>
      </c>
      <c r="I777" t="s">
        <v>2279</v>
      </c>
      <c r="J777" t="s">
        <v>2279</v>
      </c>
      <c r="K777" t="s">
        <v>2279</v>
      </c>
      <c r="L777" t="s">
        <v>2279</v>
      </c>
      <c r="M777" t="s">
        <v>2279</v>
      </c>
      <c r="N777" t="s">
        <v>2279</v>
      </c>
      <c r="O777" s="190" t="str">
        <f>"["&amp;$C777&amp;"]["&amp;$D777&amp;"]["&amp;$F777&amp;"]"</f>
        <v>[S05_InherentCarbonTransferredDetail][5][InstallationIdReceiving]</v>
      </c>
    </row>
    <row r="778" spans="1:15" x14ac:dyDescent="0.3">
      <c r="A778" t="s">
        <v>2277</v>
      </c>
      <c r="B778" t="s">
        <v>1892</v>
      </c>
      <c r="C778" t="s">
        <v>1894</v>
      </c>
      <c r="D778">
        <v>1</v>
      </c>
      <c r="E778" t="s">
        <v>1447</v>
      </c>
      <c r="F778" t="s">
        <v>1898</v>
      </c>
      <c r="G778" t="s">
        <v>1806</v>
      </c>
      <c r="H778" t="s">
        <v>2279</v>
      </c>
      <c r="I778" t="s">
        <v>2279</v>
      </c>
      <c r="J778">
        <v>2995</v>
      </c>
      <c r="K778" t="s">
        <v>2279</v>
      </c>
      <c r="L778" t="s">
        <v>2279</v>
      </c>
      <c r="M778" t="s">
        <v>2279</v>
      </c>
      <c r="N778" t="s">
        <v>2279</v>
      </c>
      <c r="O778" s="190" t="str">
        <f>"["&amp;$C778&amp;"]["&amp;$D778&amp;"]["&amp;$F778&amp;"]"</f>
        <v>[S05_InherentCarbonTransferredDetail][1][AmountCO2Transferred]</v>
      </c>
    </row>
    <row r="779" spans="1:15" x14ac:dyDescent="0.3">
      <c r="A779" t="s">
        <v>2277</v>
      </c>
      <c r="B779" t="s">
        <v>1892</v>
      </c>
      <c r="C779" t="s">
        <v>1894</v>
      </c>
      <c r="D779">
        <v>2</v>
      </c>
      <c r="E779" t="s">
        <v>1447</v>
      </c>
      <c r="F779" t="s">
        <v>1898</v>
      </c>
      <c r="G779" t="s">
        <v>1806</v>
      </c>
      <c r="H779" t="s">
        <v>2279</v>
      </c>
      <c r="I779" t="s">
        <v>2279</v>
      </c>
      <c r="J779">
        <v>8666</v>
      </c>
      <c r="K779" t="s">
        <v>2279</v>
      </c>
      <c r="L779" t="s">
        <v>2279</v>
      </c>
      <c r="M779" t="s">
        <v>2279</v>
      </c>
      <c r="N779" t="s">
        <v>2279</v>
      </c>
      <c r="O779" s="190" t="str">
        <f>"["&amp;$C779&amp;"]["&amp;$D779&amp;"]["&amp;$F779&amp;"]"</f>
        <v>[S05_InherentCarbonTransferredDetail][2][AmountCO2Transferred]</v>
      </c>
    </row>
    <row r="780" spans="1:15" x14ac:dyDescent="0.3">
      <c r="A780" t="s">
        <v>2277</v>
      </c>
      <c r="B780" t="s">
        <v>1892</v>
      </c>
      <c r="C780" t="s">
        <v>1894</v>
      </c>
      <c r="D780">
        <v>3</v>
      </c>
      <c r="E780" t="s">
        <v>1447</v>
      </c>
      <c r="F780" t="s">
        <v>1898</v>
      </c>
      <c r="G780" t="s">
        <v>1806</v>
      </c>
      <c r="H780" t="s">
        <v>2279</v>
      </c>
      <c r="I780" t="s">
        <v>2279</v>
      </c>
      <c r="J780">
        <v>11421</v>
      </c>
      <c r="K780" t="s">
        <v>2279</v>
      </c>
      <c r="L780" t="s">
        <v>2279</v>
      </c>
      <c r="M780" t="s">
        <v>2279</v>
      </c>
      <c r="N780" t="s">
        <v>2279</v>
      </c>
      <c r="O780" s="190" t="str">
        <f>"["&amp;$C780&amp;"]["&amp;$D780&amp;"]["&amp;$F780&amp;"]"</f>
        <v>[S05_InherentCarbonTransferredDetail][3][AmountCO2Transferred]</v>
      </c>
    </row>
    <row r="781" spans="1:15" x14ac:dyDescent="0.3">
      <c r="A781" t="s">
        <v>2277</v>
      </c>
      <c r="B781" t="s">
        <v>1892</v>
      </c>
      <c r="C781" t="s">
        <v>1894</v>
      </c>
      <c r="D781">
        <v>4</v>
      </c>
      <c r="E781" t="s">
        <v>1447</v>
      </c>
      <c r="F781" t="s">
        <v>1898</v>
      </c>
      <c r="G781" t="s">
        <v>1806</v>
      </c>
      <c r="H781" t="s">
        <v>2279</v>
      </c>
      <c r="I781" t="s">
        <v>2279</v>
      </c>
      <c r="J781">
        <v>3773529.3255110001</v>
      </c>
      <c r="K781" t="s">
        <v>2279</v>
      </c>
      <c r="L781" t="s">
        <v>2279</v>
      </c>
      <c r="M781" t="s">
        <v>2279</v>
      </c>
      <c r="N781" t="s">
        <v>2279</v>
      </c>
      <c r="O781" s="190" t="str">
        <f>"["&amp;$C781&amp;"]["&amp;$D781&amp;"]["&amp;$F781&amp;"]"</f>
        <v>[S05_InherentCarbonTransferredDetail][4][AmountCO2Transferred]</v>
      </c>
    </row>
    <row r="782" spans="1:15" x14ac:dyDescent="0.3">
      <c r="A782" t="s">
        <v>2277</v>
      </c>
      <c r="B782" t="s">
        <v>1892</v>
      </c>
      <c r="C782" t="s">
        <v>1894</v>
      </c>
      <c r="D782">
        <v>5</v>
      </c>
      <c r="E782" t="s">
        <v>1447</v>
      </c>
      <c r="F782" t="s">
        <v>1898</v>
      </c>
      <c r="G782" t="s">
        <v>1806</v>
      </c>
      <c r="H782" t="s">
        <v>2279</v>
      </c>
      <c r="I782" t="s">
        <v>2279</v>
      </c>
      <c r="J782">
        <v>4262</v>
      </c>
      <c r="K782" t="s">
        <v>2279</v>
      </c>
      <c r="L782" t="s">
        <v>2279</v>
      </c>
      <c r="M782" t="s">
        <v>2279</v>
      </c>
      <c r="N782" t="s">
        <v>2279</v>
      </c>
      <c r="O782" s="190" t="str">
        <f>"["&amp;$C782&amp;"]["&amp;$D782&amp;"]["&amp;$F782&amp;"]"</f>
        <v>[S05_InherentCarbonTransferredDetail][5][AmountCO2Transferred]</v>
      </c>
    </row>
    <row r="783" spans="1:15" x14ac:dyDescent="0.3">
      <c r="A783" t="s">
        <v>2277</v>
      </c>
      <c r="B783" t="s">
        <v>1892</v>
      </c>
      <c r="C783" t="s">
        <v>1894</v>
      </c>
      <c r="D783">
        <v>1</v>
      </c>
      <c r="E783" t="s">
        <v>1447</v>
      </c>
      <c r="F783" t="s">
        <v>1899</v>
      </c>
      <c r="G783" t="s">
        <v>1806</v>
      </c>
      <c r="H783" t="s">
        <v>2279</v>
      </c>
      <c r="I783" t="s">
        <v>2279</v>
      </c>
      <c r="J783">
        <v>0</v>
      </c>
      <c r="K783" t="s">
        <v>2279</v>
      </c>
      <c r="L783" t="s">
        <v>2279</v>
      </c>
      <c r="M783" t="s">
        <v>2279</v>
      </c>
      <c r="N783" t="s">
        <v>2279</v>
      </c>
      <c r="O783" s="190" t="str">
        <f>"["&amp;$C783&amp;"]["&amp;$D783&amp;"]["&amp;$F783&amp;"]"</f>
        <v>[S05_InherentCarbonTransferredDetail][1][InherentCO2Received]</v>
      </c>
    </row>
    <row r="784" spans="1:15" x14ac:dyDescent="0.3">
      <c r="A784" t="s">
        <v>2277</v>
      </c>
      <c r="B784" t="s">
        <v>1892</v>
      </c>
      <c r="C784" t="s">
        <v>1894</v>
      </c>
      <c r="D784">
        <v>2</v>
      </c>
      <c r="E784" t="s">
        <v>1447</v>
      </c>
      <c r="F784" t="s">
        <v>1899</v>
      </c>
      <c r="G784" t="s">
        <v>1806</v>
      </c>
      <c r="H784" t="s">
        <v>2279</v>
      </c>
      <c r="I784" t="s">
        <v>2279</v>
      </c>
      <c r="J784">
        <v>0</v>
      </c>
      <c r="K784" t="s">
        <v>2279</v>
      </c>
      <c r="L784" t="s">
        <v>2279</v>
      </c>
      <c r="M784" t="s">
        <v>2279</v>
      </c>
      <c r="N784" t="s">
        <v>2279</v>
      </c>
      <c r="O784" s="190" t="str">
        <f>"["&amp;$C784&amp;"]["&amp;$D784&amp;"]["&amp;$F784&amp;"]"</f>
        <v>[S05_InherentCarbonTransferredDetail][2][InherentCO2Received]</v>
      </c>
    </row>
    <row r="785" spans="1:15" x14ac:dyDescent="0.3">
      <c r="A785" t="s">
        <v>2277</v>
      </c>
      <c r="B785" t="s">
        <v>1892</v>
      </c>
      <c r="C785" t="s">
        <v>1894</v>
      </c>
      <c r="D785">
        <v>3</v>
      </c>
      <c r="E785" t="s">
        <v>1447</v>
      </c>
      <c r="F785" t="s">
        <v>1899</v>
      </c>
      <c r="G785" t="s">
        <v>1806</v>
      </c>
      <c r="H785" t="s">
        <v>2279</v>
      </c>
      <c r="I785" t="s">
        <v>2279</v>
      </c>
      <c r="J785">
        <v>0</v>
      </c>
      <c r="K785" t="s">
        <v>2279</v>
      </c>
      <c r="L785" t="s">
        <v>2279</v>
      </c>
      <c r="M785" t="s">
        <v>2279</v>
      </c>
      <c r="N785" t="s">
        <v>2279</v>
      </c>
      <c r="O785" s="190" t="str">
        <f>"["&amp;$C785&amp;"]["&amp;$D785&amp;"]["&amp;$F785&amp;"]"</f>
        <v>[S05_InherentCarbonTransferredDetail][3][InherentCO2Received]</v>
      </c>
    </row>
    <row r="786" spans="1:15" x14ac:dyDescent="0.3">
      <c r="A786" t="s">
        <v>2277</v>
      </c>
      <c r="B786" t="s">
        <v>1892</v>
      </c>
      <c r="C786" t="s">
        <v>1894</v>
      </c>
      <c r="D786">
        <v>4</v>
      </c>
      <c r="E786" t="s">
        <v>1447</v>
      </c>
      <c r="F786" t="s">
        <v>1899</v>
      </c>
      <c r="G786" t="s">
        <v>1806</v>
      </c>
      <c r="H786" t="s">
        <v>2279</v>
      </c>
      <c r="I786" t="s">
        <v>2279</v>
      </c>
      <c r="J786">
        <v>3773528.9964000001</v>
      </c>
      <c r="K786" t="s">
        <v>2279</v>
      </c>
      <c r="L786" t="s">
        <v>2279</v>
      </c>
      <c r="M786" t="s">
        <v>2279</v>
      </c>
      <c r="N786" t="s">
        <v>2279</v>
      </c>
      <c r="O786" s="190" t="str">
        <f>"["&amp;$C786&amp;"]["&amp;$D786&amp;"]["&amp;$F786&amp;"]"</f>
        <v>[S05_InherentCarbonTransferredDetail][4][InherentCO2Received]</v>
      </c>
    </row>
    <row r="787" spans="1:15" x14ac:dyDescent="0.3">
      <c r="A787" t="s">
        <v>2277</v>
      </c>
      <c r="B787" t="s">
        <v>1892</v>
      </c>
      <c r="C787" t="s">
        <v>1894</v>
      </c>
      <c r="D787">
        <v>5</v>
      </c>
      <c r="E787" t="s">
        <v>1447</v>
      </c>
      <c r="F787" t="s">
        <v>1899</v>
      </c>
      <c r="G787" t="s">
        <v>1806</v>
      </c>
      <c r="H787" t="s">
        <v>2279</v>
      </c>
      <c r="I787" t="s">
        <v>2279</v>
      </c>
      <c r="J787">
        <v>0</v>
      </c>
      <c r="K787" t="s">
        <v>2279</v>
      </c>
      <c r="L787" t="s">
        <v>2279</v>
      </c>
      <c r="M787" t="s">
        <v>2279</v>
      </c>
      <c r="N787" t="s">
        <v>2279</v>
      </c>
      <c r="O787" s="190" t="str">
        <f>"["&amp;$C787&amp;"]["&amp;$D787&amp;"]["&amp;$F787&amp;"]"</f>
        <v>[S05_InherentCarbonTransferredDetail][5][InherentCO2Received]</v>
      </c>
    </row>
    <row r="788" spans="1:15" x14ac:dyDescent="0.3">
      <c r="A788" t="s">
        <v>2277</v>
      </c>
      <c r="B788" t="s">
        <v>1892</v>
      </c>
      <c r="C788" t="s">
        <v>1894</v>
      </c>
      <c r="D788">
        <v>1</v>
      </c>
      <c r="E788" t="s">
        <v>1447</v>
      </c>
      <c r="F788" t="s">
        <v>1900</v>
      </c>
      <c r="G788" t="s">
        <v>1737</v>
      </c>
      <c r="H788" t="s">
        <v>2279</v>
      </c>
      <c r="I788" t="s">
        <v>2279</v>
      </c>
      <c r="J788" t="s">
        <v>2279</v>
      </c>
      <c r="K788" t="s">
        <v>2279</v>
      </c>
      <c r="L788" t="s">
        <v>1626</v>
      </c>
      <c r="M788" t="s">
        <v>2279</v>
      </c>
      <c r="N788" t="s">
        <v>2279</v>
      </c>
      <c r="O788" s="190" t="str">
        <f>"["&amp;$C788&amp;"]["&amp;$D788&amp;"]["&amp;$F788&amp;"]"</f>
        <v>[S05_InherentCarbonTransferredDetail][1][ReceivingInstallationType]</v>
      </c>
    </row>
    <row r="789" spans="1:15" x14ac:dyDescent="0.3">
      <c r="A789" t="s">
        <v>2277</v>
      </c>
      <c r="B789" t="s">
        <v>1892</v>
      </c>
      <c r="C789" t="s">
        <v>1894</v>
      </c>
      <c r="D789">
        <v>2</v>
      </c>
      <c r="E789" t="s">
        <v>1447</v>
      </c>
      <c r="F789" t="s">
        <v>1900</v>
      </c>
      <c r="G789" t="s">
        <v>1737</v>
      </c>
      <c r="H789" t="s">
        <v>2279</v>
      </c>
      <c r="I789" t="s">
        <v>2279</v>
      </c>
      <c r="J789" t="s">
        <v>2279</v>
      </c>
      <c r="K789" t="s">
        <v>2279</v>
      </c>
      <c r="L789" t="s">
        <v>2398</v>
      </c>
      <c r="M789" t="s">
        <v>2279</v>
      </c>
      <c r="N789" t="s">
        <v>2279</v>
      </c>
      <c r="O789" s="190" t="str">
        <f>"["&amp;$C789&amp;"]["&amp;$D789&amp;"]["&amp;$F789&amp;"]"</f>
        <v>[S05_InherentCarbonTransferredDetail][2][ReceivingInstallationType]</v>
      </c>
    </row>
    <row r="790" spans="1:15" x14ac:dyDescent="0.3">
      <c r="A790" t="s">
        <v>2277</v>
      </c>
      <c r="B790" t="s">
        <v>1892</v>
      </c>
      <c r="C790" t="s">
        <v>1894</v>
      </c>
      <c r="D790">
        <v>3</v>
      </c>
      <c r="E790" t="s">
        <v>1447</v>
      </c>
      <c r="F790" t="s">
        <v>1900</v>
      </c>
      <c r="G790" t="s">
        <v>1737</v>
      </c>
      <c r="H790" t="s">
        <v>2279</v>
      </c>
      <c r="I790" t="s">
        <v>2279</v>
      </c>
      <c r="J790" t="s">
        <v>2279</v>
      </c>
      <c r="K790" t="s">
        <v>2279</v>
      </c>
      <c r="L790" t="s">
        <v>2398</v>
      </c>
      <c r="M790" t="s">
        <v>2279</v>
      </c>
      <c r="N790" t="s">
        <v>2279</v>
      </c>
      <c r="O790" s="190" t="str">
        <f>"["&amp;$C790&amp;"]["&amp;$D790&amp;"]["&amp;$F790&amp;"]"</f>
        <v>[S05_InherentCarbonTransferredDetail][3][ReceivingInstallationType]</v>
      </c>
    </row>
    <row r="791" spans="1:15" x14ac:dyDescent="0.3">
      <c r="A791" t="s">
        <v>2277</v>
      </c>
      <c r="B791" t="s">
        <v>1892</v>
      </c>
      <c r="C791" t="s">
        <v>1894</v>
      </c>
      <c r="D791">
        <v>4</v>
      </c>
      <c r="E791" t="s">
        <v>1447</v>
      </c>
      <c r="F791" t="s">
        <v>1900</v>
      </c>
      <c r="G791" t="s">
        <v>1737</v>
      </c>
      <c r="H791" t="s">
        <v>2279</v>
      </c>
      <c r="I791" t="s">
        <v>2279</v>
      </c>
      <c r="J791" t="s">
        <v>2279</v>
      </c>
      <c r="K791" t="s">
        <v>2279</v>
      </c>
      <c r="L791" t="s">
        <v>1420</v>
      </c>
      <c r="M791" t="s">
        <v>2279</v>
      </c>
      <c r="N791" t="s">
        <v>2279</v>
      </c>
      <c r="O791" s="190" t="str">
        <f>"["&amp;$C791&amp;"]["&amp;$D791&amp;"]["&amp;$F791&amp;"]"</f>
        <v>[S05_InherentCarbonTransferredDetail][4][ReceivingInstallationType]</v>
      </c>
    </row>
    <row r="792" spans="1:15" x14ac:dyDescent="0.3">
      <c r="A792" t="s">
        <v>2277</v>
      </c>
      <c r="B792" t="s">
        <v>1892</v>
      </c>
      <c r="C792" t="s">
        <v>1894</v>
      </c>
      <c r="D792">
        <v>5</v>
      </c>
      <c r="E792" t="s">
        <v>1447</v>
      </c>
      <c r="F792" t="s">
        <v>1900</v>
      </c>
      <c r="G792" t="s">
        <v>1737</v>
      </c>
      <c r="H792" t="s">
        <v>2279</v>
      </c>
      <c r="I792" t="s">
        <v>2279</v>
      </c>
      <c r="J792" t="s">
        <v>2279</v>
      </c>
      <c r="K792" t="s">
        <v>2279</v>
      </c>
      <c r="L792" t="s">
        <v>1597</v>
      </c>
      <c r="M792" t="s">
        <v>2279</v>
      </c>
      <c r="N792" t="s">
        <v>2279</v>
      </c>
      <c r="O792" s="190" t="str">
        <f>"["&amp;$C792&amp;"]["&amp;$D792&amp;"]["&amp;$F792&amp;"]"</f>
        <v>[S05_InherentCarbonTransferredDetail][5][ReceivingInstallationType]</v>
      </c>
    </row>
    <row r="793" spans="1:15" x14ac:dyDescent="0.3">
      <c r="A793" t="s">
        <v>2277</v>
      </c>
      <c r="B793" t="s">
        <v>1892</v>
      </c>
      <c r="C793" t="s">
        <v>1894</v>
      </c>
      <c r="D793">
        <v>1</v>
      </c>
      <c r="E793" t="s">
        <v>1447</v>
      </c>
      <c r="F793" t="s">
        <v>1901</v>
      </c>
      <c r="G793" t="s">
        <v>1741</v>
      </c>
      <c r="H793" t="s">
        <v>2398</v>
      </c>
      <c r="I793" t="s">
        <v>2279</v>
      </c>
      <c r="J793" t="s">
        <v>2279</v>
      </c>
      <c r="K793" t="s">
        <v>2279</v>
      </c>
      <c r="L793" t="s">
        <v>2279</v>
      </c>
      <c r="M793" t="s">
        <v>2279</v>
      </c>
      <c r="N793" t="s">
        <v>2279</v>
      </c>
      <c r="O793" s="190" t="str">
        <f>"["&amp;$C793&amp;"]["&amp;$D793&amp;"]["&amp;$F793&amp;"]"</f>
        <v>[S05_InherentCarbonTransferredDetail][1][StorageSitePermitNumber]</v>
      </c>
    </row>
    <row r="794" spans="1:15" x14ac:dyDescent="0.3">
      <c r="A794" t="s">
        <v>2277</v>
      </c>
      <c r="B794" t="s">
        <v>1892</v>
      </c>
      <c r="C794" t="s">
        <v>1894</v>
      </c>
      <c r="D794">
        <v>2</v>
      </c>
      <c r="E794" t="s">
        <v>1447</v>
      </c>
      <c r="F794" t="s">
        <v>1901</v>
      </c>
      <c r="G794" t="s">
        <v>1741</v>
      </c>
      <c r="H794" t="s">
        <v>2398</v>
      </c>
      <c r="I794" t="s">
        <v>2279</v>
      </c>
      <c r="J794" t="s">
        <v>2279</v>
      </c>
      <c r="K794" t="s">
        <v>2279</v>
      </c>
      <c r="L794" t="s">
        <v>2279</v>
      </c>
      <c r="M794" t="s">
        <v>2279</v>
      </c>
      <c r="N794" t="s">
        <v>2279</v>
      </c>
      <c r="O794" s="190" t="str">
        <f>"["&amp;$C794&amp;"]["&amp;$D794&amp;"]["&amp;$F794&amp;"]"</f>
        <v>[S05_InherentCarbonTransferredDetail][2][StorageSitePermitNumber]</v>
      </c>
    </row>
    <row r="795" spans="1:15" x14ac:dyDescent="0.3">
      <c r="A795" t="s">
        <v>2277</v>
      </c>
      <c r="B795" t="s">
        <v>1892</v>
      </c>
      <c r="C795" t="s">
        <v>1894</v>
      </c>
      <c r="D795">
        <v>3</v>
      </c>
      <c r="E795" t="s">
        <v>1447</v>
      </c>
      <c r="F795" t="s">
        <v>1901</v>
      </c>
      <c r="G795" t="s">
        <v>1741</v>
      </c>
      <c r="H795" t="s">
        <v>2398</v>
      </c>
      <c r="I795" t="s">
        <v>2279</v>
      </c>
      <c r="J795" t="s">
        <v>2279</v>
      </c>
      <c r="K795" t="s">
        <v>2279</v>
      </c>
      <c r="L795" t="s">
        <v>2279</v>
      </c>
      <c r="M795" t="s">
        <v>2279</v>
      </c>
      <c r="N795" t="s">
        <v>2279</v>
      </c>
      <c r="O795" s="190" t="str">
        <f>"["&amp;$C795&amp;"]["&amp;$D795&amp;"]["&amp;$F795&amp;"]"</f>
        <v>[S05_InherentCarbonTransferredDetail][3][StorageSitePermitNumber]</v>
      </c>
    </row>
    <row r="796" spans="1:15" x14ac:dyDescent="0.3">
      <c r="A796" t="s">
        <v>2277</v>
      </c>
      <c r="B796" t="s">
        <v>1892</v>
      </c>
      <c r="C796" t="s">
        <v>1894</v>
      </c>
      <c r="D796">
        <v>4</v>
      </c>
      <c r="E796" t="s">
        <v>1447</v>
      </c>
      <c r="F796" t="s">
        <v>1901</v>
      </c>
      <c r="G796" t="s">
        <v>1741</v>
      </c>
      <c r="H796" t="s">
        <v>2398</v>
      </c>
      <c r="I796" t="s">
        <v>2279</v>
      </c>
      <c r="J796" t="s">
        <v>2279</v>
      </c>
      <c r="K796" t="s">
        <v>2279</v>
      </c>
      <c r="L796" t="s">
        <v>2279</v>
      </c>
      <c r="M796" t="s">
        <v>2279</v>
      </c>
      <c r="N796" t="s">
        <v>2279</v>
      </c>
      <c r="O796" s="190" t="str">
        <f>"["&amp;$C796&amp;"]["&amp;$D796&amp;"]["&amp;$F796&amp;"]"</f>
        <v>[S05_InherentCarbonTransferredDetail][4][StorageSitePermitNumber]</v>
      </c>
    </row>
    <row r="797" spans="1:15" x14ac:dyDescent="0.3">
      <c r="A797" t="s">
        <v>2277</v>
      </c>
      <c r="B797" t="s">
        <v>1892</v>
      </c>
      <c r="C797" t="s">
        <v>1894</v>
      </c>
      <c r="D797">
        <v>5</v>
      </c>
      <c r="E797" t="s">
        <v>1447</v>
      </c>
      <c r="F797" t="s">
        <v>1901</v>
      </c>
      <c r="G797" t="s">
        <v>1741</v>
      </c>
      <c r="H797" t="s">
        <v>2398</v>
      </c>
      <c r="I797" t="s">
        <v>2279</v>
      </c>
      <c r="J797" t="s">
        <v>2279</v>
      </c>
      <c r="K797" t="s">
        <v>2279</v>
      </c>
      <c r="L797" t="s">
        <v>2279</v>
      </c>
      <c r="M797" t="s">
        <v>2279</v>
      </c>
      <c r="N797" t="s">
        <v>2279</v>
      </c>
      <c r="O797" s="190" t="str">
        <f>"["&amp;$C797&amp;"]["&amp;$D797&amp;"]["&amp;$F797&amp;"]"</f>
        <v>[S05_InherentCarbonTransferredDetail][5][StorageSitePermitNumber]</v>
      </c>
    </row>
    <row r="798" spans="1:15" x14ac:dyDescent="0.3">
      <c r="A798" t="s">
        <v>2277</v>
      </c>
      <c r="B798" t="s">
        <v>1902</v>
      </c>
      <c r="C798" t="s">
        <v>1903</v>
      </c>
      <c r="D798">
        <v>0</v>
      </c>
      <c r="E798" t="s">
        <v>1447</v>
      </c>
      <c r="F798" t="s">
        <v>1903</v>
      </c>
      <c r="G798" t="s">
        <v>1759</v>
      </c>
      <c r="H798" t="s">
        <v>2279</v>
      </c>
      <c r="I798" t="s">
        <v>2279</v>
      </c>
      <c r="J798" t="s">
        <v>2279</v>
      </c>
      <c r="K798" t="s">
        <v>2279</v>
      </c>
      <c r="L798" t="s">
        <v>1419</v>
      </c>
      <c r="M798" t="s">
        <v>2279</v>
      </c>
      <c r="N798" t="s">
        <v>2279</v>
      </c>
      <c r="O798" s="190" t="str">
        <f>"["&amp;$C798&amp;"]["&amp;$D798&amp;"]["&amp;$F798&amp;"]"</f>
        <v>[ContinuousEmissionsMeasurement][0][ContinuousEmissionsMeasurement]</v>
      </c>
    </row>
    <row r="799" spans="1:15" x14ac:dyDescent="0.3">
      <c r="A799" t="s">
        <v>2277</v>
      </c>
      <c r="B799" t="s">
        <v>1902</v>
      </c>
      <c r="C799" t="s">
        <v>1904</v>
      </c>
      <c r="D799">
        <v>1</v>
      </c>
      <c r="E799" t="s">
        <v>1447</v>
      </c>
      <c r="F799" t="s">
        <v>1905</v>
      </c>
      <c r="G799" t="s">
        <v>1741</v>
      </c>
      <c r="H799" t="s">
        <v>2399</v>
      </c>
      <c r="I799" t="s">
        <v>2279</v>
      </c>
      <c r="J799" t="s">
        <v>2279</v>
      </c>
      <c r="K799" t="s">
        <v>2279</v>
      </c>
      <c r="L799" t="s">
        <v>2279</v>
      </c>
      <c r="M799" t="s">
        <v>2279</v>
      </c>
      <c r="N799" t="s">
        <v>2279</v>
      </c>
      <c r="O799" s="190" t="str">
        <f>"["&amp;$C799&amp;"]["&amp;$D799&amp;"]["&amp;$F799&amp;"]"</f>
        <v>[S05_ContinuousEmissionsMeasurementDetail][1][InstallationIDCO2]</v>
      </c>
    </row>
    <row r="800" spans="1:15" x14ac:dyDescent="0.3">
      <c r="A800" t="s">
        <v>2277</v>
      </c>
      <c r="B800" t="s">
        <v>1902</v>
      </c>
      <c r="C800" t="s">
        <v>1904</v>
      </c>
      <c r="D800">
        <v>2</v>
      </c>
      <c r="E800" t="s">
        <v>1447</v>
      </c>
      <c r="F800" t="s">
        <v>1905</v>
      </c>
      <c r="G800" t="s">
        <v>1741</v>
      </c>
      <c r="H800" t="s">
        <v>2400</v>
      </c>
      <c r="I800" t="s">
        <v>2279</v>
      </c>
      <c r="J800" t="s">
        <v>2279</v>
      </c>
      <c r="K800" t="s">
        <v>2279</v>
      </c>
      <c r="L800" t="s">
        <v>2279</v>
      </c>
      <c r="M800" t="s">
        <v>2279</v>
      </c>
      <c r="N800" t="s">
        <v>2279</v>
      </c>
      <c r="O800" s="190" t="str">
        <f>"["&amp;$C800&amp;"]["&amp;$D800&amp;"]["&amp;$F800&amp;"]"</f>
        <v>[S05_ContinuousEmissionsMeasurementDetail][2][InstallationIDCO2]</v>
      </c>
    </row>
    <row r="801" spans="1:15" x14ac:dyDescent="0.3">
      <c r="A801" t="s">
        <v>2277</v>
      </c>
      <c r="B801" t="s">
        <v>1902</v>
      </c>
      <c r="C801" t="s">
        <v>1904</v>
      </c>
      <c r="D801">
        <v>3</v>
      </c>
      <c r="E801" t="s">
        <v>1447</v>
      </c>
      <c r="F801" t="s">
        <v>1905</v>
      </c>
      <c r="G801" t="s">
        <v>1741</v>
      </c>
      <c r="H801" t="s">
        <v>2401</v>
      </c>
      <c r="I801" t="s">
        <v>2279</v>
      </c>
      <c r="J801" t="s">
        <v>2279</v>
      </c>
      <c r="K801" t="s">
        <v>2279</v>
      </c>
      <c r="L801" t="s">
        <v>2279</v>
      </c>
      <c r="M801" t="s">
        <v>2279</v>
      </c>
      <c r="N801" t="s">
        <v>2279</v>
      </c>
      <c r="O801" s="190" t="str">
        <f>"["&amp;$C801&amp;"]["&amp;$D801&amp;"]["&amp;$F801&amp;"]"</f>
        <v>[S05_ContinuousEmissionsMeasurementDetail][3][InstallationIDCO2]</v>
      </c>
    </row>
    <row r="802" spans="1:15" x14ac:dyDescent="0.3">
      <c r="A802" t="s">
        <v>2277</v>
      </c>
      <c r="B802" t="s">
        <v>1902</v>
      </c>
      <c r="C802" t="s">
        <v>1904</v>
      </c>
      <c r="D802">
        <v>4</v>
      </c>
      <c r="E802" t="s">
        <v>1447</v>
      </c>
      <c r="F802" t="s">
        <v>1905</v>
      </c>
      <c r="G802" t="s">
        <v>1741</v>
      </c>
      <c r="H802" t="s">
        <v>2402</v>
      </c>
      <c r="I802" t="s">
        <v>2279</v>
      </c>
      <c r="J802" t="s">
        <v>2279</v>
      </c>
      <c r="K802" t="s">
        <v>2279</v>
      </c>
      <c r="L802" t="s">
        <v>2279</v>
      </c>
      <c r="M802" t="s">
        <v>2279</v>
      </c>
      <c r="N802" t="s">
        <v>2279</v>
      </c>
      <c r="O802" s="190" t="str">
        <f>"["&amp;$C802&amp;"]["&amp;$D802&amp;"]["&amp;$F802&amp;"]"</f>
        <v>[S05_ContinuousEmissionsMeasurementDetail][4][InstallationIDCO2]</v>
      </c>
    </row>
    <row r="803" spans="1:15" x14ac:dyDescent="0.3">
      <c r="A803" t="s">
        <v>2277</v>
      </c>
      <c r="B803" t="s">
        <v>1902</v>
      </c>
      <c r="C803" t="s">
        <v>1904</v>
      </c>
      <c r="D803">
        <v>4</v>
      </c>
      <c r="E803" t="s">
        <v>1447</v>
      </c>
      <c r="F803" t="s">
        <v>1906</v>
      </c>
      <c r="G803" t="s">
        <v>1741</v>
      </c>
      <c r="H803" t="s">
        <v>2402</v>
      </c>
      <c r="I803" t="s">
        <v>2279</v>
      </c>
      <c r="J803" t="s">
        <v>2279</v>
      </c>
      <c r="K803" t="s">
        <v>2279</v>
      </c>
      <c r="L803" t="s">
        <v>2279</v>
      </c>
      <c r="M803" t="s">
        <v>2279</v>
      </c>
      <c r="N803" t="s">
        <v>2279</v>
      </c>
      <c r="O803" s="190" t="str">
        <f>"["&amp;$C803&amp;"]["&amp;$D803&amp;"]["&amp;$F803&amp;"]"</f>
        <v>[S05_ContinuousEmissionsMeasurementDetail][4][InstallationIDN2O]</v>
      </c>
    </row>
    <row r="804" spans="1:15" x14ac:dyDescent="0.3">
      <c r="A804" t="s">
        <v>2277</v>
      </c>
      <c r="B804" t="s">
        <v>1902</v>
      </c>
      <c r="C804" t="s">
        <v>1904</v>
      </c>
      <c r="D804">
        <v>5</v>
      </c>
      <c r="E804" t="s">
        <v>1447</v>
      </c>
      <c r="F804" t="s">
        <v>1906</v>
      </c>
      <c r="G804" t="s">
        <v>1741</v>
      </c>
      <c r="H804" t="s">
        <v>2403</v>
      </c>
      <c r="I804" t="s">
        <v>2279</v>
      </c>
      <c r="J804" t="s">
        <v>2279</v>
      </c>
      <c r="K804" t="s">
        <v>2279</v>
      </c>
      <c r="L804" t="s">
        <v>2279</v>
      </c>
      <c r="M804" t="s">
        <v>2279</v>
      </c>
      <c r="N804" t="s">
        <v>2279</v>
      </c>
      <c r="O804" s="190" t="str">
        <f>"["&amp;$C804&amp;"]["&amp;$D804&amp;"]["&amp;$F804&amp;"]"</f>
        <v>[S05_ContinuousEmissionsMeasurementDetail][5][InstallationIDN2O]</v>
      </c>
    </row>
    <row r="805" spans="1:15" x14ac:dyDescent="0.3">
      <c r="A805" t="s">
        <v>2277</v>
      </c>
      <c r="B805" t="s">
        <v>1902</v>
      </c>
      <c r="C805" t="s">
        <v>1904</v>
      </c>
      <c r="D805">
        <v>6</v>
      </c>
      <c r="E805" t="s">
        <v>1447</v>
      </c>
      <c r="F805" t="s">
        <v>1906</v>
      </c>
      <c r="G805" t="s">
        <v>1741</v>
      </c>
      <c r="H805" t="s">
        <v>2404</v>
      </c>
      <c r="I805" t="s">
        <v>2279</v>
      </c>
      <c r="J805" t="s">
        <v>2279</v>
      </c>
      <c r="K805" t="s">
        <v>2279</v>
      </c>
      <c r="L805" t="s">
        <v>2279</v>
      </c>
      <c r="M805" t="s">
        <v>2279</v>
      </c>
      <c r="N805" t="s">
        <v>2279</v>
      </c>
      <c r="O805" s="190" t="str">
        <f>"["&amp;$C805&amp;"]["&amp;$D805&amp;"]["&amp;$F805&amp;"]"</f>
        <v>[S05_ContinuousEmissionsMeasurementDetail][6][InstallationIDN2O]</v>
      </c>
    </row>
    <row r="806" spans="1:15" x14ac:dyDescent="0.3">
      <c r="A806" t="s">
        <v>2277</v>
      </c>
      <c r="B806" t="s">
        <v>1902</v>
      </c>
      <c r="C806" t="s">
        <v>1904</v>
      </c>
      <c r="D806">
        <v>7</v>
      </c>
      <c r="E806" t="s">
        <v>1447</v>
      </c>
      <c r="F806" t="s">
        <v>1906</v>
      </c>
      <c r="G806" t="s">
        <v>1741</v>
      </c>
      <c r="H806" t="s">
        <v>2405</v>
      </c>
      <c r="I806" t="s">
        <v>2279</v>
      </c>
      <c r="J806" t="s">
        <v>2279</v>
      </c>
      <c r="K806" t="s">
        <v>2279</v>
      </c>
      <c r="L806" t="s">
        <v>2279</v>
      </c>
      <c r="M806" t="s">
        <v>2279</v>
      </c>
      <c r="N806" t="s">
        <v>2279</v>
      </c>
      <c r="O806" s="190" t="str">
        <f>"["&amp;$C806&amp;"]["&amp;$D806&amp;"]["&amp;$F806&amp;"]"</f>
        <v>[S05_ContinuousEmissionsMeasurementDetail][7][InstallationIDN2O]</v>
      </c>
    </row>
    <row r="807" spans="1:15" x14ac:dyDescent="0.3">
      <c r="A807" t="s">
        <v>2277</v>
      </c>
      <c r="B807" t="s">
        <v>1902</v>
      </c>
      <c r="C807" t="s">
        <v>1904</v>
      </c>
      <c r="D807">
        <v>8</v>
      </c>
      <c r="E807" t="s">
        <v>1447</v>
      </c>
      <c r="F807" t="s">
        <v>1906</v>
      </c>
      <c r="G807" t="s">
        <v>1741</v>
      </c>
      <c r="H807" t="s">
        <v>2406</v>
      </c>
      <c r="I807" t="s">
        <v>2279</v>
      </c>
      <c r="J807" t="s">
        <v>2279</v>
      </c>
      <c r="K807" t="s">
        <v>2279</v>
      </c>
      <c r="L807" t="s">
        <v>2279</v>
      </c>
      <c r="M807" t="s">
        <v>2279</v>
      </c>
      <c r="N807" t="s">
        <v>2279</v>
      </c>
      <c r="O807" s="190" t="str">
        <f>"["&amp;$C807&amp;"]["&amp;$D807&amp;"]["&amp;$F807&amp;"]"</f>
        <v>[S05_ContinuousEmissionsMeasurementDetail][8][InstallationIDN2O]</v>
      </c>
    </row>
    <row r="808" spans="1:15" x14ac:dyDescent="0.3">
      <c r="A808" t="s">
        <v>2277</v>
      </c>
      <c r="B808" t="s">
        <v>1902</v>
      </c>
      <c r="C808" t="s">
        <v>1904</v>
      </c>
      <c r="D808">
        <v>9</v>
      </c>
      <c r="E808" t="s">
        <v>1447</v>
      </c>
      <c r="F808" t="s">
        <v>1906</v>
      </c>
      <c r="G808" t="s">
        <v>1741</v>
      </c>
      <c r="H808" t="s">
        <v>2407</v>
      </c>
      <c r="I808" t="s">
        <v>2279</v>
      </c>
      <c r="J808" t="s">
        <v>2279</v>
      </c>
      <c r="K808" t="s">
        <v>2279</v>
      </c>
      <c r="L808" t="s">
        <v>2279</v>
      </c>
      <c r="M808" t="s">
        <v>2279</v>
      </c>
      <c r="N808" t="s">
        <v>2279</v>
      </c>
      <c r="O808" s="190" t="str">
        <f>"["&amp;$C808&amp;"]["&amp;$D808&amp;"]["&amp;$F808&amp;"]"</f>
        <v>[S05_ContinuousEmissionsMeasurementDetail][9][InstallationIDN2O]</v>
      </c>
    </row>
    <row r="809" spans="1:15" x14ac:dyDescent="0.3">
      <c r="A809" t="s">
        <v>2277</v>
      </c>
      <c r="B809" t="s">
        <v>1902</v>
      </c>
      <c r="C809" t="s">
        <v>1904</v>
      </c>
      <c r="D809">
        <v>10</v>
      </c>
      <c r="E809" t="s">
        <v>1447</v>
      </c>
      <c r="F809" t="s">
        <v>1906</v>
      </c>
      <c r="G809" t="s">
        <v>1741</v>
      </c>
      <c r="H809" t="s">
        <v>2408</v>
      </c>
      <c r="I809" t="s">
        <v>2279</v>
      </c>
      <c r="J809" t="s">
        <v>2279</v>
      </c>
      <c r="K809" t="s">
        <v>2279</v>
      </c>
      <c r="L809" t="s">
        <v>2279</v>
      </c>
      <c r="M809" t="s">
        <v>2279</v>
      </c>
      <c r="N809" t="s">
        <v>2279</v>
      </c>
      <c r="O809" s="190" t="str">
        <f>"["&amp;$C809&amp;"]["&amp;$D809&amp;"]["&amp;$F809&amp;"]"</f>
        <v>[S05_ContinuousEmissionsMeasurementDetail][10][InstallationIDN2O]</v>
      </c>
    </row>
    <row r="810" spans="1:15" x14ac:dyDescent="0.3">
      <c r="A810" t="s">
        <v>2277</v>
      </c>
      <c r="B810" t="s">
        <v>1902</v>
      </c>
      <c r="C810" t="s">
        <v>1904</v>
      </c>
      <c r="D810">
        <v>11</v>
      </c>
      <c r="E810" t="s">
        <v>1447</v>
      </c>
      <c r="F810" t="s">
        <v>1906</v>
      </c>
      <c r="G810" t="s">
        <v>1741</v>
      </c>
      <c r="H810" t="s">
        <v>2409</v>
      </c>
      <c r="I810" t="s">
        <v>2279</v>
      </c>
      <c r="J810" t="s">
        <v>2279</v>
      </c>
      <c r="K810" t="s">
        <v>2279</v>
      </c>
      <c r="L810" t="s">
        <v>2279</v>
      </c>
      <c r="M810" t="s">
        <v>2279</v>
      </c>
      <c r="N810" t="s">
        <v>2279</v>
      </c>
      <c r="O810" s="190" t="str">
        <f>"["&amp;$C810&amp;"]["&amp;$D810&amp;"]["&amp;$F810&amp;"]"</f>
        <v>[S05_ContinuousEmissionsMeasurementDetail][11][InstallationIDN2O]</v>
      </c>
    </row>
    <row r="811" spans="1:15" x14ac:dyDescent="0.3">
      <c r="A811" t="s">
        <v>2277</v>
      </c>
      <c r="B811" t="s">
        <v>1902</v>
      </c>
      <c r="C811" t="s">
        <v>1904</v>
      </c>
      <c r="D811">
        <v>12</v>
      </c>
      <c r="E811" t="s">
        <v>1447</v>
      </c>
      <c r="F811" t="s">
        <v>1906</v>
      </c>
      <c r="G811" t="s">
        <v>1741</v>
      </c>
      <c r="H811" t="s">
        <v>2410</v>
      </c>
      <c r="I811" t="s">
        <v>2279</v>
      </c>
      <c r="J811" t="s">
        <v>2279</v>
      </c>
      <c r="K811" t="s">
        <v>2279</v>
      </c>
      <c r="L811" t="s">
        <v>2279</v>
      </c>
      <c r="M811" t="s">
        <v>2279</v>
      </c>
      <c r="N811" t="s">
        <v>2279</v>
      </c>
      <c r="O811" s="190" t="str">
        <f>"["&amp;$C811&amp;"]["&amp;$D811&amp;"]["&amp;$F811&amp;"]"</f>
        <v>[S05_ContinuousEmissionsMeasurementDetail][12][InstallationIDN2O]</v>
      </c>
    </row>
    <row r="812" spans="1:15" x14ac:dyDescent="0.3">
      <c r="A812" t="s">
        <v>2277</v>
      </c>
      <c r="B812" t="s">
        <v>1902</v>
      </c>
      <c r="C812" t="s">
        <v>1904</v>
      </c>
      <c r="D812">
        <v>1</v>
      </c>
      <c r="E812" t="s">
        <v>1447</v>
      </c>
      <c r="F812" t="s">
        <v>1907</v>
      </c>
      <c r="G812" t="s">
        <v>1806</v>
      </c>
      <c r="H812" t="s">
        <v>2279</v>
      </c>
      <c r="I812" t="s">
        <v>2279</v>
      </c>
      <c r="J812">
        <v>153877</v>
      </c>
      <c r="K812" t="s">
        <v>2279</v>
      </c>
      <c r="L812" t="s">
        <v>2279</v>
      </c>
      <c r="M812" t="s">
        <v>2279</v>
      </c>
      <c r="N812" t="s">
        <v>2279</v>
      </c>
      <c r="O812" s="190" t="str">
        <f>"["&amp;$C812&amp;"]["&amp;$D812&amp;"]["&amp;$F812&amp;"]"</f>
        <v>[S05_ContinuousEmissionsMeasurementDetail][1][TotalEmissionsCO2E]</v>
      </c>
    </row>
    <row r="813" spans="1:15" x14ac:dyDescent="0.3">
      <c r="A813" t="s">
        <v>2277</v>
      </c>
      <c r="B813" t="s">
        <v>1902</v>
      </c>
      <c r="C813" t="s">
        <v>1904</v>
      </c>
      <c r="D813">
        <v>2</v>
      </c>
      <c r="E813" t="s">
        <v>1447</v>
      </c>
      <c r="F813" t="s">
        <v>1907</v>
      </c>
      <c r="G813" t="s">
        <v>1806</v>
      </c>
      <c r="H813" t="s">
        <v>2279</v>
      </c>
      <c r="I813" t="s">
        <v>2279</v>
      </c>
      <c r="J813">
        <v>22539</v>
      </c>
      <c r="K813" t="s">
        <v>2279</v>
      </c>
      <c r="L813" t="s">
        <v>2279</v>
      </c>
      <c r="M813" t="s">
        <v>2279</v>
      </c>
      <c r="N813" t="s">
        <v>2279</v>
      </c>
      <c r="O813" s="190" t="str">
        <f>"["&amp;$C813&amp;"]["&amp;$D813&amp;"]["&amp;$F813&amp;"]"</f>
        <v>[S05_ContinuousEmissionsMeasurementDetail][2][TotalEmissionsCO2E]</v>
      </c>
    </row>
    <row r="814" spans="1:15" x14ac:dyDescent="0.3">
      <c r="A814" t="s">
        <v>2277</v>
      </c>
      <c r="B814" t="s">
        <v>1902</v>
      </c>
      <c r="C814" t="s">
        <v>1904</v>
      </c>
      <c r="D814">
        <v>3</v>
      </c>
      <c r="E814" t="s">
        <v>1447</v>
      </c>
      <c r="F814" t="s">
        <v>1907</v>
      </c>
      <c r="G814" t="s">
        <v>1806</v>
      </c>
      <c r="H814" t="s">
        <v>2279</v>
      </c>
      <c r="I814" t="s">
        <v>2279</v>
      </c>
      <c r="J814">
        <v>139080</v>
      </c>
      <c r="K814" t="s">
        <v>2279</v>
      </c>
      <c r="L814" t="s">
        <v>2279</v>
      </c>
      <c r="M814" t="s">
        <v>2279</v>
      </c>
      <c r="N814" t="s">
        <v>2279</v>
      </c>
      <c r="O814" s="190" t="str">
        <f>"["&amp;$C814&amp;"]["&amp;$D814&amp;"]["&amp;$F814&amp;"]"</f>
        <v>[S05_ContinuousEmissionsMeasurementDetail][3][TotalEmissionsCO2E]</v>
      </c>
    </row>
    <row r="815" spans="1:15" x14ac:dyDescent="0.3">
      <c r="A815" t="s">
        <v>2277</v>
      </c>
      <c r="B815" t="s">
        <v>1902</v>
      </c>
      <c r="C815" t="s">
        <v>1904</v>
      </c>
      <c r="D815">
        <v>4</v>
      </c>
      <c r="E815" t="s">
        <v>1447</v>
      </c>
      <c r="F815" t="s">
        <v>1907</v>
      </c>
      <c r="G815" t="s">
        <v>1806</v>
      </c>
      <c r="H815" t="s">
        <v>2279</v>
      </c>
      <c r="I815" t="s">
        <v>2279</v>
      </c>
      <c r="J815">
        <v>403379</v>
      </c>
      <c r="K815" t="s">
        <v>2279</v>
      </c>
      <c r="L815" t="s">
        <v>2279</v>
      </c>
      <c r="M815" t="s">
        <v>2279</v>
      </c>
      <c r="N815" t="s">
        <v>2279</v>
      </c>
      <c r="O815" s="190" t="str">
        <f>"["&amp;$C815&amp;"]["&amp;$D815&amp;"]["&amp;$F815&amp;"]"</f>
        <v>[S05_ContinuousEmissionsMeasurementDetail][4][TotalEmissionsCO2E]</v>
      </c>
    </row>
    <row r="816" spans="1:15" x14ac:dyDescent="0.3">
      <c r="A816" t="s">
        <v>2277</v>
      </c>
      <c r="B816" t="s">
        <v>1902</v>
      </c>
      <c r="C816" t="s">
        <v>1904</v>
      </c>
      <c r="D816">
        <v>5</v>
      </c>
      <c r="E816" t="s">
        <v>1447</v>
      </c>
      <c r="F816" t="s">
        <v>1907</v>
      </c>
      <c r="G816" t="s">
        <v>1806</v>
      </c>
      <c r="H816" t="s">
        <v>2279</v>
      </c>
      <c r="I816" t="s">
        <v>2279</v>
      </c>
      <c r="J816">
        <v>25097</v>
      </c>
      <c r="K816" t="s">
        <v>2279</v>
      </c>
      <c r="L816" t="s">
        <v>2279</v>
      </c>
      <c r="M816" t="s">
        <v>2279</v>
      </c>
      <c r="N816" t="s">
        <v>2279</v>
      </c>
      <c r="O816" s="190" t="str">
        <f>"["&amp;$C816&amp;"]["&amp;$D816&amp;"]["&amp;$F816&amp;"]"</f>
        <v>[S05_ContinuousEmissionsMeasurementDetail][5][TotalEmissionsCO2E]</v>
      </c>
    </row>
    <row r="817" spans="1:15" x14ac:dyDescent="0.3">
      <c r="A817" t="s">
        <v>2277</v>
      </c>
      <c r="B817" t="s">
        <v>1902</v>
      </c>
      <c r="C817" t="s">
        <v>1904</v>
      </c>
      <c r="D817">
        <v>6</v>
      </c>
      <c r="E817" t="s">
        <v>1447</v>
      </c>
      <c r="F817" t="s">
        <v>1907</v>
      </c>
      <c r="G817" t="s">
        <v>1806</v>
      </c>
      <c r="H817" t="s">
        <v>2279</v>
      </c>
      <c r="I817" t="s">
        <v>2279</v>
      </c>
      <c r="J817">
        <v>10250</v>
      </c>
      <c r="K817" t="s">
        <v>2279</v>
      </c>
      <c r="L817" t="s">
        <v>2279</v>
      </c>
      <c r="M817" t="s">
        <v>2279</v>
      </c>
      <c r="N817" t="s">
        <v>2279</v>
      </c>
      <c r="O817" s="190" t="str">
        <f>"["&amp;$C817&amp;"]["&amp;$D817&amp;"]["&amp;$F817&amp;"]"</f>
        <v>[S05_ContinuousEmissionsMeasurementDetail][6][TotalEmissionsCO2E]</v>
      </c>
    </row>
    <row r="818" spans="1:15" x14ac:dyDescent="0.3">
      <c r="A818" t="s">
        <v>2277</v>
      </c>
      <c r="B818" t="s">
        <v>1902</v>
      </c>
      <c r="C818" t="s">
        <v>1904</v>
      </c>
      <c r="D818">
        <v>7</v>
      </c>
      <c r="E818" t="s">
        <v>1447</v>
      </c>
      <c r="F818" t="s">
        <v>1907</v>
      </c>
      <c r="G818" t="s">
        <v>1806</v>
      </c>
      <c r="H818" t="s">
        <v>2279</v>
      </c>
      <c r="I818" t="s">
        <v>2279</v>
      </c>
      <c r="J818">
        <v>56545</v>
      </c>
      <c r="K818" t="s">
        <v>2279</v>
      </c>
      <c r="L818" t="s">
        <v>2279</v>
      </c>
      <c r="M818" t="s">
        <v>2279</v>
      </c>
      <c r="N818" t="s">
        <v>2279</v>
      </c>
      <c r="O818" s="190" t="str">
        <f>"["&amp;$C818&amp;"]["&amp;$D818&amp;"]["&amp;$F818&amp;"]"</f>
        <v>[S05_ContinuousEmissionsMeasurementDetail][7][TotalEmissionsCO2E]</v>
      </c>
    </row>
    <row r="819" spans="1:15" x14ac:dyDescent="0.3">
      <c r="A819" t="s">
        <v>2277</v>
      </c>
      <c r="B819" t="s">
        <v>1902</v>
      </c>
      <c r="C819" t="s">
        <v>1904</v>
      </c>
      <c r="D819">
        <v>8</v>
      </c>
      <c r="E819" t="s">
        <v>1447</v>
      </c>
      <c r="F819" t="s">
        <v>1907</v>
      </c>
      <c r="G819" t="s">
        <v>1806</v>
      </c>
      <c r="H819" t="s">
        <v>2279</v>
      </c>
      <c r="I819" t="s">
        <v>2279</v>
      </c>
      <c r="J819">
        <v>49694</v>
      </c>
      <c r="K819" t="s">
        <v>2279</v>
      </c>
      <c r="L819" t="s">
        <v>2279</v>
      </c>
      <c r="M819" t="s">
        <v>2279</v>
      </c>
      <c r="N819" t="s">
        <v>2279</v>
      </c>
      <c r="O819" s="190" t="str">
        <f>"["&amp;$C819&amp;"]["&amp;$D819&amp;"]["&amp;$F819&amp;"]"</f>
        <v>[S05_ContinuousEmissionsMeasurementDetail][8][TotalEmissionsCO2E]</v>
      </c>
    </row>
    <row r="820" spans="1:15" x14ac:dyDescent="0.3">
      <c r="A820" t="s">
        <v>2277</v>
      </c>
      <c r="B820" t="s">
        <v>1902</v>
      </c>
      <c r="C820" t="s">
        <v>1904</v>
      </c>
      <c r="D820">
        <v>9</v>
      </c>
      <c r="E820" t="s">
        <v>1447</v>
      </c>
      <c r="F820" t="s">
        <v>1907</v>
      </c>
      <c r="G820" t="s">
        <v>1806</v>
      </c>
      <c r="H820" t="s">
        <v>2279</v>
      </c>
      <c r="I820" t="s">
        <v>2279</v>
      </c>
      <c r="J820">
        <v>94020</v>
      </c>
      <c r="K820" t="s">
        <v>2279</v>
      </c>
      <c r="L820" t="s">
        <v>2279</v>
      </c>
      <c r="M820" t="s">
        <v>2279</v>
      </c>
      <c r="N820" t="s">
        <v>2279</v>
      </c>
      <c r="O820" s="190" t="str">
        <f>"["&amp;$C820&amp;"]["&amp;$D820&amp;"]["&amp;$F820&amp;"]"</f>
        <v>[S05_ContinuousEmissionsMeasurementDetail][9][TotalEmissionsCO2E]</v>
      </c>
    </row>
    <row r="821" spans="1:15" x14ac:dyDescent="0.3">
      <c r="A821" t="s">
        <v>2277</v>
      </c>
      <c r="B821" t="s">
        <v>1902</v>
      </c>
      <c r="C821" t="s">
        <v>1904</v>
      </c>
      <c r="D821">
        <v>10</v>
      </c>
      <c r="E821" t="s">
        <v>1447</v>
      </c>
      <c r="F821" t="s">
        <v>1907</v>
      </c>
      <c r="G821" t="s">
        <v>1806</v>
      </c>
      <c r="H821" t="s">
        <v>2279</v>
      </c>
      <c r="I821" t="s">
        <v>2279</v>
      </c>
      <c r="J821">
        <v>35768</v>
      </c>
      <c r="K821" t="s">
        <v>2279</v>
      </c>
      <c r="L821" t="s">
        <v>2279</v>
      </c>
      <c r="M821" t="s">
        <v>2279</v>
      </c>
      <c r="N821" t="s">
        <v>2279</v>
      </c>
      <c r="O821" s="190" t="str">
        <f>"["&amp;$C821&amp;"]["&amp;$D821&amp;"]["&amp;$F821&amp;"]"</f>
        <v>[S05_ContinuousEmissionsMeasurementDetail][10][TotalEmissionsCO2E]</v>
      </c>
    </row>
    <row r="822" spans="1:15" x14ac:dyDescent="0.3">
      <c r="A822" t="s">
        <v>2277</v>
      </c>
      <c r="B822" t="s">
        <v>1902</v>
      </c>
      <c r="C822" t="s">
        <v>1904</v>
      </c>
      <c r="D822">
        <v>11</v>
      </c>
      <c r="E822" t="s">
        <v>1447</v>
      </c>
      <c r="F822" t="s">
        <v>1907</v>
      </c>
      <c r="G822" t="s">
        <v>1806</v>
      </c>
      <c r="H822" t="s">
        <v>2279</v>
      </c>
      <c r="I822" t="s">
        <v>2279</v>
      </c>
      <c r="J822">
        <v>28203</v>
      </c>
      <c r="K822" t="s">
        <v>2279</v>
      </c>
      <c r="L822" t="s">
        <v>2279</v>
      </c>
      <c r="M822" t="s">
        <v>2279</v>
      </c>
      <c r="N822" t="s">
        <v>2279</v>
      </c>
      <c r="O822" s="190" t="str">
        <f>"["&amp;$C822&amp;"]["&amp;$D822&amp;"]["&amp;$F822&amp;"]"</f>
        <v>[S05_ContinuousEmissionsMeasurementDetail][11][TotalEmissionsCO2E]</v>
      </c>
    </row>
    <row r="823" spans="1:15" x14ac:dyDescent="0.3">
      <c r="A823" t="s">
        <v>2277</v>
      </c>
      <c r="B823" t="s">
        <v>1902</v>
      </c>
      <c r="C823" t="s">
        <v>1904</v>
      </c>
      <c r="D823">
        <v>12</v>
      </c>
      <c r="E823" t="s">
        <v>1447</v>
      </c>
      <c r="F823" t="s">
        <v>1907</v>
      </c>
      <c r="G823" t="s">
        <v>1806</v>
      </c>
      <c r="H823" t="s">
        <v>2279</v>
      </c>
      <c r="I823" t="s">
        <v>2279</v>
      </c>
      <c r="J823">
        <v>500320</v>
      </c>
      <c r="K823" t="s">
        <v>2279</v>
      </c>
      <c r="L823" t="s">
        <v>2279</v>
      </c>
      <c r="M823" t="s">
        <v>2279</v>
      </c>
      <c r="N823" t="s">
        <v>2279</v>
      </c>
      <c r="O823" s="190" t="str">
        <f>"["&amp;$C823&amp;"]["&amp;$D823&amp;"]["&amp;$F823&amp;"]"</f>
        <v>[S05_ContinuousEmissionsMeasurementDetail][12][TotalEmissionsCO2E]</v>
      </c>
    </row>
    <row r="824" spans="1:15" x14ac:dyDescent="0.3">
      <c r="A824" t="s">
        <v>2277</v>
      </c>
      <c r="B824" t="s">
        <v>1902</v>
      </c>
      <c r="C824" t="s">
        <v>1904</v>
      </c>
      <c r="D824">
        <v>1</v>
      </c>
      <c r="E824" t="s">
        <v>1447</v>
      </c>
      <c r="F824" t="s">
        <v>1908</v>
      </c>
      <c r="G824" t="s">
        <v>1806</v>
      </c>
      <c r="H824" t="s">
        <v>2279</v>
      </c>
      <c r="I824" t="s">
        <v>2279</v>
      </c>
      <c r="J824">
        <v>123665.60400000001</v>
      </c>
      <c r="K824" t="s">
        <v>2279</v>
      </c>
      <c r="L824" t="s">
        <v>2279</v>
      </c>
      <c r="M824" t="s">
        <v>2279</v>
      </c>
      <c r="N824" t="s">
        <v>2279</v>
      </c>
      <c r="O824" s="190" t="str">
        <f>"["&amp;$C824&amp;"]["&amp;$D824&amp;"]["&amp;$F824&amp;"]"</f>
        <v>[S05_ContinuousEmissionsMeasurementDetail][1][ContinuousMeasurementTotalEmissions]</v>
      </c>
    </row>
    <row r="825" spans="1:15" x14ac:dyDescent="0.3">
      <c r="A825" t="s">
        <v>2277</v>
      </c>
      <c r="B825" t="s">
        <v>1902</v>
      </c>
      <c r="C825" t="s">
        <v>1904</v>
      </c>
      <c r="D825">
        <v>2</v>
      </c>
      <c r="E825" t="s">
        <v>1447</v>
      </c>
      <c r="F825" t="s">
        <v>1908</v>
      </c>
      <c r="G825" t="s">
        <v>1806</v>
      </c>
      <c r="H825" t="s">
        <v>2279</v>
      </c>
      <c r="I825" t="s">
        <v>2279</v>
      </c>
      <c r="J825">
        <v>21656.5</v>
      </c>
      <c r="K825" t="s">
        <v>2279</v>
      </c>
      <c r="L825" t="s">
        <v>2279</v>
      </c>
      <c r="M825" t="s">
        <v>2279</v>
      </c>
      <c r="N825" t="s">
        <v>2279</v>
      </c>
      <c r="O825" s="190" t="str">
        <f>"["&amp;$C825&amp;"]["&amp;$D825&amp;"]["&amp;$F825&amp;"]"</f>
        <v>[S05_ContinuousEmissionsMeasurementDetail][2][ContinuousMeasurementTotalEmissions]</v>
      </c>
    </row>
    <row r="826" spans="1:15" x14ac:dyDescent="0.3">
      <c r="A826" t="s">
        <v>2277</v>
      </c>
      <c r="B826" t="s">
        <v>1902</v>
      </c>
      <c r="C826" t="s">
        <v>1904</v>
      </c>
      <c r="D826">
        <v>3</v>
      </c>
      <c r="E826" t="s">
        <v>1447</v>
      </c>
      <c r="F826" t="s">
        <v>1908</v>
      </c>
      <c r="G826" t="s">
        <v>1806</v>
      </c>
      <c r="H826" t="s">
        <v>2279</v>
      </c>
      <c r="I826" t="s">
        <v>2279</v>
      </c>
      <c r="J826">
        <v>0</v>
      </c>
      <c r="K826" t="s">
        <v>2279</v>
      </c>
      <c r="L826" t="s">
        <v>2279</v>
      </c>
      <c r="M826" t="s">
        <v>2279</v>
      </c>
      <c r="N826" t="s">
        <v>2279</v>
      </c>
      <c r="O826" s="190" t="str">
        <f>"["&amp;$C826&amp;"]["&amp;$D826&amp;"]["&amp;$F826&amp;"]"</f>
        <v>[S05_ContinuousEmissionsMeasurementDetail][3][ContinuousMeasurementTotalEmissions]</v>
      </c>
    </row>
    <row r="827" spans="1:15" x14ac:dyDescent="0.3">
      <c r="A827" t="s">
        <v>2277</v>
      </c>
      <c r="B827" t="s">
        <v>1902</v>
      </c>
      <c r="C827" t="s">
        <v>1904</v>
      </c>
      <c r="D827">
        <v>4</v>
      </c>
      <c r="E827" t="s">
        <v>1447</v>
      </c>
      <c r="F827" t="s">
        <v>1908</v>
      </c>
      <c r="G827" t="s">
        <v>1806</v>
      </c>
      <c r="H827" t="s">
        <v>2279</v>
      </c>
      <c r="I827" t="s">
        <v>2279</v>
      </c>
      <c r="J827">
        <v>88526.6959094411</v>
      </c>
      <c r="K827" t="s">
        <v>2279</v>
      </c>
      <c r="L827" t="s">
        <v>2279</v>
      </c>
      <c r="M827" t="s">
        <v>2279</v>
      </c>
      <c r="N827" t="s">
        <v>2279</v>
      </c>
      <c r="O827" s="190" t="str">
        <f>"["&amp;$C827&amp;"]["&amp;$D827&amp;"]["&amp;$F827&amp;"]"</f>
        <v>[S05_ContinuousEmissionsMeasurementDetail][4][ContinuousMeasurementTotalEmissions]</v>
      </c>
    </row>
    <row r="828" spans="1:15" x14ac:dyDescent="0.3">
      <c r="A828" t="s">
        <v>2277</v>
      </c>
      <c r="B828" t="s">
        <v>1902</v>
      </c>
      <c r="C828" t="s">
        <v>1904</v>
      </c>
      <c r="D828">
        <v>5</v>
      </c>
      <c r="E828" t="s">
        <v>1447</v>
      </c>
      <c r="F828" t="s">
        <v>1908</v>
      </c>
      <c r="G828" t="s">
        <v>1806</v>
      </c>
      <c r="H828" t="s">
        <v>2279</v>
      </c>
      <c r="I828" t="s">
        <v>2279</v>
      </c>
      <c r="J828">
        <v>24379.313896</v>
      </c>
      <c r="K828" t="s">
        <v>2279</v>
      </c>
      <c r="L828" t="s">
        <v>2279</v>
      </c>
      <c r="M828" t="s">
        <v>2279</v>
      </c>
      <c r="N828" t="s">
        <v>2279</v>
      </c>
      <c r="O828" s="190" t="str">
        <f>"["&amp;$C828&amp;"]["&amp;$D828&amp;"]["&amp;$F828&amp;"]"</f>
        <v>[S05_ContinuousEmissionsMeasurementDetail][5][ContinuousMeasurementTotalEmissions]</v>
      </c>
    </row>
    <row r="829" spans="1:15" x14ac:dyDescent="0.3">
      <c r="A829" t="s">
        <v>2277</v>
      </c>
      <c r="B829" t="s">
        <v>1902</v>
      </c>
      <c r="C829" t="s">
        <v>1904</v>
      </c>
      <c r="D829">
        <v>6</v>
      </c>
      <c r="E829" t="s">
        <v>1447</v>
      </c>
      <c r="F829" t="s">
        <v>1908</v>
      </c>
      <c r="G829" t="s">
        <v>1806</v>
      </c>
      <c r="H829" t="s">
        <v>2279</v>
      </c>
      <c r="I829" t="s">
        <v>2279</v>
      </c>
      <c r="J829">
        <v>10250</v>
      </c>
      <c r="K829" t="s">
        <v>2279</v>
      </c>
      <c r="L829" t="s">
        <v>2279</v>
      </c>
      <c r="M829" t="s">
        <v>2279</v>
      </c>
      <c r="N829" t="s">
        <v>2279</v>
      </c>
      <c r="O829" s="190" t="str">
        <f>"["&amp;$C829&amp;"]["&amp;$D829&amp;"]["&amp;$F829&amp;"]"</f>
        <v>[S05_ContinuousEmissionsMeasurementDetail][6][ContinuousMeasurementTotalEmissions]</v>
      </c>
    </row>
    <row r="830" spans="1:15" x14ac:dyDescent="0.3">
      <c r="A830" t="s">
        <v>2277</v>
      </c>
      <c r="B830" t="s">
        <v>1902</v>
      </c>
      <c r="C830" t="s">
        <v>1904</v>
      </c>
      <c r="D830">
        <v>7</v>
      </c>
      <c r="E830" t="s">
        <v>1447</v>
      </c>
      <c r="F830" t="s">
        <v>1908</v>
      </c>
      <c r="G830" t="s">
        <v>1806</v>
      </c>
      <c r="H830" t="s">
        <v>2279</v>
      </c>
      <c r="I830" t="s">
        <v>2279</v>
      </c>
      <c r="J830">
        <v>53698.427846999999</v>
      </c>
      <c r="K830" t="s">
        <v>2279</v>
      </c>
      <c r="L830" t="s">
        <v>2279</v>
      </c>
      <c r="M830" t="s">
        <v>2279</v>
      </c>
      <c r="N830" t="s">
        <v>2279</v>
      </c>
      <c r="O830" s="190" t="str">
        <f>"["&amp;$C830&amp;"]["&amp;$D830&amp;"]["&amp;$F830&amp;"]"</f>
        <v>[S05_ContinuousEmissionsMeasurementDetail][7][ContinuousMeasurementTotalEmissions]</v>
      </c>
    </row>
    <row r="831" spans="1:15" x14ac:dyDescent="0.3">
      <c r="A831" t="s">
        <v>2277</v>
      </c>
      <c r="B831" t="s">
        <v>1902</v>
      </c>
      <c r="C831" t="s">
        <v>1904</v>
      </c>
      <c r="D831">
        <v>8</v>
      </c>
      <c r="E831" t="s">
        <v>1447</v>
      </c>
      <c r="F831" t="s">
        <v>1908</v>
      </c>
      <c r="G831" t="s">
        <v>1806</v>
      </c>
      <c r="H831" t="s">
        <v>2279</v>
      </c>
      <c r="I831" t="s">
        <v>2279</v>
      </c>
      <c r="J831">
        <v>49693.504548999997</v>
      </c>
      <c r="K831" t="s">
        <v>2279</v>
      </c>
      <c r="L831" t="s">
        <v>2279</v>
      </c>
      <c r="M831" t="s">
        <v>2279</v>
      </c>
      <c r="N831" t="s">
        <v>2279</v>
      </c>
      <c r="O831" s="190" t="str">
        <f>"["&amp;$C831&amp;"]["&amp;$D831&amp;"]["&amp;$F831&amp;"]"</f>
        <v>[S05_ContinuousEmissionsMeasurementDetail][8][ContinuousMeasurementTotalEmissions]</v>
      </c>
    </row>
    <row r="832" spans="1:15" x14ac:dyDescent="0.3">
      <c r="A832" t="s">
        <v>2277</v>
      </c>
      <c r="B832" t="s">
        <v>1902</v>
      </c>
      <c r="C832" t="s">
        <v>1904</v>
      </c>
      <c r="D832">
        <v>9</v>
      </c>
      <c r="E832" t="s">
        <v>1447</v>
      </c>
      <c r="F832" t="s">
        <v>1908</v>
      </c>
      <c r="G832" t="s">
        <v>1806</v>
      </c>
      <c r="H832" t="s">
        <v>2279</v>
      </c>
      <c r="I832" t="s">
        <v>2279</v>
      </c>
      <c r="J832">
        <v>72604.919024999996</v>
      </c>
      <c r="K832" t="s">
        <v>2279</v>
      </c>
      <c r="L832" t="s">
        <v>2279</v>
      </c>
      <c r="M832" t="s">
        <v>2279</v>
      </c>
      <c r="N832" t="s">
        <v>2279</v>
      </c>
      <c r="O832" s="190" t="str">
        <f>"["&amp;$C832&amp;"]["&amp;$D832&amp;"]["&amp;$F832&amp;"]"</f>
        <v>[S05_ContinuousEmissionsMeasurementDetail][9][ContinuousMeasurementTotalEmissions]</v>
      </c>
    </row>
    <row r="833" spans="1:15" x14ac:dyDescent="0.3">
      <c r="A833" t="s">
        <v>2277</v>
      </c>
      <c r="B833" t="s">
        <v>1902</v>
      </c>
      <c r="C833" t="s">
        <v>1904</v>
      </c>
      <c r="D833">
        <v>10</v>
      </c>
      <c r="E833" t="s">
        <v>1447</v>
      </c>
      <c r="F833" t="s">
        <v>1908</v>
      </c>
      <c r="G833" t="s">
        <v>1806</v>
      </c>
      <c r="H833" t="s">
        <v>2279</v>
      </c>
      <c r="I833" t="s">
        <v>2279</v>
      </c>
      <c r="J833">
        <v>35768.366951000004</v>
      </c>
      <c r="K833" t="s">
        <v>2279</v>
      </c>
      <c r="L833" t="s">
        <v>2279</v>
      </c>
      <c r="M833" t="s">
        <v>2279</v>
      </c>
      <c r="N833" t="s">
        <v>2279</v>
      </c>
      <c r="O833" s="190" t="str">
        <f>"["&amp;$C833&amp;"]["&amp;$D833&amp;"]["&amp;$F833&amp;"]"</f>
        <v>[S05_ContinuousEmissionsMeasurementDetail][10][ContinuousMeasurementTotalEmissions]</v>
      </c>
    </row>
    <row r="834" spans="1:15" x14ac:dyDescent="0.3">
      <c r="A834" t="s">
        <v>2277</v>
      </c>
      <c r="B834" t="s">
        <v>1902</v>
      </c>
      <c r="C834" t="s">
        <v>1904</v>
      </c>
      <c r="D834">
        <v>11</v>
      </c>
      <c r="E834" t="s">
        <v>1447</v>
      </c>
      <c r="F834" t="s">
        <v>1908</v>
      </c>
      <c r="G834" t="s">
        <v>1806</v>
      </c>
      <c r="H834" t="s">
        <v>2279</v>
      </c>
      <c r="I834" t="s">
        <v>2279</v>
      </c>
      <c r="J834">
        <v>28202.727600999999</v>
      </c>
      <c r="K834" t="s">
        <v>2279</v>
      </c>
      <c r="L834" t="s">
        <v>2279</v>
      </c>
      <c r="M834" t="s">
        <v>2279</v>
      </c>
      <c r="N834" t="s">
        <v>2279</v>
      </c>
      <c r="O834" s="190" t="str">
        <f>"["&amp;$C834&amp;"]["&amp;$D834&amp;"]["&amp;$F834&amp;"]"</f>
        <v>[S05_ContinuousEmissionsMeasurementDetail][11][ContinuousMeasurementTotalEmissions]</v>
      </c>
    </row>
    <row r="835" spans="1:15" x14ac:dyDescent="0.3">
      <c r="A835" t="s">
        <v>2277</v>
      </c>
      <c r="B835" t="s">
        <v>1902</v>
      </c>
      <c r="C835" t="s">
        <v>1904</v>
      </c>
      <c r="D835">
        <v>12</v>
      </c>
      <c r="E835" t="s">
        <v>1447</v>
      </c>
      <c r="F835" t="s">
        <v>1908</v>
      </c>
      <c r="G835" t="s">
        <v>1806</v>
      </c>
      <c r="H835" t="s">
        <v>2279</v>
      </c>
      <c r="I835" t="s">
        <v>2279</v>
      </c>
      <c r="J835">
        <v>34315.750753</v>
      </c>
      <c r="K835" t="s">
        <v>2279</v>
      </c>
      <c r="L835" t="s">
        <v>2279</v>
      </c>
      <c r="M835" t="s">
        <v>2279</v>
      </c>
      <c r="N835" t="s">
        <v>2279</v>
      </c>
      <c r="O835" s="190" t="str">
        <f>"["&amp;$C835&amp;"]["&amp;$D835&amp;"]["&amp;$F835&amp;"]"</f>
        <v>[S05_ContinuousEmissionsMeasurementDetail][12][ContinuousMeasurementTotalEmissions]</v>
      </c>
    </row>
    <row r="836" spans="1:15" x14ac:dyDescent="0.3">
      <c r="A836" t="s">
        <v>2277</v>
      </c>
      <c r="B836" t="s">
        <v>1902</v>
      </c>
      <c r="C836" t="s">
        <v>1904</v>
      </c>
      <c r="D836">
        <v>1</v>
      </c>
      <c r="E836" t="s">
        <v>1447</v>
      </c>
      <c r="F836" t="s">
        <v>1909</v>
      </c>
      <c r="G836" t="s">
        <v>1759</v>
      </c>
      <c r="H836" t="s">
        <v>2279</v>
      </c>
      <c r="I836" t="s">
        <v>2279</v>
      </c>
      <c r="J836" t="s">
        <v>2279</v>
      </c>
      <c r="K836" t="s">
        <v>2279</v>
      </c>
      <c r="L836" t="s">
        <v>1447</v>
      </c>
      <c r="M836" t="s">
        <v>2279</v>
      </c>
      <c r="N836" t="s">
        <v>2279</v>
      </c>
      <c r="O836" s="190" t="str">
        <f>"["&amp;$C836&amp;"]["&amp;$D836&amp;"]["&amp;$F836&amp;"]"</f>
        <v>[S05_ContinuousEmissionsMeasurementDetail][1][FlueGasContainBiomass]</v>
      </c>
    </row>
    <row r="837" spans="1:15" x14ac:dyDescent="0.3">
      <c r="A837" t="s">
        <v>2277</v>
      </c>
      <c r="B837" t="s">
        <v>1902</v>
      </c>
      <c r="C837" t="s">
        <v>1904</v>
      </c>
      <c r="D837">
        <v>2</v>
      </c>
      <c r="E837" t="s">
        <v>1447</v>
      </c>
      <c r="F837" t="s">
        <v>1909</v>
      </c>
      <c r="G837" t="s">
        <v>1759</v>
      </c>
      <c r="H837" t="s">
        <v>2279</v>
      </c>
      <c r="I837" t="s">
        <v>2279</v>
      </c>
      <c r="J837" t="s">
        <v>2279</v>
      </c>
      <c r="K837" t="s">
        <v>2279</v>
      </c>
      <c r="L837" t="s">
        <v>1447</v>
      </c>
      <c r="M837" t="s">
        <v>2279</v>
      </c>
      <c r="N837" t="s">
        <v>2279</v>
      </c>
      <c r="O837" s="190" t="str">
        <f>"["&amp;$C837&amp;"]["&amp;$D837&amp;"]["&amp;$F837&amp;"]"</f>
        <v>[S05_ContinuousEmissionsMeasurementDetail][2][FlueGasContainBiomass]</v>
      </c>
    </row>
    <row r="838" spans="1:15" x14ac:dyDescent="0.3">
      <c r="A838" t="s">
        <v>2277</v>
      </c>
      <c r="B838" t="s">
        <v>1902</v>
      </c>
      <c r="C838" t="s">
        <v>1904</v>
      </c>
      <c r="D838">
        <v>3</v>
      </c>
      <c r="E838" t="s">
        <v>1447</v>
      </c>
      <c r="F838" t="s">
        <v>1909</v>
      </c>
      <c r="G838" t="s">
        <v>1759</v>
      </c>
      <c r="H838" t="s">
        <v>2279</v>
      </c>
      <c r="I838" t="s">
        <v>2279</v>
      </c>
      <c r="J838" t="s">
        <v>2279</v>
      </c>
      <c r="K838" t="s">
        <v>2279</v>
      </c>
      <c r="L838" t="s">
        <v>1447</v>
      </c>
      <c r="M838" t="s">
        <v>2279</v>
      </c>
      <c r="N838" t="s">
        <v>2279</v>
      </c>
      <c r="O838" s="190" t="str">
        <f>"["&amp;$C838&amp;"]["&amp;$D838&amp;"]["&amp;$F838&amp;"]"</f>
        <v>[S05_ContinuousEmissionsMeasurementDetail][3][FlueGasContainBiomass]</v>
      </c>
    </row>
    <row r="839" spans="1:15" x14ac:dyDescent="0.3">
      <c r="A839" t="s">
        <v>2277</v>
      </c>
      <c r="B839" t="s">
        <v>1902</v>
      </c>
      <c r="C839" t="s">
        <v>1904</v>
      </c>
      <c r="D839">
        <v>4</v>
      </c>
      <c r="E839" t="s">
        <v>1447</v>
      </c>
      <c r="F839" t="s">
        <v>1909</v>
      </c>
      <c r="G839" t="s">
        <v>1759</v>
      </c>
      <c r="H839" t="s">
        <v>2279</v>
      </c>
      <c r="I839" t="s">
        <v>2279</v>
      </c>
      <c r="J839" t="s">
        <v>2279</v>
      </c>
      <c r="K839" t="s">
        <v>2279</v>
      </c>
      <c r="L839" t="s">
        <v>1447</v>
      </c>
      <c r="M839" t="s">
        <v>2279</v>
      </c>
      <c r="N839" t="s">
        <v>2279</v>
      </c>
      <c r="O839" s="190" t="str">
        <f>"["&amp;$C839&amp;"]["&amp;$D839&amp;"]["&amp;$F839&amp;"]"</f>
        <v>[S05_ContinuousEmissionsMeasurementDetail][4][FlueGasContainBiomass]</v>
      </c>
    </row>
    <row r="840" spans="1:15" x14ac:dyDescent="0.3">
      <c r="A840" t="s">
        <v>2277</v>
      </c>
      <c r="B840" t="s">
        <v>1902</v>
      </c>
      <c r="C840" t="s">
        <v>1904</v>
      </c>
      <c r="D840">
        <v>5</v>
      </c>
      <c r="E840" t="s">
        <v>1447</v>
      </c>
      <c r="F840" t="s">
        <v>1909</v>
      </c>
      <c r="G840" t="s">
        <v>1759</v>
      </c>
      <c r="H840" t="s">
        <v>2279</v>
      </c>
      <c r="I840" t="s">
        <v>2279</v>
      </c>
      <c r="J840" t="s">
        <v>2279</v>
      </c>
      <c r="K840" t="s">
        <v>2279</v>
      </c>
      <c r="L840" t="s">
        <v>1447</v>
      </c>
      <c r="M840" t="s">
        <v>2279</v>
      </c>
      <c r="N840" t="s">
        <v>2279</v>
      </c>
      <c r="O840" s="190" t="str">
        <f>"["&amp;$C840&amp;"]["&amp;$D840&amp;"]["&amp;$F840&amp;"]"</f>
        <v>[S05_ContinuousEmissionsMeasurementDetail][5][FlueGasContainBiomass]</v>
      </c>
    </row>
    <row r="841" spans="1:15" x14ac:dyDescent="0.3">
      <c r="A841" t="s">
        <v>2277</v>
      </c>
      <c r="B841" t="s">
        <v>1902</v>
      </c>
      <c r="C841" t="s">
        <v>1904</v>
      </c>
      <c r="D841">
        <v>6</v>
      </c>
      <c r="E841" t="s">
        <v>1447</v>
      </c>
      <c r="F841" t="s">
        <v>1909</v>
      </c>
      <c r="G841" t="s">
        <v>1759</v>
      </c>
      <c r="H841" t="s">
        <v>2279</v>
      </c>
      <c r="I841" t="s">
        <v>2279</v>
      </c>
      <c r="J841" t="s">
        <v>2279</v>
      </c>
      <c r="K841" t="s">
        <v>2279</v>
      </c>
      <c r="L841" t="s">
        <v>1447</v>
      </c>
      <c r="M841" t="s">
        <v>2279</v>
      </c>
      <c r="N841" t="s">
        <v>2279</v>
      </c>
      <c r="O841" s="190" t="str">
        <f>"["&amp;$C841&amp;"]["&amp;$D841&amp;"]["&amp;$F841&amp;"]"</f>
        <v>[S05_ContinuousEmissionsMeasurementDetail][6][FlueGasContainBiomass]</v>
      </c>
    </row>
    <row r="842" spans="1:15" x14ac:dyDescent="0.3">
      <c r="A842" t="s">
        <v>2277</v>
      </c>
      <c r="B842" t="s">
        <v>1902</v>
      </c>
      <c r="C842" t="s">
        <v>1904</v>
      </c>
      <c r="D842">
        <v>7</v>
      </c>
      <c r="E842" t="s">
        <v>1447</v>
      </c>
      <c r="F842" t="s">
        <v>1909</v>
      </c>
      <c r="G842" t="s">
        <v>1759</v>
      </c>
      <c r="H842" t="s">
        <v>2279</v>
      </c>
      <c r="I842" t="s">
        <v>2279</v>
      </c>
      <c r="J842" t="s">
        <v>2279</v>
      </c>
      <c r="K842" t="s">
        <v>2279</v>
      </c>
      <c r="L842" t="s">
        <v>1447</v>
      </c>
      <c r="M842" t="s">
        <v>2279</v>
      </c>
      <c r="N842" t="s">
        <v>2279</v>
      </c>
      <c r="O842" s="190" t="str">
        <f>"["&amp;$C842&amp;"]["&amp;$D842&amp;"]["&amp;$F842&amp;"]"</f>
        <v>[S05_ContinuousEmissionsMeasurementDetail][7][FlueGasContainBiomass]</v>
      </c>
    </row>
    <row r="843" spans="1:15" x14ac:dyDescent="0.3">
      <c r="A843" t="s">
        <v>2277</v>
      </c>
      <c r="B843" t="s">
        <v>1902</v>
      </c>
      <c r="C843" t="s">
        <v>1904</v>
      </c>
      <c r="D843">
        <v>8</v>
      </c>
      <c r="E843" t="s">
        <v>1447</v>
      </c>
      <c r="F843" t="s">
        <v>1909</v>
      </c>
      <c r="G843" t="s">
        <v>1759</v>
      </c>
      <c r="H843" t="s">
        <v>2279</v>
      </c>
      <c r="I843" t="s">
        <v>2279</v>
      </c>
      <c r="J843" t="s">
        <v>2279</v>
      </c>
      <c r="K843" t="s">
        <v>2279</v>
      </c>
      <c r="L843" t="s">
        <v>1447</v>
      </c>
      <c r="M843" t="s">
        <v>2279</v>
      </c>
      <c r="N843" t="s">
        <v>2279</v>
      </c>
      <c r="O843" s="190" t="str">
        <f>"["&amp;$C843&amp;"]["&amp;$D843&amp;"]["&amp;$F843&amp;"]"</f>
        <v>[S05_ContinuousEmissionsMeasurementDetail][8][FlueGasContainBiomass]</v>
      </c>
    </row>
    <row r="844" spans="1:15" x14ac:dyDescent="0.3">
      <c r="A844" t="s">
        <v>2277</v>
      </c>
      <c r="B844" t="s">
        <v>1902</v>
      </c>
      <c r="C844" t="s">
        <v>1904</v>
      </c>
      <c r="D844">
        <v>9</v>
      </c>
      <c r="E844" t="s">
        <v>1447</v>
      </c>
      <c r="F844" t="s">
        <v>1909</v>
      </c>
      <c r="G844" t="s">
        <v>1759</v>
      </c>
      <c r="H844" t="s">
        <v>2279</v>
      </c>
      <c r="I844" t="s">
        <v>2279</v>
      </c>
      <c r="J844" t="s">
        <v>2279</v>
      </c>
      <c r="K844" t="s">
        <v>2279</v>
      </c>
      <c r="L844" t="s">
        <v>1447</v>
      </c>
      <c r="M844" t="s">
        <v>2279</v>
      </c>
      <c r="N844" t="s">
        <v>2279</v>
      </c>
      <c r="O844" s="190" t="str">
        <f>"["&amp;$C844&amp;"]["&amp;$D844&amp;"]["&amp;$F844&amp;"]"</f>
        <v>[S05_ContinuousEmissionsMeasurementDetail][9][FlueGasContainBiomass]</v>
      </c>
    </row>
    <row r="845" spans="1:15" x14ac:dyDescent="0.3">
      <c r="A845" t="s">
        <v>2277</v>
      </c>
      <c r="B845" t="s">
        <v>1902</v>
      </c>
      <c r="C845" t="s">
        <v>1904</v>
      </c>
      <c r="D845">
        <v>10</v>
      </c>
      <c r="E845" t="s">
        <v>1447</v>
      </c>
      <c r="F845" t="s">
        <v>1909</v>
      </c>
      <c r="G845" t="s">
        <v>1759</v>
      </c>
      <c r="H845" t="s">
        <v>2279</v>
      </c>
      <c r="I845" t="s">
        <v>2279</v>
      </c>
      <c r="J845" t="s">
        <v>2279</v>
      </c>
      <c r="K845" t="s">
        <v>2279</v>
      </c>
      <c r="L845" t="s">
        <v>1447</v>
      </c>
      <c r="M845" t="s">
        <v>2279</v>
      </c>
      <c r="N845" t="s">
        <v>2279</v>
      </c>
      <c r="O845" s="190" t="str">
        <f>"["&amp;$C845&amp;"]["&amp;$D845&amp;"]["&amp;$F845&amp;"]"</f>
        <v>[S05_ContinuousEmissionsMeasurementDetail][10][FlueGasContainBiomass]</v>
      </c>
    </row>
    <row r="846" spans="1:15" x14ac:dyDescent="0.3">
      <c r="A846" t="s">
        <v>2277</v>
      </c>
      <c r="B846" t="s">
        <v>1902</v>
      </c>
      <c r="C846" t="s">
        <v>1904</v>
      </c>
      <c r="D846">
        <v>11</v>
      </c>
      <c r="E846" t="s">
        <v>1447</v>
      </c>
      <c r="F846" t="s">
        <v>1909</v>
      </c>
      <c r="G846" t="s">
        <v>1759</v>
      </c>
      <c r="H846" t="s">
        <v>2279</v>
      </c>
      <c r="I846" t="s">
        <v>2279</v>
      </c>
      <c r="J846" t="s">
        <v>2279</v>
      </c>
      <c r="K846" t="s">
        <v>2279</v>
      </c>
      <c r="L846" t="s">
        <v>1447</v>
      </c>
      <c r="M846" t="s">
        <v>2279</v>
      </c>
      <c r="N846" t="s">
        <v>2279</v>
      </c>
      <c r="O846" s="190" t="str">
        <f>"["&amp;$C846&amp;"]["&amp;$D846&amp;"]["&amp;$F846&amp;"]"</f>
        <v>[S05_ContinuousEmissionsMeasurementDetail][11][FlueGasContainBiomass]</v>
      </c>
    </row>
    <row r="847" spans="1:15" x14ac:dyDescent="0.3">
      <c r="A847" t="s">
        <v>2277</v>
      </c>
      <c r="B847" t="s">
        <v>1902</v>
      </c>
      <c r="C847" t="s">
        <v>1904</v>
      </c>
      <c r="D847">
        <v>12</v>
      </c>
      <c r="E847" t="s">
        <v>1447</v>
      </c>
      <c r="F847" t="s">
        <v>1909</v>
      </c>
      <c r="G847" t="s">
        <v>1759</v>
      </c>
      <c r="H847" t="s">
        <v>2279</v>
      </c>
      <c r="I847" t="s">
        <v>2279</v>
      </c>
      <c r="J847" t="s">
        <v>2279</v>
      </c>
      <c r="K847" t="s">
        <v>2279</v>
      </c>
      <c r="L847" t="s">
        <v>1447</v>
      </c>
      <c r="M847" t="s">
        <v>2279</v>
      </c>
      <c r="N847" t="s">
        <v>2279</v>
      </c>
      <c r="O847" s="190" t="str">
        <f>"["&amp;$C847&amp;"]["&amp;$D847&amp;"]["&amp;$F847&amp;"]"</f>
        <v>[S05_ContinuousEmissionsMeasurementDetail][12][FlueGasContainBiomass]</v>
      </c>
    </row>
    <row r="848" spans="1:15" x14ac:dyDescent="0.3">
      <c r="A848" t="s">
        <v>2277</v>
      </c>
      <c r="B848" t="s">
        <v>1910</v>
      </c>
      <c r="C848" t="s">
        <v>1911</v>
      </c>
      <c r="D848">
        <v>0</v>
      </c>
      <c r="E848" t="s">
        <v>1447</v>
      </c>
      <c r="F848" t="s">
        <v>1911</v>
      </c>
      <c r="G848" t="s">
        <v>1741</v>
      </c>
      <c r="H848" t="s">
        <v>2411</v>
      </c>
      <c r="I848" t="s">
        <v>2279</v>
      </c>
      <c r="J848" t="s">
        <v>2279</v>
      </c>
      <c r="K848" t="s">
        <v>2279</v>
      </c>
      <c r="L848" t="s">
        <v>2279</v>
      </c>
      <c r="M848" t="s">
        <v>2279</v>
      </c>
      <c r="N848" t="s">
        <v>2279</v>
      </c>
      <c r="O848" s="190" t="str">
        <f>"["&amp;$C848&amp;"]["&amp;$D848&amp;"]["&amp;$F848&amp;"]"</f>
        <v>[SustainabilityComplianceDemonstrate][0][SustainabilityComplianceDemonstrate]</v>
      </c>
    </row>
    <row r="849" spans="1:15" x14ac:dyDescent="0.3">
      <c r="A849" t="s">
        <v>2277</v>
      </c>
      <c r="B849" t="s">
        <v>1910</v>
      </c>
      <c r="C849" t="s">
        <v>1912</v>
      </c>
      <c r="D849">
        <v>1</v>
      </c>
      <c r="E849" t="s">
        <v>1447</v>
      </c>
      <c r="F849" t="s">
        <v>1888</v>
      </c>
      <c r="G849" t="s">
        <v>1737</v>
      </c>
      <c r="H849" t="s">
        <v>2279</v>
      </c>
      <c r="I849" t="s">
        <v>2279</v>
      </c>
      <c r="J849" t="s">
        <v>2279</v>
      </c>
      <c r="K849" t="s">
        <v>2279</v>
      </c>
      <c r="L849" t="s">
        <v>1420</v>
      </c>
      <c r="M849" t="s">
        <v>2279</v>
      </c>
      <c r="N849" t="s">
        <v>2279</v>
      </c>
      <c r="O849" s="190" t="str">
        <f>"["&amp;$C849&amp;"]["&amp;$D849&amp;"]["&amp;$F849&amp;"]"</f>
        <v>[S05_BiomassInstallations][1][Annex1Activity]</v>
      </c>
    </row>
    <row r="850" spans="1:15" x14ac:dyDescent="0.3">
      <c r="A850" t="s">
        <v>2277</v>
      </c>
      <c r="B850" t="s">
        <v>1910</v>
      </c>
      <c r="C850" t="s">
        <v>1912</v>
      </c>
      <c r="D850">
        <v>2</v>
      </c>
      <c r="E850" t="s">
        <v>1447</v>
      </c>
      <c r="F850" t="s">
        <v>1888</v>
      </c>
      <c r="G850" t="s">
        <v>1737</v>
      </c>
      <c r="H850" t="s">
        <v>2279</v>
      </c>
      <c r="I850" t="s">
        <v>2279</v>
      </c>
      <c r="J850" t="s">
        <v>2279</v>
      </c>
      <c r="K850" t="s">
        <v>2279</v>
      </c>
      <c r="L850" t="s">
        <v>1420</v>
      </c>
      <c r="M850" t="s">
        <v>2279</v>
      </c>
      <c r="N850" t="s">
        <v>2279</v>
      </c>
      <c r="O850" s="190" t="str">
        <f>"["&amp;$C850&amp;"]["&amp;$D850&amp;"]["&amp;$F850&amp;"]"</f>
        <v>[S05_BiomassInstallations][2][Annex1Activity]</v>
      </c>
    </row>
    <row r="851" spans="1:15" x14ac:dyDescent="0.3">
      <c r="A851" t="s">
        <v>2277</v>
      </c>
      <c r="B851" t="s">
        <v>1910</v>
      </c>
      <c r="C851" t="s">
        <v>1912</v>
      </c>
      <c r="D851">
        <v>3</v>
      </c>
      <c r="E851" t="s">
        <v>1447</v>
      </c>
      <c r="F851" t="s">
        <v>1888</v>
      </c>
      <c r="G851" t="s">
        <v>1737</v>
      </c>
      <c r="H851" t="s">
        <v>2279</v>
      </c>
      <c r="I851" t="s">
        <v>2279</v>
      </c>
      <c r="J851" t="s">
        <v>2279</v>
      </c>
      <c r="K851" t="s">
        <v>2279</v>
      </c>
      <c r="L851" t="s">
        <v>1420</v>
      </c>
      <c r="M851" t="s">
        <v>2279</v>
      </c>
      <c r="N851" t="s">
        <v>2279</v>
      </c>
      <c r="O851" s="190" t="str">
        <f>"["&amp;$C851&amp;"]["&amp;$D851&amp;"]["&amp;$F851&amp;"]"</f>
        <v>[S05_BiomassInstallations][3][Annex1Activity]</v>
      </c>
    </row>
    <row r="852" spans="1:15" x14ac:dyDescent="0.3">
      <c r="A852" t="s">
        <v>2277</v>
      </c>
      <c r="B852" t="s">
        <v>1910</v>
      </c>
      <c r="C852" t="s">
        <v>1912</v>
      </c>
      <c r="D852">
        <v>4</v>
      </c>
      <c r="E852" t="s">
        <v>1447</v>
      </c>
      <c r="F852" t="s">
        <v>1888</v>
      </c>
      <c r="G852" t="s">
        <v>1737</v>
      </c>
      <c r="H852" t="s">
        <v>2279</v>
      </c>
      <c r="I852" t="s">
        <v>2279</v>
      </c>
      <c r="J852" t="s">
        <v>2279</v>
      </c>
      <c r="K852" t="s">
        <v>2279</v>
      </c>
      <c r="L852" t="s">
        <v>1518</v>
      </c>
      <c r="M852" t="s">
        <v>2279</v>
      </c>
      <c r="N852" t="s">
        <v>2279</v>
      </c>
      <c r="O852" s="190" t="str">
        <f>"["&amp;$C852&amp;"]["&amp;$D852&amp;"]["&amp;$F852&amp;"]"</f>
        <v>[S05_BiomassInstallations][4][Annex1Activity]</v>
      </c>
    </row>
    <row r="853" spans="1:15" x14ac:dyDescent="0.3">
      <c r="A853" t="s">
        <v>2277</v>
      </c>
      <c r="B853" t="s">
        <v>1910</v>
      </c>
      <c r="C853" t="s">
        <v>1912</v>
      </c>
      <c r="D853">
        <v>5</v>
      </c>
      <c r="E853" t="s">
        <v>1447</v>
      </c>
      <c r="F853" t="s">
        <v>1888</v>
      </c>
      <c r="G853" t="s">
        <v>1737</v>
      </c>
      <c r="H853" t="s">
        <v>2279</v>
      </c>
      <c r="I853" t="s">
        <v>2279</v>
      </c>
      <c r="J853" t="s">
        <v>2279</v>
      </c>
      <c r="K853" t="s">
        <v>2279</v>
      </c>
      <c r="L853" t="s">
        <v>1530</v>
      </c>
      <c r="M853" t="s">
        <v>2279</v>
      </c>
      <c r="N853" t="s">
        <v>2279</v>
      </c>
      <c r="O853" s="190" t="str">
        <f>"["&amp;$C853&amp;"]["&amp;$D853&amp;"]["&amp;$F853&amp;"]"</f>
        <v>[S05_BiomassInstallations][5][Annex1Activity]</v>
      </c>
    </row>
    <row r="854" spans="1:15" x14ac:dyDescent="0.3">
      <c r="A854" t="s">
        <v>2277</v>
      </c>
      <c r="B854" t="s">
        <v>1910</v>
      </c>
      <c r="C854" t="s">
        <v>1912</v>
      </c>
      <c r="D854">
        <v>6</v>
      </c>
      <c r="E854" t="s">
        <v>1447</v>
      </c>
      <c r="F854" t="s">
        <v>1888</v>
      </c>
      <c r="G854" t="s">
        <v>1737</v>
      </c>
      <c r="H854" t="s">
        <v>2279</v>
      </c>
      <c r="I854" t="s">
        <v>2279</v>
      </c>
      <c r="J854" t="s">
        <v>2279</v>
      </c>
      <c r="K854" t="s">
        <v>2279</v>
      </c>
      <c r="L854" t="s">
        <v>1557</v>
      </c>
      <c r="M854" t="s">
        <v>2279</v>
      </c>
      <c r="N854" t="s">
        <v>2279</v>
      </c>
      <c r="O854" s="190" t="str">
        <f>"["&amp;$C854&amp;"]["&amp;$D854&amp;"]["&amp;$F854&amp;"]"</f>
        <v>[S05_BiomassInstallations][6][Annex1Activity]</v>
      </c>
    </row>
    <row r="855" spans="1:15" x14ac:dyDescent="0.3">
      <c r="A855" t="s">
        <v>2277</v>
      </c>
      <c r="B855" t="s">
        <v>1910</v>
      </c>
      <c r="C855" t="s">
        <v>1912</v>
      </c>
      <c r="D855">
        <v>7</v>
      </c>
      <c r="E855" t="s">
        <v>1447</v>
      </c>
      <c r="F855" t="s">
        <v>1888</v>
      </c>
      <c r="G855" t="s">
        <v>1737</v>
      </c>
      <c r="H855" t="s">
        <v>2279</v>
      </c>
      <c r="I855" t="s">
        <v>2279</v>
      </c>
      <c r="J855" t="s">
        <v>2279</v>
      </c>
      <c r="K855" t="s">
        <v>2279</v>
      </c>
      <c r="L855" t="s">
        <v>1562</v>
      </c>
      <c r="M855" t="s">
        <v>2279</v>
      </c>
      <c r="N855" t="s">
        <v>2279</v>
      </c>
      <c r="O855" s="190" t="str">
        <f>"["&amp;$C855&amp;"]["&amp;$D855&amp;"]["&amp;$F855&amp;"]"</f>
        <v>[S05_BiomassInstallations][7][Annex1Activity]</v>
      </c>
    </row>
    <row r="856" spans="1:15" x14ac:dyDescent="0.3">
      <c r="A856" t="s">
        <v>2277</v>
      </c>
      <c r="B856" t="s">
        <v>1910</v>
      </c>
      <c r="C856" t="s">
        <v>1912</v>
      </c>
      <c r="D856">
        <v>8</v>
      </c>
      <c r="E856" t="s">
        <v>1447</v>
      </c>
      <c r="F856" t="s">
        <v>1888</v>
      </c>
      <c r="G856" t="s">
        <v>1737</v>
      </c>
      <c r="H856" t="s">
        <v>2279</v>
      </c>
      <c r="I856" t="s">
        <v>2279</v>
      </c>
      <c r="J856" t="s">
        <v>2279</v>
      </c>
      <c r="K856" t="s">
        <v>2279</v>
      </c>
      <c r="L856" t="s">
        <v>1562</v>
      </c>
      <c r="M856" t="s">
        <v>2279</v>
      </c>
      <c r="N856" t="s">
        <v>2279</v>
      </c>
      <c r="O856" s="190" t="str">
        <f>"["&amp;$C856&amp;"]["&amp;$D856&amp;"]["&amp;$F856&amp;"]"</f>
        <v>[S05_BiomassInstallations][8][Annex1Activity]</v>
      </c>
    </row>
    <row r="857" spans="1:15" x14ac:dyDescent="0.3">
      <c r="A857" t="s">
        <v>2277</v>
      </c>
      <c r="B857" t="s">
        <v>1910</v>
      </c>
      <c r="C857" t="s">
        <v>1912</v>
      </c>
      <c r="D857">
        <v>9</v>
      </c>
      <c r="E857" t="s">
        <v>1447</v>
      </c>
      <c r="F857" t="s">
        <v>1888</v>
      </c>
      <c r="G857" t="s">
        <v>1737</v>
      </c>
      <c r="H857" t="s">
        <v>2279</v>
      </c>
      <c r="I857" t="s">
        <v>2279</v>
      </c>
      <c r="J857" t="s">
        <v>2279</v>
      </c>
      <c r="K857" t="s">
        <v>2279</v>
      </c>
      <c r="L857" t="s">
        <v>1568</v>
      </c>
      <c r="M857" t="s">
        <v>2279</v>
      </c>
      <c r="N857" t="s">
        <v>2279</v>
      </c>
      <c r="O857" s="190" t="str">
        <f>"["&amp;$C857&amp;"]["&amp;$D857&amp;"]["&amp;$F857&amp;"]"</f>
        <v>[S05_BiomassInstallations][9][Annex1Activity]</v>
      </c>
    </row>
    <row r="858" spans="1:15" x14ac:dyDescent="0.3">
      <c r="A858" t="s">
        <v>2277</v>
      </c>
      <c r="B858" t="s">
        <v>1910</v>
      </c>
      <c r="C858" t="s">
        <v>1912</v>
      </c>
      <c r="D858">
        <v>10</v>
      </c>
      <c r="E858" t="s">
        <v>1447</v>
      </c>
      <c r="F858" t="s">
        <v>1888</v>
      </c>
      <c r="G858" t="s">
        <v>1737</v>
      </c>
      <c r="H858" t="s">
        <v>2279</v>
      </c>
      <c r="I858" t="s">
        <v>2279</v>
      </c>
      <c r="J858" t="s">
        <v>2279</v>
      </c>
      <c r="K858" t="s">
        <v>2279</v>
      </c>
      <c r="L858" t="s">
        <v>1568</v>
      </c>
      <c r="M858" t="s">
        <v>2279</v>
      </c>
      <c r="N858" t="s">
        <v>2279</v>
      </c>
      <c r="O858" s="190" t="str">
        <f>"["&amp;$C858&amp;"]["&amp;$D858&amp;"]["&amp;$F858&amp;"]"</f>
        <v>[S05_BiomassInstallations][10][Annex1Activity]</v>
      </c>
    </row>
    <row r="859" spans="1:15" x14ac:dyDescent="0.3">
      <c r="A859" t="s">
        <v>2277</v>
      </c>
      <c r="B859" t="s">
        <v>1910</v>
      </c>
      <c r="C859" t="s">
        <v>1912</v>
      </c>
      <c r="D859">
        <v>11</v>
      </c>
      <c r="E859" t="s">
        <v>1447</v>
      </c>
      <c r="F859" t="s">
        <v>1888</v>
      </c>
      <c r="G859" t="s">
        <v>1737</v>
      </c>
      <c r="H859" t="s">
        <v>2279</v>
      </c>
      <c r="I859" t="s">
        <v>2279</v>
      </c>
      <c r="J859" t="s">
        <v>2279</v>
      </c>
      <c r="K859" t="s">
        <v>2279</v>
      </c>
      <c r="L859" t="s">
        <v>1577</v>
      </c>
      <c r="M859" t="s">
        <v>2279</v>
      </c>
      <c r="N859" t="s">
        <v>2279</v>
      </c>
      <c r="O859" s="190" t="str">
        <f>"["&amp;$C859&amp;"]["&amp;$D859&amp;"]["&amp;$F859&amp;"]"</f>
        <v>[S05_BiomassInstallations][11][Annex1Activity]</v>
      </c>
    </row>
    <row r="860" spans="1:15" x14ac:dyDescent="0.3">
      <c r="A860" t="s">
        <v>2277</v>
      </c>
      <c r="B860" t="s">
        <v>1910</v>
      </c>
      <c r="C860" t="s">
        <v>1912</v>
      </c>
      <c r="D860">
        <v>12</v>
      </c>
      <c r="E860" t="s">
        <v>1447</v>
      </c>
      <c r="F860" t="s">
        <v>1888</v>
      </c>
      <c r="G860" t="s">
        <v>1737</v>
      </c>
      <c r="H860" t="s">
        <v>2279</v>
      </c>
      <c r="I860" t="s">
        <v>2279</v>
      </c>
      <c r="J860" t="s">
        <v>2279</v>
      </c>
      <c r="K860" t="s">
        <v>2279</v>
      </c>
      <c r="L860" t="s">
        <v>1582</v>
      </c>
      <c r="M860" t="s">
        <v>2279</v>
      </c>
      <c r="N860" t="s">
        <v>2279</v>
      </c>
      <c r="O860" s="190" t="str">
        <f>"["&amp;$C860&amp;"]["&amp;$D860&amp;"]["&amp;$F860&amp;"]"</f>
        <v>[S05_BiomassInstallations][12][Annex1Activity]</v>
      </c>
    </row>
    <row r="861" spans="1:15" x14ac:dyDescent="0.3">
      <c r="A861" t="s">
        <v>2277</v>
      </c>
      <c r="B861" t="s">
        <v>1910</v>
      </c>
      <c r="C861" t="s">
        <v>1912</v>
      </c>
      <c r="D861">
        <v>13</v>
      </c>
      <c r="E861" t="s">
        <v>1447</v>
      </c>
      <c r="F861" t="s">
        <v>1888</v>
      </c>
      <c r="G861" t="s">
        <v>1737</v>
      </c>
      <c r="H861" t="s">
        <v>2279</v>
      </c>
      <c r="I861" t="s">
        <v>2279</v>
      </c>
      <c r="J861" t="s">
        <v>2279</v>
      </c>
      <c r="K861" t="s">
        <v>2279</v>
      </c>
      <c r="L861" t="s">
        <v>1592</v>
      </c>
      <c r="M861" t="s">
        <v>2279</v>
      </c>
      <c r="N861" t="s">
        <v>2279</v>
      </c>
      <c r="O861" s="190" t="str">
        <f>"["&amp;$C861&amp;"]["&amp;$D861&amp;"]["&amp;$F861&amp;"]"</f>
        <v>[S05_BiomassInstallations][13][Annex1Activity]</v>
      </c>
    </row>
    <row r="862" spans="1:15" x14ac:dyDescent="0.3">
      <c r="A862" t="s">
        <v>2277</v>
      </c>
      <c r="B862" t="s">
        <v>1910</v>
      </c>
      <c r="C862" t="s">
        <v>1912</v>
      </c>
      <c r="D862">
        <v>14</v>
      </c>
      <c r="E862" t="s">
        <v>1447</v>
      </c>
      <c r="F862" t="s">
        <v>1888</v>
      </c>
      <c r="G862" t="s">
        <v>1737</v>
      </c>
      <c r="H862" t="s">
        <v>2279</v>
      </c>
      <c r="I862" t="s">
        <v>2279</v>
      </c>
      <c r="J862" t="s">
        <v>2279</v>
      </c>
      <c r="K862" t="s">
        <v>2279</v>
      </c>
      <c r="L862" t="s">
        <v>1592</v>
      </c>
      <c r="M862" t="s">
        <v>2279</v>
      </c>
      <c r="N862" t="s">
        <v>2279</v>
      </c>
      <c r="O862" s="190" t="str">
        <f>"["&amp;$C862&amp;"]["&amp;$D862&amp;"]["&amp;$F862&amp;"]"</f>
        <v>[S05_BiomassInstallations][14][Annex1Activity]</v>
      </c>
    </row>
    <row r="863" spans="1:15" x14ac:dyDescent="0.3">
      <c r="A863" t="s">
        <v>2277</v>
      </c>
      <c r="B863" t="s">
        <v>1910</v>
      </c>
      <c r="C863" t="s">
        <v>1912</v>
      </c>
      <c r="D863">
        <v>15</v>
      </c>
      <c r="E863" t="s">
        <v>1447</v>
      </c>
      <c r="F863" t="s">
        <v>1888</v>
      </c>
      <c r="G863" t="s">
        <v>1737</v>
      </c>
      <c r="H863" t="s">
        <v>2279</v>
      </c>
      <c r="I863" t="s">
        <v>2279</v>
      </c>
      <c r="J863" t="s">
        <v>2279</v>
      </c>
      <c r="K863" t="s">
        <v>2279</v>
      </c>
      <c r="L863" t="s">
        <v>1597</v>
      </c>
      <c r="M863" t="s">
        <v>2279</v>
      </c>
      <c r="N863" t="s">
        <v>2279</v>
      </c>
      <c r="O863" s="190" t="str">
        <f>"["&amp;$C863&amp;"]["&amp;$D863&amp;"]["&amp;$F863&amp;"]"</f>
        <v>[S05_BiomassInstallations][15][Annex1Activity]</v>
      </c>
    </row>
    <row r="864" spans="1:15" x14ac:dyDescent="0.3">
      <c r="A864" t="s">
        <v>2277</v>
      </c>
      <c r="B864" t="s">
        <v>1910</v>
      </c>
      <c r="C864" t="s">
        <v>1912</v>
      </c>
      <c r="D864">
        <v>16</v>
      </c>
      <c r="E864" t="s">
        <v>1447</v>
      </c>
      <c r="F864" t="s">
        <v>1888</v>
      </c>
      <c r="G864" t="s">
        <v>1737</v>
      </c>
      <c r="H864" t="s">
        <v>2279</v>
      </c>
      <c r="I864" t="s">
        <v>2279</v>
      </c>
      <c r="J864" t="s">
        <v>2279</v>
      </c>
      <c r="K864" t="s">
        <v>2279</v>
      </c>
      <c r="L864" t="s">
        <v>1597</v>
      </c>
      <c r="M864" t="s">
        <v>2279</v>
      </c>
      <c r="N864" t="s">
        <v>2279</v>
      </c>
      <c r="O864" s="190" t="str">
        <f>"["&amp;$C864&amp;"]["&amp;$D864&amp;"]["&amp;$F864&amp;"]"</f>
        <v>[S05_BiomassInstallations][16][Annex1Activity]</v>
      </c>
    </row>
    <row r="865" spans="1:15" x14ac:dyDescent="0.3">
      <c r="A865" t="s">
        <v>2277</v>
      </c>
      <c r="B865" t="s">
        <v>1910</v>
      </c>
      <c r="C865" t="s">
        <v>1912</v>
      </c>
      <c r="D865">
        <v>17</v>
      </c>
      <c r="E865" t="s">
        <v>1447</v>
      </c>
      <c r="F865" t="s">
        <v>1888</v>
      </c>
      <c r="G865" t="s">
        <v>1737</v>
      </c>
      <c r="H865" t="s">
        <v>2279</v>
      </c>
      <c r="I865" t="s">
        <v>2279</v>
      </c>
      <c r="J865" t="s">
        <v>2279</v>
      </c>
      <c r="K865" t="s">
        <v>2279</v>
      </c>
      <c r="L865" t="s">
        <v>1631</v>
      </c>
      <c r="M865" t="s">
        <v>2279</v>
      </c>
      <c r="N865" t="s">
        <v>2279</v>
      </c>
      <c r="O865" s="190" t="str">
        <f>"["&amp;$C865&amp;"]["&amp;$D865&amp;"]["&amp;$F865&amp;"]"</f>
        <v>[S05_BiomassInstallations][17][Annex1Activity]</v>
      </c>
    </row>
    <row r="866" spans="1:15" x14ac:dyDescent="0.3">
      <c r="A866" t="s">
        <v>2277</v>
      </c>
      <c r="B866" t="s">
        <v>1910</v>
      </c>
      <c r="C866" t="s">
        <v>1912</v>
      </c>
      <c r="D866">
        <v>18</v>
      </c>
      <c r="E866" t="s">
        <v>1447</v>
      </c>
      <c r="F866" t="s">
        <v>1888</v>
      </c>
      <c r="G866" t="s">
        <v>1737</v>
      </c>
      <c r="H866" t="s">
        <v>2279</v>
      </c>
      <c r="I866" t="s">
        <v>2279</v>
      </c>
      <c r="J866" t="s">
        <v>2279</v>
      </c>
      <c r="K866" t="s">
        <v>2279</v>
      </c>
      <c r="L866" t="s">
        <v>1636</v>
      </c>
      <c r="M866" t="s">
        <v>2279</v>
      </c>
      <c r="N866" t="s">
        <v>2279</v>
      </c>
      <c r="O866" s="190" t="str">
        <f>"["&amp;$C866&amp;"]["&amp;$D866&amp;"]["&amp;$F866&amp;"]"</f>
        <v>[S05_BiomassInstallations][18][Annex1Activity]</v>
      </c>
    </row>
    <row r="867" spans="1:15" x14ac:dyDescent="0.3">
      <c r="A867" t="s">
        <v>2277</v>
      </c>
      <c r="B867" t="s">
        <v>1910</v>
      </c>
      <c r="C867" t="s">
        <v>1912</v>
      </c>
      <c r="D867">
        <v>1</v>
      </c>
      <c r="E867" t="s">
        <v>1447</v>
      </c>
      <c r="F867" t="s">
        <v>1913</v>
      </c>
      <c r="G867" t="s">
        <v>1737</v>
      </c>
      <c r="H867" t="s">
        <v>2279</v>
      </c>
      <c r="I867" t="s">
        <v>2279</v>
      </c>
      <c r="J867" t="s">
        <v>2279</v>
      </c>
      <c r="K867" t="s">
        <v>2279</v>
      </c>
      <c r="L867" t="s">
        <v>1432</v>
      </c>
      <c r="M867" t="s">
        <v>2279</v>
      </c>
      <c r="N867" t="s">
        <v>2279</v>
      </c>
      <c r="O867" s="190" t="str">
        <f>"["&amp;$C867&amp;"]["&amp;$D867&amp;"]["&amp;$F867&amp;"]"</f>
        <v>[S05_BiomassInstallations][1][BiomassInstallationCategory]</v>
      </c>
    </row>
    <row r="868" spans="1:15" x14ac:dyDescent="0.3">
      <c r="A868" t="s">
        <v>2277</v>
      </c>
      <c r="B868" t="s">
        <v>1910</v>
      </c>
      <c r="C868" t="s">
        <v>1912</v>
      </c>
      <c r="D868">
        <v>2</v>
      </c>
      <c r="E868" t="s">
        <v>1447</v>
      </c>
      <c r="F868" t="s">
        <v>1913</v>
      </c>
      <c r="G868" t="s">
        <v>1737</v>
      </c>
      <c r="H868" t="s">
        <v>2279</v>
      </c>
      <c r="I868" t="s">
        <v>2279</v>
      </c>
      <c r="J868" t="s">
        <v>2279</v>
      </c>
      <c r="K868" t="s">
        <v>2279</v>
      </c>
      <c r="L868" t="s">
        <v>1460</v>
      </c>
      <c r="M868" t="s">
        <v>2279</v>
      </c>
      <c r="N868" t="s">
        <v>2279</v>
      </c>
      <c r="O868" s="190" t="str">
        <f>"["&amp;$C868&amp;"]["&amp;$D868&amp;"]["&amp;$F868&amp;"]"</f>
        <v>[S05_BiomassInstallations][2][BiomassInstallationCategory]</v>
      </c>
    </row>
    <row r="869" spans="1:15" x14ac:dyDescent="0.3">
      <c r="A869" t="s">
        <v>2277</v>
      </c>
      <c r="B869" t="s">
        <v>1910</v>
      </c>
      <c r="C869" t="s">
        <v>1912</v>
      </c>
      <c r="D869">
        <v>3</v>
      </c>
      <c r="E869" t="s">
        <v>1447</v>
      </c>
      <c r="F869" t="s">
        <v>1913</v>
      </c>
      <c r="G869" t="s">
        <v>1737</v>
      </c>
      <c r="H869" t="s">
        <v>2279</v>
      </c>
      <c r="I869" t="s">
        <v>2279</v>
      </c>
      <c r="J869" t="s">
        <v>2279</v>
      </c>
      <c r="K869" t="s">
        <v>2279</v>
      </c>
      <c r="L869" t="s">
        <v>1487</v>
      </c>
      <c r="M869" t="s">
        <v>2279</v>
      </c>
      <c r="N869" t="s">
        <v>2279</v>
      </c>
      <c r="O869" s="190" t="str">
        <f>"["&amp;$C869&amp;"]["&amp;$D869&amp;"]["&amp;$F869&amp;"]"</f>
        <v>[S05_BiomassInstallations][3][BiomassInstallationCategory]</v>
      </c>
    </row>
    <row r="870" spans="1:15" x14ac:dyDescent="0.3">
      <c r="A870" t="s">
        <v>2277</v>
      </c>
      <c r="B870" t="s">
        <v>1910</v>
      </c>
      <c r="C870" t="s">
        <v>1912</v>
      </c>
      <c r="D870">
        <v>4</v>
      </c>
      <c r="E870" t="s">
        <v>1447</v>
      </c>
      <c r="F870" t="s">
        <v>1913</v>
      </c>
      <c r="G870" t="s">
        <v>1737</v>
      </c>
      <c r="H870" t="s">
        <v>2279</v>
      </c>
      <c r="I870" t="s">
        <v>2279</v>
      </c>
      <c r="J870" t="s">
        <v>2279</v>
      </c>
      <c r="K870" t="s">
        <v>2279</v>
      </c>
      <c r="L870" t="s">
        <v>1460</v>
      </c>
      <c r="M870" t="s">
        <v>2279</v>
      </c>
      <c r="N870" t="s">
        <v>2279</v>
      </c>
      <c r="O870" s="190" t="str">
        <f>"["&amp;$C870&amp;"]["&amp;$D870&amp;"]["&amp;$F870&amp;"]"</f>
        <v>[S05_BiomassInstallations][4][BiomassInstallationCategory]</v>
      </c>
    </row>
    <row r="871" spans="1:15" x14ac:dyDescent="0.3">
      <c r="A871" t="s">
        <v>2277</v>
      </c>
      <c r="B871" t="s">
        <v>1910</v>
      </c>
      <c r="C871" t="s">
        <v>1912</v>
      </c>
      <c r="D871">
        <v>5</v>
      </c>
      <c r="E871" t="s">
        <v>1447</v>
      </c>
      <c r="F871" t="s">
        <v>1913</v>
      </c>
      <c r="G871" t="s">
        <v>1737</v>
      </c>
      <c r="H871" t="s">
        <v>2279</v>
      </c>
      <c r="I871" t="s">
        <v>2279</v>
      </c>
      <c r="J871" t="s">
        <v>2279</v>
      </c>
      <c r="K871" t="s">
        <v>2279</v>
      </c>
      <c r="L871" t="s">
        <v>1432</v>
      </c>
      <c r="M871" t="s">
        <v>2279</v>
      </c>
      <c r="N871" t="s">
        <v>2279</v>
      </c>
      <c r="O871" s="190" t="str">
        <f>"["&amp;$C871&amp;"]["&amp;$D871&amp;"]["&amp;$F871&amp;"]"</f>
        <v>[S05_BiomassInstallations][5][BiomassInstallationCategory]</v>
      </c>
    </row>
    <row r="872" spans="1:15" x14ac:dyDescent="0.3">
      <c r="A872" t="s">
        <v>2277</v>
      </c>
      <c r="B872" t="s">
        <v>1910</v>
      </c>
      <c r="C872" t="s">
        <v>1912</v>
      </c>
      <c r="D872">
        <v>6</v>
      </c>
      <c r="E872" t="s">
        <v>1447</v>
      </c>
      <c r="F872" t="s">
        <v>1913</v>
      </c>
      <c r="G872" t="s">
        <v>1737</v>
      </c>
      <c r="H872" t="s">
        <v>2279</v>
      </c>
      <c r="I872" t="s">
        <v>2279</v>
      </c>
      <c r="J872" t="s">
        <v>2279</v>
      </c>
      <c r="K872" t="s">
        <v>2279</v>
      </c>
      <c r="L872" t="s">
        <v>1460</v>
      </c>
      <c r="M872" t="s">
        <v>2279</v>
      </c>
      <c r="N872" t="s">
        <v>2279</v>
      </c>
      <c r="O872" s="190" t="str">
        <f>"["&amp;$C872&amp;"]["&amp;$D872&amp;"]["&amp;$F872&amp;"]"</f>
        <v>[S05_BiomassInstallations][6][BiomassInstallationCategory]</v>
      </c>
    </row>
    <row r="873" spans="1:15" x14ac:dyDescent="0.3">
      <c r="A873" t="s">
        <v>2277</v>
      </c>
      <c r="B873" t="s">
        <v>1910</v>
      </c>
      <c r="C873" t="s">
        <v>1912</v>
      </c>
      <c r="D873">
        <v>7</v>
      </c>
      <c r="E873" t="s">
        <v>1447</v>
      </c>
      <c r="F873" t="s">
        <v>1913</v>
      </c>
      <c r="G873" t="s">
        <v>1737</v>
      </c>
      <c r="H873" t="s">
        <v>2279</v>
      </c>
      <c r="I873" t="s">
        <v>2279</v>
      </c>
      <c r="J873" t="s">
        <v>2279</v>
      </c>
      <c r="K873" t="s">
        <v>2279</v>
      </c>
      <c r="L873" t="s">
        <v>1460</v>
      </c>
      <c r="M873" t="s">
        <v>2279</v>
      </c>
      <c r="N873" t="s">
        <v>2279</v>
      </c>
      <c r="O873" s="190" t="str">
        <f>"["&amp;$C873&amp;"]["&amp;$D873&amp;"]["&amp;$F873&amp;"]"</f>
        <v>[S05_BiomassInstallations][7][BiomassInstallationCategory]</v>
      </c>
    </row>
    <row r="874" spans="1:15" x14ac:dyDescent="0.3">
      <c r="A874" t="s">
        <v>2277</v>
      </c>
      <c r="B874" t="s">
        <v>1910</v>
      </c>
      <c r="C874" t="s">
        <v>1912</v>
      </c>
      <c r="D874">
        <v>8</v>
      </c>
      <c r="E874" t="s">
        <v>1447</v>
      </c>
      <c r="F874" t="s">
        <v>1913</v>
      </c>
      <c r="G874" t="s">
        <v>1737</v>
      </c>
      <c r="H874" t="s">
        <v>2279</v>
      </c>
      <c r="I874" t="s">
        <v>2279</v>
      </c>
      <c r="J874" t="s">
        <v>2279</v>
      </c>
      <c r="K874" t="s">
        <v>2279</v>
      </c>
      <c r="L874" t="s">
        <v>1487</v>
      </c>
      <c r="M874" t="s">
        <v>2279</v>
      </c>
      <c r="N874" t="s">
        <v>2279</v>
      </c>
      <c r="O874" s="190" t="str">
        <f>"["&amp;$C874&amp;"]["&amp;$D874&amp;"]["&amp;$F874&amp;"]"</f>
        <v>[S05_BiomassInstallations][8][BiomassInstallationCategory]</v>
      </c>
    </row>
    <row r="875" spans="1:15" x14ac:dyDescent="0.3">
      <c r="A875" t="s">
        <v>2277</v>
      </c>
      <c r="B875" t="s">
        <v>1910</v>
      </c>
      <c r="C875" t="s">
        <v>1912</v>
      </c>
      <c r="D875">
        <v>9</v>
      </c>
      <c r="E875" t="s">
        <v>1447</v>
      </c>
      <c r="F875" t="s">
        <v>1913</v>
      </c>
      <c r="G875" t="s">
        <v>1737</v>
      </c>
      <c r="H875" t="s">
        <v>2279</v>
      </c>
      <c r="I875" t="s">
        <v>2279</v>
      </c>
      <c r="J875" t="s">
        <v>2279</v>
      </c>
      <c r="K875" t="s">
        <v>2279</v>
      </c>
      <c r="L875" t="s">
        <v>1432</v>
      </c>
      <c r="M875" t="s">
        <v>2279</v>
      </c>
      <c r="N875" t="s">
        <v>2279</v>
      </c>
      <c r="O875" s="190" t="str">
        <f>"["&amp;$C875&amp;"]["&amp;$D875&amp;"]["&amp;$F875&amp;"]"</f>
        <v>[S05_BiomassInstallations][9][BiomassInstallationCategory]</v>
      </c>
    </row>
    <row r="876" spans="1:15" x14ac:dyDescent="0.3">
      <c r="A876" t="s">
        <v>2277</v>
      </c>
      <c r="B876" t="s">
        <v>1910</v>
      </c>
      <c r="C876" t="s">
        <v>1912</v>
      </c>
      <c r="D876">
        <v>10</v>
      </c>
      <c r="E876" t="s">
        <v>1447</v>
      </c>
      <c r="F876" t="s">
        <v>1913</v>
      </c>
      <c r="G876" t="s">
        <v>1737</v>
      </c>
      <c r="H876" t="s">
        <v>2279</v>
      </c>
      <c r="I876" t="s">
        <v>2279</v>
      </c>
      <c r="J876" t="s">
        <v>2279</v>
      </c>
      <c r="K876" t="s">
        <v>2279</v>
      </c>
      <c r="L876" t="s">
        <v>1460</v>
      </c>
      <c r="M876" t="s">
        <v>2279</v>
      </c>
      <c r="N876" t="s">
        <v>2279</v>
      </c>
      <c r="O876" s="190" t="str">
        <f>"["&amp;$C876&amp;"]["&amp;$D876&amp;"]["&amp;$F876&amp;"]"</f>
        <v>[S05_BiomassInstallations][10][BiomassInstallationCategory]</v>
      </c>
    </row>
    <row r="877" spans="1:15" x14ac:dyDescent="0.3">
      <c r="A877" t="s">
        <v>2277</v>
      </c>
      <c r="B877" t="s">
        <v>1910</v>
      </c>
      <c r="C877" t="s">
        <v>1912</v>
      </c>
      <c r="D877">
        <v>11</v>
      </c>
      <c r="E877" t="s">
        <v>1447</v>
      </c>
      <c r="F877" t="s">
        <v>1913</v>
      </c>
      <c r="G877" t="s">
        <v>1737</v>
      </c>
      <c r="H877" t="s">
        <v>2279</v>
      </c>
      <c r="I877" t="s">
        <v>2279</v>
      </c>
      <c r="J877" t="s">
        <v>2279</v>
      </c>
      <c r="K877" t="s">
        <v>2279</v>
      </c>
      <c r="L877" t="s">
        <v>1432</v>
      </c>
      <c r="M877" t="s">
        <v>2279</v>
      </c>
      <c r="N877" t="s">
        <v>2279</v>
      </c>
      <c r="O877" s="190" t="str">
        <f>"["&amp;$C877&amp;"]["&amp;$D877&amp;"]["&amp;$F877&amp;"]"</f>
        <v>[S05_BiomassInstallations][11][BiomassInstallationCategory]</v>
      </c>
    </row>
    <row r="878" spans="1:15" x14ac:dyDescent="0.3">
      <c r="A878" t="s">
        <v>2277</v>
      </c>
      <c r="B878" t="s">
        <v>1910</v>
      </c>
      <c r="C878" t="s">
        <v>1912</v>
      </c>
      <c r="D878">
        <v>12</v>
      </c>
      <c r="E878" t="s">
        <v>1447</v>
      </c>
      <c r="F878" t="s">
        <v>1913</v>
      </c>
      <c r="G878" t="s">
        <v>1737</v>
      </c>
      <c r="H878" t="s">
        <v>2279</v>
      </c>
      <c r="I878" t="s">
        <v>2279</v>
      </c>
      <c r="J878" t="s">
        <v>2279</v>
      </c>
      <c r="K878" t="s">
        <v>2279</v>
      </c>
      <c r="L878" t="s">
        <v>1432</v>
      </c>
      <c r="M878" t="s">
        <v>2279</v>
      </c>
      <c r="N878" t="s">
        <v>2279</v>
      </c>
      <c r="O878" s="190" t="str">
        <f>"["&amp;$C878&amp;"]["&amp;$D878&amp;"]["&amp;$F878&amp;"]"</f>
        <v>[S05_BiomassInstallations][12][BiomassInstallationCategory]</v>
      </c>
    </row>
    <row r="879" spans="1:15" x14ac:dyDescent="0.3">
      <c r="A879" t="s">
        <v>2277</v>
      </c>
      <c r="B879" t="s">
        <v>1910</v>
      </c>
      <c r="C879" t="s">
        <v>1912</v>
      </c>
      <c r="D879">
        <v>13</v>
      </c>
      <c r="E879" t="s">
        <v>1447</v>
      </c>
      <c r="F879" t="s">
        <v>1913</v>
      </c>
      <c r="G879" t="s">
        <v>1737</v>
      </c>
      <c r="H879" t="s">
        <v>2279</v>
      </c>
      <c r="I879" t="s">
        <v>2279</v>
      </c>
      <c r="J879" t="s">
        <v>2279</v>
      </c>
      <c r="K879" t="s">
        <v>2279</v>
      </c>
      <c r="L879" t="s">
        <v>1432</v>
      </c>
      <c r="M879" t="s">
        <v>2279</v>
      </c>
      <c r="N879" t="s">
        <v>2279</v>
      </c>
      <c r="O879" s="190" t="str">
        <f>"["&amp;$C879&amp;"]["&amp;$D879&amp;"]["&amp;$F879&amp;"]"</f>
        <v>[S05_BiomassInstallations][13][BiomassInstallationCategory]</v>
      </c>
    </row>
    <row r="880" spans="1:15" x14ac:dyDescent="0.3">
      <c r="A880" t="s">
        <v>2277</v>
      </c>
      <c r="B880" t="s">
        <v>1910</v>
      </c>
      <c r="C880" t="s">
        <v>1912</v>
      </c>
      <c r="D880">
        <v>14</v>
      </c>
      <c r="E880" t="s">
        <v>1447</v>
      </c>
      <c r="F880" t="s">
        <v>1913</v>
      </c>
      <c r="G880" t="s">
        <v>1737</v>
      </c>
      <c r="H880" t="s">
        <v>2279</v>
      </c>
      <c r="I880" t="s">
        <v>2279</v>
      </c>
      <c r="J880" t="s">
        <v>2279</v>
      </c>
      <c r="K880" t="s">
        <v>2279</v>
      </c>
      <c r="L880" t="s">
        <v>1460</v>
      </c>
      <c r="M880" t="s">
        <v>2279</v>
      </c>
      <c r="N880" t="s">
        <v>2279</v>
      </c>
      <c r="O880" s="190" t="str">
        <f>"["&amp;$C880&amp;"]["&amp;$D880&amp;"]["&amp;$F880&amp;"]"</f>
        <v>[S05_BiomassInstallations][14][BiomassInstallationCategory]</v>
      </c>
    </row>
    <row r="881" spans="1:15" x14ac:dyDescent="0.3">
      <c r="A881" t="s">
        <v>2277</v>
      </c>
      <c r="B881" t="s">
        <v>1910</v>
      </c>
      <c r="C881" t="s">
        <v>1912</v>
      </c>
      <c r="D881">
        <v>15</v>
      </c>
      <c r="E881" t="s">
        <v>1447</v>
      </c>
      <c r="F881" t="s">
        <v>1913</v>
      </c>
      <c r="G881" t="s">
        <v>1737</v>
      </c>
      <c r="H881" t="s">
        <v>2279</v>
      </c>
      <c r="I881" t="s">
        <v>2279</v>
      </c>
      <c r="J881" t="s">
        <v>2279</v>
      </c>
      <c r="K881" t="s">
        <v>2279</v>
      </c>
      <c r="L881" t="s">
        <v>1432</v>
      </c>
      <c r="M881" t="s">
        <v>2279</v>
      </c>
      <c r="N881" t="s">
        <v>2279</v>
      </c>
      <c r="O881" s="190" t="str">
        <f>"["&amp;$C881&amp;"]["&amp;$D881&amp;"]["&amp;$F881&amp;"]"</f>
        <v>[S05_BiomassInstallations][15][BiomassInstallationCategory]</v>
      </c>
    </row>
    <row r="882" spans="1:15" x14ac:dyDescent="0.3">
      <c r="A882" t="s">
        <v>2277</v>
      </c>
      <c r="B882" t="s">
        <v>1910</v>
      </c>
      <c r="C882" t="s">
        <v>1912</v>
      </c>
      <c r="D882">
        <v>16</v>
      </c>
      <c r="E882" t="s">
        <v>1447</v>
      </c>
      <c r="F882" t="s">
        <v>1913</v>
      </c>
      <c r="G882" t="s">
        <v>1737</v>
      </c>
      <c r="H882" t="s">
        <v>2279</v>
      </c>
      <c r="I882" t="s">
        <v>2279</v>
      </c>
      <c r="J882" t="s">
        <v>2279</v>
      </c>
      <c r="K882" t="s">
        <v>2279</v>
      </c>
      <c r="L882" t="s">
        <v>1460</v>
      </c>
      <c r="M882" t="s">
        <v>2279</v>
      </c>
      <c r="N882" t="s">
        <v>2279</v>
      </c>
      <c r="O882" s="190" t="str">
        <f>"["&amp;$C882&amp;"]["&amp;$D882&amp;"]["&amp;$F882&amp;"]"</f>
        <v>[S05_BiomassInstallations][16][BiomassInstallationCategory]</v>
      </c>
    </row>
    <row r="883" spans="1:15" x14ac:dyDescent="0.3">
      <c r="A883" t="s">
        <v>2277</v>
      </c>
      <c r="B883" t="s">
        <v>1910</v>
      </c>
      <c r="C883" t="s">
        <v>1912</v>
      </c>
      <c r="D883">
        <v>17</v>
      </c>
      <c r="E883" t="s">
        <v>1447</v>
      </c>
      <c r="F883" t="s">
        <v>1913</v>
      </c>
      <c r="G883" t="s">
        <v>1737</v>
      </c>
      <c r="H883" t="s">
        <v>2279</v>
      </c>
      <c r="I883" t="s">
        <v>2279</v>
      </c>
      <c r="J883" t="s">
        <v>2279</v>
      </c>
      <c r="K883" t="s">
        <v>2279</v>
      </c>
      <c r="L883" t="s">
        <v>1460</v>
      </c>
      <c r="M883" t="s">
        <v>2279</v>
      </c>
      <c r="N883" t="s">
        <v>2279</v>
      </c>
      <c r="O883" s="190" t="str">
        <f>"["&amp;$C883&amp;"]["&amp;$D883&amp;"]["&amp;$F883&amp;"]"</f>
        <v>[S05_BiomassInstallations][17][BiomassInstallationCategory]</v>
      </c>
    </row>
    <row r="884" spans="1:15" x14ac:dyDescent="0.3">
      <c r="A884" t="s">
        <v>2277</v>
      </c>
      <c r="B884" t="s">
        <v>1910</v>
      </c>
      <c r="C884" t="s">
        <v>1912</v>
      </c>
      <c r="D884">
        <v>18</v>
      </c>
      <c r="E884" t="s">
        <v>1447</v>
      </c>
      <c r="F884" t="s">
        <v>1913</v>
      </c>
      <c r="G884" t="s">
        <v>1737</v>
      </c>
      <c r="H884" t="s">
        <v>2279</v>
      </c>
      <c r="I884" t="s">
        <v>2279</v>
      </c>
      <c r="J884" t="s">
        <v>2279</v>
      </c>
      <c r="K884" t="s">
        <v>2279</v>
      </c>
      <c r="L884" t="s">
        <v>1487</v>
      </c>
      <c r="M884" t="s">
        <v>2279</v>
      </c>
      <c r="N884" t="s">
        <v>2279</v>
      </c>
      <c r="O884" s="190" t="str">
        <f>"["&amp;$C884&amp;"]["&amp;$D884&amp;"]["&amp;$F884&amp;"]"</f>
        <v>[S05_BiomassInstallations][18][BiomassInstallationCategory]</v>
      </c>
    </row>
    <row r="885" spans="1:15" x14ac:dyDescent="0.3">
      <c r="A885" t="s">
        <v>2277</v>
      </c>
      <c r="B885" t="s">
        <v>1910</v>
      </c>
      <c r="C885" t="s">
        <v>1912</v>
      </c>
      <c r="D885">
        <v>1</v>
      </c>
      <c r="E885" t="s">
        <v>1447</v>
      </c>
      <c r="F885" t="s">
        <v>1914</v>
      </c>
      <c r="G885" t="s">
        <v>1748</v>
      </c>
      <c r="H885" t="s">
        <v>2279</v>
      </c>
      <c r="I885">
        <v>144</v>
      </c>
      <c r="J885" t="s">
        <v>2279</v>
      </c>
      <c r="K885" t="s">
        <v>2279</v>
      </c>
      <c r="L885" t="s">
        <v>2279</v>
      </c>
      <c r="M885" t="s">
        <v>2279</v>
      </c>
      <c r="N885" t="s">
        <v>2279</v>
      </c>
      <c r="O885" s="190" t="str">
        <f>"["&amp;$C885&amp;"]["&amp;$D885&amp;"]["&amp;$F885&amp;"]"</f>
        <v>[S05_BiomassInstallations][1][NumberUsingBiomass]</v>
      </c>
    </row>
    <row r="886" spans="1:15" x14ac:dyDescent="0.3">
      <c r="A886" t="s">
        <v>2277</v>
      </c>
      <c r="B886" t="s">
        <v>1910</v>
      </c>
      <c r="C886" t="s">
        <v>1912</v>
      </c>
      <c r="D886">
        <v>2</v>
      </c>
      <c r="E886" t="s">
        <v>1447</v>
      </c>
      <c r="F886" t="s">
        <v>1914</v>
      </c>
      <c r="G886" t="s">
        <v>1748</v>
      </c>
      <c r="H886" t="s">
        <v>2279</v>
      </c>
      <c r="I886">
        <v>18</v>
      </c>
      <c r="J886" t="s">
        <v>2279</v>
      </c>
      <c r="K886" t="s">
        <v>2279</v>
      </c>
      <c r="L886" t="s">
        <v>2279</v>
      </c>
      <c r="M886" t="s">
        <v>2279</v>
      </c>
      <c r="N886" t="s">
        <v>2279</v>
      </c>
      <c r="O886" s="190" t="str">
        <f>"["&amp;$C886&amp;"]["&amp;$D886&amp;"]["&amp;$F886&amp;"]"</f>
        <v>[S05_BiomassInstallations][2][NumberUsingBiomass]</v>
      </c>
    </row>
    <row r="887" spans="1:15" x14ac:dyDescent="0.3">
      <c r="A887" t="s">
        <v>2277</v>
      </c>
      <c r="B887" t="s">
        <v>1910</v>
      </c>
      <c r="C887" t="s">
        <v>1912</v>
      </c>
      <c r="D887">
        <v>3</v>
      </c>
      <c r="E887" t="s">
        <v>1447</v>
      </c>
      <c r="F887" t="s">
        <v>1914</v>
      </c>
      <c r="G887" t="s">
        <v>1748</v>
      </c>
      <c r="H887" t="s">
        <v>2279</v>
      </c>
      <c r="I887">
        <v>5</v>
      </c>
      <c r="J887" t="s">
        <v>2279</v>
      </c>
      <c r="K887" t="s">
        <v>2279</v>
      </c>
      <c r="L887" t="s">
        <v>2279</v>
      </c>
      <c r="M887" t="s">
        <v>2279</v>
      </c>
      <c r="N887" t="s">
        <v>2279</v>
      </c>
      <c r="O887" s="190" t="str">
        <f>"["&amp;$C887&amp;"]["&amp;$D887&amp;"]["&amp;$F887&amp;"]"</f>
        <v>[S05_BiomassInstallations][3][NumberUsingBiomass]</v>
      </c>
    </row>
    <row r="888" spans="1:15" x14ac:dyDescent="0.3">
      <c r="A888" t="s">
        <v>2277</v>
      </c>
      <c r="B888" t="s">
        <v>1910</v>
      </c>
      <c r="C888" t="s">
        <v>1912</v>
      </c>
      <c r="D888">
        <v>4</v>
      </c>
      <c r="E888" t="s">
        <v>1447</v>
      </c>
      <c r="F888" t="s">
        <v>1914</v>
      </c>
      <c r="G888" t="s">
        <v>1748</v>
      </c>
      <c r="H888" t="s">
        <v>2279</v>
      </c>
      <c r="I888">
        <v>1</v>
      </c>
      <c r="J888" t="s">
        <v>2279</v>
      </c>
      <c r="K888" t="s">
        <v>2279</v>
      </c>
      <c r="L888" t="s">
        <v>2279</v>
      </c>
      <c r="M888" t="s">
        <v>2279</v>
      </c>
      <c r="N888" t="s">
        <v>2279</v>
      </c>
      <c r="O888" s="190" t="str">
        <f>"["&amp;$C888&amp;"]["&amp;$D888&amp;"]["&amp;$F888&amp;"]"</f>
        <v>[S05_BiomassInstallations][4][NumberUsingBiomass]</v>
      </c>
    </row>
    <row r="889" spans="1:15" x14ac:dyDescent="0.3">
      <c r="A889" t="s">
        <v>2277</v>
      </c>
      <c r="B889" t="s">
        <v>1910</v>
      </c>
      <c r="C889" t="s">
        <v>1912</v>
      </c>
      <c r="D889">
        <v>5</v>
      </c>
      <c r="E889" t="s">
        <v>1447</v>
      </c>
      <c r="F889" t="s">
        <v>1914</v>
      </c>
      <c r="G889" t="s">
        <v>1748</v>
      </c>
      <c r="H889" t="s">
        <v>2279</v>
      </c>
      <c r="I889">
        <v>1</v>
      </c>
      <c r="J889" t="s">
        <v>2279</v>
      </c>
      <c r="K889" t="s">
        <v>2279</v>
      </c>
      <c r="L889" t="s">
        <v>2279</v>
      </c>
      <c r="M889" t="s">
        <v>2279</v>
      </c>
      <c r="N889" t="s">
        <v>2279</v>
      </c>
      <c r="O889" s="190" t="str">
        <f>"["&amp;$C889&amp;"]["&amp;$D889&amp;"]["&amp;$F889&amp;"]"</f>
        <v>[S05_BiomassInstallations][5][NumberUsingBiomass]</v>
      </c>
    </row>
    <row r="890" spans="1:15" x14ac:dyDescent="0.3">
      <c r="A890" t="s">
        <v>2277</v>
      </c>
      <c r="B890" t="s">
        <v>1910</v>
      </c>
      <c r="C890" t="s">
        <v>1912</v>
      </c>
      <c r="D890">
        <v>6</v>
      </c>
      <c r="E890" t="s">
        <v>1447</v>
      </c>
      <c r="F890" t="s">
        <v>1914</v>
      </c>
      <c r="G890" t="s">
        <v>1748</v>
      </c>
      <c r="H890" t="s">
        <v>2279</v>
      </c>
      <c r="I890">
        <v>5</v>
      </c>
      <c r="J890" t="s">
        <v>2279</v>
      </c>
      <c r="K890" t="s">
        <v>2279</v>
      </c>
      <c r="L890" t="s">
        <v>2279</v>
      </c>
      <c r="M890" t="s">
        <v>2279</v>
      </c>
      <c r="N890" t="s">
        <v>2279</v>
      </c>
      <c r="O890" s="190" t="str">
        <f>"["&amp;$C890&amp;"]["&amp;$D890&amp;"]["&amp;$F890&amp;"]"</f>
        <v>[S05_BiomassInstallations][6][NumberUsingBiomass]</v>
      </c>
    </row>
    <row r="891" spans="1:15" x14ac:dyDescent="0.3">
      <c r="A891" t="s">
        <v>2277</v>
      </c>
      <c r="B891" t="s">
        <v>1910</v>
      </c>
      <c r="C891" t="s">
        <v>1912</v>
      </c>
      <c r="D891">
        <v>7</v>
      </c>
      <c r="E891" t="s">
        <v>1447</v>
      </c>
      <c r="F891" t="s">
        <v>1914</v>
      </c>
      <c r="G891" t="s">
        <v>1748</v>
      </c>
      <c r="H891" t="s">
        <v>2279</v>
      </c>
      <c r="I891">
        <v>16</v>
      </c>
      <c r="J891" t="s">
        <v>2279</v>
      </c>
      <c r="K891" t="s">
        <v>2279</v>
      </c>
      <c r="L891" t="s">
        <v>2279</v>
      </c>
      <c r="M891" t="s">
        <v>2279</v>
      </c>
      <c r="N891" t="s">
        <v>2279</v>
      </c>
      <c r="O891" s="190" t="str">
        <f>"["&amp;$C891&amp;"]["&amp;$D891&amp;"]["&amp;$F891&amp;"]"</f>
        <v>[S05_BiomassInstallations][7][NumberUsingBiomass]</v>
      </c>
    </row>
    <row r="892" spans="1:15" x14ac:dyDescent="0.3">
      <c r="A892" t="s">
        <v>2277</v>
      </c>
      <c r="B892" t="s">
        <v>1910</v>
      </c>
      <c r="C892" t="s">
        <v>1912</v>
      </c>
      <c r="D892">
        <v>8</v>
      </c>
      <c r="E892" t="s">
        <v>1447</v>
      </c>
      <c r="F892" t="s">
        <v>1914</v>
      </c>
      <c r="G892" t="s">
        <v>1748</v>
      </c>
      <c r="H892" t="s">
        <v>2279</v>
      </c>
      <c r="I892">
        <v>7</v>
      </c>
      <c r="J892" t="s">
        <v>2279</v>
      </c>
      <c r="K892" t="s">
        <v>2279</v>
      </c>
      <c r="L892" t="s">
        <v>2279</v>
      </c>
      <c r="M892" t="s">
        <v>2279</v>
      </c>
      <c r="N892" t="s">
        <v>2279</v>
      </c>
      <c r="O892" s="190" t="str">
        <f>"["&amp;$C892&amp;"]["&amp;$D892&amp;"]["&amp;$F892&amp;"]"</f>
        <v>[S05_BiomassInstallations][8][NumberUsingBiomass]</v>
      </c>
    </row>
    <row r="893" spans="1:15" x14ac:dyDescent="0.3">
      <c r="A893" t="s">
        <v>2277</v>
      </c>
      <c r="B893" t="s">
        <v>1910</v>
      </c>
      <c r="C893" t="s">
        <v>1912</v>
      </c>
      <c r="D893">
        <v>9</v>
      </c>
      <c r="E893" t="s">
        <v>1447</v>
      </c>
      <c r="F893" t="s">
        <v>1914</v>
      </c>
      <c r="G893" t="s">
        <v>1748</v>
      </c>
      <c r="H893" t="s">
        <v>2279</v>
      </c>
      <c r="I893">
        <v>3</v>
      </c>
      <c r="J893" t="s">
        <v>2279</v>
      </c>
      <c r="K893" t="s">
        <v>2279</v>
      </c>
      <c r="L893" t="s">
        <v>2279</v>
      </c>
      <c r="M893" t="s">
        <v>2279</v>
      </c>
      <c r="N893" t="s">
        <v>2279</v>
      </c>
      <c r="O893" s="190" t="str">
        <f>"["&amp;$C893&amp;"]["&amp;$D893&amp;"]["&amp;$F893&amp;"]"</f>
        <v>[S05_BiomassInstallations][9][NumberUsingBiomass]</v>
      </c>
    </row>
    <row r="894" spans="1:15" x14ac:dyDescent="0.3">
      <c r="A894" t="s">
        <v>2277</v>
      </c>
      <c r="B894" t="s">
        <v>1910</v>
      </c>
      <c r="C894" t="s">
        <v>1912</v>
      </c>
      <c r="D894">
        <v>10</v>
      </c>
      <c r="E894" t="s">
        <v>1447</v>
      </c>
      <c r="F894" t="s">
        <v>1914</v>
      </c>
      <c r="G894" t="s">
        <v>1748</v>
      </c>
      <c r="H894" t="s">
        <v>2279</v>
      </c>
      <c r="I894">
        <v>3</v>
      </c>
      <c r="J894" t="s">
        <v>2279</v>
      </c>
      <c r="K894" t="s">
        <v>2279</v>
      </c>
      <c r="L894" t="s">
        <v>2279</v>
      </c>
      <c r="M894" t="s">
        <v>2279</v>
      </c>
      <c r="N894" t="s">
        <v>2279</v>
      </c>
      <c r="O894" s="190" t="str">
        <f>"["&amp;$C894&amp;"]["&amp;$D894&amp;"]["&amp;$F894&amp;"]"</f>
        <v>[S05_BiomassInstallations][10][NumberUsingBiomass]</v>
      </c>
    </row>
    <row r="895" spans="1:15" x14ac:dyDescent="0.3">
      <c r="A895" t="s">
        <v>2277</v>
      </c>
      <c r="B895" t="s">
        <v>1910</v>
      </c>
      <c r="C895" t="s">
        <v>1912</v>
      </c>
      <c r="D895">
        <v>11</v>
      </c>
      <c r="E895" t="s">
        <v>1447</v>
      </c>
      <c r="F895" t="s">
        <v>1914</v>
      </c>
      <c r="G895" t="s">
        <v>1748</v>
      </c>
      <c r="H895" t="s">
        <v>2279</v>
      </c>
      <c r="I895">
        <v>10</v>
      </c>
      <c r="J895" t="s">
        <v>2279</v>
      </c>
      <c r="K895" t="s">
        <v>2279</v>
      </c>
      <c r="L895" t="s">
        <v>2279</v>
      </c>
      <c r="M895" t="s">
        <v>2279</v>
      </c>
      <c r="N895" t="s">
        <v>2279</v>
      </c>
      <c r="O895" s="190" t="str">
        <f>"["&amp;$C895&amp;"]["&amp;$D895&amp;"]["&amp;$F895&amp;"]"</f>
        <v>[S05_BiomassInstallations][11][NumberUsingBiomass]</v>
      </c>
    </row>
    <row r="896" spans="1:15" x14ac:dyDescent="0.3">
      <c r="A896" t="s">
        <v>2277</v>
      </c>
      <c r="B896" t="s">
        <v>1910</v>
      </c>
      <c r="C896" t="s">
        <v>1912</v>
      </c>
      <c r="D896">
        <v>12</v>
      </c>
      <c r="E896" t="s">
        <v>1447</v>
      </c>
      <c r="F896" t="s">
        <v>1914</v>
      </c>
      <c r="G896" t="s">
        <v>1748</v>
      </c>
      <c r="H896" t="s">
        <v>2279</v>
      </c>
      <c r="I896">
        <v>1</v>
      </c>
      <c r="J896" t="s">
        <v>2279</v>
      </c>
      <c r="K896" t="s">
        <v>2279</v>
      </c>
      <c r="L896" t="s">
        <v>2279</v>
      </c>
      <c r="M896" t="s">
        <v>2279</v>
      </c>
      <c r="N896" t="s">
        <v>2279</v>
      </c>
      <c r="O896" s="190" t="str">
        <f>"["&amp;$C896&amp;"]["&amp;$D896&amp;"]["&amp;$F896&amp;"]"</f>
        <v>[S05_BiomassInstallations][12][NumberUsingBiomass]</v>
      </c>
    </row>
    <row r="897" spans="1:15" x14ac:dyDescent="0.3">
      <c r="A897" t="s">
        <v>2277</v>
      </c>
      <c r="B897" t="s">
        <v>1910</v>
      </c>
      <c r="C897" t="s">
        <v>1912</v>
      </c>
      <c r="D897">
        <v>13</v>
      </c>
      <c r="E897" t="s">
        <v>1447</v>
      </c>
      <c r="F897" t="s">
        <v>1914</v>
      </c>
      <c r="G897" t="s">
        <v>1748</v>
      </c>
      <c r="H897" t="s">
        <v>2279</v>
      </c>
      <c r="I897">
        <v>6</v>
      </c>
      <c r="J897" t="s">
        <v>2279</v>
      </c>
      <c r="K897" t="s">
        <v>2279</v>
      </c>
      <c r="L897" t="s">
        <v>2279</v>
      </c>
      <c r="M897" t="s">
        <v>2279</v>
      </c>
      <c r="N897" t="s">
        <v>2279</v>
      </c>
      <c r="O897" s="190" t="str">
        <f>"["&amp;$C897&amp;"]["&amp;$D897&amp;"]["&amp;$F897&amp;"]"</f>
        <v>[S05_BiomassInstallations][13][NumberUsingBiomass]</v>
      </c>
    </row>
    <row r="898" spans="1:15" x14ac:dyDescent="0.3">
      <c r="A898" t="s">
        <v>2277</v>
      </c>
      <c r="B898" t="s">
        <v>1910</v>
      </c>
      <c r="C898" t="s">
        <v>1912</v>
      </c>
      <c r="D898">
        <v>14</v>
      </c>
      <c r="E898" t="s">
        <v>1447</v>
      </c>
      <c r="F898" t="s">
        <v>1914</v>
      </c>
      <c r="G898" t="s">
        <v>1748</v>
      </c>
      <c r="H898" t="s">
        <v>2279</v>
      </c>
      <c r="I898">
        <v>1</v>
      </c>
      <c r="J898" t="s">
        <v>2279</v>
      </c>
      <c r="K898" t="s">
        <v>2279</v>
      </c>
      <c r="L898" t="s">
        <v>2279</v>
      </c>
      <c r="M898" t="s">
        <v>2279</v>
      </c>
      <c r="N898" t="s">
        <v>2279</v>
      </c>
      <c r="O898" s="190" t="str">
        <f>"["&amp;$C898&amp;"]["&amp;$D898&amp;"]["&amp;$F898&amp;"]"</f>
        <v>[S05_BiomassInstallations][14][NumberUsingBiomass]</v>
      </c>
    </row>
    <row r="899" spans="1:15" x14ac:dyDescent="0.3">
      <c r="A899" t="s">
        <v>2277</v>
      </c>
      <c r="B899" t="s">
        <v>1910</v>
      </c>
      <c r="C899" t="s">
        <v>1912</v>
      </c>
      <c r="D899">
        <v>15</v>
      </c>
      <c r="E899" t="s">
        <v>1447</v>
      </c>
      <c r="F899" t="s">
        <v>1914</v>
      </c>
      <c r="G899" t="s">
        <v>1748</v>
      </c>
      <c r="H899" t="s">
        <v>2279</v>
      </c>
      <c r="I899">
        <v>13</v>
      </c>
      <c r="J899" t="s">
        <v>2279</v>
      </c>
      <c r="K899" t="s">
        <v>2279</v>
      </c>
      <c r="L899" t="s">
        <v>2279</v>
      </c>
      <c r="M899" t="s">
        <v>2279</v>
      </c>
      <c r="N899" t="s">
        <v>2279</v>
      </c>
      <c r="O899" s="190" t="str">
        <f>"["&amp;$C899&amp;"]["&amp;$D899&amp;"]["&amp;$F899&amp;"]"</f>
        <v>[S05_BiomassInstallations][15][NumberUsingBiomass]</v>
      </c>
    </row>
    <row r="900" spans="1:15" x14ac:dyDescent="0.3">
      <c r="A900" t="s">
        <v>2277</v>
      </c>
      <c r="B900" t="s">
        <v>1910</v>
      </c>
      <c r="C900" t="s">
        <v>1912</v>
      </c>
      <c r="D900">
        <v>16</v>
      </c>
      <c r="E900" t="s">
        <v>1447</v>
      </c>
      <c r="F900" t="s">
        <v>1914</v>
      </c>
      <c r="G900" t="s">
        <v>1748</v>
      </c>
      <c r="H900" t="s">
        <v>2279</v>
      </c>
      <c r="I900">
        <v>2</v>
      </c>
      <c r="J900" t="s">
        <v>2279</v>
      </c>
      <c r="K900" t="s">
        <v>2279</v>
      </c>
      <c r="L900" t="s">
        <v>2279</v>
      </c>
      <c r="M900" t="s">
        <v>2279</v>
      </c>
      <c r="N900" t="s">
        <v>2279</v>
      </c>
      <c r="O900" s="190" t="str">
        <f>"["&amp;$C900&amp;"]["&amp;$D900&amp;"]["&amp;$F900&amp;"]"</f>
        <v>[S05_BiomassInstallations][16][NumberUsingBiomass]</v>
      </c>
    </row>
    <row r="901" spans="1:15" x14ac:dyDescent="0.3">
      <c r="A901" t="s">
        <v>2277</v>
      </c>
      <c r="B901" t="s">
        <v>1910</v>
      </c>
      <c r="C901" t="s">
        <v>1912</v>
      </c>
      <c r="D901">
        <v>17</v>
      </c>
      <c r="E901" t="s">
        <v>1447</v>
      </c>
      <c r="F901" t="s">
        <v>1914</v>
      </c>
      <c r="G901" t="s">
        <v>1748</v>
      </c>
      <c r="H901" t="s">
        <v>2279</v>
      </c>
      <c r="I901">
        <v>1</v>
      </c>
      <c r="J901" t="s">
        <v>2279</v>
      </c>
      <c r="K901" t="s">
        <v>2279</v>
      </c>
      <c r="L901" t="s">
        <v>2279</v>
      </c>
      <c r="M901" t="s">
        <v>2279</v>
      </c>
      <c r="N901" t="s">
        <v>2279</v>
      </c>
      <c r="O901" s="190" t="str">
        <f>"["&amp;$C901&amp;"]["&amp;$D901&amp;"]["&amp;$F901&amp;"]"</f>
        <v>[S05_BiomassInstallations][17][NumberUsingBiomass]</v>
      </c>
    </row>
    <row r="902" spans="1:15" x14ac:dyDescent="0.3">
      <c r="A902" t="s">
        <v>2277</v>
      </c>
      <c r="B902" t="s">
        <v>1910</v>
      </c>
      <c r="C902" t="s">
        <v>1912</v>
      </c>
      <c r="D902">
        <v>18</v>
      </c>
      <c r="E902" t="s">
        <v>1447</v>
      </c>
      <c r="F902" t="s">
        <v>1914</v>
      </c>
      <c r="G902" t="s">
        <v>1748</v>
      </c>
      <c r="H902" t="s">
        <v>2279</v>
      </c>
      <c r="I902">
        <v>1</v>
      </c>
      <c r="J902" t="s">
        <v>2279</v>
      </c>
      <c r="K902" t="s">
        <v>2279</v>
      </c>
      <c r="L902" t="s">
        <v>2279</v>
      </c>
      <c r="M902" t="s">
        <v>2279</v>
      </c>
      <c r="N902" t="s">
        <v>2279</v>
      </c>
      <c r="O902" s="190" t="str">
        <f>"["&amp;$C902&amp;"]["&amp;$D902&amp;"]["&amp;$F902&amp;"]"</f>
        <v>[S05_BiomassInstallations][18][NumberUsingBiomass]</v>
      </c>
    </row>
    <row r="903" spans="1:15" x14ac:dyDescent="0.3">
      <c r="A903" t="s">
        <v>2277</v>
      </c>
      <c r="B903" t="s">
        <v>1910</v>
      </c>
      <c r="C903" t="s">
        <v>1912</v>
      </c>
      <c r="D903">
        <v>1</v>
      </c>
      <c r="E903" t="s">
        <v>1447</v>
      </c>
      <c r="F903" t="s">
        <v>1915</v>
      </c>
      <c r="G903" t="s">
        <v>1806</v>
      </c>
      <c r="H903" t="s">
        <v>2279</v>
      </c>
      <c r="I903" t="s">
        <v>2279</v>
      </c>
      <c r="J903">
        <v>4420997.2039901102</v>
      </c>
      <c r="K903" t="s">
        <v>2279</v>
      </c>
      <c r="L903" t="s">
        <v>2279</v>
      </c>
      <c r="M903" t="s">
        <v>2279</v>
      </c>
      <c r="N903" t="s">
        <v>2279</v>
      </c>
      <c r="O903" s="190" t="str">
        <f>"["&amp;$C903&amp;"]["&amp;$D903&amp;"]["&amp;$F903&amp;"]"</f>
        <v>[S05_BiomassInstallations][1][EmissionsBiomassSustainabilitySatisfied]</v>
      </c>
    </row>
    <row r="904" spans="1:15" x14ac:dyDescent="0.3">
      <c r="A904" t="s">
        <v>2277</v>
      </c>
      <c r="B904" t="s">
        <v>1910</v>
      </c>
      <c r="C904" t="s">
        <v>1912</v>
      </c>
      <c r="D904">
        <v>2</v>
      </c>
      <c r="E904" t="s">
        <v>1447</v>
      </c>
      <c r="F904" t="s">
        <v>1915</v>
      </c>
      <c r="G904" t="s">
        <v>1806</v>
      </c>
      <c r="H904" t="s">
        <v>2279</v>
      </c>
      <c r="I904" t="s">
        <v>2279</v>
      </c>
      <c r="J904">
        <v>932730.61442265997</v>
      </c>
      <c r="K904" t="s">
        <v>2279</v>
      </c>
      <c r="L904" t="s">
        <v>2279</v>
      </c>
      <c r="M904" t="s">
        <v>2279</v>
      </c>
      <c r="N904" t="s">
        <v>2279</v>
      </c>
      <c r="O904" s="190" t="str">
        <f>"["&amp;$C904&amp;"]["&amp;$D904&amp;"]["&amp;$F904&amp;"]"</f>
        <v>[S05_BiomassInstallations][2][EmissionsBiomassSustainabilitySatisfied]</v>
      </c>
    </row>
    <row r="905" spans="1:15" x14ac:dyDescent="0.3">
      <c r="A905" t="s">
        <v>2277</v>
      </c>
      <c r="B905" t="s">
        <v>1910</v>
      </c>
      <c r="C905" t="s">
        <v>1912</v>
      </c>
      <c r="D905">
        <v>3</v>
      </c>
      <c r="E905" t="s">
        <v>1447</v>
      </c>
      <c r="F905" t="s">
        <v>1915</v>
      </c>
      <c r="G905" t="s">
        <v>1806</v>
      </c>
      <c r="H905" t="s">
        <v>2279</v>
      </c>
      <c r="I905" t="s">
        <v>2279</v>
      </c>
      <c r="J905">
        <v>463024.08604109997</v>
      </c>
      <c r="K905" t="s">
        <v>2279</v>
      </c>
      <c r="L905" t="s">
        <v>2279</v>
      </c>
      <c r="M905" t="s">
        <v>2279</v>
      </c>
      <c r="N905" t="s">
        <v>2279</v>
      </c>
      <c r="O905" s="190" t="str">
        <f>"["&amp;$C905&amp;"]["&amp;$D905&amp;"]["&amp;$F905&amp;"]"</f>
        <v>[S05_BiomassInstallations][3][EmissionsBiomassSustainabilitySatisfied]</v>
      </c>
    </row>
    <row r="906" spans="1:15" x14ac:dyDescent="0.3">
      <c r="A906" t="s">
        <v>2277</v>
      </c>
      <c r="B906" t="s">
        <v>1910</v>
      </c>
      <c r="C906" t="s">
        <v>1912</v>
      </c>
      <c r="D906">
        <v>4</v>
      </c>
      <c r="E906" t="s">
        <v>1447</v>
      </c>
      <c r="F906" t="s">
        <v>1915</v>
      </c>
      <c r="G906" t="s">
        <v>1806</v>
      </c>
      <c r="H906" t="s">
        <v>2279</v>
      </c>
      <c r="I906" t="s">
        <v>2279</v>
      </c>
      <c r="J906">
        <v>2067.5359604</v>
      </c>
      <c r="K906" t="s">
        <v>2279</v>
      </c>
      <c r="L906" t="s">
        <v>2279</v>
      </c>
      <c r="M906" t="s">
        <v>2279</v>
      </c>
      <c r="N906" t="s">
        <v>2279</v>
      </c>
      <c r="O906" s="190" t="str">
        <f>"["&amp;$C906&amp;"]["&amp;$D906&amp;"]["&amp;$F906&amp;"]"</f>
        <v>[S05_BiomassInstallations][4][EmissionsBiomassSustainabilitySatisfied]</v>
      </c>
    </row>
    <row r="907" spans="1:15" x14ac:dyDescent="0.3">
      <c r="A907" t="s">
        <v>2277</v>
      </c>
      <c r="B907" t="s">
        <v>1910</v>
      </c>
      <c r="C907" t="s">
        <v>1912</v>
      </c>
      <c r="D907">
        <v>5</v>
      </c>
      <c r="E907" t="s">
        <v>1447</v>
      </c>
      <c r="F907" t="s">
        <v>1915</v>
      </c>
      <c r="G907" t="s">
        <v>1806</v>
      </c>
      <c r="H907" t="s">
        <v>2279</v>
      </c>
      <c r="I907" t="s">
        <v>2279</v>
      </c>
      <c r="J907">
        <v>4772.4655231999996</v>
      </c>
      <c r="K907" t="s">
        <v>2279</v>
      </c>
      <c r="L907" t="s">
        <v>2279</v>
      </c>
      <c r="M907" t="s">
        <v>2279</v>
      </c>
      <c r="N907" t="s">
        <v>2279</v>
      </c>
      <c r="O907" s="190" t="str">
        <f>"["&amp;$C907&amp;"]["&amp;$D907&amp;"]["&amp;$F907&amp;"]"</f>
        <v>[S05_BiomassInstallations][5][EmissionsBiomassSustainabilitySatisfied]</v>
      </c>
    </row>
    <row r="908" spans="1:15" x14ac:dyDescent="0.3">
      <c r="A908" t="s">
        <v>2277</v>
      </c>
      <c r="B908" t="s">
        <v>1910</v>
      </c>
      <c r="C908" t="s">
        <v>1912</v>
      </c>
      <c r="D908">
        <v>6</v>
      </c>
      <c r="E908" t="s">
        <v>1447</v>
      </c>
      <c r="F908" t="s">
        <v>1915</v>
      </c>
      <c r="G908" t="s">
        <v>1806</v>
      </c>
      <c r="H908" t="s">
        <v>2279</v>
      </c>
      <c r="I908" t="s">
        <v>2279</v>
      </c>
      <c r="J908">
        <v>262085.37599999999</v>
      </c>
      <c r="K908" t="s">
        <v>2279</v>
      </c>
      <c r="L908" t="s">
        <v>2279</v>
      </c>
      <c r="M908" t="s">
        <v>2279</v>
      </c>
      <c r="N908" t="s">
        <v>2279</v>
      </c>
      <c r="O908" s="190" t="str">
        <f>"["&amp;$C908&amp;"]["&amp;$D908&amp;"]["&amp;$F908&amp;"]"</f>
        <v>[S05_BiomassInstallations][6][EmissionsBiomassSustainabilitySatisfied]</v>
      </c>
    </row>
    <row r="909" spans="1:15" x14ac:dyDescent="0.3">
      <c r="A909" t="s">
        <v>2277</v>
      </c>
      <c r="B909" t="s">
        <v>1910</v>
      </c>
      <c r="C909" t="s">
        <v>1912</v>
      </c>
      <c r="D909">
        <v>7</v>
      </c>
      <c r="E909" t="s">
        <v>1447</v>
      </c>
      <c r="F909" t="s">
        <v>1915</v>
      </c>
      <c r="G909" t="s">
        <v>1806</v>
      </c>
      <c r="H909" t="s">
        <v>2279</v>
      </c>
      <c r="I909" t="s">
        <v>2279</v>
      </c>
      <c r="J909">
        <v>430361.48266504699</v>
      </c>
      <c r="K909" t="s">
        <v>2279</v>
      </c>
      <c r="L909" t="s">
        <v>2279</v>
      </c>
      <c r="M909" t="s">
        <v>2279</v>
      </c>
      <c r="N909" t="s">
        <v>2279</v>
      </c>
      <c r="O909" s="190" t="str">
        <f>"["&amp;$C909&amp;"]["&amp;$D909&amp;"]["&amp;$F909&amp;"]"</f>
        <v>[S05_BiomassInstallations][7][EmissionsBiomassSustainabilitySatisfied]</v>
      </c>
    </row>
    <row r="910" spans="1:15" x14ac:dyDescent="0.3">
      <c r="A910" t="s">
        <v>2277</v>
      </c>
      <c r="B910" t="s">
        <v>1910</v>
      </c>
      <c r="C910" t="s">
        <v>1912</v>
      </c>
      <c r="D910">
        <v>8</v>
      </c>
      <c r="E910" t="s">
        <v>1447</v>
      </c>
      <c r="F910" t="s">
        <v>1915</v>
      </c>
      <c r="G910" t="s">
        <v>1806</v>
      </c>
      <c r="H910" t="s">
        <v>2279</v>
      </c>
      <c r="I910" t="s">
        <v>2279</v>
      </c>
      <c r="J910">
        <v>431724.47195437399</v>
      </c>
      <c r="K910" t="s">
        <v>2279</v>
      </c>
      <c r="L910" t="s">
        <v>2279</v>
      </c>
      <c r="M910" t="s">
        <v>2279</v>
      </c>
      <c r="N910" t="s">
        <v>2279</v>
      </c>
      <c r="O910" s="190" t="str">
        <f>"["&amp;$C910&amp;"]["&amp;$D910&amp;"]["&amp;$F910&amp;"]"</f>
        <v>[S05_BiomassInstallations][8][EmissionsBiomassSustainabilitySatisfied]</v>
      </c>
    </row>
    <row r="911" spans="1:15" x14ac:dyDescent="0.3">
      <c r="A911" t="s">
        <v>2277</v>
      </c>
      <c r="B911" t="s">
        <v>1910</v>
      </c>
      <c r="C911" t="s">
        <v>1912</v>
      </c>
      <c r="D911">
        <v>9</v>
      </c>
      <c r="E911" t="s">
        <v>1447</v>
      </c>
      <c r="F911" t="s">
        <v>1915</v>
      </c>
      <c r="G911" t="s">
        <v>1806</v>
      </c>
      <c r="H911" t="s">
        <v>2279</v>
      </c>
      <c r="I911" t="s">
        <v>2279</v>
      </c>
      <c r="J911">
        <v>59902.899982000003</v>
      </c>
      <c r="K911" t="s">
        <v>2279</v>
      </c>
      <c r="L911" t="s">
        <v>2279</v>
      </c>
      <c r="M911" t="s">
        <v>2279</v>
      </c>
      <c r="N911" t="s">
        <v>2279</v>
      </c>
      <c r="O911" s="190" t="str">
        <f>"["&amp;$C911&amp;"]["&amp;$D911&amp;"]["&amp;$F911&amp;"]"</f>
        <v>[S05_BiomassInstallations][9][EmissionsBiomassSustainabilitySatisfied]</v>
      </c>
    </row>
    <row r="912" spans="1:15" x14ac:dyDescent="0.3">
      <c r="A912" t="s">
        <v>2277</v>
      </c>
      <c r="B912" t="s">
        <v>1910</v>
      </c>
      <c r="C912" t="s">
        <v>1912</v>
      </c>
      <c r="D912">
        <v>10</v>
      </c>
      <c r="E912" t="s">
        <v>1447</v>
      </c>
      <c r="F912" t="s">
        <v>1915</v>
      </c>
      <c r="G912" t="s">
        <v>1806</v>
      </c>
      <c r="H912" t="s">
        <v>2279</v>
      </c>
      <c r="I912" t="s">
        <v>2279</v>
      </c>
      <c r="J912">
        <v>26229.8532471</v>
      </c>
      <c r="K912" t="s">
        <v>2279</v>
      </c>
      <c r="L912" t="s">
        <v>2279</v>
      </c>
      <c r="M912" t="s">
        <v>2279</v>
      </c>
      <c r="N912" t="s">
        <v>2279</v>
      </c>
      <c r="O912" s="190" t="str">
        <f>"["&amp;$C912&amp;"]["&amp;$D912&amp;"]["&amp;$F912&amp;"]"</f>
        <v>[S05_BiomassInstallations][10][EmissionsBiomassSustainabilitySatisfied]</v>
      </c>
    </row>
    <row r="913" spans="1:15" x14ac:dyDescent="0.3">
      <c r="A913" t="s">
        <v>2277</v>
      </c>
      <c r="B913" t="s">
        <v>1910</v>
      </c>
      <c r="C913" t="s">
        <v>1912</v>
      </c>
      <c r="D913">
        <v>11</v>
      </c>
      <c r="E913" t="s">
        <v>1447</v>
      </c>
      <c r="F913" t="s">
        <v>1915</v>
      </c>
      <c r="G913" t="s">
        <v>1806</v>
      </c>
      <c r="H913" t="s">
        <v>2279</v>
      </c>
      <c r="I913" t="s">
        <v>2279</v>
      </c>
      <c r="J913">
        <v>208044.90214809001</v>
      </c>
      <c r="K913" t="s">
        <v>2279</v>
      </c>
      <c r="L913" t="s">
        <v>2279</v>
      </c>
      <c r="M913" t="s">
        <v>2279</v>
      </c>
      <c r="N913" t="s">
        <v>2279</v>
      </c>
      <c r="O913" s="190" t="str">
        <f>"["&amp;$C913&amp;"]["&amp;$D913&amp;"]["&amp;$F913&amp;"]"</f>
        <v>[S05_BiomassInstallations][11][EmissionsBiomassSustainabilitySatisfied]</v>
      </c>
    </row>
    <row r="914" spans="1:15" x14ac:dyDescent="0.3">
      <c r="A914" t="s">
        <v>2277</v>
      </c>
      <c r="B914" t="s">
        <v>1910</v>
      </c>
      <c r="C914" t="s">
        <v>1912</v>
      </c>
      <c r="D914">
        <v>12</v>
      </c>
      <c r="E914" t="s">
        <v>1447</v>
      </c>
      <c r="F914" t="s">
        <v>1915</v>
      </c>
      <c r="G914" t="s">
        <v>1806</v>
      </c>
      <c r="H914" t="s">
        <v>2279</v>
      </c>
      <c r="I914" t="s">
        <v>2279</v>
      </c>
      <c r="J914">
        <v>3.06</v>
      </c>
      <c r="K914" t="s">
        <v>2279</v>
      </c>
      <c r="L914" t="s">
        <v>2279</v>
      </c>
      <c r="M914" t="s">
        <v>2279</v>
      </c>
      <c r="N914" t="s">
        <v>2279</v>
      </c>
      <c r="O914" s="190" t="str">
        <f>"["&amp;$C914&amp;"]["&amp;$D914&amp;"]["&amp;$F914&amp;"]"</f>
        <v>[S05_BiomassInstallations][12][EmissionsBiomassSustainabilitySatisfied]</v>
      </c>
    </row>
    <row r="915" spans="1:15" x14ac:dyDescent="0.3">
      <c r="A915" t="s">
        <v>2277</v>
      </c>
      <c r="B915" t="s">
        <v>1910</v>
      </c>
      <c r="C915" t="s">
        <v>1912</v>
      </c>
      <c r="D915">
        <v>13</v>
      </c>
      <c r="E915" t="s">
        <v>1447</v>
      </c>
      <c r="F915" t="s">
        <v>1915</v>
      </c>
      <c r="G915" t="s">
        <v>1806</v>
      </c>
      <c r="H915" t="s">
        <v>2279</v>
      </c>
      <c r="I915" t="s">
        <v>2279</v>
      </c>
      <c r="J915">
        <v>3044701.8950528</v>
      </c>
      <c r="K915" t="s">
        <v>2279</v>
      </c>
      <c r="L915" t="s">
        <v>2279</v>
      </c>
      <c r="M915" t="s">
        <v>2279</v>
      </c>
      <c r="N915" t="s">
        <v>2279</v>
      </c>
      <c r="O915" s="190" t="str">
        <f>"["&amp;$C915&amp;"]["&amp;$D915&amp;"]["&amp;$F915&amp;"]"</f>
        <v>[S05_BiomassInstallations][13][EmissionsBiomassSustainabilitySatisfied]</v>
      </c>
    </row>
    <row r="916" spans="1:15" x14ac:dyDescent="0.3">
      <c r="A916" t="s">
        <v>2277</v>
      </c>
      <c r="B916" t="s">
        <v>1910</v>
      </c>
      <c r="C916" t="s">
        <v>1912</v>
      </c>
      <c r="D916">
        <v>14</v>
      </c>
      <c r="E916" t="s">
        <v>1447</v>
      </c>
      <c r="F916" t="s">
        <v>1915</v>
      </c>
      <c r="G916" t="s">
        <v>1806</v>
      </c>
      <c r="H916" t="s">
        <v>2279</v>
      </c>
      <c r="I916" t="s">
        <v>2279</v>
      </c>
      <c r="J916">
        <v>381536.65724640002</v>
      </c>
      <c r="K916" t="s">
        <v>2279</v>
      </c>
      <c r="L916" t="s">
        <v>2279</v>
      </c>
      <c r="M916" t="s">
        <v>2279</v>
      </c>
      <c r="N916" t="s">
        <v>2279</v>
      </c>
      <c r="O916" s="190" t="str">
        <f>"["&amp;$C916&amp;"]["&amp;$D916&amp;"]["&amp;$F916&amp;"]"</f>
        <v>[S05_BiomassInstallations][14][EmissionsBiomassSustainabilitySatisfied]</v>
      </c>
    </row>
    <row r="917" spans="1:15" x14ac:dyDescent="0.3">
      <c r="A917" t="s">
        <v>2277</v>
      </c>
      <c r="B917" t="s">
        <v>1910</v>
      </c>
      <c r="C917" t="s">
        <v>1912</v>
      </c>
      <c r="D917">
        <v>15</v>
      </c>
      <c r="E917" t="s">
        <v>1447</v>
      </c>
      <c r="F917" t="s">
        <v>1915</v>
      </c>
      <c r="G917" t="s">
        <v>1806</v>
      </c>
      <c r="H917" t="s">
        <v>2279</v>
      </c>
      <c r="I917" t="s">
        <v>2279</v>
      </c>
      <c r="J917">
        <v>750144.61495687999</v>
      </c>
      <c r="K917" t="s">
        <v>2279</v>
      </c>
      <c r="L917" t="s">
        <v>2279</v>
      </c>
      <c r="M917" t="s">
        <v>2279</v>
      </c>
      <c r="N917" t="s">
        <v>2279</v>
      </c>
      <c r="O917" s="190" t="str">
        <f>"["&amp;$C917&amp;"]["&amp;$D917&amp;"]["&amp;$F917&amp;"]"</f>
        <v>[S05_BiomassInstallations][15][EmissionsBiomassSustainabilitySatisfied]</v>
      </c>
    </row>
    <row r="918" spans="1:15" x14ac:dyDescent="0.3">
      <c r="A918" t="s">
        <v>2277</v>
      </c>
      <c r="B918" t="s">
        <v>1910</v>
      </c>
      <c r="C918" t="s">
        <v>1912</v>
      </c>
      <c r="D918">
        <v>16</v>
      </c>
      <c r="E918" t="s">
        <v>1447</v>
      </c>
      <c r="F918" t="s">
        <v>1915</v>
      </c>
      <c r="G918" t="s">
        <v>1806</v>
      </c>
      <c r="H918" t="s">
        <v>2279</v>
      </c>
      <c r="I918" t="s">
        <v>2279</v>
      </c>
      <c r="J918">
        <v>16861.721464999999</v>
      </c>
      <c r="K918" t="s">
        <v>2279</v>
      </c>
      <c r="L918" t="s">
        <v>2279</v>
      </c>
      <c r="M918" t="s">
        <v>2279</v>
      </c>
      <c r="N918" t="s">
        <v>2279</v>
      </c>
      <c r="O918" s="190" t="str">
        <f>"["&amp;$C918&amp;"]["&amp;$D918&amp;"]["&amp;$F918&amp;"]"</f>
        <v>[S05_BiomassInstallations][16][EmissionsBiomassSustainabilitySatisfied]</v>
      </c>
    </row>
    <row r="919" spans="1:15" x14ac:dyDescent="0.3">
      <c r="A919" t="s">
        <v>2277</v>
      </c>
      <c r="B919" t="s">
        <v>1910</v>
      </c>
      <c r="C919" t="s">
        <v>1912</v>
      </c>
      <c r="D919">
        <v>17</v>
      </c>
      <c r="E919" t="s">
        <v>1447</v>
      </c>
      <c r="F919" t="s">
        <v>1915</v>
      </c>
      <c r="G919" t="s">
        <v>1806</v>
      </c>
      <c r="H919" t="s">
        <v>2279</v>
      </c>
      <c r="I919" t="s">
        <v>2279</v>
      </c>
      <c r="J919">
        <v>7502.4203802000002</v>
      </c>
      <c r="K919" t="s">
        <v>2279</v>
      </c>
      <c r="L919" t="s">
        <v>2279</v>
      </c>
      <c r="M919" t="s">
        <v>2279</v>
      </c>
      <c r="N919" t="s">
        <v>2279</v>
      </c>
      <c r="O919" s="190" t="str">
        <f>"["&amp;$C919&amp;"]["&amp;$D919&amp;"]["&amp;$F919&amp;"]"</f>
        <v>[S05_BiomassInstallations][17][EmissionsBiomassSustainabilitySatisfied]</v>
      </c>
    </row>
    <row r="920" spans="1:15" x14ac:dyDescent="0.3">
      <c r="A920" t="s">
        <v>2277</v>
      </c>
      <c r="B920" t="s">
        <v>1910</v>
      </c>
      <c r="C920" t="s">
        <v>1912</v>
      </c>
      <c r="D920">
        <v>18</v>
      </c>
      <c r="E920" t="s">
        <v>1447</v>
      </c>
      <c r="F920" t="s">
        <v>1915</v>
      </c>
      <c r="G920" t="s">
        <v>1806</v>
      </c>
      <c r="H920" t="s">
        <v>2279</v>
      </c>
      <c r="I920" t="s">
        <v>2279</v>
      </c>
      <c r="J920">
        <v>2347.6641794000002</v>
      </c>
      <c r="K920" t="s">
        <v>2279</v>
      </c>
      <c r="L920" t="s">
        <v>2279</v>
      </c>
      <c r="M920" t="s">
        <v>2279</v>
      </c>
      <c r="N920" t="s">
        <v>2279</v>
      </c>
      <c r="O920" s="190" t="str">
        <f>"["&amp;$C920&amp;"]["&amp;$D920&amp;"]["&amp;$F920&amp;"]"</f>
        <v>[S05_BiomassInstallations][18][EmissionsBiomassSustainabilitySatisfied]</v>
      </c>
    </row>
    <row r="921" spans="1:15" x14ac:dyDescent="0.3">
      <c r="A921" t="s">
        <v>2277</v>
      </c>
      <c r="B921" t="s">
        <v>1910</v>
      </c>
      <c r="C921" t="s">
        <v>1912</v>
      </c>
      <c r="D921">
        <v>1</v>
      </c>
      <c r="E921" t="s">
        <v>1447</v>
      </c>
      <c r="F921" t="s">
        <v>1916</v>
      </c>
      <c r="G921" t="s">
        <v>1806</v>
      </c>
      <c r="H921" t="s">
        <v>2279</v>
      </c>
      <c r="I921" t="s">
        <v>2279</v>
      </c>
      <c r="J921">
        <v>16443</v>
      </c>
      <c r="K921" t="s">
        <v>2279</v>
      </c>
      <c r="L921" t="s">
        <v>2279</v>
      </c>
      <c r="M921" t="s">
        <v>2279</v>
      </c>
      <c r="N921" t="s">
        <v>2279</v>
      </c>
      <c r="O921" s="190" t="str">
        <f>"["&amp;$C921&amp;"]["&amp;$D921&amp;"]["&amp;$F921&amp;"]"</f>
        <v>[S05_BiomassInstallations][1][EmissionsBiomassSustainabilityNotSatisfied]</v>
      </c>
    </row>
    <row r="922" spans="1:15" x14ac:dyDescent="0.3">
      <c r="A922" t="s">
        <v>2277</v>
      </c>
      <c r="B922" t="s">
        <v>1910</v>
      </c>
      <c r="C922" t="s">
        <v>1912</v>
      </c>
      <c r="D922">
        <v>2</v>
      </c>
      <c r="E922" t="s">
        <v>1447</v>
      </c>
      <c r="F922" t="s">
        <v>1916</v>
      </c>
      <c r="G922" t="s">
        <v>1806</v>
      </c>
      <c r="H922" t="s">
        <v>2279</v>
      </c>
      <c r="I922" t="s">
        <v>2279</v>
      </c>
      <c r="J922">
        <v>820</v>
      </c>
      <c r="K922" t="s">
        <v>2279</v>
      </c>
      <c r="L922" t="s">
        <v>2279</v>
      </c>
      <c r="M922" t="s">
        <v>2279</v>
      </c>
      <c r="N922" t="s">
        <v>2279</v>
      </c>
      <c r="O922" s="190" t="str">
        <f>"["&amp;$C922&amp;"]["&amp;$D922&amp;"]["&amp;$F922&amp;"]"</f>
        <v>[S05_BiomassInstallations][2][EmissionsBiomassSustainabilityNotSatisfied]</v>
      </c>
    </row>
    <row r="923" spans="1:15" x14ac:dyDescent="0.3">
      <c r="A923" t="s">
        <v>2277</v>
      </c>
      <c r="B923" t="s">
        <v>1910</v>
      </c>
      <c r="C923" t="s">
        <v>1912</v>
      </c>
      <c r="D923">
        <v>3</v>
      </c>
      <c r="E923" t="s">
        <v>1447</v>
      </c>
      <c r="F923" t="s">
        <v>1916</v>
      </c>
      <c r="G923" t="s">
        <v>1806</v>
      </c>
      <c r="H923" t="s">
        <v>2279</v>
      </c>
      <c r="I923" t="s">
        <v>2279</v>
      </c>
      <c r="J923">
        <v>0</v>
      </c>
      <c r="K923" t="s">
        <v>2279</v>
      </c>
      <c r="L923" t="s">
        <v>2279</v>
      </c>
      <c r="M923" t="s">
        <v>2279</v>
      </c>
      <c r="N923" t="s">
        <v>2279</v>
      </c>
      <c r="O923" s="190" t="str">
        <f>"["&amp;$C923&amp;"]["&amp;$D923&amp;"]["&amp;$F923&amp;"]"</f>
        <v>[S05_BiomassInstallations][3][EmissionsBiomassSustainabilityNotSatisfied]</v>
      </c>
    </row>
    <row r="924" spans="1:15" x14ac:dyDescent="0.3">
      <c r="A924" t="s">
        <v>2277</v>
      </c>
      <c r="B924" t="s">
        <v>1910</v>
      </c>
      <c r="C924" t="s">
        <v>1912</v>
      </c>
      <c r="D924">
        <v>4</v>
      </c>
      <c r="E924" t="s">
        <v>1447</v>
      </c>
      <c r="F924" t="s">
        <v>1916</v>
      </c>
      <c r="G924" t="s">
        <v>1806</v>
      </c>
      <c r="H924" t="s">
        <v>2279</v>
      </c>
      <c r="I924" t="s">
        <v>2279</v>
      </c>
      <c r="J924">
        <v>0</v>
      </c>
      <c r="K924" t="s">
        <v>2279</v>
      </c>
      <c r="L924" t="s">
        <v>2279</v>
      </c>
      <c r="M924" t="s">
        <v>2279</v>
      </c>
      <c r="N924" t="s">
        <v>2279</v>
      </c>
      <c r="O924" s="190" t="str">
        <f>"["&amp;$C924&amp;"]["&amp;$D924&amp;"]["&amp;$F924&amp;"]"</f>
        <v>[S05_BiomassInstallations][4][EmissionsBiomassSustainabilityNotSatisfied]</v>
      </c>
    </row>
    <row r="925" spans="1:15" x14ac:dyDescent="0.3">
      <c r="A925" t="s">
        <v>2277</v>
      </c>
      <c r="B925" t="s">
        <v>1910</v>
      </c>
      <c r="C925" t="s">
        <v>1912</v>
      </c>
      <c r="D925">
        <v>5</v>
      </c>
      <c r="E925" t="s">
        <v>1447</v>
      </c>
      <c r="F925" t="s">
        <v>1916</v>
      </c>
      <c r="G925" t="s">
        <v>1806</v>
      </c>
      <c r="H925" t="s">
        <v>2279</v>
      </c>
      <c r="I925" t="s">
        <v>2279</v>
      </c>
      <c r="J925">
        <v>0</v>
      </c>
      <c r="K925" t="s">
        <v>2279</v>
      </c>
      <c r="L925" t="s">
        <v>2279</v>
      </c>
      <c r="M925" t="s">
        <v>2279</v>
      </c>
      <c r="N925" t="s">
        <v>2279</v>
      </c>
      <c r="O925" s="190" t="str">
        <f>"["&amp;$C925&amp;"]["&amp;$D925&amp;"]["&amp;$F925&amp;"]"</f>
        <v>[S05_BiomassInstallations][5][EmissionsBiomassSustainabilityNotSatisfied]</v>
      </c>
    </row>
    <row r="926" spans="1:15" x14ac:dyDescent="0.3">
      <c r="A926" t="s">
        <v>2277</v>
      </c>
      <c r="B926" t="s">
        <v>1910</v>
      </c>
      <c r="C926" t="s">
        <v>1912</v>
      </c>
      <c r="D926">
        <v>6</v>
      </c>
      <c r="E926" t="s">
        <v>1447</v>
      </c>
      <c r="F926" t="s">
        <v>1916</v>
      </c>
      <c r="G926" t="s">
        <v>1806</v>
      </c>
      <c r="H926" t="s">
        <v>2279</v>
      </c>
      <c r="I926" t="s">
        <v>2279</v>
      </c>
      <c r="J926">
        <v>0</v>
      </c>
      <c r="K926" t="s">
        <v>2279</v>
      </c>
      <c r="L926" t="s">
        <v>2279</v>
      </c>
      <c r="M926" t="s">
        <v>2279</v>
      </c>
      <c r="N926" t="s">
        <v>2279</v>
      </c>
      <c r="O926" s="190" t="str">
        <f>"["&amp;$C926&amp;"]["&amp;$D926&amp;"]["&amp;$F926&amp;"]"</f>
        <v>[S05_BiomassInstallations][6][EmissionsBiomassSustainabilityNotSatisfied]</v>
      </c>
    </row>
    <row r="927" spans="1:15" x14ac:dyDescent="0.3">
      <c r="A927" t="s">
        <v>2277</v>
      </c>
      <c r="B927" t="s">
        <v>1910</v>
      </c>
      <c r="C927" t="s">
        <v>1912</v>
      </c>
      <c r="D927">
        <v>7</v>
      </c>
      <c r="E927" t="s">
        <v>1447</v>
      </c>
      <c r="F927" t="s">
        <v>1916</v>
      </c>
      <c r="G927" t="s">
        <v>1806</v>
      </c>
      <c r="H927" t="s">
        <v>2279</v>
      </c>
      <c r="I927" t="s">
        <v>2279</v>
      </c>
      <c r="J927">
        <v>9766</v>
      </c>
      <c r="K927" t="s">
        <v>2279</v>
      </c>
      <c r="L927" t="s">
        <v>2279</v>
      </c>
      <c r="M927" t="s">
        <v>2279</v>
      </c>
      <c r="N927" t="s">
        <v>2279</v>
      </c>
      <c r="O927" s="190" t="str">
        <f>"["&amp;$C927&amp;"]["&amp;$D927&amp;"]["&amp;$F927&amp;"]"</f>
        <v>[S05_BiomassInstallations][7][EmissionsBiomassSustainabilityNotSatisfied]</v>
      </c>
    </row>
    <row r="928" spans="1:15" x14ac:dyDescent="0.3">
      <c r="A928" t="s">
        <v>2277</v>
      </c>
      <c r="B928" t="s">
        <v>1910</v>
      </c>
      <c r="C928" t="s">
        <v>1912</v>
      </c>
      <c r="D928">
        <v>8</v>
      </c>
      <c r="E928" t="s">
        <v>1447</v>
      </c>
      <c r="F928" t="s">
        <v>1916</v>
      </c>
      <c r="G928" t="s">
        <v>1806</v>
      </c>
      <c r="H928" t="s">
        <v>2279</v>
      </c>
      <c r="I928" t="s">
        <v>2279</v>
      </c>
      <c r="J928">
        <v>0</v>
      </c>
      <c r="K928" t="s">
        <v>2279</v>
      </c>
      <c r="L928" t="s">
        <v>2279</v>
      </c>
      <c r="M928" t="s">
        <v>2279</v>
      </c>
      <c r="N928" t="s">
        <v>2279</v>
      </c>
      <c r="O928" s="190" t="str">
        <f>"["&amp;$C928&amp;"]["&amp;$D928&amp;"]["&amp;$F928&amp;"]"</f>
        <v>[S05_BiomassInstallations][8][EmissionsBiomassSustainabilityNotSatisfied]</v>
      </c>
    </row>
    <row r="929" spans="1:15" x14ac:dyDescent="0.3">
      <c r="A929" t="s">
        <v>2277</v>
      </c>
      <c r="B929" t="s">
        <v>1910</v>
      </c>
      <c r="C929" t="s">
        <v>1912</v>
      </c>
      <c r="D929">
        <v>9</v>
      </c>
      <c r="E929" t="s">
        <v>1447</v>
      </c>
      <c r="F929" t="s">
        <v>1916</v>
      </c>
      <c r="G929" t="s">
        <v>1806</v>
      </c>
      <c r="H929" t="s">
        <v>2279</v>
      </c>
      <c r="I929" t="s">
        <v>2279</v>
      </c>
      <c r="J929">
        <v>0</v>
      </c>
      <c r="K929" t="s">
        <v>2279</v>
      </c>
      <c r="L929" t="s">
        <v>2279</v>
      </c>
      <c r="M929" t="s">
        <v>2279</v>
      </c>
      <c r="N929" t="s">
        <v>2279</v>
      </c>
      <c r="O929" s="190" t="str">
        <f>"["&amp;$C929&amp;"]["&amp;$D929&amp;"]["&amp;$F929&amp;"]"</f>
        <v>[S05_BiomassInstallations][9][EmissionsBiomassSustainabilityNotSatisfied]</v>
      </c>
    </row>
    <row r="930" spans="1:15" x14ac:dyDescent="0.3">
      <c r="A930" t="s">
        <v>2277</v>
      </c>
      <c r="B930" t="s">
        <v>1910</v>
      </c>
      <c r="C930" t="s">
        <v>1912</v>
      </c>
      <c r="D930">
        <v>10</v>
      </c>
      <c r="E930" t="s">
        <v>1447</v>
      </c>
      <c r="F930" t="s">
        <v>1916</v>
      </c>
      <c r="G930" t="s">
        <v>1806</v>
      </c>
      <c r="H930" t="s">
        <v>2279</v>
      </c>
      <c r="I930" t="s">
        <v>2279</v>
      </c>
      <c r="J930">
        <v>0</v>
      </c>
      <c r="K930" t="s">
        <v>2279</v>
      </c>
      <c r="L930" t="s">
        <v>2279</v>
      </c>
      <c r="M930" t="s">
        <v>2279</v>
      </c>
      <c r="N930" t="s">
        <v>2279</v>
      </c>
      <c r="O930" s="190" t="str">
        <f>"["&amp;$C930&amp;"]["&amp;$D930&amp;"]["&amp;$F930&amp;"]"</f>
        <v>[S05_BiomassInstallations][10][EmissionsBiomassSustainabilityNotSatisfied]</v>
      </c>
    </row>
    <row r="931" spans="1:15" x14ac:dyDescent="0.3">
      <c r="A931" t="s">
        <v>2277</v>
      </c>
      <c r="B931" t="s">
        <v>1910</v>
      </c>
      <c r="C931" t="s">
        <v>1912</v>
      </c>
      <c r="D931">
        <v>11</v>
      </c>
      <c r="E931" t="s">
        <v>1447</v>
      </c>
      <c r="F931" t="s">
        <v>1916</v>
      </c>
      <c r="G931" t="s">
        <v>1806</v>
      </c>
      <c r="H931" t="s">
        <v>2279</v>
      </c>
      <c r="I931" t="s">
        <v>2279</v>
      </c>
      <c r="J931">
        <v>0</v>
      </c>
      <c r="K931" t="s">
        <v>2279</v>
      </c>
      <c r="L931" t="s">
        <v>2279</v>
      </c>
      <c r="M931" t="s">
        <v>2279</v>
      </c>
      <c r="N931" t="s">
        <v>2279</v>
      </c>
      <c r="O931" s="190" t="str">
        <f>"["&amp;$C931&amp;"]["&amp;$D931&amp;"]["&amp;$F931&amp;"]"</f>
        <v>[S05_BiomassInstallations][11][EmissionsBiomassSustainabilityNotSatisfied]</v>
      </c>
    </row>
    <row r="932" spans="1:15" x14ac:dyDescent="0.3">
      <c r="A932" t="s">
        <v>2277</v>
      </c>
      <c r="B932" t="s">
        <v>1910</v>
      </c>
      <c r="C932" t="s">
        <v>1912</v>
      </c>
      <c r="D932">
        <v>12</v>
      </c>
      <c r="E932" t="s">
        <v>1447</v>
      </c>
      <c r="F932" t="s">
        <v>1916</v>
      </c>
      <c r="G932" t="s">
        <v>1806</v>
      </c>
      <c r="H932" t="s">
        <v>2279</v>
      </c>
      <c r="I932" t="s">
        <v>2279</v>
      </c>
      <c r="J932">
        <v>0</v>
      </c>
      <c r="K932" t="s">
        <v>2279</v>
      </c>
      <c r="L932" t="s">
        <v>2279</v>
      </c>
      <c r="M932" t="s">
        <v>2279</v>
      </c>
      <c r="N932" t="s">
        <v>2279</v>
      </c>
      <c r="O932" s="190" t="str">
        <f>"["&amp;$C932&amp;"]["&amp;$D932&amp;"]["&amp;$F932&amp;"]"</f>
        <v>[S05_BiomassInstallations][12][EmissionsBiomassSustainabilityNotSatisfied]</v>
      </c>
    </row>
    <row r="933" spans="1:15" x14ac:dyDescent="0.3">
      <c r="A933" t="s">
        <v>2277</v>
      </c>
      <c r="B933" t="s">
        <v>1910</v>
      </c>
      <c r="C933" t="s">
        <v>1912</v>
      </c>
      <c r="D933">
        <v>13</v>
      </c>
      <c r="E933" t="s">
        <v>1447</v>
      </c>
      <c r="F933" t="s">
        <v>1916</v>
      </c>
      <c r="G933" t="s">
        <v>1806</v>
      </c>
      <c r="H933" t="s">
        <v>2279</v>
      </c>
      <c r="I933" t="s">
        <v>2279</v>
      </c>
      <c r="J933">
        <v>0</v>
      </c>
      <c r="K933" t="s">
        <v>2279</v>
      </c>
      <c r="L933" t="s">
        <v>2279</v>
      </c>
      <c r="M933" t="s">
        <v>2279</v>
      </c>
      <c r="N933" t="s">
        <v>2279</v>
      </c>
      <c r="O933" s="190" t="str">
        <f>"["&amp;$C933&amp;"]["&amp;$D933&amp;"]["&amp;$F933&amp;"]"</f>
        <v>[S05_BiomassInstallations][13][EmissionsBiomassSustainabilityNotSatisfied]</v>
      </c>
    </row>
    <row r="934" spans="1:15" x14ac:dyDescent="0.3">
      <c r="A934" t="s">
        <v>2277</v>
      </c>
      <c r="B934" t="s">
        <v>1910</v>
      </c>
      <c r="C934" t="s">
        <v>1912</v>
      </c>
      <c r="D934">
        <v>14</v>
      </c>
      <c r="E934" t="s">
        <v>1447</v>
      </c>
      <c r="F934" t="s">
        <v>1916</v>
      </c>
      <c r="G934" t="s">
        <v>1806</v>
      </c>
      <c r="H934" t="s">
        <v>2279</v>
      </c>
      <c r="I934" t="s">
        <v>2279</v>
      </c>
      <c r="J934">
        <v>0</v>
      </c>
      <c r="K934" t="s">
        <v>2279</v>
      </c>
      <c r="L934" t="s">
        <v>2279</v>
      </c>
      <c r="M934" t="s">
        <v>2279</v>
      </c>
      <c r="N934" t="s">
        <v>2279</v>
      </c>
      <c r="O934" s="190" t="str">
        <f>"["&amp;$C934&amp;"]["&amp;$D934&amp;"]["&amp;$F934&amp;"]"</f>
        <v>[S05_BiomassInstallations][14][EmissionsBiomassSustainabilityNotSatisfied]</v>
      </c>
    </row>
    <row r="935" spans="1:15" x14ac:dyDescent="0.3">
      <c r="A935" t="s">
        <v>2277</v>
      </c>
      <c r="B935" t="s">
        <v>1910</v>
      </c>
      <c r="C935" t="s">
        <v>1912</v>
      </c>
      <c r="D935">
        <v>15</v>
      </c>
      <c r="E935" t="s">
        <v>1447</v>
      </c>
      <c r="F935" t="s">
        <v>1916</v>
      </c>
      <c r="G935" t="s">
        <v>1806</v>
      </c>
      <c r="H935" t="s">
        <v>2279</v>
      </c>
      <c r="I935" t="s">
        <v>2279</v>
      </c>
      <c r="J935">
        <v>268</v>
      </c>
      <c r="K935" t="s">
        <v>2279</v>
      </c>
      <c r="L935" t="s">
        <v>2279</v>
      </c>
      <c r="M935" t="s">
        <v>2279</v>
      </c>
      <c r="N935" t="s">
        <v>2279</v>
      </c>
      <c r="O935" s="190" t="str">
        <f>"["&amp;$C935&amp;"]["&amp;$D935&amp;"]["&amp;$F935&amp;"]"</f>
        <v>[S05_BiomassInstallations][15][EmissionsBiomassSustainabilityNotSatisfied]</v>
      </c>
    </row>
    <row r="936" spans="1:15" x14ac:dyDescent="0.3">
      <c r="A936" t="s">
        <v>2277</v>
      </c>
      <c r="B936" t="s">
        <v>1910</v>
      </c>
      <c r="C936" t="s">
        <v>1912</v>
      </c>
      <c r="D936">
        <v>16</v>
      </c>
      <c r="E936" t="s">
        <v>1447</v>
      </c>
      <c r="F936" t="s">
        <v>1916</v>
      </c>
      <c r="G936" t="s">
        <v>1806</v>
      </c>
      <c r="H936" t="s">
        <v>2279</v>
      </c>
      <c r="I936" t="s">
        <v>2279</v>
      </c>
      <c r="J936">
        <v>0</v>
      </c>
      <c r="K936" t="s">
        <v>2279</v>
      </c>
      <c r="L936" t="s">
        <v>2279</v>
      </c>
      <c r="M936" t="s">
        <v>2279</v>
      </c>
      <c r="N936" t="s">
        <v>2279</v>
      </c>
      <c r="O936" s="190" t="str">
        <f>"["&amp;$C936&amp;"]["&amp;$D936&amp;"]["&amp;$F936&amp;"]"</f>
        <v>[S05_BiomassInstallations][16][EmissionsBiomassSustainabilityNotSatisfied]</v>
      </c>
    </row>
    <row r="937" spans="1:15" x14ac:dyDescent="0.3">
      <c r="A937" t="s">
        <v>2277</v>
      </c>
      <c r="B937" t="s">
        <v>1910</v>
      </c>
      <c r="C937" t="s">
        <v>1912</v>
      </c>
      <c r="D937">
        <v>17</v>
      </c>
      <c r="E937" t="s">
        <v>1447</v>
      </c>
      <c r="F937" t="s">
        <v>1916</v>
      </c>
      <c r="G937" t="s">
        <v>1806</v>
      </c>
      <c r="H937" t="s">
        <v>2279</v>
      </c>
      <c r="I937" t="s">
        <v>2279</v>
      </c>
      <c r="J937">
        <v>0</v>
      </c>
      <c r="K937" t="s">
        <v>2279</v>
      </c>
      <c r="L937" t="s">
        <v>2279</v>
      </c>
      <c r="M937" t="s">
        <v>2279</v>
      </c>
      <c r="N937" t="s">
        <v>2279</v>
      </c>
      <c r="O937" s="190" t="str">
        <f>"["&amp;$C937&amp;"]["&amp;$D937&amp;"]["&amp;$F937&amp;"]"</f>
        <v>[S05_BiomassInstallations][17][EmissionsBiomassSustainabilityNotSatisfied]</v>
      </c>
    </row>
    <row r="938" spans="1:15" x14ac:dyDescent="0.3">
      <c r="A938" t="s">
        <v>2277</v>
      </c>
      <c r="B938" t="s">
        <v>1910</v>
      </c>
      <c r="C938" t="s">
        <v>1912</v>
      </c>
      <c r="D938">
        <v>18</v>
      </c>
      <c r="E938" t="s">
        <v>1447</v>
      </c>
      <c r="F938" t="s">
        <v>1916</v>
      </c>
      <c r="G938" t="s">
        <v>1806</v>
      </c>
      <c r="H938" t="s">
        <v>2279</v>
      </c>
      <c r="I938" t="s">
        <v>2279</v>
      </c>
      <c r="J938">
        <v>0</v>
      </c>
      <c r="K938" t="s">
        <v>2279</v>
      </c>
      <c r="L938" t="s">
        <v>2279</v>
      </c>
      <c r="M938" t="s">
        <v>2279</v>
      </c>
      <c r="N938" t="s">
        <v>2279</v>
      </c>
      <c r="O938" s="190" t="str">
        <f>"["&amp;$C938&amp;"]["&amp;$D938&amp;"]["&amp;$F938&amp;"]"</f>
        <v>[S05_BiomassInstallations][18][EmissionsBiomassSustainabilityNotSatisfied]</v>
      </c>
    </row>
    <row r="939" spans="1:15" x14ac:dyDescent="0.3">
      <c r="A939" t="s">
        <v>2277</v>
      </c>
      <c r="B939" t="s">
        <v>1910</v>
      </c>
      <c r="C939" t="s">
        <v>1912</v>
      </c>
      <c r="D939">
        <v>1</v>
      </c>
      <c r="E939" t="s">
        <v>1447</v>
      </c>
      <c r="F939" t="s">
        <v>1917</v>
      </c>
      <c r="G939" t="s">
        <v>1806</v>
      </c>
      <c r="H939" t="s">
        <v>2279</v>
      </c>
      <c r="I939" t="s">
        <v>2279</v>
      </c>
      <c r="J939">
        <v>1604395.72405553</v>
      </c>
      <c r="K939" t="s">
        <v>2279</v>
      </c>
      <c r="L939" t="s">
        <v>2279</v>
      </c>
      <c r="M939" t="s">
        <v>2279</v>
      </c>
      <c r="N939" t="s">
        <v>2279</v>
      </c>
      <c r="O939" s="190" t="str">
        <f>"["&amp;$C939&amp;"]["&amp;$D939&amp;"]["&amp;$F939&amp;"]"</f>
        <v>[S05_BiomassInstallations][1][EmissionsFossil]</v>
      </c>
    </row>
    <row r="940" spans="1:15" x14ac:dyDescent="0.3">
      <c r="A940" t="s">
        <v>2277</v>
      </c>
      <c r="B940" t="s">
        <v>1910</v>
      </c>
      <c r="C940" t="s">
        <v>1912</v>
      </c>
      <c r="D940">
        <v>2</v>
      </c>
      <c r="E940" t="s">
        <v>1447</v>
      </c>
      <c r="F940" t="s">
        <v>1917</v>
      </c>
      <c r="G940" t="s">
        <v>1806</v>
      </c>
      <c r="H940" t="s">
        <v>2279</v>
      </c>
      <c r="I940" t="s">
        <v>2279</v>
      </c>
      <c r="J940">
        <v>1905758.0412876999</v>
      </c>
      <c r="K940" t="s">
        <v>2279</v>
      </c>
      <c r="L940" t="s">
        <v>2279</v>
      </c>
      <c r="M940" t="s">
        <v>2279</v>
      </c>
      <c r="N940" t="s">
        <v>2279</v>
      </c>
      <c r="O940" s="190" t="str">
        <f>"["&amp;$C940&amp;"]["&amp;$D940&amp;"]["&amp;$F940&amp;"]"</f>
        <v>[S05_BiomassInstallations][2][EmissionsFossil]</v>
      </c>
    </row>
    <row r="941" spans="1:15" x14ac:dyDescent="0.3">
      <c r="A941" t="s">
        <v>2277</v>
      </c>
      <c r="B941" t="s">
        <v>1910</v>
      </c>
      <c r="C941" t="s">
        <v>1912</v>
      </c>
      <c r="D941">
        <v>3</v>
      </c>
      <c r="E941" t="s">
        <v>1447</v>
      </c>
      <c r="F941" t="s">
        <v>1917</v>
      </c>
      <c r="G941" t="s">
        <v>1806</v>
      </c>
      <c r="H941" t="s">
        <v>2279</v>
      </c>
      <c r="I941" t="s">
        <v>2279</v>
      </c>
      <c r="J941">
        <v>2928252.7579253102</v>
      </c>
      <c r="K941" t="s">
        <v>2279</v>
      </c>
      <c r="L941" t="s">
        <v>2279</v>
      </c>
      <c r="M941" t="s">
        <v>2279</v>
      </c>
      <c r="N941" t="s">
        <v>2279</v>
      </c>
      <c r="O941" s="190" t="str">
        <f>"["&amp;$C941&amp;"]["&amp;$D941&amp;"]["&amp;$F941&amp;"]"</f>
        <v>[S05_BiomassInstallations][3][EmissionsFossil]</v>
      </c>
    </row>
    <row r="942" spans="1:15" x14ac:dyDescent="0.3">
      <c r="A942" t="s">
        <v>2277</v>
      </c>
      <c r="B942" t="s">
        <v>1910</v>
      </c>
      <c r="C942" t="s">
        <v>1912</v>
      </c>
      <c r="D942">
        <v>4</v>
      </c>
      <c r="E942" t="s">
        <v>1447</v>
      </c>
      <c r="F942" t="s">
        <v>1917</v>
      </c>
      <c r="G942" t="s">
        <v>1806</v>
      </c>
      <c r="H942" t="s">
        <v>2279</v>
      </c>
      <c r="I942" t="s">
        <v>2279</v>
      </c>
      <c r="J942">
        <v>54006.048908620003</v>
      </c>
      <c r="K942" t="s">
        <v>2279</v>
      </c>
      <c r="L942" t="s">
        <v>2279</v>
      </c>
      <c r="M942" t="s">
        <v>2279</v>
      </c>
      <c r="N942" t="s">
        <v>2279</v>
      </c>
      <c r="O942" s="190" t="str">
        <f>"["&amp;$C942&amp;"]["&amp;$D942&amp;"]["&amp;$F942&amp;"]"</f>
        <v>[S05_BiomassInstallations][4][EmissionsFossil]</v>
      </c>
    </row>
    <row r="943" spans="1:15" x14ac:dyDescent="0.3">
      <c r="A943" t="s">
        <v>2277</v>
      </c>
      <c r="B943" t="s">
        <v>1910</v>
      </c>
      <c r="C943" t="s">
        <v>1912</v>
      </c>
      <c r="D943">
        <v>5</v>
      </c>
      <c r="E943" t="s">
        <v>1447</v>
      </c>
      <c r="F943" t="s">
        <v>1917</v>
      </c>
      <c r="G943" t="s">
        <v>1806</v>
      </c>
      <c r="H943" t="s">
        <v>2279</v>
      </c>
      <c r="I943" t="s">
        <v>2279</v>
      </c>
      <c r="J943">
        <v>35598.041365997</v>
      </c>
      <c r="K943" t="s">
        <v>2279</v>
      </c>
      <c r="L943" t="s">
        <v>2279</v>
      </c>
      <c r="M943" t="s">
        <v>2279</v>
      </c>
      <c r="N943" t="s">
        <v>2279</v>
      </c>
      <c r="O943" s="190" t="str">
        <f>"["&amp;$C943&amp;"]["&amp;$D943&amp;"]["&amp;$F943&amp;"]"</f>
        <v>[S05_BiomassInstallations][5][EmissionsFossil]</v>
      </c>
    </row>
    <row r="944" spans="1:15" x14ac:dyDescent="0.3">
      <c r="A944" t="s">
        <v>2277</v>
      </c>
      <c r="B944" t="s">
        <v>1910</v>
      </c>
      <c r="C944" t="s">
        <v>1912</v>
      </c>
      <c r="D944">
        <v>6</v>
      </c>
      <c r="E944" t="s">
        <v>1447</v>
      </c>
      <c r="F944" t="s">
        <v>1917</v>
      </c>
      <c r="G944" t="s">
        <v>1806</v>
      </c>
      <c r="H944" t="s">
        <v>2279</v>
      </c>
      <c r="I944" t="s">
        <v>2279</v>
      </c>
      <c r="J944">
        <v>608714.64184812899</v>
      </c>
      <c r="K944" t="s">
        <v>2279</v>
      </c>
      <c r="L944" t="s">
        <v>2279</v>
      </c>
      <c r="M944" t="s">
        <v>2279</v>
      </c>
      <c r="N944" t="s">
        <v>2279</v>
      </c>
      <c r="O944" s="190" t="str">
        <f>"["&amp;$C944&amp;"]["&amp;$D944&amp;"]["&amp;$F944&amp;"]"</f>
        <v>[S05_BiomassInstallations][6][EmissionsFossil]</v>
      </c>
    </row>
    <row r="945" spans="1:15" x14ac:dyDescent="0.3">
      <c r="A945" t="s">
        <v>2277</v>
      </c>
      <c r="B945" t="s">
        <v>1910</v>
      </c>
      <c r="C945" t="s">
        <v>1912</v>
      </c>
      <c r="D945">
        <v>7</v>
      </c>
      <c r="E945" t="s">
        <v>1447</v>
      </c>
      <c r="F945" t="s">
        <v>1917</v>
      </c>
      <c r="G945" t="s">
        <v>1806</v>
      </c>
      <c r="H945" t="s">
        <v>2279</v>
      </c>
      <c r="I945" t="s">
        <v>2279</v>
      </c>
      <c r="J945">
        <v>4897705.3182300804</v>
      </c>
      <c r="K945" t="s">
        <v>2279</v>
      </c>
      <c r="L945" t="s">
        <v>2279</v>
      </c>
      <c r="M945" t="s">
        <v>2279</v>
      </c>
      <c r="N945" t="s">
        <v>2279</v>
      </c>
      <c r="O945" s="190" t="str">
        <f>"["&amp;$C945&amp;"]["&amp;$D945&amp;"]["&amp;$F945&amp;"]"</f>
        <v>[S05_BiomassInstallations][7][EmissionsFossil]</v>
      </c>
    </row>
    <row r="946" spans="1:15" x14ac:dyDescent="0.3">
      <c r="A946" t="s">
        <v>2277</v>
      </c>
      <c r="B946" t="s">
        <v>1910</v>
      </c>
      <c r="C946" t="s">
        <v>1912</v>
      </c>
      <c r="D946">
        <v>8</v>
      </c>
      <c r="E946" t="s">
        <v>1447</v>
      </c>
      <c r="F946" t="s">
        <v>1917</v>
      </c>
      <c r="G946" t="s">
        <v>1806</v>
      </c>
      <c r="H946" t="s">
        <v>2279</v>
      </c>
      <c r="I946" t="s">
        <v>2279</v>
      </c>
      <c r="J946">
        <v>4518011.8874177197</v>
      </c>
      <c r="K946" t="s">
        <v>2279</v>
      </c>
      <c r="L946" t="s">
        <v>2279</v>
      </c>
      <c r="M946" t="s">
        <v>2279</v>
      </c>
      <c r="N946" t="s">
        <v>2279</v>
      </c>
      <c r="O946" s="190" t="str">
        <f>"["&amp;$C946&amp;"]["&amp;$D946&amp;"]["&amp;$F946&amp;"]"</f>
        <v>[S05_BiomassInstallations][8][EmissionsFossil]</v>
      </c>
    </row>
    <row r="947" spans="1:15" x14ac:dyDescent="0.3">
      <c r="A947" t="s">
        <v>2277</v>
      </c>
      <c r="B947" t="s">
        <v>1910</v>
      </c>
      <c r="C947" t="s">
        <v>1912</v>
      </c>
      <c r="D947">
        <v>9</v>
      </c>
      <c r="E947" t="s">
        <v>1447</v>
      </c>
      <c r="F947" t="s">
        <v>1917</v>
      </c>
      <c r="G947" t="s">
        <v>1806</v>
      </c>
      <c r="H947" t="s">
        <v>2279</v>
      </c>
      <c r="I947" t="s">
        <v>2279</v>
      </c>
      <c r="J947">
        <v>106499.24317622199</v>
      </c>
      <c r="K947" t="s">
        <v>2279</v>
      </c>
      <c r="L947" t="s">
        <v>2279</v>
      </c>
      <c r="M947" t="s">
        <v>2279</v>
      </c>
      <c r="N947" t="s">
        <v>2279</v>
      </c>
      <c r="O947" s="190" t="str">
        <f>"["&amp;$C947&amp;"]["&amp;$D947&amp;"]["&amp;$F947&amp;"]"</f>
        <v>[S05_BiomassInstallations][9][EmissionsFossil]</v>
      </c>
    </row>
    <row r="948" spans="1:15" x14ac:dyDescent="0.3">
      <c r="A948" t="s">
        <v>2277</v>
      </c>
      <c r="B948" t="s">
        <v>1910</v>
      </c>
      <c r="C948" t="s">
        <v>1912</v>
      </c>
      <c r="D948">
        <v>10</v>
      </c>
      <c r="E948" t="s">
        <v>1447</v>
      </c>
      <c r="F948" t="s">
        <v>1917</v>
      </c>
      <c r="G948" t="s">
        <v>1806</v>
      </c>
      <c r="H948" t="s">
        <v>2279</v>
      </c>
      <c r="I948" t="s">
        <v>2279</v>
      </c>
      <c r="J948">
        <v>804440.16358335002</v>
      </c>
      <c r="K948" t="s">
        <v>2279</v>
      </c>
      <c r="L948" t="s">
        <v>2279</v>
      </c>
      <c r="M948" t="s">
        <v>2279</v>
      </c>
      <c r="N948" t="s">
        <v>2279</v>
      </c>
      <c r="O948" s="190" t="str">
        <f>"["&amp;$C948&amp;"]["&amp;$D948&amp;"]["&amp;$F948&amp;"]"</f>
        <v>[S05_BiomassInstallations][10][EmissionsFossil]</v>
      </c>
    </row>
    <row r="949" spans="1:15" x14ac:dyDescent="0.3">
      <c r="A949" t="s">
        <v>2277</v>
      </c>
      <c r="B949" t="s">
        <v>1910</v>
      </c>
      <c r="C949" t="s">
        <v>1912</v>
      </c>
      <c r="D949">
        <v>11</v>
      </c>
      <c r="E949" t="s">
        <v>1447</v>
      </c>
      <c r="F949" t="s">
        <v>1917</v>
      </c>
      <c r="G949" t="s">
        <v>1806</v>
      </c>
      <c r="H949" t="s">
        <v>2279</v>
      </c>
      <c r="I949" t="s">
        <v>2279</v>
      </c>
      <c r="J949">
        <v>198008.36106378399</v>
      </c>
      <c r="K949" t="s">
        <v>2279</v>
      </c>
      <c r="L949" t="s">
        <v>2279</v>
      </c>
      <c r="M949" t="s">
        <v>2279</v>
      </c>
      <c r="N949" t="s">
        <v>2279</v>
      </c>
      <c r="O949" s="190" t="str">
        <f>"["&amp;$C949&amp;"]["&amp;$D949&amp;"]["&amp;$F949&amp;"]"</f>
        <v>[S05_BiomassInstallations][11][EmissionsFossil]</v>
      </c>
    </row>
    <row r="950" spans="1:15" x14ac:dyDescent="0.3">
      <c r="A950" t="s">
        <v>2277</v>
      </c>
      <c r="B950" t="s">
        <v>1910</v>
      </c>
      <c r="C950" t="s">
        <v>1912</v>
      </c>
      <c r="D950">
        <v>12</v>
      </c>
      <c r="E950" t="s">
        <v>1447</v>
      </c>
      <c r="F950" t="s">
        <v>1917</v>
      </c>
      <c r="G950" t="s">
        <v>1806</v>
      </c>
      <c r="H950" t="s">
        <v>2279</v>
      </c>
      <c r="I950" t="s">
        <v>2279</v>
      </c>
      <c r="J950">
        <v>1683.54887964</v>
      </c>
      <c r="K950" t="s">
        <v>2279</v>
      </c>
      <c r="L950" t="s">
        <v>2279</v>
      </c>
      <c r="M950" t="s">
        <v>2279</v>
      </c>
      <c r="N950" t="s">
        <v>2279</v>
      </c>
      <c r="O950" s="190" t="str">
        <f>"["&amp;$C950&amp;"]["&amp;$D950&amp;"]["&amp;$F950&amp;"]"</f>
        <v>[S05_BiomassInstallations][12][EmissionsFossil]</v>
      </c>
    </row>
    <row r="951" spans="1:15" x14ac:dyDescent="0.3">
      <c r="A951" t="s">
        <v>2277</v>
      </c>
      <c r="B951" t="s">
        <v>1910</v>
      </c>
      <c r="C951" t="s">
        <v>1912</v>
      </c>
      <c r="D951">
        <v>13</v>
      </c>
      <c r="E951" t="s">
        <v>1447</v>
      </c>
      <c r="F951" t="s">
        <v>1917</v>
      </c>
      <c r="G951" t="s">
        <v>1806</v>
      </c>
      <c r="H951" t="s">
        <v>2279</v>
      </c>
      <c r="I951" t="s">
        <v>2279</v>
      </c>
      <c r="J951">
        <v>162032.06994342199</v>
      </c>
      <c r="K951" t="s">
        <v>2279</v>
      </c>
      <c r="L951" t="s">
        <v>2279</v>
      </c>
      <c r="M951" t="s">
        <v>2279</v>
      </c>
      <c r="N951" t="s">
        <v>2279</v>
      </c>
      <c r="O951" s="190" t="str">
        <f>"["&amp;$C951&amp;"]["&amp;$D951&amp;"]["&amp;$F951&amp;"]"</f>
        <v>[S05_BiomassInstallations][13][EmissionsFossil]</v>
      </c>
    </row>
    <row r="952" spans="1:15" x14ac:dyDescent="0.3">
      <c r="A952" t="s">
        <v>2277</v>
      </c>
      <c r="B952" t="s">
        <v>1910</v>
      </c>
      <c r="C952" t="s">
        <v>1912</v>
      </c>
      <c r="D952">
        <v>14</v>
      </c>
      <c r="E952" t="s">
        <v>1447</v>
      </c>
      <c r="F952" t="s">
        <v>1917</v>
      </c>
      <c r="G952" t="s">
        <v>1806</v>
      </c>
      <c r="H952" t="s">
        <v>2279</v>
      </c>
      <c r="I952" t="s">
        <v>2279</v>
      </c>
      <c r="J952">
        <v>48760.098141376002</v>
      </c>
      <c r="K952" t="s">
        <v>2279</v>
      </c>
      <c r="L952" t="s">
        <v>2279</v>
      </c>
      <c r="M952" t="s">
        <v>2279</v>
      </c>
      <c r="N952" t="s">
        <v>2279</v>
      </c>
      <c r="O952" s="190" t="str">
        <f>"["&amp;$C952&amp;"]["&amp;$D952&amp;"]["&amp;$F952&amp;"]"</f>
        <v>[S05_BiomassInstallations][14][EmissionsFossil]</v>
      </c>
    </row>
    <row r="953" spans="1:15" x14ac:dyDescent="0.3">
      <c r="A953" t="s">
        <v>2277</v>
      </c>
      <c r="B953" t="s">
        <v>1910</v>
      </c>
      <c r="C953" t="s">
        <v>1912</v>
      </c>
      <c r="D953">
        <v>15</v>
      </c>
      <c r="E953" t="s">
        <v>1447</v>
      </c>
      <c r="F953" t="s">
        <v>1917</v>
      </c>
      <c r="G953" t="s">
        <v>1806</v>
      </c>
      <c r="H953" t="s">
        <v>2279</v>
      </c>
      <c r="I953" t="s">
        <v>2279</v>
      </c>
      <c r="J953">
        <v>188215.994842694</v>
      </c>
      <c r="K953" t="s">
        <v>2279</v>
      </c>
      <c r="L953" t="s">
        <v>2279</v>
      </c>
      <c r="M953" t="s">
        <v>2279</v>
      </c>
      <c r="N953" t="s">
        <v>2279</v>
      </c>
      <c r="O953" s="190" t="str">
        <f>"["&amp;$C953&amp;"]["&amp;$D953&amp;"]["&amp;$F953&amp;"]"</f>
        <v>[S05_BiomassInstallations][15][EmissionsFossil]</v>
      </c>
    </row>
    <row r="954" spans="1:15" x14ac:dyDescent="0.3">
      <c r="A954" t="s">
        <v>2277</v>
      </c>
      <c r="B954" t="s">
        <v>1910</v>
      </c>
      <c r="C954" t="s">
        <v>1912</v>
      </c>
      <c r="D954">
        <v>16</v>
      </c>
      <c r="E954" t="s">
        <v>1447</v>
      </c>
      <c r="F954" t="s">
        <v>1917</v>
      </c>
      <c r="G954" t="s">
        <v>1806</v>
      </c>
      <c r="H954" t="s">
        <v>2279</v>
      </c>
      <c r="I954" t="s">
        <v>2279</v>
      </c>
      <c r="J954">
        <v>92684.415152999994</v>
      </c>
      <c r="K954" t="s">
        <v>2279</v>
      </c>
      <c r="L954" t="s">
        <v>2279</v>
      </c>
      <c r="M954" t="s">
        <v>2279</v>
      </c>
      <c r="N954" t="s">
        <v>2279</v>
      </c>
      <c r="O954" s="190" t="str">
        <f>"["&amp;$C954&amp;"]["&amp;$D954&amp;"]["&amp;$F954&amp;"]"</f>
        <v>[S05_BiomassInstallations][16][EmissionsFossil]</v>
      </c>
    </row>
    <row r="955" spans="1:15" x14ac:dyDescent="0.3">
      <c r="A955" t="s">
        <v>2277</v>
      </c>
      <c r="B955" t="s">
        <v>1910</v>
      </c>
      <c r="C955" t="s">
        <v>1912</v>
      </c>
      <c r="D955">
        <v>17</v>
      </c>
      <c r="E955" t="s">
        <v>1447</v>
      </c>
      <c r="F955" t="s">
        <v>1917</v>
      </c>
      <c r="G955" t="s">
        <v>1806</v>
      </c>
      <c r="H955" t="s">
        <v>2279</v>
      </c>
      <c r="I955" t="s">
        <v>2279</v>
      </c>
      <c r="J955">
        <v>213910.34268480001</v>
      </c>
      <c r="K955" t="s">
        <v>2279</v>
      </c>
      <c r="L955" t="s">
        <v>2279</v>
      </c>
      <c r="M955" t="s">
        <v>2279</v>
      </c>
      <c r="N955" t="s">
        <v>2279</v>
      </c>
      <c r="O955" s="190" t="str">
        <f>"["&amp;$C955&amp;"]["&amp;$D955&amp;"]["&amp;$F955&amp;"]"</f>
        <v>[S05_BiomassInstallations][17][EmissionsFossil]</v>
      </c>
    </row>
    <row r="956" spans="1:15" x14ac:dyDescent="0.3">
      <c r="A956" t="s">
        <v>2277</v>
      </c>
      <c r="B956" t="s">
        <v>1910</v>
      </c>
      <c r="C956" t="s">
        <v>1912</v>
      </c>
      <c r="D956">
        <v>18</v>
      </c>
      <c r="E956" t="s">
        <v>1447</v>
      </c>
      <c r="F956" t="s">
        <v>1917</v>
      </c>
      <c r="G956" t="s">
        <v>1806</v>
      </c>
      <c r="H956" t="s">
        <v>2279</v>
      </c>
      <c r="I956" t="s">
        <v>2279</v>
      </c>
      <c r="J956">
        <v>479688.23553130002</v>
      </c>
      <c r="K956" t="s">
        <v>2279</v>
      </c>
      <c r="L956" t="s">
        <v>2279</v>
      </c>
      <c r="M956" t="s">
        <v>2279</v>
      </c>
      <c r="N956" t="s">
        <v>2279</v>
      </c>
      <c r="O956" s="190" t="str">
        <f>"["&amp;$C956&amp;"]["&amp;$D956&amp;"]["&amp;$F956&amp;"]"</f>
        <v>[S05_BiomassInstallations][18][EmissionsFossil]</v>
      </c>
    </row>
    <row r="957" spans="1:15" x14ac:dyDescent="0.3">
      <c r="A957" t="s">
        <v>2277</v>
      </c>
      <c r="B957" t="s">
        <v>1910</v>
      </c>
      <c r="C957" t="s">
        <v>1912</v>
      </c>
      <c r="D957">
        <v>1</v>
      </c>
      <c r="E957" t="s">
        <v>1447</v>
      </c>
      <c r="F957" t="s">
        <v>1918</v>
      </c>
      <c r="G957" t="s">
        <v>1806</v>
      </c>
      <c r="H957" t="s">
        <v>2279</v>
      </c>
      <c r="I957" t="s">
        <v>2279</v>
      </c>
      <c r="J957">
        <v>46216.277613901497</v>
      </c>
      <c r="K957" t="s">
        <v>2279</v>
      </c>
      <c r="L957" t="s">
        <v>2279</v>
      </c>
      <c r="M957" t="s">
        <v>2279</v>
      </c>
      <c r="N957" t="s">
        <v>2279</v>
      </c>
      <c r="O957" s="190" t="str">
        <f>"["&amp;$C957&amp;"]["&amp;$D957&amp;"]["&amp;$F957&amp;"]"</f>
        <v>[S05_BiomassInstallations][1][EnergyZeroRatedBiomass]</v>
      </c>
    </row>
    <row r="958" spans="1:15" x14ac:dyDescent="0.3">
      <c r="A958" t="s">
        <v>2277</v>
      </c>
      <c r="B958" t="s">
        <v>1910</v>
      </c>
      <c r="C958" t="s">
        <v>1912</v>
      </c>
      <c r="D958">
        <v>2</v>
      </c>
      <c r="E958" t="s">
        <v>1447</v>
      </c>
      <c r="F958" t="s">
        <v>1918</v>
      </c>
      <c r="G958" t="s">
        <v>1806</v>
      </c>
      <c r="H958" t="s">
        <v>2279</v>
      </c>
      <c r="I958" t="s">
        <v>2279</v>
      </c>
      <c r="J958">
        <v>9899.0117236820006</v>
      </c>
      <c r="K958" t="s">
        <v>2279</v>
      </c>
      <c r="L958" t="s">
        <v>2279</v>
      </c>
      <c r="M958" t="s">
        <v>2279</v>
      </c>
      <c r="N958" t="s">
        <v>2279</v>
      </c>
      <c r="O958" s="190" t="str">
        <f>"["&amp;$C958&amp;"]["&amp;$D958&amp;"]["&amp;$F958&amp;"]"</f>
        <v>[S05_BiomassInstallations][2][EnergyZeroRatedBiomass]</v>
      </c>
    </row>
    <row r="959" spans="1:15" x14ac:dyDescent="0.3">
      <c r="A959" t="s">
        <v>2277</v>
      </c>
      <c r="B959" t="s">
        <v>1910</v>
      </c>
      <c r="C959" t="s">
        <v>1912</v>
      </c>
      <c r="D959">
        <v>3</v>
      </c>
      <c r="E959" t="s">
        <v>1447</v>
      </c>
      <c r="F959" t="s">
        <v>1918</v>
      </c>
      <c r="G959" t="s">
        <v>1806</v>
      </c>
      <c r="H959" t="s">
        <v>2279</v>
      </c>
      <c r="I959" t="s">
        <v>2279</v>
      </c>
      <c r="J959">
        <v>3920.3870935099999</v>
      </c>
      <c r="K959" t="s">
        <v>2279</v>
      </c>
      <c r="L959" t="s">
        <v>2279</v>
      </c>
      <c r="M959" t="s">
        <v>2279</v>
      </c>
      <c r="N959" t="s">
        <v>2279</v>
      </c>
      <c r="O959" s="190" t="str">
        <f>"["&amp;$C959&amp;"]["&amp;$D959&amp;"]["&amp;$F959&amp;"]"</f>
        <v>[S05_BiomassInstallations][3][EnergyZeroRatedBiomass]</v>
      </c>
    </row>
    <row r="960" spans="1:15" x14ac:dyDescent="0.3">
      <c r="A960" t="s">
        <v>2277</v>
      </c>
      <c r="B960" t="s">
        <v>1910</v>
      </c>
      <c r="C960" t="s">
        <v>1912</v>
      </c>
      <c r="D960">
        <v>4</v>
      </c>
      <c r="E960" t="s">
        <v>1447</v>
      </c>
      <c r="F960" t="s">
        <v>1918</v>
      </c>
      <c r="G960" t="s">
        <v>1806</v>
      </c>
      <c r="H960" t="s">
        <v>2279</v>
      </c>
      <c r="I960" t="s">
        <v>2279</v>
      </c>
      <c r="J960">
        <v>0</v>
      </c>
      <c r="K960" t="s">
        <v>2279</v>
      </c>
      <c r="L960" t="s">
        <v>2279</v>
      </c>
      <c r="M960" t="s">
        <v>2279</v>
      </c>
      <c r="N960" t="s">
        <v>2279</v>
      </c>
      <c r="O960" s="190" t="str">
        <f>"["&amp;$C960&amp;"]["&amp;$D960&amp;"]["&amp;$F960&amp;"]"</f>
        <v>[S05_BiomassInstallations][4][EnergyZeroRatedBiomass]</v>
      </c>
    </row>
    <row r="961" spans="1:15" x14ac:dyDescent="0.3">
      <c r="A961" t="s">
        <v>2277</v>
      </c>
      <c r="B961" t="s">
        <v>1910</v>
      </c>
      <c r="C961" t="s">
        <v>1912</v>
      </c>
      <c r="D961">
        <v>5</v>
      </c>
      <c r="E961" t="s">
        <v>1447</v>
      </c>
      <c r="F961" t="s">
        <v>1918</v>
      </c>
      <c r="G961" t="s">
        <v>1806</v>
      </c>
      <c r="H961" t="s">
        <v>2279</v>
      </c>
      <c r="I961" t="s">
        <v>2279</v>
      </c>
      <c r="J961">
        <v>0</v>
      </c>
      <c r="K961" t="s">
        <v>2279</v>
      </c>
      <c r="L961" t="s">
        <v>2279</v>
      </c>
      <c r="M961" t="s">
        <v>2279</v>
      </c>
      <c r="N961" t="s">
        <v>2279</v>
      </c>
      <c r="O961" s="190" t="str">
        <f>"["&amp;$C961&amp;"]["&amp;$D961&amp;"]["&amp;$F961&amp;"]"</f>
        <v>[S05_BiomassInstallations][5][EnergyZeroRatedBiomass]</v>
      </c>
    </row>
    <row r="962" spans="1:15" x14ac:dyDescent="0.3">
      <c r="A962" t="s">
        <v>2277</v>
      </c>
      <c r="B962" t="s">
        <v>1910</v>
      </c>
      <c r="C962" t="s">
        <v>1912</v>
      </c>
      <c r="D962">
        <v>6</v>
      </c>
      <c r="E962" t="s">
        <v>1447</v>
      </c>
      <c r="F962" t="s">
        <v>1918</v>
      </c>
      <c r="G962" t="s">
        <v>1806</v>
      </c>
      <c r="H962" t="s">
        <v>2279</v>
      </c>
      <c r="I962" t="s">
        <v>2279</v>
      </c>
      <c r="J962">
        <v>0</v>
      </c>
      <c r="K962" t="s">
        <v>2279</v>
      </c>
      <c r="L962" t="s">
        <v>2279</v>
      </c>
      <c r="M962" t="s">
        <v>2279</v>
      </c>
      <c r="N962" t="s">
        <v>2279</v>
      </c>
      <c r="O962" s="190" t="str">
        <f>"["&amp;$C962&amp;"]["&amp;$D962&amp;"]["&amp;$F962&amp;"]"</f>
        <v>[S05_BiomassInstallations][6][EnergyZeroRatedBiomass]</v>
      </c>
    </row>
    <row r="963" spans="1:15" x14ac:dyDescent="0.3">
      <c r="A963" t="s">
        <v>2277</v>
      </c>
      <c r="B963" t="s">
        <v>1910</v>
      </c>
      <c r="C963" t="s">
        <v>1912</v>
      </c>
      <c r="D963">
        <v>7</v>
      </c>
      <c r="E963" t="s">
        <v>1447</v>
      </c>
      <c r="F963" t="s">
        <v>1918</v>
      </c>
      <c r="G963" t="s">
        <v>1806</v>
      </c>
      <c r="H963" t="s">
        <v>2279</v>
      </c>
      <c r="I963" t="s">
        <v>2279</v>
      </c>
      <c r="J963">
        <v>4567.4326116390002</v>
      </c>
      <c r="K963" t="s">
        <v>2279</v>
      </c>
      <c r="L963" t="s">
        <v>2279</v>
      </c>
      <c r="M963" t="s">
        <v>2279</v>
      </c>
      <c r="N963" t="s">
        <v>2279</v>
      </c>
      <c r="O963" s="190" t="str">
        <f>"["&amp;$C963&amp;"]["&amp;$D963&amp;"]["&amp;$F963&amp;"]"</f>
        <v>[S05_BiomassInstallations][7][EnergyZeroRatedBiomass]</v>
      </c>
    </row>
    <row r="964" spans="1:15" x14ac:dyDescent="0.3">
      <c r="A964" t="s">
        <v>2277</v>
      </c>
      <c r="B964" t="s">
        <v>1910</v>
      </c>
      <c r="C964" t="s">
        <v>1912</v>
      </c>
      <c r="D964">
        <v>8</v>
      </c>
      <c r="E964" t="s">
        <v>1447</v>
      </c>
      <c r="F964" t="s">
        <v>1918</v>
      </c>
      <c r="G964" t="s">
        <v>1806</v>
      </c>
      <c r="H964" t="s">
        <v>2279</v>
      </c>
      <c r="I964" t="s">
        <v>2279</v>
      </c>
      <c r="J964">
        <v>4644.99657410704</v>
      </c>
      <c r="K964" t="s">
        <v>2279</v>
      </c>
      <c r="L964" t="s">
        <v>2279</v>
      </c>
      <c r="M964" t="s">
        <v>2279</v>
      </c>
      <c r="N964" t="s">
        <v>2279</v>
      </c>
      <c r="O964" s="190" t="str">
        <f>"["&amp;$C964&amp;"]["&amp;$D964&amp;"]["&amp;$F964&amp;"]"</f>
        <v>[S05_BiomassInstallations][8][EnergyZeroRatedBiomass]</v>
      </c>
    </row>
    <row r="965" spans="1:15" x14ac:dyDescent="0.3">
      <c r="A965" t="s">
        <v>2277</v>
      </c>
      <c r="B965" t="s">
        <v>1910</v>
      </c>
      <c r="C965" t="s">
        <v>1912</v>
      </c>
      <c r="D965">
        <v>9</v>
      </c>
      <c r="E965" t="s">
        <v>1447</v>
      </c>
      <c r="F965" t="s">
        <v>1918</v>
      </c>
      <c r="G965" t="s">
        <v>1806</v>
      </c>
      <c r="H965" t="s">
        <v>2279</v>
      </c>
      <c r="I965" t="s">
        <v>2279</v>
      </c>
      <c r="J965">
        <v>619.08743263999997</v>
      </c>
      <c r="K965" t="s">
        <v>2279</v>
      </c>
      <c r="L965" t="s">
        <v>2279</v>
      </c>
      <c r="M965" t="s">
        <v>2279</v>
      </c>
      <c r="N965" t="s">
        <v>2279</v>
      </c>
      <c r="O965" s="190" t="str">
        <f>"["&amp;$C965&amp;"]["&amp;$D965&amp;"]["&amp;$F965&amp;"]"</f>
        <v>[S05_BiomassInstallations][9][EnergyZeroRatedBiomass]</v>
      </c>
    </row>
    <row r="966" spans="1:15" x14ac:dyDescent="0.3">
      <c r="A966" t="s">
        <v>2277</v>
      </c>
      <c r="B966" t="s">
        <v>1910</v>
      </c>
      <c r="C966" t="s">
        <v>1912</v>
      </c>
      <c r="D966">
        <v>10</v>
      </c>
      <c r="E966" t="s">
        <v>1447</v>
      </c>
      <c r="F966" t="s">
        <v>1918</v>
      </c>
      <c r="G966" t="s">
        <v>1806</v>
      </c>
      <c r="H966" t="s">
        <v>2279</v>
      </c>
      <c r="I966" t="s">
        <v>2279</v>
      </c>
      <c r="J966">
        <v>314.46899480000002</v>
      </c>
      <c r="K966" t="s">
        <v>2279</v>
      </c>
      <c r="L966" t="s">
        <v>2279</v>
      </c>
      <c r="M966" t="s">
        <v>2279</v>
      </c>
      <c r="N966" t="s">
        <v>2279</v>
      </c>
      <c r="O966" s="190" t="str">
        <f>"["&amp;$C966&amp;"]["&amp;$D966&amp;"]["&amp;$F966&amp;"]"</f>
        <v>[S05_BiomassInstallations][10][EnergyZeroRatedBiomass]</v>
      </c>
    </row>
    <row r="967" spans="1:15" x14ac:dyDescent="0.3">
      <c r="A967" t="s">
        <v>2277</v>
      </c>
      <c r="B967" t="s">
        <v>1910</v>
      </c>
      <c r="C967" t="s">
        <v>1912</v>
      </c>
      <c r="D967">
        <v>11</v>
      </c>
      <c r="E967" t="s">
        <v>1447</v>
      </c>
      <c r="F967" t="s">
        <v>1918</v>
      </c>
      <c r="G967" t="s">
        <v>1806</v>
      </c>
      <c r="H967" t="s">
        <v>2279</v>
      </c>
      <c r="I967" t="s">
        <v>2279</v>
      </c>
      <c r="J967">
        <v>2215.5273629080002</v>
      </c>
      <c r="K967" t="s">
        <v>2279</v>
      </c>
      <c r="L967" t="s">
        <v>2279</v>
      </c>
      <c r="M967" t="s">
        <v>2279</v>
      </c>
      <c r="N967" t="s">
        <v>2279</v>
      </c>
      <c r="O967" s="190" t="str">
        <f>"["&amp;$C967&amp;"]["&amp;$D967&amp;"]["&amp;$F967&amp;"]"</f>
        <v>[S05_BiomassInstallations][11][EnergyZeroRatedBiomass]</v>
      </c>
    </row>
    <row r="968" spans="1:15" x14ac:dyDescent="0.3">
      <c r="A968" t="s">
        <v>2277</v>
      </c>
      <c r="B968" t="s">
        <v>1910</v>
      </c>
      <c r="C968" t="s">
        <v>1912</v>
      </c>
      <c r="D968">
        <v>12</v>
      </c>
      <c r="E968" t="s">
        <v>1447</v>
      </c>
      <c r="F968" t="s">
        <v>1918</v>
      </c>
      <c r="G968" t="s">
        <v>1806</v>
      </c>
      <c r="H968" t="s">
        <v>2279</v>
      </c>
      <c r="I968" t="s">
        <v>2279</v>
      </c>
      <c r="J968">
        <v>0</v>
      </c>
      <c r="K968" t="s">
        <v>2279</v>
      </c>
      <c r="L968" t="s">
        <v>2279</v>
      </c>
      <c r="M968" t="s">
        <v>2279</v>
      </c>
      <c r="N968" t="s">
        <v>2279</v>
      </c>
      <c r="O968" s="190" t="str">
        <f>"["&amp;$C968&amp;"]["&amp;$D968&amp;"]["&amp;$F968&amp;"]"</f>
        <v>[S05_BiomassInstallations][12][EnergyZeroRatedBiomass]</v>
      </c>
    </row>
    <row r="969" spans="1:15" x14ac:dyDescent="0.3">
      <c r="A969" t="s">
        <v>2277</v>
      </c>
      <c r="B969" t="s">
        <v>1910</v>
      </c>
      <c r="C969" t="s">
        <v>1912</v>
      </c>
      <c r="D969">
        <v>13</v>
      </c>
      <c r="E969" t="s">
        <v>1447</v>
      </c>
      <c r="F969" t="s">
        <v>1918</v>
      </c>
      <c r="G969" t="s">
        <v>1806</v>
      </c>
      <c r="H969" t="s">
        <v>2279</v>
      </c>
      <c r="I969" t="s">
        <v>2279</v>
      </c>
      <c r="J969">
        <v>30504.977968546002</v>
      </c>
      <c r="K969" t="s">
        <v>2279</v>
      </c>
      <c r="L969" t="s">
        <v>2279</v>
      </c>
      <c r="M969" t="s">
        <v>2279</v>
      </c>
      <c r="N969" t="s">
        <v>2279</v>
      </c>
      <c r="O969" s="190" t="str">
        <f>"["&amp;$C969&amp;"]["&amp;$D969&amp;"]["&amp;$F969&amp;"]"</f>
        <v>[S05_BiomassInstallations][13][EnergyZeroRatedBiomass]</v>
      </c>
    </row>
    <row r="970" spans="1:15" x14ac:dyDescent="0.3">
      <c r="A970" t="s">
        <v>2277</v>
      </c>
      <c r="B970" t="s">
        <v>1910</v>
      </c>
      <c r="C970" t="s">
        <v>1912</v>
      </c>
      <c r="D970">
        <v>14</v>
      </c>
      <c r="E970" t="s">
        <v>1447</v>
      </c>
      <c r="F970" t="s">
        <v>1918</v>
      </c>
      <c r="G970" t="s">
        <v>1806</v>
      </c>
      <c r="H970" t="s">
        <v>2279</v>
      </c>
      <c r="I970" t="s">
        <v>2279</v>
      </c>
      <c r="J970">
        <v>3985.4643216039999</v>
      </c>
      <c r="K970" t="s">
        <v>2279</v>
      </c>
      <c r="L970" t="s">
        <v>2279</v>
      </c>
      <c r="M970" t="s">
        <v>2279</v>
      </c>
      <c r="N970" t="s">
        <v>2279</v>
      </c>
      <c r="O970" s="190" t="str">
        <f>"["&amp;$C970&amp;"]["&amp;$D970&amp;"]["&amp;$F970&amp;"]"</f>
        <v>[S05_BiomassInstallations][14][EnergyZeroRatedBiomass]</v>
      </c>
    </row>
    <row r="971" spans="1:15" x14ac:dyDescent="0.3">
      <c r="A971" t="s">
        <v>2277</v>
      </c>
      <c r="B971" t="s">
        <v>1910</v>
      </c>
      <c r="C971" t="s">
        <v>1912</v>
      </c>
      <c r="D971">
        <v>15</v>
      </c>
      <c r="E971" t="s">
        <v>1447</v>
      </c>
      <c r="F971" t="s">
        <v>1918</v>
      </c>
      <c r="G971" t="s">
        <v>1806</v>
      </c>
      <c r="H971" t="s">
        <v>2279</v>
      </c>
      <c r="I971" t="s">
        <v>2279</v>
      </c>
      <c r="J971">
        <v>7425.053026652</v>
      </c>
      <c r="K971" t="s">
        <v>2279</v>
      </c>
      <c r="L971" t="s">
        <v>2279</v>
      </c>
      <c r="M971" t="s">
        <v>2279</v>
      </c>
      <c r="N971" t="s">
        <v>2279</v>
      </c>
      <c r="O971" s="190" t="str">
        <f>"["&amp;$C971&amp;"]["&amp;$D971&amp;"]["&amp;$F971&amp;"]"</f>
        <v>[S05_BiomassInstallations][15][EnergyZeroRatedBiomass]</v>
      </c>
    </row>
    <row r="972" spans="1:15" x14ac:dyDescent="0.3">
      <c r="A972" t="s">
        <v>2277</v>
      </c>
      <c r="B972" t="s">
        <v>1910</v>
      </c>
      <c r="C972" t="s">
        <v>1912</v>
      </c>
      <c r="D972">
        <v>16</v>
      </c>
      <c r="E972" t="s">
        <v>1447</v>
      </c>
      <c r="F972" t="s">
        <v>1918</v>
      </c>
      <c r="G972" t="s">
        <v>1806</v>
      </c>
      <c r="H972" t="s">
        <v>2279</v>
      </c>
      <c r="I972" t="s">
        <v>2279</v>
      </c>
      <c r="J972">
        <v>256.14571319999999</v>
      </c>
      <c r="K972" t="s">
        <v>2279</v>
      </c>
      <c r="L972" t="s">
        <v>2279</v>
      </c>
      <c r="M972" t="s">
        <v>2279</v>
      </c>
      <c r="N972" t="s">
        <v>2279</v>
      </c>
      <c r="O972" s="190" t="str">
        <f>"["&amp;$C972&amp;"]["&amp;$D972&amp;"]["&amp;$F972&amp;"]"</f>
        <v>[S05_BiomassInstallations][16][EnergyZeroRatedBiomass]</v>
      </c>
    </row>
    <row r="973" spans="1:15" x14ac:dyDescent="0.3">
      <c r="A973" t="s">
        <v>2277</v>
      </c>
      <c r="B973" t="s">
        <v>1910</v>
      </c>
      <c r="C973" t="s">
        <v>1912</v>
      </c>
      <c r="D973">
        <v>17</v>
      </c>
      <c r="E973" t="s">
        <v>1447</v>
      </c>
      <c r="F973" t="s">
        <v>1918</v>
      </c>
      <c r="G973" t="s">
        <v>1806</v>
      </c>
      <c r="H973" t="s">
        <v>2279</v>
      </c>
      <c r="I973" t="s">
        <v>2279</v>
      </c>
      <c r="J973">
        <v>132.91948439999999</v>
      </c>
      <c r="K973" t="s">
        <v>2279</v>
      </c>
      <c r="L973" t="s">
        <v>2279</v>
      </c>
      <c r="M973" t="s">
        <v>2279</v>
      </c>
      <c r="N973" t="s">
        <v>2279</v>
      </c>
      <c r="O973" s="190" t="str">
        <f>"["&amp;$C973&amp;"]["&amp;$D973&amp;"]["&amp;$F973&amp;"]"</f>
        <v>[S05_BiomassInstallations][17][EnergyZeroRatedBiomass]</v>
      </c>
    </row>
    <row r="974" spans="1:15" x14ac:dyDescent="0.3">
      <c r="A974" t="s">
        <v>2277</v>
      </c>
      <c r="B974" t="s">
        <v>1910</v>
      </c>
      <c r="C974" t="s">
        <v>1912</v>
      </c>
      <c r="D974">
        <v>18</v>
      </c>
      <c r="E974" t="s">
        <v>1447</v>
      </c>
      <c r="F974" t="s">
        <v>1918</v>
      </c>
      <c r="G974" t="s">
        <v>1806</v>
      </c>
      <c r="H974" t="s">
        <v>2279</v>
      </c>
      <c r="I974" t="s">
        <v>2279</v>
      </c>
      <c r="J974">
        <v>0</v>
      </c>
      <c r="K974" t="s">
        <v>2279</v>
      </c>
      <c r="L974" t="s">
        <v>2279</v>
      </c>
      <c r="M974" t="s">
        <v>2279</v>
      </c>
      <c r="N974" t="s">
        <v>2279</v>
      </c>
      <c r="O974" s="190" t="str">
        <f>"["&amp;$C974&amp;"]["&amp;$D974&amp;"]["&amp;$F974&amp;"]"</f>
        <v>[S05_BiomassInstallations][18][EnergyZeroRatedBiomass]</v>
      </c>
    </row>
    <row r="975" spans="1:15" x14ac:dyDescent="0.3">
      <c r="A975" t="s">
        <v>2277</v>
      </c>
      <c r="B975" t="s">
        <v>1910</v>
      </c>
      <c r="C975" t="s">
        <v>1912</v>
      </c>
      <c r="D975">
        <v>1</v>
      </c>
      <c r="E975" t="s">
        <v>1447</v>
      </c>
      <c r="F975" t="s">
        <v>1919</v>
      </c>
      <c r="G975" t="s">
        <v>1806</v>
      </c>
      <c r="H975" t="s">
        <v>2279</v>
      </c>
      <c r="I975" t="s">
        <v>2279</v>
      </c>
      <c r="J975">
        <v>163.06044715199999</v>
      </c>
      <c r="K975" t="s">
        <v>2279</v>
      </c>
      <c r="L975" t="s">
        <v>2279</v>
      </c>
      <c r="M975" t="s">
        <v>2279</v>
      </c>
      <c r="N975" t="s">
        <v>2279</v>
      </c>
      <c r="O975" s="190" t="str">
        <f>"["&amp;$C975&amp;"]["&amp;$D975&amp;"]["&amp;$F975&amp;"]"</f>
        <v>[S05_BiomassInstallations][1][EnergyNonZeroRatedBiomass]</v>
      </c>
    </row>
    <row r="976" spans="1:15" x14ac:dyDescent="0.3">
      <c r="A976" t="s">
        <v>2277</v>
      </c>
      <c r="B976" t="s">
        <v>1910</v>
      </c>
      <c r="C976" t="s">
        <v>1912</v>
      </c>
      <c r="D976">
        <v>2</v>
      </c>
      <c r="E976" t="s">
        <v>1447</v>
      </c>
      <c r="F976" t="s">
        <v>1919</v>
      </c>
      <c r="G976" t="s">
        <v>1806</v>
      </c>
      <c r="H976" t="s">
        <v>2279</v>
      </c>
      <c r="I976" t="s">
        <v>2279</v>
      </c>
      <c r="J976">
        <v>7.3110992545149998</v>
      </c>
      <c r="K976" t="s">
        <v>2279</v>
      </c>
      <c r="L976" t="s">
        <v>2279</v>
      </c>
      <c r="M976" t="s">
        <v>2279</v>
      </c>
      <c r="N976" t="s">
        <v>2279</v>
      </c>
      <c r="O976" s="190" t="str">
        <f>"["&amp;$C976&amp;"]["&amp;$D976&amp;"]["&amp;$F976&amp;"]"</f>
        <v>[S05_BiomassInstallations][2][EnergyNonZeroRatedBiomass]</v>
      </c>
    </row>
    <row r="977" spans="1:15" x14ac:dyDescent="0.3">
      <c r="A977" t="s">
        <v>2277</v>
      </c>
      <c r="B977" t="s">
        <v>1910</v>
      </c>
      <c r="C977" t="s">
        <v>1912</v>
      </c>
      <c r="D977">
        <v>3</v>
      </c>
      <c r="E977" t="s">
        <v>1447</v>
      </c>
      <c r="F977" t="s">
        <v>1919</v>
      </c>
      <c r="G977" t="s">
        <v>1806</v>
      </c>
      <c r="H977" t="s">
        <v>2279</v>
      </c>
      <c r="I977" t="s">
        <v>2279</v>
      </c>
      <c r="J977">
        <v>0</v>
      </c>
      <c r="K977" t="s">
        <v>2279</v>
      </c>
      <c r="L977" t="s">
        <v>2279</v>
      </c>
      <c r="M977" t="s">
        <v>2279</v>
      </c>
      <c r="N977" t="s">
        <v>2279</v>
      </c>
      <c r="O977" s="190" t="str">
        <f>"["&amp;$C977&amp;"]["&amp;$D977&amp;"]["&amp;$F977&amp;"]"</f>
        <v>[S05_BiomassInstallations][3][EnergyNonZeroRatedBiomass]</v>
      </c>
    </row>
    <row r="978" spans="1:15" x14ac:dyDescent="0.3">
      <c r="A978" t="s">
        <v>2277</v>
      </c>
      <c r="B978" t="s">
        <v>1910</v>
      </c>
      <c r="C978" t="s">
        <v>1912</v>
      </c>
      <c r="D978">
        <v>4</v>
      </c>
      <c r="E978" t="s">
        <v>1447</v>
      </c>
      <c r="F978" t="s">
        <v>1919</v>
      </c>
      <c r="G978" t="s">
        <v>1806</v>
      </c>
      <c r="H978" t="s">
        <v>2279</v>
      </c>
      <c r="I978" t="s">
        <v>2279</v>
      </c>
      <c r="J978">
        <v>0</v>
      </c>
      <c r="K978" t="s">
        <v>2279</v>
      </c>
      <c r="L978" t="s">
        <v>2279</v>
      </c>
      <c r="M978" t="s">
        <v>2279</v>
      </c>
      <c r="N978" t="s">
        <v>2279</v>
      </c>
      <c r="O978" s="190" t="str">
        <f>"["&amp;$C978&amp;"]["&amp;$D978&amp;"]["&amp;$F978&amp;"]"</f>
        <v>[S05_BiomassInstallations][4][EnergyNonZeroRatedBiomass]</v>
      </c>
    </row>
    <row r="979" spans="1:15" x14ac:dyDescent="0.3">
      <c r="A979" t="s">
        <v>2277</v>
      </c>
      <c r="B979" t="s">
        <v>1910</v>
      </c>
      <c r="C979" t="s">
        <v>1912</v>
      </c>
      <c r="D979">
        <v>5</v>
      </c>
      <c r="E979" t="s">
        <v>1447</v>
      </c>
      <c r="F979" t="s">
        <v>1919</v>
      </c>
      <c r="G979" t="s">
        <v>1806</v>
      </c>
      <c r="H979" t="s">
        <v>2279</v>
      </c>
      <c r="I979" t="s">
        <v>2279</v>
      </c>
      <c r="J979">
        <v>0</v>
      </c>
      <c r="K979" t="s">
        <v>2279</v>
      </c>
      <c r="L979" t="s">
        <v>2279</v>
      </c>
      <c r="M979" t="s">
        <v>2279</v>
      </c>
      <c r="N979" t="s">
        <v>2279</v>
      </c>
      <c r="O979" s="190" t="str">
        <f>"["&amp;$C979&amp;"]["&amp;$D979&amp;"]["&amp;$F979&amp;"]"</f>
        <v>[S05_BiomassInstallations][5][EnergyNonZeroRatedBiomass]</v>
      </c>
    </row>
    <row r="980" spans="1:15" x14ac:dyDescent="0.3">
      <c r="A980" t="s">
        <v>2277</v>
      </c>
      <c r="B980" t="s">
        <v>1910</v>
      </c>
      <c r="C980" t="s">
        <v>1912</v>
      </c>
      <c r="D980">
        <v>6</v>
      </c>
      <c r="E980" t="s">
        <v>1447</v>
      </c>
      <c r="F980" t="s">
        <v>1919</v>
      </c>
      <c r="G980" t="s">
        <v>1806</v>
      </c>
      <c r="H980" t="s">
        <v>2279</v>
      </c>
      <c r="I980" t="s">
        <v>2279</v>
      </c>
      <c r="J980">
        <v>0</v>
      </c>
      <c r="K980" t="s">
        <v>2279</v>
      </c>
      <c r="L980" t="s">
        <v>2279</v>
      </c>
      <c r="M980" t="s">
        <v>2279</v>
      </c>
      <c r="N980" t="s">
        <v>2279</v>
      </c>
      <c r="O980" s="190" t="str">
        <f>"["&amp;$C980&amp;"]["&amp;$D980&amp;"]["&amp;$F980&amp;"]"</f>
        <v>[S05_BiomassInstallations][6][EnergyNonZeroRatedBiomass]</v>
      </c>
    </row>
    <row r="981" spans="1:15" x14ac:dyDescent="0.3">
      <c r="A981" t="s">
        <v>2277</v>
      </c>
      <c r="B981" t="s">
        <v>1910</v>
      </c>
      <c r="C981" t="s">
        <v>1912</v>
      </c>
      <c r="D981">
        <v>7</v>
      </c>
      <c r="E981" t="s">
        <v>1447</v>
      </c>
      <c r="F981" t="s">
        <v>1919</v>
      </c>
      <c r="G981" t="s">
        <v>1806</v>
      </c>
      <c r="H981" t="s">
        <v>2279</v>
      </c>
      <c r="I981" t="s">
        <v>2279</v>
      </c>
      <c r="J981">
        <v>93.925627212959995</v>
      </c>
      <c r="K981" t="s">
        <v>2279</v>
      </c>
      <c r="L981" t="s">
        <v>2279</v>
      </c>
      <c r="M981" t="s">
        <v>2279</v>
      </c>
      <c r="N981" t="s">
        <v>2279</v>
      </c>
      <c r="O981" s="190" t="str">
        <f>"["&amp;$C981&amp;"]["&amp;$D981&amp;"]["&amp;$F981&amp;"]"</f>
        <v>[S05_BiomassInstallations][7][EnergyNonZeroRatedBiomass]</v>
      </c>
    </row>
    <row r="982" spans="1:15" x14ac:dyDescent="0.3">
      <c r="A982" t="s">
        <v>2277</v>
      </c>
      <c r="B982" t="s">
        <v>1910</v>
      </c>
      <c r="C982" t="s">
        <v>1912</v>
      </c>
      <c r="D982">
        <v>8</v>
      </c>
      <c r="E982" t="s">
        <v>1447</v>
      </c>
      <c r="F982" t="s">
        <v>1919</v>
      </c>
      <c r="G982" t="s">
        <v>1806</v>
      </c>
      <c r="H982" t="s">
        <v>2279</v>
      </c>
      <c r="I982" t="s">
        <v>2279</v>
      </c>
      <c r="J982">
        <v>0</v>
      </c>
      <c r="K982" t="s">
        <v>2279</v>
      </c>
      <c r="L982" t="s">
        <v>2279</v>
      </c>
      <c r="M982" t="s">
        <v>2279</v>
      </c>
      <c r="N982" t="s">
        <v>2279</v>
      </c>
      <c r="O982" s="190" t="str">
        <f>"["&amp;$C982&amp;"]["&amp;$D982&amp;"]["&amp;$F982&amp;"]"</f>
        <v>[S05_BiomassInstallations][8][EnergyNonZeroRatedBiomass]</v>
      </c>
    </row>
    <row r="983" spans="1:15" x14ac:dyDescent="0.3">
      <c r="A983" t="s">
        <v>2277</v>
      </c>
      <c r="B983" t="s">
        <v>1910</v>
      </c>
      <c r="C983" t="s">
        <v>1912</v>
      </c>
      <c r="D983">
        <v>9</v>
      </c>
      <c r="E983" t="s">
        <v>1447</v>
      </c>
      <c r="F983" t="s">
        <v>1919</v>
      </c>
      <c r="G983" t="s">
        <v>1806</v>
      </c>
      <c r="H983" t="s">
        <v>2279</v>
      </c>
      <c r="I983" t="s">
        <v>2279</v>
      </c>
      <c r="J983">
        <v>0</v>
      </c>
      <c r="K983" t="s">
        <v>2279</v>
      </c>
      <c r="L983" t="s">
        <v>2279</v>
      </c>
      <c r="M983" t="s">
        <v>2279</v>
      </c>
      <c r="N983" t="s">
        <v>2279</v>
      </c>
      <c r="O983" s="190" t="str">
        <f>"["&amp;$C983&amp;"]["&amp;$D983&amp;"]["&amp;$F983&amp;"]"</f>
        <v>[S05_BiomassInstallations][9][EnergyNonZeroRatedBiomass]</v>
      </c>
    </row>
    <row r="984" spans="1:15" x14ac:dyDescent="0.3">
      <c r="A984" t="s">
        <v>2277</v>
      </c>
      <c r="B984" t="s">
        <v>1910</v>
      </c>
      <c r="C984" t="s">
        <v>1912</v>
      </c>
      <c r="D984">
        <v>10</v>
      </c>
      <c r="E984" t="s">
        <v>1447</v>
      </c>
      <c r="F984" t="s">
        <v>1919</v>
      </c>
      <c r="G984" t="s">
        <v>1806</v>
      </c>
      <c r="H984" t="s">
        <v>2279</v>
      </c>
      <c r="I984" t="s">
        <v>2279</v>
      </c>
      <c r="J984">
        <v>0</v>
      </c>
      <c r="K984" t="s">
        <v>2279</v>
      </c>
      <c r="L984" t="s">
        <v>2279</v>
      </c>
      <c r="M984" t="s">
        <v>2279</v>
      </c>
      <c r="N984" t="s">
        <v>2279</v>
      </c>
      <c r="O984" s="190" t="str">
        <f>"["&amp;$C984&amp;"]["&amp;$D984&amp;"]["&amp;$F984&amp;"]"</f>
        <v>[S05_BiomassInstallations][10][EnergyNonZeroRatedBiomass]</v>
      </c>
    </row>
    <row r="985" spans="1:15" x14ac:dyDescent="0.3">
      <c r="A985" t="s">
        <v>2277</v>
      </c>
      <c r="B985" t="s">
        <v>1910</v>
      </c>
      <c r="C985" t="s">
        <v>1912</v>
      </c>
      <c r="D985">
        <v>11</v>
      </c>
      <c r="E985" t="s">
        <v>1447</v>
      </c>
      <c r="F985" t="s">
        <v>1919</v>
      </c>
      <c r="G985" t="s">
        <v>1806</v>
      </c>
      <c r="H985" t="s">
        <v>2279</v>
      </c>
      <c r="I985" t="s">
        <v>2279</v>
      </c>
      <c r="J985">
        <v>0</v>
      </c>
      <c r="K985" t="s">
        <v>2279</v>
      </c>
      <c r="L985" t="s">
        <v>2279</v>
      </c>
      <c r="M985" t="s">
        <v>2279</v>
      </c>
      <c r="N985" t="s">
        <v>2279</v>
      </c>
      <c r="O985" s="190" t="str">
        <f>"["&amp;$C985&amp;"]["&amp;$D985&amp;"]["&amp;$F985&amp;"]"</f>
        <v>[S05_BiomassInstallations][11][EnergyNonZeroRatedBiomass]</v>
      </c>
    </row>
    <row r="986" spans="1:15" x14ac:dyDescent="0.3">
      <c r="A986" t="s">
        <v>2277</v>
      </c>
      <c r="B986" t="s">
        <v>1910</v>
      </c>
      <c r="C986" t="s">
        <v>1912</v>
      </c>
      <c r="D986">
        <v>12</v>
      </c>
      <c r="E986" t="s">
        <v>1447</v>
      </c>
      <c r="F986" t="s">
        <v>1919</v>
      </c>
      <c r="G986" t="s">
        <v>1806</v>
      </c>
      <c r="H986" t="s">
        <v>2279</v>
      </c>
      <c r="I986" t="s">
        <v>2279</v>
      </c>
      <c r="J986">
        <v>0</v>
      </c>
      <c r="K986" t="s">
        <v>2279</v>
      </c>
      <c r="L986" t="s">
        <v>2279</v>
      </c>
      <c r="M986" t="s">
        <v>2279</v>
      </c>
      <c r="N986" t="s">
        <v>2279</v>
      </c>
      <c r="O986" s="190" t="str">
        <f>"["&amp;$C986&amp;"]["&amp;$D986&amp;"]["&amp;$F986&amp;"]"</f>
        <v>[S05_BiomassInstallations][12][EnergyNonZeroRatedBiomass]</v>
      </c>
    </row>
    <row r="987" spans="1:15" x14ac:dyDescent="0.3">
      <c r="A987" t="s">
        <v>2277</v>
      </c>
      <c r="B987" t="s">
        <v>1910</v>
      </c>
      <c r="C987" t="s">
        <v>1912</v>
      </c>
      <c r="D987">
        <v>13</v>
      </c>
      <c r="E987" t="s">
        <v>1447</v>
      </c>
      <c r="F987" t="s">
        <v>1919</v>
      </c>
      <c r="G987" t="s">
        <v>1806</v>
      </c>
      <c r="H987" t="s">
        <v>2279</v>
      </c>
      <c r="I987" t="s">
        <v>2279</v>
      </c>
      <c r="J987">
        <v>0</v>
      </c>
      <c r="K987" t="s">
        <v>2279</v>
      </c>
      <c r="L987" t="s">
        <v>2279</v>
      </c>
      <c r="M987" t="s">
        <v>2279</v>
      </c>
      <c r="N987" t="s">
        <v>2279</v>
      </c>
      <c r="O987" s="190" t="str">
        <f>"["&amp;$C987&amp;"]["&amp;$D987&amp;"]["&amp;$F987&amp;"]"</f>
        <v>[S05_BiomassInstallations][13][EnergyNonZeroRatedBiomass]</v>
      </c>
    </row>
    <row r="988" spans="1:15" x14ac:dyDescent="0.3">
      <c r="A988" t="s">
        <v>2277</v>
      </c>
      <c r="B988" t="s">
        <v>1910</v>
      </c>
      <c r="C988" t="s">
        <v>1912</v>
      </c>
      <c r="D988">
        <v>14</v>
      </c>
      <c r="E988" t="s">
        <v>1447</v>
      </c>
      <c r="F988" t="s">
        <v>1919</v>
      </c>
      <c r="G988" t="s">
        <v>1806</v>
      </c>
      <c r="H988" t="s">
        <v>2279</v>
      </c>
      <c r="I988" t="s">
        <v>2279</v>
      </c>
      <c r="J988">
        <v>0</v>
      </c>
      <c r="K988" t="s">
        <v>2279</v>
      </c>
      <c r="L988" t="s">
        <v>2279</v>
      </c>
      <c r="M988" t="s">
        <v>2279</v>
      </c>
      <c r="N988" t="s">
        <v>2279</v>
      </c>
      <c r="O988" s="190" t="str">
        <f>"["&amp;$C988&amp;"]["&amp;$D988&amp;"]["&amp;$F988&amp;"]"</f>
        <v>[S05_BiomassInstallations][14][EnergyNonZeroRatedBiomass]</v>
      </c>
    </row>
    <row r="989" spans="1:15" x14ac:dyDescent="0.3">
      <c r="A989" t="s">
        <v>2277</v>
      </c>
      <c r="B989" t="s">
        <v>1910</v>
      </c>
      <c r="C989" t="s">
        <v>1912</v>
      </c>
      <c r="D989">
        <v>15</v>
      </c>
      <c r="E989" t="s">
        <v>1447</v>
      </c>
      <c r="F989" t="s">
        <v>1919</v>
      </c>
      <c r="G989" t="s">
        <v>1806</v>
      </c>
      <c r="H989" t="s">
        <v>2279</v>
      </c>
      <c r="I989" t="s">
        <v>2279</v>
      </c>
      <c r="J989">
        <v>2.39513664</v>
      </c>
      <c r="K989" t="s">
        <v>2279</v>
      </c>
      <c r="L989" t="s">
        <v>2279</v>
      </c>
      <c r="M989" t="s">
        <v>2279</v>
      </c>
      <c r="N989" t="s">
        <v>2279</v>
      </c>
      <c r="O989" s="190" t="str">
        <f>"["&amp;$C989&amp;"]["&amp;$D989&amp;"]["&amp;$F989&amp;"]"</f>
        <v>[S05_BiomassInstallations][15][EnergyNonZeroRatedBiomass]</v>
      </c>
    </row>
    <row r="990" spans="1:15" x14ac:dyDescent="0.3">
      <c r="A990" t="s">
        <v>2277</v>
      </c>
      <c r="B990" t="s">
        <v>1910</v>
      </c>
      <c r="C990" t="s">
        <v>1912</v>
      </c>
      <c r="D990">
        <v>16</v>
      </c>
      <c r="E990" t="s">
        <v>1447</v>
      </c>
      <c r="F990" t="s">
        <v>1919</v>
      </c>
      <c r="G990" t="s">
        <v>1806</v>
      </c>
      <c r="H990" t="s">
        <v>2279</v>
      </c>
      <c r="I990" t="s">
        <v>2279</v>
      </c>
      <c r="J990">
        <v>0</v>
      </c>
      <c r="K990" t="s">
        <v>2279</v>
      </c>
      <c r="L990" t="s">
        <v>2279</v>
      </c>
      <c r="M990" t="s">
        <v>2279</v>
      </c>
      <c r="N990" t="s">
        <v>2279</v>
      </c>
      <c r="O990" s="190" t="str">
        <f>"["&amp;$C990&amp;"]["&amp;$D990&amp;"]["&amp;$F990&amp;"]"</f>
        <v>[S05_BiomassInstallations][16][EnergyNonZeroRatedBiomass]</v>
      </c>
    </row>
    <row r="991" spans="1:15" x14ac:dyDescent="0.3">
      <c r="A991" t="s">
        <v>2277</v>
      </c>
      <c r="B991" t="s">
        <v>1910</v>
      </c>
      <c r="C991" t="s">
        <v>1912</v>
      </c>
      <c r="D991">
        <v>17</v>
      </c>
      <c r="E991" t="s">
        <v>1447</v>
      </c>
      <c r="F991" t="s">
        <v>1919</v>
      </c>
      <c r="G991" t="s">
        <v>1806</v>
      </c>
      <c r="H991" t="s">
        <v>2279</v>
      </c>
      <c r="I991" t="s">
        <v>2279</v>
      </c>
      <c r="J991">
        <v>0</v>
      </c>
      <c r="K991" t="s">
        <v>2279</v>
      </c>
      <c r="L991" t="s">
        <v>2279</v>
      </c>
      <c r="M991" t="s">
        <v>2279</v>
      </c>
      <c r="N991" t="s">
        <v>2279</v>
      </c>
      <c r="O991" s="190" t="str">
        <f>"["&amp;$C991&amp;"]["&amp;$D991&amp;"]["&amp;$F991&amp;"]"</f>
        <v>[S05_BiomassInstallations][17][EnergyNonZeroRatedBiomass]</v>
      </c>
    </row>
    <row r="992" spans="1:15" x14ac:dyDescent="0.3">
      <c r="A992" t="s">
        <v>2277</v>
      </c>
      <c r="B992" t="s">
        <v>1910</v>
      </c>
      <c r="C992" t="s">
        <v>1912</v>
      </c>
      <c r="D992">
        <v>18</v>
      </c>
      <c r="E992" t="s">
        <v>1447</v>
      </c>
      <c r="F992" t="s">
        <v>1919</v>
      </c>
      <c r="G992" t="s">
        <v>1806</v>
      </c>
      <c r="H992" t="s">
        <v>2279</v>
      </c>
      <c r="I992" t="s">
        <v>2279</v>
      </c>
      <c r="J992">
        <v>0</v>
      </c>
      <c r="K992" t="s">
        <v>2279</v>
      </c>
      <c r="L992" t="s">
        <v>2279</v>
      </c>
      <c r="M992" t="s">
        <v>2279</v>
      </c>
      <c r="N992" t="s">
        <v>2279</v>
      </c>
      <c r="O992" s="190" t="str">
        <f>"["&amp;$C992&amp;"]["&amp;$D992&amp;"]["&amp;$F992&amp;"]"</f>
        <v>[S05_BiomassInstallations][18][EnergyNonZeroRatedBiomass]</v>
      </c>
    </row>
    <row r="993" spans="1:15" x14ac:dyDescent="0.3">
      <c r="A993" t="s">
        <v>2277</v>
      </c>
      <c r="B993" t="s">
        <v>1910</v>
      </c>
      <c r="C993" t="s">
        <v>1912</v>
      </c>
      <c r="D993">
        <v>1</v>
      </c>
      <c r="E993" t="s">
        <v>1447</v>
      </c>
      <c r="F993" t="s">
        <v>1920</v>
      </c>
      <c r="G993" t="s">
        <v>1806</v>
      </c>
      <c r="H993" t="s">
        <v>2279</v>
      </c>
      <c r="I993" t="s">
        <v>2279</v>
      </c>
      <c r="J993">
        <v>26349.8368997693</v>
      </c>
      <c r="K993" t="s">
        <v>2279</v>
      </c>
      <c r="L993" t="s">
        <v>2279</v>
      </c>
      <c r="M993" t="s">
        <v>2279</v>
      </c>
      <c r="N993" t="s">
        <v>2279</v>
      </c>
      <c r="O993" s="190" t="str">
        <f>"["&amp;$C993&amp;"]["&amp;$D993&amp;"]["&amp;$F993&amp;"]"</f>
        <v>[S05_BiomassInstallations][1][EnergyFossil]</v>
      </c>
    </row>
    <row r="994" spans="1:15" x14ac:dyDescent="0.3">
      <c r="A994" t="s">
        <v>2277</v>
      </c>
      <c r="B994" t="s">
        <v>1910</v>
      </c>
      <c r="C994" t="s">
        <v>1912</v>
      </c>
      <c r="D994">
        <v>2</v>
      </c>
      <c r="E994" t="s">
        <v>1447</v>
      </c>
      <c r="F994" t="s">
        <v>1920</v>
      </c>
      <c r="G994" t="s">
        <v>1806</v>
      </c>
      <c r="H994" t="s">
        <v>2279</v>
      </c>
      <c r="I994" t="s">
        <v>2279</v>
      </c>
      <c r="J994">
        <v>29346.424860449399</v>
      </c>
      <c r="K994" t="s">
        <v>2279</v>
      </c>
      <c r="L994" t="s">
        <v>2279</v>
      </c>
      <c r="M994" t="s">
        <v>2279</v>
      </c>
      <c r="N994" t="s">
        <v>2279</v>
      </c>
      <c r="O994" s="190" t="str">
        <f>"["&amp;$C994&amp;"]["&amp;$D994&amp;"]["&amp;$F994&amp;"]"</f>
        <v>[S05_BiomassInstallations][2][EnergyFossil]</v>
      </c>
    </row>
    <row r="995" spans="1:15" x14ac:dyDescent="0.3">
      <c r="A995" t="s">
        <v>2277</v>
      </c>
      <c r="B995" t="s">
        <v>1910</v>
      </c>
      <c r="C995" t="s">
        <v>1912</v>
      </c>
      <c r="D995">
        <v>3</v>
      </c>
      <c r="E995" t="s">
        <v>1447</v>
      </c>
      <c r="F995" t="s">
        <v>1920</v>
      </c>
      <c r="G995" t="s">
        <v>1806</v>
      </c>
      <c r="H995" t="s">
        <v>2279</v>
      </c>
      <c r="I995" t="s">
        <v>2279</v>
      </c>
      <c r="J995">
        <v>38169.766617959998</v>
      </c>
      <c r="K995" t="s">
        <v>2279</v>
      </c>
      <c r="L995" t="s">
        <v>2279</v>
      </c>
      <c r="M995" t="s">
        <v>2279</v>
      </c>
      <c r="N995" t="s">
        <v>2279</v>
      </c>
      <c r="O995" s="190" t="str">
        <f>"["&amp;$C995&amp;"]["&amp;$D995&amp;"]["&amp;$F995&amp;"]"</f>
        <v>[S05_BiomassInstallations][3][EnergyFossil]</v>
      </c>
    </row>
    <row r="996" spans="1:15" x14ac:dyDescent="0.3">
      <c r="A996" t="s">
        <v>2277</v>
      </c>
      <c r="B996" t="s">
        <v>1910</v>
      </c>
      <c r="C996" t="s">
        <v>1912</v>
      </c>
      <c r="D996">
        <v>4</v>
      </c>
      <c r="E996" t="s">
        <v>1447</v>
      </c>
      <c r="F996" t="s">
        <v>1920</v>
      </c>
      <c r="G996" t="s">
        <v>1806</v>
      </c>
      <c r="H996" t="s">
        <v>2279</v>
      </c>
      <c r="I996" t="s">
        <v>2279</v>
      </c>
      <c r="J996">
        <v>408.21653035000003</v>
      </c>
      <c r="K996" t="s">
        <v>2279</v>
      </c>
      <c r="L996" t="s">
        <v>2279</v>
      </c>
      <c r="M996" t="s">
        <v>2279</v>
      </c>
      <c r="N996" t="s">
        <v>2279</v>
      </c>
      <c r="O996" s="190" t="str">
        <f>"["&amp;$C996&amp;"]["&amp;$D996&amp;"]["&amp;$F996&amp;"]"</f>
        <v>[S05_BiomassInstallations][4][EnergyFossil]</v>
      </c>
    </row>
    <row r="997" spans="1:15" x14ac:dyDescent="0.3">
      <c r="A997" t="s">
        <v>2277</v>
      </c>
      <c r="B997" t="s">
        <v>1910</v>
      </c>
      <c r="C997" t="s">
        <v>1912</v>
      </c>
      <c r="D997">
        <v>5</v>
      </c>
      <c r="E997" t="s">
        <v>1447</v>
      </c>
      <c r="F997" t="s">
        <v>1920</v>
      </c>
      <c r="G997" t="s">
        <v>1806</v>
      </c>
      <c r="H997" t="s">
        <v>2279</v>
      </c>
      <c r="I997" t="s">
        <v>2279</v>
      </c>
      <c r="J997">
        <v>325.899607</v>
      </c>
      <c r="K997" t="s">
        <v>2279</v>
      </c>
      <c r="L997" t="s">
        <v>2279</v>
      </c>
      <c r="M997" t="s">
        <v>2279</v>
      </c>
      <c r="N997" t="s">
        <v>2279</v>
      </c>
      <c r="O997" s="190" t="str">
        <f>"["&amp;$C997&amp;"]["&amp;$D997&amp;"]["&amp;$F997&amp;"]"</f>
        <v>[S05_BiomassInstallations][5][EnergyFossil]</v>
      </c>
    </row>
    <row r="998" spans="1:15" x14ac:dyDescent="0.3">
      <c r="A998" t="s">
        <v>2277</v>
      </c>
      <c r="B998" t="s">
        <v>1910</v>
      </c>
      <c r="C998" t="s">
        <v>1912</v>
      </c>
      <c r="D998">
        <v>6</v>
      </c>
      <c r="E998" t="s">
        <v>1447</v>
      </c>
      <c r="F998" t="s">
        <v>1920</v>
      </c>
      <c r="G998" t="s">
        <v>1806</v>
      </c>
      <c r="H998" t="s">
        <v>2279</v>
      </c>
      <c r="I998" t="s">
        <v>2279</v>
      </c>
      <c r="J998">
        <v>64.358961600000001</v>
      </c>
      <c r="K998" t="s">
        <v>2279</v>
      </c>
      <c r="L998" t="s">
        <v>2279</v>
      </c>
      <c r="M998" t="s">
        <v>2279</v>
      </c>
      <c r="N998" t="s">
        <v>2279</v>
      </c>
      <c r="O998" s="190" t="str">
        <f>"["&amp;$C998&amp;"]["&amp;$D998&amp;"]["&amp;$F998&amp;"]"</f>
        <v>[S05_BiomassInstallations][6][EnergyFossil]</v>
      </c>
    </row>
    <row r="999" spans="1:15" x14ac:dyDescent="0.3">
      <c r="A999" t="s">
        <v>2277</v>
      </c>
      <c r="B999" t="s">
        <v>1910</v>
      </c>
      <c r="C999" t="s">
        <v>1912</v>
      </c>
      <c r="D999">
        <v>7</v>
      </c>
      <c r="E999" t="s">
        <v>1447</v>
      </c>
      <c r="F999" t="s">
        <v>1920</v>
      </c>
      <c r="G999" t="s">
        <v>1806</v>
      </c>
      <c r="H999" t="s">
        <v>2279</v>
      </c>
      <c r="I999" t="s">
        <v>2279</v>
      </c>
      <c r="J999">
        <v>18654.762499008801</v>
      </c>
      <c r="K999" t="s">
        <v>2279</v>
      </c>
      <c r="L999" t="s">
        <v>2279</v>
      </c>
      <c r="M999" t="s">
        <v>2279</v>
      </c>
      <c r="N999" t="s">
        <v>2279</v>
      </c>
      <c r="O999" s="190" t="str">
        <f>"["&amp;$C999&amp;"]["&amp;$D999&amp;"]["&amp;$F999&amp;"]"</f>
        <v>[S05_BiomassInstallations][7][EnergyFossil]</v>
      </c>
    </row>
    <row r="1000" spans="1:15" x14ac:dyDescent="0.3">
      <c r="A1000" t="s">
        <v>2277</v>
      </c>
      <c r="B1000" t="s">
        <v>1910</v>
      </c>
      <c r="C1000" t="s">
        <v>1912</v>
      </c>
      <c r="D1000">
        <v>8</v>
      </c>
      <c r="E1000" t="s">
        <v>1447</v>
      </c>
      <c r="F1000" t="s">
        <v>1920</v>
      </c>
      <c r="G1000" t="s">
        <v>1806</v>
      </c>
      <c r="H1000" t="s">
        <v>2279</v>
      </c>
      <c r="I1000" t="s">
        <v>2279</v>
      </c>
      <c r="J1000">
        <v>17277.485531219401</v>
      </c>
      <c r="K1000" t="s">
        <v>2279</v>
      </c>
      <c r="L1000" t="s">
        <v>2279</v>
      </c>
      <c r="M1000" t="s">
        <v>2279</v>
      </c>
      <c r="N1000" t="s">
        <v>2279</v>
      </c>
      <c r="O1000" s="190" t="str">
        <f>"["&amp;$C1000&amp;"]["&amp;$D1000&amp;"]["&amp;$F1000&amp;"]"</f>
        <v>[S05_BiomassInstallations][8][EnergyFossil]</v>
      </c>
    </row>
    <row r="1001" spans="1:15" x14ac:dyDescent="0.3">
      <c r="A1001" t="s">
        <v>2277</v>
      </c>
      <c r="B1001" t="s">
        <v>1910</v>
      </c>
      <c r="C1001" t="s">
        <v>1912</v>
      </c>
      <c r="D1001">
        <v>9</v>
      </c>
      <c r="E1001" t="s">
        <v>1447</v>
      </c>
      <c r="F1001" t="s">
        <v>1920</v>
      </c>
      <c r="G1001" t="s">
        <v>1806</v>
      </c>
      <c r="H1001" t="s">
        <v>2279</v>
      </c>
      <c r="I1001" t="s">
        <v>2279</v>
      </c>
      <c r="J1001">
        <v>0.73615350444000005</v>
      </c>
      <c r="K1001" t="s">
        <v>2279</v>
      </c>
      <c r="L1001" t="s">
        <v>2279</v>
      </c>
      <c r="M1001" t="s">
        <v>2279</v>
      </c>
      <c r="N1001" t="s">
        <v>2279</v>
      </c>
      <c r="O1001" s="190" t="str">
        <f>"["&amp;$C1001&amp;"]["&amp;$D1001&amp;"]["&amp;$F1001&amp;"]"</f>
        <v>[S05_BiomassInstallations][9][EnergyFossil]</v>
      </c>
    </row>
    <row r="1002" spans="1:15" x14ac:dyDescent="0.3">
      <c r="A1002" t="s">
        <v>2277</v>
      </c>
      <c r="B1002" t="s">
        <v>1910</v>
      </c>
      <c r="C1002" t="s">
        <v>1912</v>
      </c>
      <c r="D1002">
        <v>10</v>
      </c>
      <c r="E1002" t="s">
        <v>1447</v>
      </c>
      <c r="F1002" t="s">
        <v>1920</v>
      </c>
      <c r="G1002" t="s">
        <v>1806</v>
      </c>
      <c r="H1002" t="s">
        <v>2279</v>
      </c>
      <c r="I1002" t="s">
        <v>2279</v>
      </c>
      <c r="J1002">
        <v>3514.3203875139998</v>
      </c>
      <c r="K1002" t="s">
        <v>2279</v>
      </c>
      <c r="L1002" t="s">
        <v>2279</v>
      </c>
      <c r="M1002" t="s">
        <v>2279</v>
      </c>
      <c r="N1002" t="s">
        <v>2279</v>
      </c>
      <c r="O1002" s="190" t="str">
        <f>"["&amp;$C1002&amp;"]["&amp;$D1002&amp;"]["&amp;$F1002&amp;"]"</f>
        <v>[S05_BiomassInstallations][10][EnergyFossil]</v>
      </c>
    </row>
    <row r="1003" spans="1:15" x14ac:dyDescent="0.3">
      <c r="A1003" t="s">
        <v>2277</v>
      </c>
      <c r="B1003" t="s">
        <v>1910</v>
      </c>
      <c r="C1003" t="s">
        <v>1912</v>
      </c>
      <c r="D1003">
        <v>11</v>
      </c>
      <c r="E1003" t="s">
        <v>1447</v>
      </c>
      <c r="F1003" t="s">
        <v>1920</v>
      </c>
      <c r="G1003" t="s">
        <v>1806</v>
      </c>
      <c r="H1003" t="s">
        <v>2279</v>
      </c>
      <c r="I1003" t="s">
        <v>2279</v>
      </c>
      <c r="J1003">
        <v>2111.9877580460002</v>
      </c>
      <c r="K1003" t="s">
        <v>2279</v>
      </c>
      <c r="L1003" t="s">
        <v>2279</v>
      </c>
      <c r="M1003" t="s">
        <v>2279</v>
      </c>
      <c r="N1003" t="s">
        <v>2279</v>
      </c>
      <c r="O1003" s="190" t="str">
        <f>"["&amp;$C1003&amp;"]["&amp;$D1003&amp;"]["&amp;$F1003&amp;"]"</f>
        <v>[S05_BiomassInstallations][11][EnergyFossil]</v>
      </c>
    </row>
    <row r="1004" spans="1:15" x14ac:dyDescent="0.3">
      <c r="A1004" t="s">
        <v>2277</v>
      </c>
      <c r="B1004" t="s">
        <v>1910</v>
      </c>
      <c r="C1004" t="s">
        <v>1912</v>
      </c>
      <c r="D1004">
        <v>12</v>
      </c>
      <c r="E1004" t="s">
        <v>1447</v>
      </c>
      <c r="F1004" t="s">
        <v>1920</v>
      </c>
      <c r="G1004" t="s">
        <v>1806</v>
      </c>
      <c r="H1004" t="s">
        <v>2279</v>
      </c>
      <c r="I1004" t="s">
        <v>2279</v>
      </c>
      <c r="J1004">
        <v>28.664371500000001</v>
      </c>
      <c r="K1004" t="s">
        <v>2279</v>
      </c>
      <c r="L1004" t="s">
        <v>2279</v>
      </c>
      <c r="M1004" t="s">
        <v>2279</v>
      </c>
      <c r="N1004" t="s">
        <v>2279</v>
      </c>
      <c r="O1004" s="190" t="str">
        <f>"["&amp;$C1004&amp;"]["&amp;$D1004&amp;"]["&amp;$F1004&amp;"]"</f>
        <v>[S05_BiomassInstallations][12][EnergyFossil]</v>
      </c>
    </row>
    <row r="1005" spans="1:15" x14ac:dyDescent="0.3">
      <c r="A1005" t="s">
        <v>2277</v>
      </c>
      <c r="B1005" t="s">
        <v>1910</v>
      </c>
      <c r="C1005" t="s">
        <v>1912</v>
      </c>
      <c r="D1005">
        <v>13</v>
      </c>
      <c r="E1005" t="s">
        <v>1447</v>
      </c>
      <c r="F1005" t="s">
        <v>1920</v>
      </c>
      <c r="G1005" t="s">
        <v>1806</v>
      </c>
      <c r="H1005" t="s">
        <v>2279</v>
      </c>
      <c r="I1005" t="s">
        <v>2279</v>
      </c>
      <c r="J1005">
        <v>2693.1250239814299</v>
      </c>
      <c r="K1005" t="s">
        <v>2279</v>
      </c>
      <c r="L1005" t="s">
        <v>2279</v>
      </c>
      <c r="M1005" t="s">
        <v>2279</v>
      </c>
      <c r="N1005" t="s">
        <v>2279</v>
      </c>
      <c r="O1005" s="190" t="str">
        <f>"["&amp;$C1005&amp;"]["&amp;$D1005&amp;"]["&amp;$F1005&amp;"]"</f>
        <v>[S05_BiomassInstallations][13][EnergyFossil]</v>
      </c>
    </row>
    <row r="1006" spans="1:15" x14ac:dyDescent="0.3">
      <c r="A1006" t="s">
        <v>2277</v>
      </c>
      <c r="B1006" t="s">
        <v>1910</v>
      </c>
      <c r="C1006" t="s">
        <v>1912</v>
      </c>
      <c r="D1006">
        <v>14</v>
      </c>
      <c r="E1006" t="s">
        <v>1447</v>
      </c>
      <c r="F1006" t="s">
        <v>1920</v>
      </c>
      <c r="G1006" t="s">
        <v>1806</v>
      </c>
      <c r="H1006" t="s">
        <v>2279</v>
      </c>
      <c r="I1006" t="s">
        <v>2279</v>
      </c>
      <c r="J1006">
        <v>611.95736950000003</v>
      </c>
      <c r="K1006" t="s">
        <v>2279</v>
      </c>
      <c r="L1006" t="s">
        <v>2279</v>
      </c>
      <c r="M1006" t="s">
        <v>2279</v>
      </c>
      <c r="N1006" t="s">
        <v>2279</v>
      </c>
      <c r="O1006" s="190" t="str">
        <f>"["&amp;$C1006&amp;"]["&amp;$D1006&amp;"]["&amp;$F1006&amp;"]"</f>
        <v>[S05_BiomassInstallations][14][EnergyFossil]</v>
      </c>
    </row>
    <row r="1007" spans="1:15" x14ac:dyDescent="0.3">
      <c r="A1007" t="s">
        <v>2277</v>
      </c>
      <c r="B1007" t="s">
        <v>1910</v>
      </c>
      <c r="C1007" t="s">
        <v>1912</v>
      </c>
      <c r="D1007">
        <v>15</v>
      </c>
      <c r="E1007" t="s">
        <v>1447</v>
      </c>
      <c r="F1007" t="s">
        <v>1920</v>
      </c>
      <c r="G1007" t="s">
        <v>1806</v>
      </c>
      <c r="H1007" t="s">
        <v>2279</v>
      </c>
      <c r="I1007" t="s">
        <v>2279</v>
      </c>
      <c r="J1007">
        <v>3404.5277658001701</v>
      </c>
      <c r="K1007" t="s">
        <v>2279</v>
      </c>
      <c r="L1007" t="s">
        <v>2279</v>
      </c>
      <c r="M1007" t="s">
        <v>2279</v>
      </c>
      <c r="N1007" t="s">
        <v>2279</v>
      </c>
      <c r="O1007" s="190" t="str">
        <f>"["&amp;$C1007&amp;"]["&amp;$D1007&amp;"]["&amp;$F1007&amp;"]"</f>
        <v>[S05_BiomassInstallations][15][EnergyFossil]</v>
      </c>
    </row>
    <row r="1008" spans="1:15" x14ac:dyDescent="0.3">
      <c r="A1008" t="s">
        <v>2277</v>
      </c>
      <c r="B1008" t="s">
        <v>1910</v>
      </c>
      <c r="C1008" t="s">
        <v>1912</v>
      </c>
      <c r="D1008">
        <v>16</v>
      </c>
      <c r="E1008" t="s">
        <v>1447</v>
      </c>
      <c r="F1008" t="s">
        <v>1920</v>
      </c>
      <c r="G1008" t="s">
        <v>1806</v>
      </c>
      <c r="H1008" t="s">
        <v>2279</v>
      </c>
      <c r="I1008" t="s">
        <v>2279</v>
      </c>
      <c r="J1008">
        <v>1660.3355057399999</v>
      </c>
      <c r="K1008" t="s">
        <v>2279</v>
      </c>
      <c r="L1008" t="s">
        <v>2279</v>
      </c>
      <c r="M1008" t="s">
        <v>2279</v>
      </c>
      <c r="N1008" t="s">
        <v>2279</v>
      </c>
      <c r="O1008" s="190" t="str">
        <f>"["&amp;$C1008&amp;"]["&amp;$D1008&amp;"]["&amp;$F1008&amp;"]"</f>
        <v>[S05_BiomassInstallations][16][EnergyFossil]</v>
      </c>
    </row>
    <row r="1009" spans="1:15" x14ac:dyDescent="0.3">
      <c r="A1009" t="s">
        <v>2277</v>
      </c>
      <c r="B1009" t="s">
        <v>1910</v>
      </c>
      <c r="C1009" t="s">
        <v>1912</v>
      </c>
      <c r="D1009">
        <v>17</v>
      </c>
      <c r="E1009" t="s">
        <v>1447</v>
      </c>
      <c r="F1009" t="s">
        <v>1920</v>
      </c>
      <c r="G1009" t="s">
        <v>1806</v>
      </c>
      <c r="H1009" t="s">
        <v>2279</v>
      </c>
      <c r="I1009" t="s">
        <v>2279</v>
      </c>
      <c r="J1009">
        <v>3818.1547</v>
      </c>
      <c r="K1009" t="s">
        <v>2279</v>
      </c>
      <c r="L1009" t="s">
        <v>2279</v>
      </c>
      <c r="M1009" t="s">
        <v>2279</v>
      </c>
      <c r="N1009" t="s">
        <v>2279</v>
      </c>
      <c r="O1009" s="190" t="str">
        <f>"["&amp;$C1009&amp;"]["&amp;$D1009&amp;"]["&amp;$F1009&amp;"]"</f>
        <v>[S05_BiomassInstallations][17][EnergyFossil]</v>
      </c>
    </row>
    <row r="1010" spans="1:15" x14ac:dyDescent="0.3">
      <c r="A1010" t="s">
        <v>2277</v>
      </c>
      <c r="B1010" t="s">
        <v>1910</v>
      </c>
      <c r="C1010" t="s">
        <v>1912</v>
      </c>
      <c r="D1010">
        <v>18</v>
      </c>
      <c r="E1010" t="s">
        <v>1447</v>
      </c>
      <c r="F1010" t="s">
        <v>1920</v>
      </c>
      <c r="G1010" t="s">
        <v>1806</v>
      </c>
      <c r="H1010" t="s">
        <v>2279</v>
      </c>
      <c r="I1010" t="s">
        <v>2279</v>
      </c>
      <c r="J1010">
        <v>395.53372760000002</v>
      </c>
      <c r="K1010" t="s">
        <v>2279</v>
      </c>
      <c r="L1010" t="s">
        <v>2279</v>
      </c>
      <c r="M1010" t="s">
        <v>2279</v>
      </c>
      <c r="N1010" t="s">
        <v>2279</v>
      </c>
      <c r="O1010" s="190" t="str">
        <f>"["&amp;$C1010&amp;"]["&amp;$D1010&amp;"]["&amp;$F1010&amp;"]"</f>
        <v>[S05_BiomassInstallations][18][EnergyFossil]</v>
      </c>
    </row>
    <row r="1011" spans="1:15" x14ac:dyDescent="0.3">
      <c r="A1011" t="s">
        <v>2277</v>
      </c>
      <c r="B1011" t="s">
        <v>1921</v>
      </c>
      <c r="C1011" t="s">
        <v>1922</v>
      </c>
      <c r="D1011">
        <v>0</v>
      </c>
      <c r="E1011" t="s">
        <v>1447</v>
      </c>
      <c r="F1011" t="s">
        <v>1922</v>
      </c>
      <c r="G1011" t="s">
        <v>1806</v>
      </c>
      <c r="H1011" t="s">
        <v>2279</v>
      </c>
      <c r="I1011" t="s">
        <v>2279</v>
      </c>
      <c r="J1011">
        <v>148716</v>
      </c>
      <c r="K1011" t="s">
        <v>2279</v>
      </c>
      <c r="L1011" t="s">
        <v>2279</v>
      </c>
      <c r="M1011" t="s">
        <v>2279</v>
      </c>
      <c r="N1011" t="s">
        <v>2279</v>
      </c>
      <c r="O1011" s="190" t="str">
        <f>"["&amp;$C1011&amp;"]["&amp;$D1011&amp;"]["&amp;$F1011&amp;"]"</f>
        <v>[WasteFuelFossilCO2][0][WasteFuelFossilCO2]</v>
      </c>
    </row>
    <row r="1012" spans="1:15" x14ac:dyDescent="0.3">
      <c r="A1012" t="s">
        <v>2277</v>
      </c>
      <c r="B1012" t="s">
        <v>1923</v>
      </c>
      <c r="C1012" t="s">
        <v>1924</v>
      </c>
      <c r="D1012">
        <v>0</v>
      </c>
      <c r="E1012" t="s">
        <v>1447</v>
      </c>
      <c r="F1012" t="s">
        <v>1924</v>
      </c>
      <c r="G1012" t="s">
        <v>1759</v>
      </c>
      <c r="H1012" t="s">
        <v>2279</v>
      </c>
      <c r="I1012" t="s">
        <v>2279</v>
      </c>
      <c r="J1012" t="s">
        <v>2279</v>
      </c>
      <c r="K1012" t="s">
        <v>2279</v>
      </c>
      <c r="L1012" t="s">
        <v>1447</v>
      </c>
      <c r="M1012" t="s">
        <v>2279</v>
      </c>
      <c r="N1012" t="s">
        <v>2279</v>
      </c>
      <c r="O1012" s="190" t="str">
        <f>"["&amp;$C1012&amp;"]["&amp;$D1012&amp;"]["&amp;$F1012&amp;"]"</f>
        <v>[SimplifiedMonitoringArt13][0][SimplifiedMonitoringArt13]</v>
      </c>
    </row>
    <row r="1013" spans="1:15" x14ac:dyDescent="0.3">
      <c r="A1013" t="s">
        <v>2277</v>
      </c>
      <c r="B1013" t="s">
        <v>1928</v>
      </c>
      <c r="C1013" t="s">
        <v>1929</v>
      </c>
      <c r="D1013">
        <v>1</v>
      </c>
      <c r="E1013" t="s">
        <v>1447</v>
      </c>
      <c r="F1013" t="s">
        <v>1930</v>
      </c>
      <c r="G1013" t="s">
        <v>1748</v>
      </c>
      <c r="H1013" t="s">
        <v>2279</v>
      </c>
      <c r="I1013">
        <v>3</v>
      </c>
      <c r="J1013" t="s">
        <v>2279</v>
      </c>
      <c r="K1013" t="s">
        <v>2279</v>
      </c>
      <c r="L1013" t="s">
        <v>2279</v>
      </c>
      <c r="M1013" t="s">
        <v>2279</v>
      </c>
      <c r="N1013" t="s">
        <v>2279</v>
      </c>
      <c r="O1013" s="190" t="str">
        <f>"["&amp;$C1013&amp;"]["&amp;$D1013&amp;"]["&amp;$F1013&amp;"]"</f>
        <v>[S05_AircraftMethodFuelConsumption][1][CountAircraftOperators]</v>
      </c>
    </row>
    <row r="1014" spans="1:15" x14ac:dyDescent="0.3">
      <c r="A1014" t="s">
        <v>2277</v>
      </c>
      <c r="B1014" t="s">
        <v>1928</v>
      </c>
      <c r="C1014" t="s">
        <v>1929</v>
      </c>
      <c r="D1014">
        <v>2</v>
      </c>
      <c r="E1014" t="s">
        <v>1447</v>
      </c>
      <c r="F1014" t="s">
        <v>1930</v>
      </c>
      <c r="G1014" t="s">
        <v>1748</v>
      </c>
      <c r="H1014" t="s">
        <v>2279</v>
      </c>
      <c r="I1014">
        <v>22</v>
      </c>
      <c r="J1014" t="s">
        <v>2279</v>
      </c>
      <c r="K1014" t="s">
        <v>2279</v>
      </c>
      <c r="L1014" t="s">
        <v>2279</v>
      </c>
      <c r="M1014" t="s">
        <v>2279</v>
      </c>
      <c r="N1014" t="s">
        <v>2279</v>
      </c>
      <c r="O1014" s="190" t="str">
        <f>"["&amp;$C1014&amp;"]["&amp;$D1014&amp;"]["&amp;$F1014&amp;"]"</f>
        <v>[S05_AircraftMethodFuelConsumption][2][CountAircraftOperators]</v>
      </c>
    </row>
    <row r="1015" spans="1:15" x14ac:dyDescent="0.3">
      <c r="A1015" t="s">
        <v>2277</v>
      </c>
      <c r="B1015" t="s">
        <v>1928</v>
      </c>
      <c r="C1015" t="s">
        <v>1929</v>
      </c>
      <c r="D1015">
        <v>3</v>
      </c>
      <c r="E1015" t="s">
        <v>1447</v>
      </c>
      <c r="F1015" t="s">
        <v>1930</v>
      </c>
      <c r="G1015" t="s">
        <v>1748</v>
      </c>
      <c r="H1015" t="s">
        <v>2279</v>
      </c>
      <c r="I1015">
        <v>0</v>
      </c>
      <c r="J1015" t="s">
        <v>2279</v>
      </c>
      <c r="K1015" t="s">
        <v>2279</v>
      </c>
      <c r="L1015" t="s">
        <v>2279</v>
      </c>
      <c r="M1015" t="s">
        <v>2279</v>
      </c>
      <c r="N1015" t="s">
        <v>2279</v>
      </c>
      <c r="O1015" s="190" t="str">
        <f>"["&amp;$C1015&amp;"]["&amp;$D1015&amp;"]["&amp;$F1015&amp;"]"</f>
        <v>[S05_AircraftMethodFuelConsumption][3][CountAircraftOperators]</v>
      </c>
    </row>
    <row r="1016" spans="1:15" x14ac:dyDescent="0.3">
      <c r="A1016" t="s">
        <v>2277</v>
      </c>
      <c r="B1016" t="s">
        <v>1928</v>
      </c>
      <c r="C1016" t="s">
        <v>1929</v>
      </c>
      <c r="D1016">
        <v>1</v>
      </c>
      <c r="E1016" t="s">
        <v>1447</v>
      </c>
      <c r="F1016" t="s">
        <v>1931</v>
      </c>
      <c r="G1016" t="s">
        <v>1806</v>
      </c>
      <c r="H1016" t="s">
        <v>2279</v>
      </c>
      <c r="I1016" t="s">
        <v>2279</v>
      </c>
      <c r="J1016">
        <v>0.04</v>
      </c>
      <c r="K1016" t="s">
        <v>2279</v>
      </c>
      <c r="L1016" t="s">
        <v>2279</v>
      </c>
      <c r="M1016" t="s">
        <v>2279</v>
      </c>
      <c r="N1016" t="s">
        <v>2279</v>
      </c>
      <c r="O1016" s="190" t="str">
        <f>"["&amp;$C1016&amp;"]["&amp;$D1016&amp;"]["&amp;$F1016&amp;"]"</f>
        <v>[S05_AircraftMethodFuelConsumption][1][SmallEmittersShare]</v>
      </c>
    </row>
    <row r="1017" spans="1:15" x14ac:dyDescent="0.3">
      <c r="A1017" t="s">
        <v>2277</v>
      </c>
      <c r="B1017" t="s">
        <v>1928</v>
      </c>
      <c r="C1017" t="s">
        <v>1929</v>
      </c>
      <c r="D1017">
        <v>2</v>
      </c>
      <c r="E1017" t="s">
        <v>1447</v>
      </c>
      <c r="F1017" t="s">
        <v>1931</v>
      </c>
      <c r="G1017" t="s">
        <v>1806</v>
      </c>
      <c r="H1017" t="s">
        <v>2279</v>
      </c>
      <c r="I1017" t="s">
        <v>2279</v>
      </c>
      <c r="J1017">
        <v>0.26</v>
      </c>
      <c r="K1017" t="s">
        <v>2279</v>
      </c>
      <c r="L1017" t="s">
        <v>2279</v>
      </c>
      <c r="M1017" t="s">
        <v>2279</v>
      </c>
      <c r="N1017" t="s">
        <v>2279</v>
      </c>
      <c r="O1017" s="190" t="str">
        <f>"["&amp;$C1017&amp;"]["&amp;$D1017&amp;"]["&amp;$F1017&amp;"]"</f>
        <v>[S05_AircraftMethodFuelConsumption][2][SmallEmittersShare]</v>
      </c>
    </row>
    <row r="1018" spans="1:15" x14ac:dyDescent="0.3">
      <c r="A1018" t="s">
        <v>2277</v>
      </c>
      <c r="B1018" t="s">
        <v>1928</v>
      </c>
      <c r="C1018" t="s">
        <v>1929</v>
      </c>
      <c r="D1018">
        <v>3</v>
      </c>
      <c r="E1018" t="s">
        <v>1447</v>
      </c>
      <c r="F1018" t="s">
        <v>1931</v>
      </c>
      <c r="G1018" t="s">
        <v>1806</v>
      </c>
      <c r="H1018" t="s">
        <v>2279</v>
      </c>
      <c r="I1018" t="s">
        <v>2279</v>
      </c>
      <c r="J1018">
        <v>0</v>
      </c>
      <c r="K1018" t="s">
        <v>2279</v>
      </c>
      <c r="L1018" t="s">
        <v>2279</v>
      </c>
      <c r="M1018" t="s">
        <v>2279</v>
      </c>
      <c r="N1018" t="s">
        <v>2279</v>
      </c>
      <c r="O1018" s="190" t="str">
        <f>"["&amp;$C1018&amp;"]["&amp;$D1018&amp;"]["&amp;$F1018&amp;"]"</f>
        <v>[S05_AircraftMethodFuelConsumption][3][SmallEmittersShare]</v>
      </c>
    </row>
    <row r="1019" spans="1:15" x14ac:dyDescent="0.3">
      <c r="A1019" t="s">
        <v>2277</v>
      </c>
      <c r="B1019" t="s">
        <v>1932</v>
      </c>
      <c r="C1019" t="s">
        <v>1933</v>
      </c>
      <c r="D1019">
        <v>1</v>
      </c>
      <c r="E1019" t="s">
        <v>1447</v>
      </c>
      <c r="F1019" t="s">
        <v>1934</v>
      </c>
      <c r="G1019" t="s">
        <v>1806</v>
      </c>
      <c r="H1019" t="s">
        <v>2279</v>
      </c>
      <c r="I1019" t="s">
        <v>2279</v>
      </c>
      <c r="J1019">
        <v>2248607</v>
      </c>
      <c r="K1019" t="s">
        <v>2279</v>
      </c>
      <c r="L1019" t="s">
        <v>2279</v>
      </c>
      <c r="M1019" t="s">
        <v>2279</v>
      </c>
      <c r="N1019" t="s">
        <v>2279</v>
      </c>
      <c r="O1019" s="190" t="str">
        <f>"["&amp;$C1019&amp;"]["&amp;$D1019&amp;"]["&amp;$F1019&amp;"]"</f>
        <v>[S05_TotalFlightEmissions][1][TotalFlightEmissions]</v>
      </c>
    </row>
    <row r="1020" spans="1:15" x14ac:dyDescent="0.3">
      <c r="A1020" t="s">
        <v>2277</v>
      </c>
      <c r="B1020" t="s">
        <v>1932</v>
      </c>
      <c r="C1020" t="s">
        <v>1933</v>
      </c>
      <c r="D1020">
        <v>2</v>
      </c>
      <c r="E1020" t="s">
        <v>1447</v>
      </c>
      <c r="F1020" t="s">
        <v>1934</v>
      </c>
      <c r="G1020" t="s">
        <v>1806</v>
      </c>
      <c r="H1020" t="s">
        <v>2279</v>
      </c>
      <c r="I1020" t="s">
        <v>2279</v>
      </c>
      <c r="J1020">
        <v>872109</v>
      </c>
      <c r="K1020" t="s">
        <v>2279</v>
      </c>
      <c r="L1020" t="s">
        <v>2279</v>
      </c>
      <c r="M1020" t="s">
        <v>2279</v>
      </c>
      <c r="N1020" t="s">
        <v>2279</v>
      </c>
      <c r="O1020" s="190" t="str">
        <f>"["&amp;$C1020&amp;"]["&amp;$D1020&amp;"]["&amp;$F1020&amp;"]"</f>
        <v>[S05_TotalFlightEmissions][2][TotalFlightEmissions]</v>
      </c>
    </row>
    <row r="1021" spans="1:15" x14ac:dyDescent="0.3">
      <c r="A1021" t="s">
        <v>2277</v>
      </c>
      <c r="B1021" t="s">
        <v>1932</v>
      </c>
      <c r="C1021" t="s">
        <v>1933</v>
      </c>
      <c r="D1021">
        <v>3</v>
      </c>
      <c r="E1021" t="s">
        <v>1447</v>
      </c>
      <c r="F1021" t="s">
        <v>1934</v>
      </c>
      <c r="G1021" t="s">
        <v>1806</v>
      </c>
      <c r="H1021" t="s">
        <v>2279</v>
      </c>
      <c r="I1021" t="s">
        <v>2279</v>
      </c>
      <c r="J1021">
        <v>7995500</v>
      </c>
      <c r="K1021" t="s">
        <v>2279</v>
      </c>
      <c r="L1021" t="s">
        <v>2279</v>
      </c>
      <c r="M1021" t="s">
        <v>2279</v>
      </c>
      <c r="N1021" t="s">
        <v>2279</v>
      </c>
      <c r="O1021" s="190" t="str">
        <f>"["&amp;$C1021&amp;"]["&amp;$D1021&amp;"]["&amp;$F1021&amp;"]"</f>
        <v>[S05_TotalFlightEmissions][3][TotalFlightEmissions]</v>
      </c>
    </row>
    <row r="1022" spans="1:15" x14ac:dyDescent="0.3">
      <c r="A1022" t="s">
        <v>2277</v>
      </c>
      <c r="B1022" t="s">
        <v>1932</v>
      </c>
      <c r="C1022" t="s">
        <v>1933</v>
      </c>
      <c r="D1022">
        <v>4</v>
      </c>
      <c r="E1022" t="s">
        <v>1447</v>
      </c>
      <c r="F1022" t="s">
        <v>1934</v>
      </c>
      <c r="G1022" t="s">
        <v>1806</v>
      </c>
      <c r="H1022" t="s">
        <v>2279</v>
      </c>
      <c r="I1022" t="s">
        <v>2279</v>
      </c>
      <c r="J1022">
        <v>5769202</v>
      </c>
      <c r="K1022" t="s">
        <v>2279</v>
      </c>
      <c r="L1022" t="s">
        <v>2279</v>
      </c>
      <c r="M1022" t="s">
        <v>2279</v>
      </c>
      <c r="N1022" t="s">
        <v>2279</v>
      </c>
      <c r="O1022" s="190" t="str">
        <f>"["&amp;$C1022&amp;"]["&amp;$D1022&amp;"]["&amp;$F1022&amp;"]"</f>
        <v>[S05_TotalFlightEmissions][4][TotalFlightEmissions]</v>
      </c>
    </row>
    <row r="1023" spans="1:15" x14ac:dyDescent="0.3">
      <c r="A1023" t="s">
        <v>2277</v>
      </c>
      <c r="B1023" t="s">
        <v>1932</v>
      </c>
      <c r="C1023" t="s">
        <v>1933</v>
      </c>
      <c r="D1023">
        <v>5</v>
      </c>
      <c r="E1023" t="s">
        <v>1447</v>
      </c>
      <c r="F1023" t="s">
        <v>1934</v>
      </c>
      <c r="G1023" t="s">
        <v>1806</v>
      </c>
      <c r="H1023" t="s">
        <v>2279</v>
      </c>
      <c r="I1023" t="s">
        <v>2279</v>
      </c>
      <c r="J1023">
        <v>15345</v>
      </c>
      <c r="K1023" t="s">
        <v>2279</v>
      </c>
      <c r="L1023" t="s">
        <v>2279</v>
      </c>
      <c r="M1023" t="s">
        <v>2279</v>
      </c>
      <c r="N1023" t="s">
        <v>2279</v>
      </c>
      <c r="O1023" s="190" t="str">
        <f>"["&amp;$C1023&amp;"]["&amp;$D1023&amp;"]["&amp;$F1023&amp;"]"</f>
        <v>[S05_TotalFlightEmissions][5][TotalFlightEmissions]</v>
      </c>
    </row>
    <row r="1024" spans="1:15" x14ac:dyDescent="0.3">
      <c r="A1024" t="s">
        <v>2277</v>
      </c>
      <c r="B1024" t="s">
        <v>1932</v>
      </c>
      <c r="C1024" t="s">
        <v>1935</v>
      </c>
      <c r="D1024">
        <v>0</v>
      </c>
      <c r="E1024" t="s">
        <v>1447</v>
      </c>
      <c r="F1024" t="s">
        <v>1935</v>
      </c>
      <c r="G1024" t="s">
        <v>1748</v>
      </c>
      <c r="H1024" t="s">
        <v>2279</v>
      </c>
      <c r="I1024">
        <v>14</v>
      </c>
      <c r="J1024" t="s">
        <v>2279</v>
      </c>
      <c r="K1024" t="s">
        <v>2279</v>
      </c>
      <c r="L1024" t="s">
        <v>2279</v>
      </c>
      <c r="M1024" t="s">
        <v>2279</v>
      </c>
      <c r="N1024" t="s">
        <v>2279</v>
      </c>
      <c r="O1024" s="190" t="str">
        <f>"["&amp;$C1024&amp;"]["&amp;$D1024&amp;"]["&amp;$F1024&amp;"]"</f>
        <v>[CountOperatorsThirdCountries][0][CountOperatorsThirdCountries]</v>
      </c>
    </row>
    <row r="1025" spans="1:15" x14ac:dyDescent="0.3">
      <c r="A1025" t="s">
        <v>2277</v>
      </c>
      <c r="B1025" t="s">
        <v>1936</v>
      </c>
      <c r="C1025" t="s">
        <v>1937</v>
      </c>
      <c r="D1025">
        <v>0</v>
      </c>
      <c r="E1025" t="s">
        <v>1447</v>
      </c>
      <c r="F1025" t="s">
        <v>1937</v>
      </c>
      <c r="G1025" t="s">
        <v>1748</v>
      </c>
      <c r="H1025" t="s">
        <v>2279</v>
      </c>
      <c r="I1025">
        <v>1</v>
      </c>
      <c r="J1025" t="s">
        <v>2279</v>
      </c>
      <c r="K1025" t="s">
        <v>2279</v>
      </c>
      <c r="L1025" t="s">
        <v>2279</v>
      </c>
      <c r="M1025" t="s">
        <v>2279</v>
      </c>
      <c r="N1025" t="s">
        <v>2279</v>
      </c>
      <c r="O1025" s="190" t="str">
        <f>"["&amp;$C1025&amp;"]["&amp;$D1025&amp;"]["&amp;$F1025&amp;"]"</f>
        <v>[CountOperatorsUsingBiofuels][0][CountOperatorsUsingBiofuels]</v>
      </c>
    </row>
    <row r="1026" spans="1:15" x14ac:dyDescent="0.3">
      <c r="A1026" t="s">
        <v>2277</v>
      </c>
      <c r="B1026" t="s">
        <v>1936</v>
      </c>
      <c r="C1026" t="s">
        <v>1938</v>
      </c>
      <c r="D1026">
        <v>0</v>
      </c>
      <c r="E1026" t="s">
        <v>1447</v>
      </c>
      <c r="F1026" t="s">
        <v>1938</v>
      </c>
      <c r="G1026" t="s">
        <v>1806</v>
      </c>
      <c r="H1026" t="s">
        <v>2279</v>
      </c>
      <c r="I1026" t="s">
        <v>2279</v>
      </c>
      <c r="J1026">
        <v>844</v>
      </c>
      <c r="K1026" t="s">
        <v>2279</v>
      </c>
      <c r="L1026" t="s">
        <v>2279</v>
      </c>
      <c r="M1026" t="s">
        <v>2279</v>
      </c>
      <c r="N1026" t="s">
        <v>2279</v>
      </c>
      <c r="O1026" s="190" t="str">
        <f>"["&amp;$C1026&amp;"]["&amp;$D1026&amp;"]["&amp;$F1026&amp;"]"</f>
        <v>[EmissionsBiofuelsSustainabilitySatisfied][0][EmissionsBiofuelsSustainabilitySatisfied]</v>
      </c>
    </row>
    <row r="1027" spans="1:15" x14ac:dyDescent="0.3">
      <c r="A1027" t="s">
        <v>2277</v>
      </c>
      <c r="B1027" t="s">
        <v>1936</v>
      </c>
      <c r="C1027" t="s">
        <v>1939</v>
      </c>
      <c r="D1027">
        <v>0</v>
      </c>
      <c r="E1027" t="s">
        <v>1447</v>
      </c>
      <c r="F1027" t="s">
        <v>1939</v>
      </c>
      <c r="G1027" t="s">
        <v>1806</v>
      </c>
      <c r="H1027" t="s">
        <v>2279</v>
      </c>
      <c r="I1027" t="s">
        <v>2279</v>
      </c>
      <c r="J1027">
        <v>0</v>
      </c>
      <c r="K1027" t="s">
        <v>2279</v>
      </c>
      <c r="L1027" t="s">
        <v>2279</v>
      </c>
      <c r="M1027" t="s">
        <v>2279</v>
      </c>
      <c r="N1027" t="s">
        <v>2279</v>
      </c>
      <c r="O1027" s="190" t="str">
        <f>"["&amp;$C1027&amp;"]["&amp;$D1027&amp;"]["&amp;$F1027&amp;"]"</f>
        <v>[EmissionsBiofuelsSustainabilityNotSatisfied][0][EmissionsBiofuelsSustainabilityNotSatisfied]</v>
      </c>
    </row>
    <row r="1028" spans="1:15" x14ac:dyDescent="0.3">
      <c r="A1028" t="s">
        <v>2277</v>
      </c>
      <c r="B1028" t="s">
        <v>1940</v>
      </c>
      <c r="C1028" t="s">
        <v>1941</v>
      </c>
      <c r="D1028">
        <v>1</v>
      </c>
      <c r="E1028" t="s">
        <v>1447</v>
      </c>
      <c r="F1028" t="s">
        <v>1942</v>
      </c>
      <c r="G1028" t="s">
        <v>1748</v>
      </c>
      <c r="H1028" t="s">
        <v>2279</v>
      </c>
      <c r="I1028">
        <v>34</v>
      </c>
      <c r="J1028" t="s">
        <v>2279</v>
      </c>
      <c r="K1028" t="s">
        <v>2279</v>
      </c>
      <c r="L1028" t="s">
        <v>2279</v>
      </c>
      <c r="M1028" t="s">
        <v>2279</v>
      </c>
      <c r="N1028" t="s">
        <v>2279</v>
      </c>
      <c r="O1028" s="190" t="str">
        <f>"["&amp;$C1028&amp;"]["&amp;$D1028&amp;"]["&amp;$F1028&amp;"]"</f>
        <v>[S05_SmallEmittersTool][1][CountSmallEmitters]</v>
      </c>
    </row>
    <row r="1029" spans="1:15" x14ac:dyDescent="0.3">
      <c r="A1029" t="s">
        <v>2277</v>
      </c>
      <c r="B1029" t="s">
        <v>1940</v>
      </c>
      <c r="C1029" t="s">
        <v>1941</v>
      </c>
      <c r="D1029">
        <v>2</v>
      </c>
      <c r="E1029" t="s">
        <v>1447</v>
      </c>
      <c r="F1029" t="s">
        <v>1942</v>
      </c>
      <c r="G1029" t="s">
        <v>1748</v>
      </c>
      <c r="H1029" t="s">
        <v>2279</v>
      </c>
      <c r="I1029">
        <v>44</v>
      </c>
      <c r="J1029" t="s">
        <v>2279</v>
      </c>
      <c r="K1029" t="s">
        <v>2279</v>
      </c>
      <c r="L1029" t="s">
        <v>2279</v>
      </c>
      <c r="M1029" t="s">
        <v>2279</v>
      </c>
      <c r="N1029" t="s">
        <v>2279</v>
      </c>
      <c r="O1029" s="190" t="str">
        <f>"["&amp;$C1029&amp;"]["&amp;$D1029&amp;"]["&amp;$F1029&amp;"]"</f>
        <v>[S05_SmallEmittersTool][2][CountSmallEmitters]</v>
      </c>
    </row>
    <row r="1030" spans="1:15" x14ac:dyDescent="0.3">
      <c r="A1030" t="s">
        <v>2277</v>
      </c>
      <c r="B1030" t="s">
        <v>1940</v>
      </c>
      <c r="C1030" t="s">
        <v>1941</v>
      </c>
      <c r="D1030">
        <v>3</v>
      </c>
      <c r="E1030" t="s">
        <v>1447</v>
      </c>
      <c r="F1030" t="s">
        <v>1942</v>
      </c>
      <c r="G1030" t="s">
        <v>1748</v>
      </c>
      <c r="H1030" t="s">
        <v>2279</v>
      </c>
      <c r="I1030">
        <v>25</v>
      </c>
      <c r="J1030" t="s">
        <v>2279</v>
      </c>
      <c r="K1030" t="s">
        <v>2279</v>
      </c>
      <c r="L1030" t="s">
        <v>2279</v>
      </c>
      <c r="M1030" t="s">
        <v>2279</v>
      </c>
      <c r="N1030" t="s">
        <v>2279</v>
      </c>
      <c r="O1030" s="190" t="str">
        <f>"["&amp;$C1030&amp;"]["&amp;$D1030&amp;"]["&amp;$F1030&amp;"]"</f>
        <v>[S05_SmallEmittersTool][3][CountSmallEmitters]</v>
      </c>
    </row>
    <row r="1031" spans="1:15" x14ac:dyDescent="0.3">
      <c r="A1031" t="s">
        <v>2277</v>
      </c>
      <c r="B1031" t="s">
        <v>1943</v>
      </c>
      <c r="C1031" t="s">
        <v>1944</v>
      </c>
      <c r="D1031">
        <v>0</v>
      </c>
      <c r="E1031" t="s">
        <v>1447</v>
      </c>
      <c r="F1031" t="s">
        <v>1944</v>
      </c>
      <c r="G1031" t="s">
        <v>1748</v>
      </c>
      <c r="H1031" t="s">
        <v>2279</v>
      </c>
      <c r="I1031">
        <v>0</v>
      </c>
      <c r="J1031" t="s">
        <v>2279</v>
      </c>
      <c r="K1031" t="s">
        <v>2279</v>
      </c>
      <c r="L1031" t="s">
        <v>2279</v>
      </c>
      <c r="M1031" t="s">
        <v>2279</v>
      </c>
      <c r="N1031" t="s">
        <v>2279</v>
      </c>
      <c r="O1031" s="190" t="str">
        <f>"["&amp;$C1031&amp;"]["&amp;$D1031&amp;"]["&amp;$F1031&amp;"]"</f>
        <v>[AircraftImprovementReportRequired][0][AircraftImprovementReportRequired]</v>
      </c>
    </row>
    <row r="1032" spans="1:15" x14ac:dyDescent="0.3">
      <c r="A1032" t="s">
        <v>2277</v>
      </c>
      <c r="B1032" t="s">
        <v>1943</v>
      </c>
      <c r="C1032" t="s">
        <v>1945</v>
      </c>
      <c r="D1032">
        <v>0</v>
      </c>
      <c r="E1032" t="s">
        <v>1447</v>
      </c>
      <c r="F1032" t="s">
        <v>1945</v>
      </c>
      <c r="G1032" t="s">
        <v>1748</v>
      </c>
      <c r="H1032" t="s">
        <v>2279</v>
      </c>
      <c r="I1032">
        <v>0</v>
      </c>
      <c r="J1032" t="s">
        <v>2279</v>
      </c>
      <c r="K1032" t="s">
        <v>2279</v>
      </c>
      <c r="L1032" t="s">
        <v>2279</v>
      </c>
      <c r="M1032" t="s">
        <v>2279</v>
      </c>
      <c r="N1032" t="s">
        <v>2279</v>
      </c>
      <c r="O1032" s="190" t="str">
        <f>"["&amp;$C1032&amp;"]["&amp;$D1032&amp;"]["&amp;$F1032&amp;"]"</f>
        <v>[AircraftImprovementReportSubmitted][0][AircraftImprovementReportSubmitted]</v>
      </c>
    </row>
    <row r="1033" spans="1:15" x14ac:dyDescent="0.3">
      <c r="A1033" t="s">
        <v>2277</v>
      </c>
      <c r="B1033" t="s">
        <v>1946</v>
      </c>
      <c r="C1033" t="s">
        <v>1947</v>
      </c>
      <c r="D1033">
        <v>0</v>
      </c>
      <c r="E1033" t="s">
        <v>1447</v>
      </c>
      <c r="F1033" t="s">
        <v>1947</v>
      </c>
      <c r="G1033" t="s">
        <v>1759</v>
      </c>
      <c r="H1033" t="s">
        <v>2279</v>
      </c>
      <c r="I1033" t="s">
        <v>2279</v>
      </c>
      <c r="J1033" t="s">
        <v>2279</v>
      </c>
      <c r="K1033" t="s">
        <v>2279</v>
      </c>
      <c r="L1033" t="s">
        <v>1447</v>
      </c>
      <c r="M1033" t="s">
        <v>2279</v>
      </c>
      <c r="N1033" t="s">
        <v>2279</v>
      </c>
      <c r="O1033" s="190" t="str">
        <f>"["&amp;$C1033&amp;"]["&amp;$D1033&amp;"]["&amp;$F1033&amp;"]"</f>
        <v>[AircraftSimplifiedMonitoringArt13][0][AircraftSimplifiedMonitoringArt13]</v>
      </c>
    </row>
    <row r="1034" spans="1:15" x14ac:dyDescent="0.3">
      <c r="A1034" t="s">
        <v>2277</v>
      </c>
      <c r="B1034" t="s">
        <v>1951</v>
      </c>
      <c r="C1034" t="s">
        <v>1952</v>
      </c>
      <c r="D1034">
        <v>1</v>
      </c>
      <c r="E1034" t="s">
        <v>1447</v>
      </c>
      <c r="F1034" t="s">
        <v>1953</v>
      </c>
      <c r="G1034" t="s">
        <v>1748</v>
      </c>
      <c r="H1034" t="s">
        <v>2279</v>
      </c>
      <c r="I1034">
        <v>6</v>
      </c>
      <c r="J1034" t="s">
        <v>2279</v>
      </c>
      <c r="K1034" t="s">
        <v>2279</v>
      </c>
      <c r="L1034" t="s">
        <v>2279</v>
      </c>
      <c r="M1034" t="s">
        <v>2279</v>
      </c>
      <c r="N1034" t="s">
        <v>2279</v>
      </c>
      <c r="O1034" s="190" t="str">
        <f>"["&amp;$C1034&amp;"]["&amp;$D1034&amp;"]["&amp;$F1034&amp;"]"</f>
        <v>[S06_TotalVerifiers][1][CountVerifiersInstallations]</v>
      </c>
    </row>
    <row r="1035" spans="1:15" x14ac:dyDescent="0.3">
      <c r="A1035" t="s">
        <v>2277</v>
      </c>
      <c r="B1035" t="s">
        <v>1951</v>
      </c>
      <c r="C1035" t="s">
        <v>1952</v>
      </c>
      <c r="D1035">
        <v>2</v>
      </c>
      <c r="E1035" t="s">
        <v>1447</v>
      </c>
      <c r="F1035" t="s">
        <v>1953</v>
      </c>
      <c r="G1035" t="s">
        <v>1748</v>
      </c>
      <c r="H1035" t="s">
        <v>2279</v>
      </c>
      <c r="I1035">
        <v>0</v>
      </c>
      <c r="J1035" t="s">
        <v>2279</v>
      </c>
      <c r="K1035" t="s">
        <v>2279</v>
      </c>
      <c r="L1035" t="s">
        <v>2279</v>
      </c>
      <c r="M1035" t="s">
        <v>2279</v>
      </c>
      <c r="N1035" t="s">
        <v>2279</v>
      </c>
      <c r="O1035" s="190" t="str">
        <f>"["&amp;$C1035&amp;"]["&amp;$D1035&amp;"]["&amp;$F1035&amp;"]"</f>
        <v>[S06_TotalVerifiers][2][CountVerifiersInstallations]</v>
      </c>
    </row>
    <row r="1036" spans="1:15" x14ac:dyDescent="0.3">
      <c r="A1036" t="s">
        <v>2277</v>
      </c>
      <c r="B1036" t="s">
        <v>1951</v>
      </c>
      <c r="C1036" t="s">
        <v>1952</v>
      </c>
      <c r="D1036">
        <v>3</v>
      </c>
      <c r="E1036" t="s">
        <v>1447</v>
      </c>
      <c r="F1036" t="s">
        <v>1953</v>
      </c>
      <c r="G1036" t="s">
        <v>1748</v>
      </c>
      <c r="H1036" t="s">
        <v>2279</v>
      </c>
      <c r="I1036">
        <v>1</v>
      </c>
      <c r="J1036" t="s">
        <v>2279</v>
      </c>
      <c r="K1036" t="s">
        <v>2279</v>
      </c>
      <c r="L1036" t="s">
        <v>2279</v>
      </c>
      <c r="M1036" t="s">
        <v>2279</v>
      </c>
      <c r="N1036" t="s">
        <v>2279</v>
      </c>
      <c r="O1036" s="190" t="str">
        <f>"["&amp;$C1036&amp;"]["&amp;$D1036&amp;"]["&amp;$F1036&amp;"]"</f>
        <v>[S06_TotalVerifiers][3][CountVerifiersInstallations]</v>
      </c>
    </row>
    <row r="1037" spans="1:15" x14ac:dyDescent="0.3">
      <c r="A1037" t="s">
        <v>2277</v>
      </c>
      <c r="B1037" t="s">
        <v>1951</v>
      </c>
      <c r="C1037" t="s">
        <v>1952</v>
      </c>
      <c r="D1037">
        <v>4</v>
      </c>
      <c r="E1037" t="s">
        <v>1447</v>
      </c>
      <c r="F1037" t="s">
        <v>1953</v>
      </c>
      <c r="G1037" t="s">
        <v>1748</v>
      </c>
      <c r="H1037" t="s">
        <v>2279</v>
      </c>
      <c r="I1037">
        <v>0</v>
      </c>
      <c r="J1037" t="s">
        <v>2279</v>
      </c>
      <c r="K1037" t="s">
        <v>2279</v>
      </c>
      <c r="L1037" t="s">
        <v>2279</v>
      </c>
      <c r="M1037" t="s">
        <v>2279</v>
      </c>
      <c r="N1037" t="s">
        <v>2279</v>
      </c>
      <c r="O1037" s="190" t="str">
        <f>"["&amp;$C1037&amp;"]["&amp;$D1037&amp;"]["&amp;$F1037&amp;"]"</f>
        <v>[S06_TotalVerifiers][4][CountVerifiersInstallations]</v>
      </c>
    </row>
    <row r="1038" spans="1:15" x14ac:dyDescent="0.3">
      <c r="A1038" t="s">
        <v>2277</v>
      </c>
      <c r="B1038" t="s">
        <v>1951</v>
      </c>
      <c r="C1038" t="s">
        <v>1952</v>
      </c>
      <c r="D1038">
        <v>3</v>
      </c>
      <c r="E1038" t="s">
        <v>1447</v>
      </c>
      <c r="F1038" t="s">
        <v>1954</v>
      </c>
      <c r="G1038" t="s">
        <v>1741</v>
      </c>
      <c r="H1038" t="s">
        <v>2412</v>
      </c>
      <c r="I1038" t="s">
        <v>2279</v>
      </c>
      <c r="J1038" t="s">
        <v>2279</v>
      </c>
      <c r="K1038" t="s">
        <v>2279</v>
      </c>
      <c r="L1038" t="s">
        <v>2279</v>
      </c>
      <c r="M1038" t="s">
        <v>2279</v>
      </c>
      <c r="N1038" t="s">
        <v>2279</v>
      </c>
      <c r="O1038" s="190" t="str">
        <f>"["&amp;$C1038&amp;"]["&amp;$D1038&amp;"]["&amp;$F1038&amp;"]"</f>
        <v>[S06_TotalVerifiers][3][MSVerifiersInstallations]</v>
      </c>
    </row>
    <row r="1039" spans="1:15" x14ac:dyDescent="0.3">
      <c r="A1039" t="s">
        <v>2277</v>
      </c>
      <c r="B1039" t="s">
        <v>1951</v>
      </c>
      <c r="C1039" t="s">
        <v>1952</v>
      </c>
      <c r="D1039">
        <v>1</v>
      </c>
      <c r="E1039" t="s">
        <v>1447</v>
      </c>
      <c r="F1039" t="s">
        <v>1955</v>
      </c>
      <c r="G1039" t="s">
        <v>1748</v>
      </c>
      <c r="H1039" t="s">
        <v>2279</v>
      </c>
      <c r="I1039">
        <v>2</v>
      </c>
      <c r="J1039" t="s">
        <v>2279</v>
      </c>
      <c r="K1039" t="s">
        <v>2279</v>
      </c>
      <c r="L1039" t="s">
        <v>2279</v>
      </c>
      <c r="M1039" t="s">
        <v>2279</v>
      </c>
      <c r="N1039" t="s">
        <v>2279</v>
      </c>
      <c r="O1039" s="190" t="str">
        <f>"["&amp;$C1039&amp;"]["&amp;$D1039&amp;"]["&amp;$F1039&amp;"]"</f>
        <v>[S06_TotalVerifiers][1][CountVerifiersAviation]</v>
      </c>
    </row>
    <row r="1040" spans="1:15" x14ac:dyDescent="0.3">
      <c r="A1040" t="s">
        <v>2277</v>
      </c>
      <c r="B1040" t="s">
        <v>1951</v>
      </c>
      <c r="C1040" t="s">
        <v>1952</v>
      </c>
      <c r="D1040">
        <v>2</v>
      </c>
      <c r="E1040" t="s">
        <v>1447</v>
      </c>
      <c r="F1040" t="s">
        <v>1955</v>
      </c>
      <c r="G1040" t="s">
        <v>1748</v>
      </c>
      <c r="H1040" t="s">
        <v>2279</v>
      </c>
      <c r="I1040">
        <v>0</v>
      </c>
      <c r="J1040" t="s">
        <v>2279</v>
      </c>
      <c r="K1040" t="s">
        <v>2279</v>
      </c>
      <c r="L1040" t="s">
        <v>2279</v>
      </c>
      <c r="M1040" t="s">
        <v>2279</v>
      </c>
      <c r="N1040" t="s">
        <v>2279</v>
      </c>
      <c r="O1040" s="190" t="str">
        <f>"["&amp;$C1040&amp;"]["&amp;$D1040&amp;"]["&amp;$F1040&amp;"]"</f>
        <v>[S06_TotalVerifiers][2][CountVerifiersAviation]</v>
      </c>
    </row>
    <row r="1041" spans="1:15" x14ac:dyDescent="0.3">
      <c r="A1041" t="s">
        <v>2277</v>
      </c>
      <c r="B1041" t="s">
        <v>1951</v>
      </c>
      <c r="C1041" t="s">
        <v>1952</v>
      </c>
      <c r="D1041">
        <v>3</v>
      </c>
      <c r="E1041" t="s">
        <v>1447</v>
      </c>
      <c r="F1041" t="s">
        <v>1955</v>
      </c>
      <c r="G1041" t="s">
        <v>1748</v>
      </c>
      <c r="H1041" t="s">
        <v>2279</v>
      </c>
      <c r="I1041">
        <v>0</v>
      </c>
      <c r="J1041" t="s">
        <v>2279</v>
      </c>
      <c r="K1041" t="s">
        <v>2279</v>
      </c>
      <c r="L1041" t="s">
        <v>2279</v>
      </c>
      <c r="M1041" t="s">
        <v>2279</v>
      </c>
      <c r="N1041" t="s">
        <v>2279</v>
      </c>
      <c r="O1041" s="190" t="str">
        <f>"["&amp;$C1041&amp;"]["&amp;$D1041&amp;"]["&amp;$F1041&amp;"]"</f>
        <v>[S06_TotalVerifiers][3][CountVerifiersAviation]</v>
      </c>
    </row>
    <row r="1042" spans="1:15" x14ac:dyDescent="0.3">
      <c r="A1042" t="s">
        <v>2277</v>
      </c>
      <c r="B1042" t="s">
        <v>1951</v>
      </c>
      <c r="C1042" t="s">
        <v>1952</v>
      </c>
      <c r="D1042">
        <v>4</v>
      </c>
      <c r="E1042" t="s">
        <v>1447</v>
      </c>
      <c r="F1042" t="s">
        <v>1955</v>
      </c>
      <c r="G1042" t="s">
        <v>1748</v>
      </c>
      <c r="H1042" t="s">
        <v>2279</v>
      </c>
      <c r="I1042">
        <v>0</v>
      </c>
      <c r="J1042" t="s">
        <v>2279</v>
      </c>
      <c r="K1042" t="s">
        <v>2279</v>
      </c>
      <c r="L1042" t="s">
        <v>2279</v>
      </c>
      <c r="M1042" t="s">
        <v>2279</v>
      </c>
      <c r="N1042" t="s">
        <v>2279</v>
      </c>
      <c r="O1042" s="190" t="str">
        <f>"["&amp;$C1042&amp;"]["&amp;$D1042&amp;"]["&amp;$F1042&amp;"]"</f>
        <v>[S06_TotalVerifiers][4][CountVerifiersAviation]</v>
      </c>
    </row>
    <row r="1043" spans="1:15" x14ac:dyDescent="0.3">
      <c r="A1043" t="s">
        <v>2277</v>
      </c>
      <c r="B1043" t="s">
        <v>1951</v>
      </c>
      <c r="C1043" t="s">
        <v>1957</v>
      </c>
      <c r="D1043">
        <v>1</v>
      </c>
      <c r="E1043" t="s">
        <v>1447</v>
      </c>
      <c r="F1043" t="s">
        <v>1958</v>
      </c>
      <c r="G1043" t="s">
        <v>1737</v>
      </c>
      <c r="H1043" t="s">
        <v>2279</v>
      </c>
      <c r="I1043" t="s">
        <v>2279</v>
      </c>
      <c r="J1043" t="s">
        <v>2279</v>
      </c>
      <c r="K1043" t="s">
        <v>2279</v>
      </c>
      <c r="L1043" t="s">
        <v>1436</v>
      </c>
      <c r="M1043" t="s">
        <v>2279</v>
      </c>
      <c r="N1043" t="s">
        <v>2279</v>
      </c>
      <c r="O1043" s="190" t="str">
        <f>"["&amp;$C1043&amp;"]["&amp;$D1043&amp;"]["&amp;$F1043&amp;"]"</f>
        <v>[S06_AccredCertVerifiersAnnexI][1][AccredCertScope]</v>
      </c>
    </row>
    <row r="1044" spans="1:15" x14ac:dyDescent="0.3">
      <c r="A1044" t="s">
        <v>2277</v>
      </c>
      <c r="B1044" t="s">
        <v>1951</v>
      </c>
      <c r="C1044" t="s">
        <v>1957</v>
      </c>
      <c r="D1044">
        <v>2</v>
      </c>
      <c r="E1044" t="s">
        <v>1447</v>
      </c>
      <c r="F1044" t="s">
        <v>1958</v>
      </c>
      <c r="G1044" t="s">
        <v>1737</v>
      </c>
      <c r="H1044" t="s">
        <v>2279</v>
      </c>
      <c r="I1044" t="s">
        <v>2279</v>
      </c>
      <c r="J1044" t="s">
        <v>2279</v>
      </c>
      <c r="K1044" t="s">
        <v>2279</v>
      </c>
      <c r="L1044" t="s">
        <v>1465</v>
      </c>
      <c r="M1044" t="s">
        <v>2279</v>
      </c>
      <c r="N1044" t="s">
        <v>2279</v>
      </c>
      <c r="O1044" s="190" t="str">
        <f>"["&amp;$C1044&amp;"]["&amp;$D1044&amp;"]["&amp;$F1044&amp;"]"</f>
        <v>[S06_AccredCertVerifiersAnnexI][2][AccredCertScope]</v>
      </c>
    </row>
    <row r="1045" spans="1:15" x14ac:dyDescent="0.3">
      <c r="A1045" t="s">
        <v>2277</v>
      </c>
      <c r="B1045" t="s">
        <v>1951</v>
      </c>
      <c r="C1045" t="s">
        <v>1957</v>
      </c>
      <c r="D1045">
        <v>3</v>
      </c>
      <c r="E1045" t="s">
        <v>1447</v>
      </c>
      <c r="F1045" t="s">
        <v>1958</v>
      </c>
      <c r="G1045" t="s">
        <v>1737</v>
      </c>
      <c r="H1045" t="s">
        <v>2279</v>
      </c>
      <c r="I1045" t="s">
        <v>2279</v>
      </c>
      <c r="J1045" t="s">
        <v>2279</v>
      </c>
      <c r="K1045" t="s">
        <v>2279</v>
      </c>
      <c r="L1045" t="s">
        <v>1490</v>
      </c>
      <c r="M1045" t="s">
        <v>2279</v>
      </c>
      <c r="N1045" t="s">
        <v>2279</v>
      </c>
      <c r="O1045" s="190" t="str">
        <f>"["&amp;$C1045&amp;"]["&amp;$D1045&amp;"]["&amp;$F1045&amp;"]"</f>
        <v>[S06_AccredCertVerifiersAnnexI][3][AccredCertScope]</v>
      </c>
    </row>
    <row r="1046" spans="1:15" x14ac:dyDescent="0.3">
      <c r="A1046" t="s">
        <v>2277</v>
      </c>
      <c r="B1046" t="s">
        <v>1951</v>
      </c>
      <c r="C1046" t="s">
        <v>1957</v>
      </c>
      <c r="D1046">
        <v>4</v>
      </c>
      <c r="E1046" t="s">
        <v>1447</v>
      </c>
      <c r="F1046" t="s">
        <v>1958</v>
      </c>
      <c r="G1046" t="s">
        <v>1737</v>
      </c>
      <c r="H1046" t="s">
        <v>2279</v>
      </c>
      <c r="I1046" t="s">
        <v>2279</v>
      </c>
      <c r="J1046" t="s">
        <v>2279</v>
      </c>
      <c r="K1046" t="s">
        <v>2279</v>
      </c>
      <c r="L1046" t="s">
        <v>1510</v>
      </c>
      <c r="M1046" t="s">
        <v>2279</v>
      </c>
      <c r="N1046" t="s">
        <v>2279</v>
      </c>
      <c r="O1046" s="190" t="str">
        <f>"["&amp;$C1046&amp;"]["&amp;$D1046&amp;"]["&amp;$F1046&amp;"]"</f>
        <v>[S06_AccredCertVerifiersAnnexI][4][AccredCertScope]</v>
      </c>
    </row>
    <row r="1047" spans="1:15" x14ac:dyDescent="0.3">
      <c r="A1047" t="s">
        <v>2277</v>
      </c>
      <c r="B1047" t="s">
        <v>1951</v>
      </c>
      <c r="C1047" t="s">
        <v>1957</v>
      </c>
      <c r="D1047">
        <v>5</v>
      </c>
      <c r="E1047" t="s">
        <v>1447</v>
      </c>
      <c r="F1047" t="s">
        <v>1958</v>
      </c>
      <c r="G1047" t="s">
        <v>1737</v>
      </c>
      <c r="H1047" t="s">
        <v>2279</v>
      </c>
      <c r="I1047" t="s">
        <v>2279</v>
      </c>
      <c r="J1047" t="s">
        <v>2279</v>
      </c>
      <c r="K1047" t="s">
        <v>2279</v>
      </c>
      <c r="L1047" t="s">
        <v>1553</v>
      </c>
      <c r="M1047" t="s">
        <v>2279</v>
      </c>
      <c r="N1047" t="s">
        <v>2279</v>
      </c>
      <c r="O1047" s="190" t="str">
        <f>"["&amp;$C1047&amp;"]["&amp;$D1047&amp;"]["&amp;$F1047&amp;"]"</f>
        <v>[S06_AccredCertVerifiersAnnexI][5][AccredCertScope]</v>
      </c>
    </row>
    <row r="1048" spans="1:15" x14ac:dyDescent="0.3">
      <c r="A1048" t="s">
        <v>2277</v>
      </c>
      <c r="B1048" t="s">
        <v>1951</v>
      </c>
      <c r="C1048" t="s">
        <v>1957</v>
      </c>
      <c r="D1048">
        <v>6</v>
      </c>
      <c r="E1048" t="s">
        <v>1447</v>
      </c>
      <c r="F1048" t="s">
        <v>1958</v>
      </c>
      <c r="G1048" t="s">
        <v>1737</v>
      </c>
      <c r="H1048" t="s">
        <v>2279</v>
      </c>
      <c r="I1048" t="s">
        <v>2279</v>
      </c>
      <c r="J1048" t="s">
        <v>2279</v>
      </c>
      <c r="K1048" t="s">
        <v>2279</v>
      </c>
      <c r="L1048" t="s">
        <v>1545</v>
      </c>
      <c r="M1048" t="s">
        <v>2279</v>
      </c>
      <c r="N1048" t="s">
        <v>2279</v>
      </c>
      <c r="O1048" s="190" t="str">
        <f>"["&amp;$C1048&amp;"]["&amp;$D1048&amp;"]["&amp;$F1048&amp;"]"</f>
        <v>[S06_AccredCertVerifiersAnnexI][6][AccredCertScope]</v>
      </c>
    </row>
    <row r="1049" spans="1:15" x14ac:dyDescent="0.3">
      <c r="A1049" t="s">
        <v>2277</v>
      </c>
      <c r="B1049" t="s">
        <v>1951</v>
      </c>
      <c r="C1049" t="s">
        <v>1957</v>
      </c>
      <c r="D1049">
        <v>7</v>
      </c>
      <c r="E1049" t="s">
        <v>1447</v>
      </c>
      <c r="F1049" t="s">
        <v>1958</v>
      </c>
      <c r="G1049" t="s">
        <v>1737</v>
      </c>
      <c r="H1049" t="s">
        <v>2279</v>
      </c>
      <c r="I1049" t="s">
        <v>2279</v>
      </c>
      <c r="J1049" t="s">
        <v>2279</v>
      </c>
      <c r="K1049" t="s">
        <v>2279</v>
      </c>
      <c r="L1049" t="s">
        <v>1561</v>
      </c>
      <c r="M1049" t="s">
        <v>2279</v>
      </c>
      <c r="N1049" t="s">
        <v>2279</v>
      </c>
      <c r="O1049" s="190" t="str">
        <f>"["&amp;$C1049&amp;"]["&amp;$D1049&amp;"]["&amp;$F1049&amp;"]"</f>
        <v>[S06_AccredCertVerifiersAnnexI][7][AccredCertScope]</v>
      </c>
    </row>
    <row r="1050" spans="1:15" x14ac:dyDescent="0.3">
      <c r="A1050" t="s">
        <v>2277</v>
      </c>
      <c r="B1050" t="s">
        <v>1951</v>
      </c>
      <c r="C1050" t="s">
        <v>1957</v>
      </c>
      <c r="D1050">
        <v>8</v>
      </c>
      <c r="E1050" t="s">
        <v>1447</v>
      </c>
      <c r="F1050" t="s">
        <v>1958</v>
      </c>
      <c r="G1050" t="s">
        <v>1737</v>
      </c>
      <c r="H1050" t="s">
        <v>2279</v>
      </c>
      <c r="I1050" t="s">
        <v>2279</v>
      </c>
      <c r="J1050" t="s">
        <v>2279</v>
      </c>
      <c r="K1050" t="s">
        <v>2279</v>
      </c>
      <c r="L1050" t="s">
        <v>1566</v>
      </c>
      <c r="M1050" t="s">
        <v>2279</v>
      </c>
      <c r="N1050" t="s">
        <v>2279</v>
      </c>
      <c r="O1050" s="190" t="str">
        <f>"["&amp;$C1050&amp;"]["&amp;$D1050&amp;"]["&amp;$F1050&amp;"]"</f>
        <v>[S06_AccredCertVerifiersAnnexI][8][AccredCertScope]</v>
      </c>
    </row>
    <row r="1051" spans="1:15" x14ac:dyDescent="0.3">
      <c r="A1051" t="s">
        <v>2277</v>
      </c>
      <c r="B1051" t="s">
        <v>1951</v>
      </c>
      <c r="C1051" t="s">
        <v>1957</v>
      </c>
      <c r="D1051">
        <v>9</v>
      </c>
      <c r="E1051" t="s">
        <v>1447</v>
      </c>
      <c r="F1051" t="s">
        <v>1958</v>
      </c>
      <c r="G1051" t="s">
        <v>1737</v>
      </c>
      <c r="H1051" t="s">
        <v>2279</v>
      </c>
      <c r="I1051" t="s">
        <v>2279</v>
      </c>
      <c r="J1051" t="s">
        <v>2279</v>
      </c>
      <c r="K1051" t="s">
        <v>2279</v>
      </c>
      <c r="L1051" t="s">
        <v>1571</v>
      </c>
      <c r="M1051" t="s">
        <v>2279</v>
      </c>
      <c r="N1051" t="s">
        <v>2279</v>
      </c>
      <c r="O1051" s="190" t="str">
        <f>"["&amp;$C1051&amp;"]["&amp;$D1051&amp;"]["&amp;$F1051&amp;"]"</f>
        <v>[S06_AccredCertVerifiersAnnexI][9][AccredCertScope]</v>
      </c>
    </row>
    <row r="1052" spans="1:15" x14ac:dyDescent="0.3">
      <c r="A1052" t="s">
        <v>2277</v>
      </c>
      <c r="B1052" t="s">
        <v>1951</v>
      </c>
      <c r="C1052" t="s">
        <v>1957</v>
      </c>
      <c r="D1052">
        <v>10</v>
      </c>
      <c r="E1052" t="s">
        <v>1447</v>
      </c>
      <c r="F1052" t="s">
        <v>1958</v>
      </c>
      <c r="G1052" t="s">
        <v>1737</v>
      </c>
      <c r="H1052" t="s">
        <v>2279</v>
      </c>
      <c r="I1052" t="s">
        <v>2279</v>
      </c>
      <c r="J1052" t="s">
        <v>2279</v>
      </c>
      <c r="K1052" t="s">
        <v>2279</v>
      </c>
      <c r="L1052" t="s">
        <v>1576</v>
      </c>
      <c r="M1052" t="s">
        <v>2279</v>
      </c>
      <c r="N1052" t="s">
        <v>2279</v>
      </c>
      <c r="O1052" s="190" t="str">
        <f>"["&amp;$C1052&amp;"]["&amp;$D1052&amp;"]["&amp;$F1052&amp;"]"</f>
        <v>[S06_AccredCertVerifiersAnnexI][10][AccredCertScope]</v>
      </c>
    </row>
    <row r="1053" spans="1:15" x14ac:dyDescent="0.3">
      <c r="A1053" t="s">
        <v>2277</v>
      </c>
      <c r="B1053" t="s">
        <v>1951</v>
      </c>
      <c r="C1053" t="s">
        <v>1957</v>
      </c>
      <c r="D1053">
        <v>11</v>
      </c>
      <c r="E1053" t="s">
        <v>1447</v>
      </c>
      <c r="F1053" t="s">
        <v>1958</v>
      </c>
      <c r="G1053" t="s">
        <v>1737</v>
      </c>
      <c r="H1053" t="s">
        <v>2279</v>
      </c>
      <c r="I1053" t="s">
        <v>2279</v>
      </c>
      <c r="J1053" t="s">
        <v>2279</v>
      </c>
      <c r="K1053" t="s">
        <v>2279</v>
      </c>
      <c r="L1053" t="s">
        <v>1580</v>
      </c>
      <c r="M1053" t="s">
        <v>2279</v>
      </c>
      <c r="N1053" t="s">
        <v>2279</v>
      </c>
      <c r="O1053" s="190" t="str">
        <f>"["&amp;$C1053&amp;"]["&amp;$D1053&amp;"]["&amp;$F1053&amp;"]"</f>
        <v>[S06_AccredCertVerifiersAnnexI][11][AccredCertScope]</v>
      </c>
    </row>
    <row r="1054" spans="1:15" x14ac:dyDescent="0.3">
      <c r="A1054" t="s">
        <v>2277</v>
      </c>
      <c r="B1054" t="s">
        <v>1951</v>
      </c>
      <c r="C1054" t="s">
        <v>1957</v>
      </c>
      <c r="D1054">
        <v>12</v>
      </c>
      <c r="E1054" t="s">
        <v>1447</v>
      </c>
      <c r="F1054" t="s">
        <v>1958</v>
      </c>
      <c r="G1054" t="s">
        <v>1737</v>
      </c>
      <c r="H1054" t="s">
        <v>2279</v>
      </c>
      <c r="I1054" t="s">
        <v>2279</v>
      </c>
      <c r="J1054" t="s">
        <v>2279</v>
      </c>
      <c r="K1054" t="s">
        <v>2279</v>
      </c>
      <c r="L1054" t="s">
        <v>1585</v>
      </c>
      <c r="M1054" t="s">
        <v>2279</v>
      </c>
      <c r="N1054" t="s">
        <v>2279</v>
      </c>
      <c r="O1054" s="190" t="str">
        <f>"["&amp;$C1054&amp;"]["&amp;$D1054&amp;"]["&amp;$F1054&amp;"]"</f>
        <v>[S06_AccredCertVerifiersAnnexI][12][AccredCertScope]</v>
      </c>
    </row>
    <row r="1055" spans="1:15" x14ac:dyDescent="0.3">
      <c r="A1055" t="s">
        <v>2277</v>
      </c>
      <c r="B1055" t="s">
        <v>1951</v>
      </c>
      <c r="C1055" t="s">
        <v>1957</v>
      </c>
      <c r="D1055">
        <v>13</v>
      </c>
      <c r="E1055" t="s">
        <v>1447</v>
      </c>
      <c r="F1055" t="s">
        <v>1958</v>
      </c>
      <c r="G1055" t="s">
        <v>1737</v>
      </c>
      <c r="H1055" t="s">
        <v>2279</v>
      </c>
      <c r="I1055" t="s">
        <v>2279</v>
      </c>
      <c r="J1055" t="s">
        <v>2279</v>
      </c>
      <c r="K1055" t="s">
        <v>2279</v>
      </c>
      <c r="L1055" t="s">
        <v>1590</v>
      </c>
      <c r="M1055" t="s">
        <v>2279</v>
      </c>
      <c r="N1055" t="s">
        <v>2279</v>
      </c>
      <c r="O1055" s="190" t="str">
        <f>"["&amp;$C1055&amp;"]["&amp;$D1055&amp;"]["&amp;$F1055&amp;"]"</f>
        <v>[S06_AccredCertVerifiersAnnexI][13][AccredCertScope]</v>
      </c>
    </row>
    <row r="1056" spans="1:15" x14ac:dyDescent="0.3">
      <c r="A1056" t="s">
        <v>2277</v>
      </c>
      <c r="B1056" t="s">
        <v>1951</v>
      </c>
      <c r="C1056" t="s">
        <v>1957</v>
      </c>
      <c r="D1056">
        <v>14</v>
      </c>
      <c r="E1056" t="s">
        <v>1447</v>
      </c>
      <c r="F1056" t="s">
        <v>1958</v>
      </c>
      <c r="G1056" t="s">
        <v>1737</v>
      </c>
      <c r="H1056" t="s">
        <v>2279</v>
      </c>
      <c r="I1056" t="s">
        <v>2279</v>
      </c>
      <c r="J1056" t="s">
        <v>2279</v>
      </c>
      <c r="K1056" t="s">
        <v>2279</v>
      </c>
      <c r="L1056" t="s">
        <v>1595</v>
      </c>
      <c r="M1056" t="s">
        <v>2279</v>
      </c>
      <c r="N1056" t="s">
        <v>2279</v>
      </c>
      <c r="O1056" s="190" t="str">
        <f>"["&amp;$C1056&amp;"]["&amp;$D1056&amp;"]["&amp;$F1056&amp;"]"</f>
        <v>[S06_AccredCertVerifiersAnnexI][14][AccredCertScope]</v>
      </c>
    </row>
    <row r="1057" spans="1:15" x14ac:dyDescent="0.3">
      <c r="A1057" t="s">
        <v>2277</v>
      </c>
      <c r="B1057" t="s">
        <v>1951</v>
      </c>
      <c r="C1057" t="s">
        <v>1957</v>
      </c>
      <c r="D1057">
        <v>15</v>
      </c>
      <c r="E1057" t="s">
        <v>1447</v>
      </c>
      <c r="F1057" t="s">
        <v>1958</v>
      </c>
      <c r="G1057" t="s">
        <v>1737</v>
      </c>
      <c r="H1057" t="s">
        <v>2279</v>
      </c>
      <c r="I1057" t="s">
        <v>2279</v>
      </c>
      <c r="J1057" t="s">
        <v>2279</v>
      </c>
      <c r="K1057" t="s">
        <v>2279</v>
      </c>
      <c r="L1057" t="s">
        <v>1600</v>
      </c>
      <c r="M1057" t="s">
        <v>2279</v>
      </c>
      <c r="N1057" t="s">
        <v>2279</v>
      </c>
      <c r="O1057" s="190" t="str">
        <f>"["&amp;$C1057&amp;"]["&amp;$D1057&amp;"]["&amp;$F1057&amp;"]"</f>
        <v>[S06_AccredCertVerifiersAnnexI][15][AccredCertScope]</v>
      </c>
    </row>
    <row r="1058" spans="1:15" x14ac:dyDescent="0.3">
      <c r="A1058" t="s">
        <v>2277</v>
      </c>
      <c r="B1058" t="s">
        <v>1951</v>
      </c>
      <c r="C1058" t="s">
        <v>1957</v>
      </c>
      <c r="D1058">
        <v>16</v>
      </c>
      <c r="E1058" t="s">
        <v>1447</v>
      </c>
      <c r="F1058" t="s">
        <v>1958</v>
      </c>
      <c r="G1058" t="s">
        <v>1737</v>
      </c>
      <c r="H1058" t="s">
        <v>2279</v>
      </c>
      <c r="I1058" t="s">
        <v>2279</v>
      </c>
      <c r="J1058" t="s">
        <v>2279</v>
      </c>
      <c r="K1058" t="s">
        <v>2279</v>
      </c>
      <c r="L1058" t="s">
        <v>1605</v>
      </c>
      <c r="M1058" t="s">
        <v>2279</v>
      </c>
      <c r="N1058" t="s">
        <v>2279</v>
      </c>
      <c r="O1058" s="190" t="str">
        <f>"["&amp;$C1058&amp;"]["&amp;$D1058&amp;"]["&amp;$F1058&amp;"]"</f>
        <v>[S06_AccredCertVerifiersAnnexI][16][AccredCertScope]</v>
      </c>
    </row>
    <row r="1059" spans="1:15" x14ac:dyDescent="0.3">
      <c r="A1059" t="s">
        <v>2277</v>
      </c>
      <c r="B1059" t="s">
        <v>1951</v>
      </c>
      <c r="C1059" t="s">
        <v>1957</v>
      </c>
      <c r="D1059">
        <v>17</v>
      </c>
      <c r="E1059" t="s">
        <v>1447</v>
      </c>
      <c r="F1059" t="s">
        <v>1958</v>
      </c>
      <c r="G1059" t="s">
        <v>1737</v>
      </c>
      <c r="H1059" t="s">
        <v>2279</v>
      </c>
      <c r="I1059" t="s">
        <v>2279</v>
      </c>
      <c r="J1059" t="s">
        <v>2279</v>
      </c>
      <c r="K1059" t="s">
        <v>2279</v>
      </c>
      <c r="L1059" t="s">
        <v>1610</v>
      </c>
      <c r="M1059" t="s">
        <v>2279</v>
      </c>
      <c r="N1059" t="s">
        <v>2279</v>
      </c>
      <c r="O1059" s="190" t="str">
        <f>"["&amp;$C1059&amp;"]["&amp;$D1059&amp;"]["&amp;$F1059&amp;"]"</f>
        <v>[S06_AccredCertVerifiersAnnexI][17][AccredCertScope]</v>
      </c>
    </row>
    <row r="1060" spans="1:15" x14ac:dyDescent="0.3">
      <c r="A1060" t="s">
        <v>2277</v>
      </c>
      <c r="B1060" t="s">
        <v>1951</v>
      </c>
      <c r="C1060" t="s">
        <v>1957</v>
      </c>
      <c r="D1060">
        <v>18</v>
      </c>
      <c r="E1060" t="s">
        <v>1447</v>
      </c>
      <c r="F1060" t="s">
        <v>1958</v>
      </c>
      <c r="G1060" t="s">
        <v>1737</v>
      </c>
      <c r="H1060" t="s">
        <v>2279</v>
      </c>
      <c r="I1060" t="s">
        <v>2279</v>
      </c>
      <c r="J1060" t="s">
        <v>2279</v>
      </c>
      <c r="K1060" t="s">
        <v>2279</v>
      </c>
      <c r="L1060" t="s">
        <v>1620</v>
      </c>
      <c r="M1060" t="s">
        <v>2279</v>
      </c>
      <c r="N1060" t="s">
        <v>2279</v>
      </c>
      <c r="O1060" s="190" t="str">
        <f>"["&amp;$C1060&amp;"]["&amp;$D1060&amp;"]["&amp;$F1060&amp;"]"</f>
        <v>[S06_AccredCertVerifiersAnnexI][18][AccredCertScope]</v>
      </c>
    </row>
    <row r="1061" spans="1:15" x14ac:dyDescent="0.3">
      <c r="A1061" t="s">
        <v>2277</v>
      </c>
      <c r="B1061" t="s">
        <v>1951</v>
      </c>
      <c r="C1061" t="s">
        <v>1957</v>
      </c>
      <c r="D1061">
        <v>19</v>
      </c>
      <c r="E1061" t="s">
        <v>1447</v>
      </c>
      <c r="F1061" t="s">
        <v>1958</v>
      </c>
      <c r="G1061" t="s">
        <v>1737</v>
      </c>
      <c r="H1061" t="s">
        <v>2279</v>
      </c>
      <c r="I1061" t="s">
        <v>2279</v>
      </c>
      <c r="J1061" t="s">
        <v>2279</v>
      </c>
      <c r="K1061" t="s">
        <v>2279</v>
      </c>
      <c r="L1061" t="s">
        <v>1625</v>
      </c>
      <c r="M1061" t="s">
        <v>2279</v>
      </c>
      <c r="N1061" t="s">
        <v>2279</v>
      </c>
      <c r="O1061" s="190" t="str">
        <f>"["&amp;$C1061&amp;"]["&amp;$D1061&amp;"]["&amp;$F1061&amp;"]"</f>
        <v>[S06_AccredCertVerifiersAnnexI][19][AccredCertScope]</v>
      </c>
    </row>
    <row r="1062" spans="1:15" x14ac:dyDescent="0.3">
      <c r="A1062" t="s">
        <v>2277</v>
      </c>
      <c r="B1062" t="s">
        <v>1951</v>
      </c>
      <c r="C1062" t="s">
        <v>1957</v>
      </c>
      <c r="D1062">
        <v>20</v>
      </c>
      <c r="E1062" t="s">
        <v>1447</v>
      </c>
      <c r="F1062" t="s">
        <v>1958</v>
      </c>
      <c r="G1062" t="s">
        <v>1737</v>
      </c>
      <c r="H1062" t="s">
        <v>2279</v>
      </c>
      <c r="I1062" t="s">
        <v>2279</v>
      </c>
      <c r="J1062" t="s">
        <v>2279</v>
      </c>
      <c r="K1062" t="s">
        <v>2279</v>
      </c>
      <c r="L1062" t="s">
        <v>1629</v>
      </c>
      <c r="M1062" t="s">
        <v>2279</v>
      </c>
      <c r="N1062" t="s">
        <v>2279</v>
      </c>
      <c r="O1062" s="190" t="str">
        <f>"["&amp;$C1062&amp;"]["&amp;$D1062&amp;"]["&amp;$F1062&amp;"]"</f>
        <v>[S06_AccredCertVerifiersAnnexI][20][AccredCertScope]</v>
      </c>
    </row>
    <row r="1063" spans="1:15" x14ac:dyDescent="0.3">
      <c r="A1063" t="s">
        <v>2277</v>
      </c>
      <c r="B1063" t="s">
        <v>1951</v>
      </c>
      <c r="C1063" t="s">
        <v>1957</v>
      </c>
      <c r="D1063">
        <v>21</v>
      </c>
      <c r="E1063" t="s">
        <v>1447</v>
      </c>
      <c r="F1063" t="s">
        <v>1958</v>
      </c>
      <c r="G1063" t="s">
        <v>1737</v>
      </c>
      <c r="H1063" t="s">
        <v>2279</v>
      </c>
      <c r="I1063" t="s">
        <v>2279</v>
      </c>
      <c r="J1063" t="s">
        <v>2279</v>
      </c>
      <c r="K1063" t="s">
        <v>2279</v>
      </c>
      <c r="L1063" t="s">
        <v>1634</v>
      </c>
      <c r="M1063" t="s">
        <v>2279</v>
      </c>
      <c r="N1063" t="s">
        <v>2279</v>
      </c>
      <c r="O1063" s="190" t="str">
        <f>"["&amp;$C1063&amp;"]["&amp;$D1063&amp;"]["&amp;$F1063&amp;"]"</f>
        <v>[S06_AccredCertVerifiersAnnexI][21][AccredCertScope]</v>
      </c>
    </row>
    <row r="1064" spans="1:15" x14ac:dyDescent="0.3">
      <c r="A1064" t="s">
        <v>2277</v>
      </c>
      <c r="B1064" t="s">
        <v>1951</v>
      </c>
      <c r="C1064" t="s">
        <v>1957</v>
      </c>
      <c r="D1064">
        <v>22</v>
      </c>
      <c r="E1064" t="s">
        <v>1447</v>
      </c>
      <c r="F1064" t="s">
        <v>1958</v>
      </c>
      <c r="G1064" t="s">
        <v>1737</v>
      </c>
      <c r="H1064" t="s">
        <v>2279</v>
      </c>
      <c r="I1064" t="s">
        <v>2279</v>
      </c>
      <c r="J1064" t="s">
        <v>2279</v>
      </c>
      <c r="K1064" t="s">
        <v>2279</v>
      </c>
      <c r="L1064" t="s">
        <v>1644</v>
      </c>
      <c r="M1064" t="s">
        <v>2279</v>
      </c>
      <c r="N1064" t="s">
        <v>2279</v>
      </c>
      <c r="O1064" s="190" t="str">
        <f>"["&amp;$C1064&amp;"]["&amp;$D1064&amp;"]["&amp;$F1064&amp;"]"</f>
        <v>[S06_AccredCertVerifiersAnnexI][22][AccredCertScope]</v>
      </c>
    </row>
    <row r="1065" spans="1:15" x14ac:dyDescent="0.3">
      <c r="A1065" t="s">
        <v>2277</v>
      </c>
      <c r="B1065" t="s">
        <v>1951</v>
      </c>
      <c r="C1065" t="s">
        <v>1957</v>
      </c>
      <c r="D1065">
        <v>23</v>
      </c>
      <c r="E1065" t="s">
        <v>1447</v>
      </c>
      <c r="F1065" t="s">
        <v>1958</v>
      </c>
      <c r="G1065" t="s">
        <v>1737</v>
      </c>
      <c r="H1065" t="s">
        <v>2279</v>
      </c>
      <c r="I1065" t="s">
        <v>2279</v>
      </c>
      <c r="J1065" t="s">
        <v>2279</v>
      </c>
      <c r="K1065" t="s">
        <v>2279</v>
      </c>
      <c r="L1065" t="s">
        <v>1649</v>
      </c>
      <c r="M1065" t="s">
        <v>2279</v>
      </c>
      <c r="N1065" t="s">
        <v>2279</v>
      </c>
      <c r="O1065" s="190" t="str">
        <f>"["&amp;$C1065&amp;"]["&amp;$D1065&amp;"]["&amp;$F1065&amp;"]"</f>
        <v>[S06_AccredCertVerifiersAnnexI][23][AccredCertScope]</v>
      </c>
    </row>
    <row r="1066" spans="1:15" x14ac:dyDescent="0.3">
      <c r="A1066" t="s">
        <v>2277</v>
      </c>
      <c r="B1066" t="s">
        <v>1951</v>
      </c>
      <c r="C1066" t="s">
        <v>1957</v>
      </c>
      <c r="D1066">
        <v>24</v>
      </c>
      <c r="E1066" t="s">
        <v>1447</v>
      </c>
      <c r="F1066" t="s">
        <v>1958</v>
      </c>
      <c r="G1066" t="s">
        <v>1737</v>
      </c>
      <c r="H1066" t="s">
        <v>2279</v>
      </c>
      <c r="I1066" t="s">
        <v>2279</v>
      </c>
      <c r="J1066" t="s">
        <v>2279</v>
      </c>
      <c r="K1066" t="s">
        <v>2279</v>
      </c>
      <c r="L1066" t="s">
        <v>1654</v>
      </c>
      <c r="M1066" t="s">
        <v>2279</v>
      </c>
      <c r="N1066" t="s">
        <v>2279</v>
      </c>
      <c r="O1066" s="190" t="str">
        <f>"["&amp;$C1066&amp;"]["&amp;$D1066&amp;"]["&amp;$F1066&amp;"]"</f>
        <v>[S06_AccredCertVerifiersAnnexI][24][AccredCertScope]</v>
      </c>
    </row>
    <row r="1067" spans="1:15" x14ac:dyDescent="0.3">
      <c r="A1067" t="s">
        <v>2277</v>
      </c>
      <c r="B1067" t="s">
        <v>1951</v>
      </c>
      <c r="C1067" t="s">
        <v>1957</v>
      </c>
      <c r="D1067">
        <v>25</v>
      </c>
      <c r="E1067" t="s">
        <v>1447</v>
      </c>
      <c r="F1067" t="s">
        <v>1958</v>
      </c>
      <c r="G1067" t="s">
        <v>1737</v>
      </c>
      <c r="H1067" t="s">
        <v>2279</v>
      </c>
      <c r="I1067" t="s">
        <v>2279</v>
      </c>
      <c r="J1067" t="s">
        <v>2279</v>
      </c>
      <c r="K1067" t="s">
        <v>2279</v>
      </c>
      <c r="L1067" t="s">
        <v>1659</v>
      </c>
      <c r="M1067" t="s">
        <v>2279</v>
      </c>
      <c r="N1067" t="s">
        <v>2279</v>
      </c>
      <c r="O1067" s="190" t="str">
        <f>"["&amp;$C1067&amp;"]["&amp;$D1067&amp;"]["&amp;$F1067&amp;"]"</f>
        <v>[S06_AccredCertVerifiersAnnexI][25][AccredCertScope]</v>
      </c>
    </row>
    <row r="1068" spans="1:15" x14ac:dyDescent="0.3">
      <c r="A1068" t="s">
        <v>2277</v>
      </c>
      <c r="B1068" t="s">
        <v>1951</v>
      </c>
      <c r="C1068" t="s">
        <v>1957</v>
      </c>
      <c r="D1068">
        <v>26</v>
      </c>
      <c r="E1068" t="s">
        <v>1447</v>
      </c>
      <c r="F1068" t="s">
        <v>1958</v>
      </c>
      <c r="G1068" t="s">
        <v>1737</v>
      </c>
      <c r="H1068" t="s">
        <v>2279</v>
      </c>
      <c r="I1068" t="s">
        <v>2279</v>
      </c>
      <c r="J1068" t="s">
        <v>2279</v>
      </c>
      <c r="K1068" t="s">
        <v>2279</v>
      </c>
      <c r="L1068" t="s">
        <v>1663</v>
      </c>
      <c r="M1068" t="s">
        <v>2279</v>
      </c>
      <c r="N1068" t="s">
        <v>2279</v>
      </c>
      <c r="O1068" s="190" t="str">
        <f>"["&amp;$C1068&amp;"]["&amp;$D1068&amp;"]["&amp;$F1068&amp;"]"</f>
        <v>[S06_AccredCertVerifiersAnnexI][26][AccredCertScope]</v>
      </c>
    </row>
    <row r="1069" spans="1:15" x14ac:dyDescent="0.3">
      <c r="A1069" t="s">
        <v>2277</v>
      </c>
      <c r="B1069" t="s">
        <v>1951</v>
      </c>
      <c r="C1069" t="s">
        <v>1957</v>
      </c>
      <c r="D1069">
        <v>27</v>
      </c>
      <c r="E1069" t="s">
        <v>1447</v>
      </c>
      <c r="F1069" t="s">
        <v>1958</v>
      </c>
      <c r="G1069" t="s">
        <v>1737</v>
      </c>
      <c r="H1069" t="s">
        <v>2279</v>
      </c>
      <c r="I1069" t="s">
        <v>2279</v>
      </c>
      <c r="J1069" t="s">
        <v>2279</v>
      </c>
      <c r="K1069" t="s">
        <v>2279</v>
      </c>
      <c r="L1069" t="s">
        <v>1666</v>
      </c>
      <c r="M1069" t="s">
        <v>2279</v>
      </c>
      <c r="N1069" t="s">
        <v>2279</v>
      </c>
      <c r="O1069" s="190" t="str">
        <f>"["&amp;$C1069&amp;"]["&amp;$D1069&amp;"]["&amp;$F1069&amp;"]"</f>
        <v>[S06_AccredCertVerifiersAnnexI][27][AccredCertScope]</v>
      </c>
    </row>
    <row r="1070" spans="1:15" x14ac:dyDescent="0.3">
      <c r="A1070" t="s">
        <v>2277</v>
      </c>
      <c r="B1070" t="s">
        <v>1951</v>
      </c>
      <c r="C1070" t="s">
        <v>1957</v>
      </c>
      <c r="D1070">
        <v>1</v>
      </c>
      <c r="E1070" t="s">
        <v>1447</v>
      </c>
      <c r="F1070" t="s">
        <v>1959</v>
      </c>
      <c r="G1070" t="s">
        <v>1748</v>
      </c>
      <c r="H1070" t="s">
        <v>2279</v>
      </c>
      <c r="I1070">
        <v>6</v>
      </c>
      <c r="J1070" t="s">
        <v>2279</v>
      </c>
      <c r="K1070" t="s">
        <v>2279</v>
      </c>
      <c r="L1070" t="s">
        <v>2279</v>
      </c>
      <c r="M1070" t="s">
        <v>2279</v>
      </c>
      <c r="N1070" t="s">
        <v>2279</v>
      </c>
      <c r="O1070" s="190" t="str">
        <f>"["&amp;$C1070&amp;"]["&amp;$D1070&amp;"]["&amp;$F1070&amp;"]"</f>
        <v>[S06_AccredCertVerifiersAnnexI][1][NumberAccredited]</v>
      </c>
    </row>
    <row r="1071" spans="1:15" x14ac:dyDescent="0.3">
      <c r="A1071" t="s">
        <v>2277</v>
      </c>
      <c r="B1071" t="s">
        <v>1951</v>
      </c>
      <c r="C1071" t="s">
        <v>1957</v>
      </c>
      <c r="D1071">
        <v>2</v>
      </c>
      <c r="E1071" t="s">
        <v>1447</v>
      </c>
      <c r="F1071" t="s">
        <v>1959</v>
      </c>
      <c r="G1071" t="s">
        <v>1748</v>
      </c>
      <c r="H1071" t="s">
        <v>2279</v>
      </c>
      <c r="I1071">
        <v>6</v>
      </c>
      <c r="J1071" t="s">
        <v>2279</v>
      </c>
      <c r="K1071" t="s">
        <v>2279</v>
      </c>
      <c r="L1071" t="s">
        <v>2279</v>
      </c>
      <c r="M1071" t="s">
        <v>2279</v>
      </c>
      <c r="N1071" t="s">
        <v>2279</v>
      </c>
      <c r="O1071" s="190" t="str">
        <f>"["&amp;$C1071&amp;"]["&amp;$D1071&amp;"]["&amp;$F1071&amp;"]"</f>
        <v>[S06_AccredCertVerifiersAnnexI][2][NumberAccredited]</v>
      </c>
    </row>
    <row r="1072" spans="1:15" x14ac:dyDescent="0.3">
      <c r="A1072" t="s">
        <v>2277</v>
      </c>
      <c r="B1072" t="s">
        <v>1951</v>
      </c>
      <c r="C1072" t="s">
        <v>1957</v>
      </c>
      <c r="D1072">
        <v>3</v>
      </c>
      <c r="E1072" t="s">
        <v>1447</v>
      </c>
      <c r="F1072" t="s">
        <v>1959</v>
      </c>
      <c r="G1072" t="s">
        <v>1748</v>
      </c>
      <c r="H1072" t="s">
        <v>2279</v>
      </c>
      <c r="I1072">
        <v>2</v>
      </c>
      <c r="J1072" t="s">
        <v>2279</v>
      </c>
      <c r="K1072" t="s">
        <v>2279</v>
      </c>
      <c r="L1072" t="s">
        <v>2279</v>
      </c>
      <c r="M1072" t="s">
        <v>2279</v>
      </c>
      <c r="N1072" t="s">
        <v>2279</v>
      </c>
      <c r="O1072" s="190" t="str">
        <f>"["&amp;$C1072&amp;"]["&amp;$D1072&amp;"]["&amp;$F1072&amp;"]"</f>
        <v>[S06_AccredCertVerifiersAnnexI][3][NumberAccredited]</v>
      </c>
    </row>
    <row r="1073" spans="1:15" x14ac:dyDescent="0.3">
      <c r="A1073" t="s">
        <v>2277</v>
      </c>
      <c r="B1073" t="s">
        <v>1951</v>
      </c>
      <c r="C1073" t="s">
        <v>1957</v>
      </c>
      <c r="D1073">
        <v>4</v>
      </c>
      <c r="E1073" t="s">
        <v>1447</v>
      </c>
      <c r="F1073" t="s">
        <v>1959</v>
      </c>
      <c r="G1073" t="s">
        <v>1748</v>
      </c>
      <c r="H1073" t="s">
        <v>2279</v>
      </c>
      <c r="I1073">
        <v>2</v>
      </c>
      <c r="J1073" t="s">
        <v>2279</v>
      </c>
      <c r="K1073" t="s">
        <v>2279</v>
      </c>
      <c r="L1073" t="s">
        <v>2279</v>
      </c>
      <c r="M1073" t="s">
        <v>2279</v>
      </c>
      <c r="N1073" t="s">
        <v>2279</v>
      </c>
      <c r="O1073" s="190" t="str">
        <f>"["&amp;$C1073&amp;"]["&amp;$D1073&amp;"]["&amp;$F1073&amp;"]"</f>
        <v>[S06_AccredCertVerifiersAnnexI][4][NumberAccredited]</v>
      </c>
    </row>
    <row r="1074" spans="1:15" x14ac:dyDescent="0.3">
      <c r="A1074" t="s">
        <v>2277</v>
      </c>
      <c r="B1074" t="s">
        <v>1951</v>
      </c>
      <c r="C1074" t="s">
        <v>1957</v>
      </c>
      <c r="D1074">
        <v>5</v>
      </c>
      <c r="E1074" t="s">
        <v>1447</v>
      </c>
      <c r="F1074" t="s">
        <v>1959</v>
      </c>
      <c r="G1074" t="s">
        <v>1748</v>
      </c>
      <c r="H1074" t="s">
        <v>2279</v>
      </c>
      <c r="I1074">
        <v>2</v>
      </c>
      <c r="J1074" t="s">
        <v>2279</v>
      </c>
      <c r="K1074" t="s">
        <v>2279</v>
      </c>
      <c r="L1074" t="s">
        <v>2279</v>
      </c>
      <c r="M1074" t="s">
        <v>2279</v>
      </c>
      <c r="N1074" t="s">
        <v>2279</v>
      </c>
      <c r="O1074" s="190" t="str">
        <f>"["&amp;$C1074&amp;"]["&amp;$D1074&amp;"]["&amp;$F1074&amp;"]"</f>
        <v>[S06_AccredCertVerifiersAnnexI][5][NumberAccredited]</v>
      </c>
    </row>
    <row r="1075" spans="1:15" x14ac:dyDescent="0.3">
      <c r="A1075" t="s">
        <v>2277</v>
      </c>
      <c r="B1075" t="s">
        <v>1951</v>
      </c>
      <c r="C1075" t="s">
        <v>1957</v>
      </c>
      <c r="D1075">
        <v>6</v>
      </c>
      <c r="E1075" t="s">
        <v>1447</v>
      </c>
      <c r="F1075" t="s">
        <v>1959</v>
      </c>
      <c r="G1075" t="s">
        <v>1748</v>
      </c>
      <c r="H1075" t="s">
        <v>2279</v>
      </c>
      <c r="I1075">
        <v>2</v>
      </c>
      <c r="J1075" t="s">
        <v>2279</v>
      </c>
      <c r="K1075" t="s">
        <v>2279</v>
      </c>
      <c r="L1075" t="s">
        <v>2279</v>
      </c>
      <c r="M1075" t="s">
        <v>2279</v>
      </c>
      <c r="N1075" t="s">
        <v>2279</v>
      </c>
      <c r="O1075" s="190" t="str">
        <f>"["&amp;$C1075&amp;"]["&amp;$D1075&amp;"]["&amp;$F1075&amp;"]"</f>
        <v>[S06_AccredCertVerifiersAnnexI][6][NumberAccredited]</v>
      </c>
    </row>
    <row r="1076" spans="1:15" x14ac:dyDescent="0.3">
      <c r="A1076" t="s">
        <v>2277</v>
      </c>
      <c r="B1076" t="s">
        <v>1951</v>
      </c>
      <c r="C1076" t="s">
        <v>1957</v>
      </c>
      <c r="D1076">
        <v>7</v>
      </c>
      <c r="E1076" t="s">
        <v>1447</v>
      </c>
      <c r="F1076" t="s">
        <v>1959</v>
      </c>
      <c r="G1076" t="s">
        <v>1748</v>
      </c>
      <c r="H1076" t="s">
        <v>2279</v>
      </c>
      <c r="I1076">
        <v>2</v>
      </c>
      <c r="J1076" t="s">
        <v>2279</v>
      </c>
      <c r="K1076" t="s">
        <v>2279</v>
      </c>
      <c r="L1076" t="s">
        <v>2279</v>
      </c>
      <c r="M1076" t="s">
        <v>2279</v>
      </c>
      <c r="N1076" t="s">
        <v>2279</v>
      </c>
      <c r="O1076" s="190" t="str">
        <f>"["&amp;$C1076&amp;"]["&amp;$D1076&amp;"]["&amp;$F1076&amp;"]"</f>
        <v>[S06_AccredCertVerifiersAnnexI][7][NumberAccredited]</v>
      </c>
    </row>
    <row r="1077" spans="1:15" x14ac:dyDescent="0.3">
      <c r="A1077" t="s">
        <v>2277</v>
      </c>
      <c r="B1077" t="s">
        <v>1951</v>
      </c>
      <c r="C1077" t="s">
        <v>1957</v>
      </c>
      <c r="D1077">
        <v>8</v>
      </c>
      <c r="E1077" t="s">
        <v>1447</v>
      </c>
      <c r="F1077" t="s">
        <v>1959</v>
      </c>
      <c r="G1077" t="s">
        <v>1748</v>
      </c>
      <c r="H1077" t="s">
        <v>2279</v>
      </c>
      <c r="I1077">
        <v>1</v>
      </c>
      <c r="J1077" t="s">
        <v>2279</v>
      </c>
      <c r="K1077" t="s">
        <v>2279</v>
      </c>
      <c r="L1077" t="s">
        <v>2279</v>
      </c>
      <c r="M1077" t="s">
        <v>2279</v>
      </c>
      <c r="N1077" t="s">
        <v>2279</v>
      </c>
      <c r="O1077" s="190" t="str">
        <f>"["&amp;$C1077&amp;"]["&amp;$D1077&amp;"]["&amp;$F1077&amp;"]"</f>
        <v>[S06_AccredCertVerifiersAnnexI][8][NumberAccredited]</v>
      </c>
    </row>
    <row r="1078" spans="1:15" x14ac:dyDescent="0.3">
      <c r="A1078" t="s">
        <v>2277</v>
      </c>
      <c r="B1078" t="s">
        <v>1951</v>
      </c>
      <c r="C1078" t="s">
        <v>1957</v>
      </c>
      <c r="D1078">
        <v>9</v>
      </c>
      <c r="E1078" t="s">
        <v>1447</v>
      </c>
      <c r="F1078" t="s">
        <v>1959</v>
      </c>
      <c r="G1078" t="s">
        <v>1748</v>
      </c>
      <c r="H1078" t="s">
        <v>2279</v>
      </c>
      <c r="I1078">
        <v>5</v>
      </c>
      <c r="J1078" t="s">
        <v>2279</v>
      </c>
      <c r="K1078" t="s">
        <v>2279</v>
      </c>
      <c r="L1078" t="s">
        <v>2279</v>
      </c>
      <c r="M1078" t="s">
        <v>2279</v>
      </c>
      <c r="N1078" t="s">
        <v>2279</v>
      </c>
      <c r="O1078" s="190" t="str">
        <f>"["&amp;$C1078&amp;"]["&amp;$D1078&amp;"]["&amp;$F1078&amp;"]"</f>
        <v>[S06_AccredCertVerifiersAnnexI][9][NumberAccredited]</v>
      </c>
    </row>
    <row r="1079" spans="1:15" x14ac:dyDescent="0.3">
      <c r="A1079" t="s">
        <v>2277</v>
      </c>
      <c r="B1079" t="s">
        <v>1951</v>
      </c>
      <c r="C1079" t="s">
        <v>1957</v>
      </c>
      <c r="D1079">
        <v>10</v>
      </c>
      <c r="E1079" t="s">
        <v>1447</v>
      </c>
      <c r="F1079" t="s">
        <v>1959</v>
      </c>
      <c r="G1079" t="s">
        <v>1748</v>
      </c>
      <c r="H1079" t="s">
        <v>2279</v>
      </c>
      <c r="I1079">
        <v>5</v>
      </c>
      <c r="J1079" t="s">
        <v>2279</v>
      </c>
      <c r="K1079" t="s">
        <v>2279</v>
      </c>
      <c r="L1079" t="s">
        <v>2279</v>
      </c>
      <c r="M1079" t="s">
        <v>2279</v>
      </c>
      <c r="N1079" t="s">
        <v>2279</v>
      </c>
      <c r="O1079" s="190" t="str">
        <f>"["&amp;$C1079&amp;"]["&amp;$D1079&amp;"]["&amp;$F1079&amp;"]"</f>
        <v>[S06_AccredCertVerifiersAnnexI][10][NumberAccredited]</v>
      </c>
    </row>
    <row r="1080" spans="1:15" x14ac:dyDescent="0.3">
      <c r="A1080" t="s">
        <v>2277</v>
      </c>
      <c r="B1080" t="s">
        <v>1951</v>
      </c>
      <c r="C1080" t="s">
        <v>1957</v>
      </c>
      <c r="D1080">
        <v>11</v>
      </c>
      <c r="E1080" t="s">
        <v>1447</v>
      </c>
      <c r="F1080" t="s">
        <v>1959</v>
      </c>
      <c r="G1080" t="s">
        <v>1748</v>
      </c>
      <c r="H1080" t="s">
        <v>2279</v>
      </c>
      <c r="I1080">
        <v>5</v>
      </c>
      <c r="J1080" t="s">
        <v>2279</v>
      </c>
      <c r="K1080" t="s">
        <v>2279</v>
      </c>
      <c r="L1080" t="s">
        <v>2279</v>
      </c>
      <c r="M1080" t="s">
        <v>2279</v>
      </c>
      <c r="N1080" t="s">
        <v>2279</v>
      </c>
      <c r="O1080" s="190" t="str">
        <f>"["&amp;$C1080&amp;"]["&amp;$D1080&amp;"]["&amp;$F1080&amp;"]"</f>
        <v>[S06_AccredCertVerifiersAnnexI][11][NumberAccredited]</v>
      </c>
    </row>
    <row r="1081" spans="1:15" x14ac:dyDescent="0.3">
      <c r="A1081" t="s">
        <v>2277</v>
      </c>
      <c r="B1081" t="s">
        <v>1951</v>
      </c>
      <c r="C1081" t="s">
        <v>1957</v>
      </c>
      <c r="D1081">
        <v>12</v>
      </c>
      <c r="E1081" t="s">
        <v>1447</v>
      </c>
      <c r="F1081" t="s">
        <v>1959</v>
      </c>
      <c r="G1081" t="s">
        <v>1748</v>
      </c>
      <c r="H1081" t="s">
        <v>2279</v>
      </c>
      <c r="I1081">
        <v>5</v>
      </c>
      <c r="J1081" t="s">
        <v>2279</v>
      </c>
      <c r="K1081" t="s">
        <v>2279</v>
      </c>
      <c r="L1081" t="s">
        <v>2279</v>
      </c>
      <c r="M1081" t="s">
        <v>2279</v>
      </c>
      <c r="N1081" t="s">
        <v>2279</v>
      </c>
      <c r="O1081" s="190" t="str">
        <f>"["&amp;$C1081&amp;"]["&amp;$D1081&amp;"]["&amp;$F1081&amp;"]"</f>
        <v>[S06_AccredCertVerifiersAnnexI][12][NumberAccredited]</v>
      </c>
    </row>
    <row r="1082" spans="1:15" x14ac:dyDescent="0.3">
      <c r="A1082" t="s">
        <v>2277</v>
      </c>
      <c r="B1082" t="s">
        <v>1951</v>
      </c>
      <c r="C1082" t="s">
        <v>1957</v>
      </c>
      <c r="D1082">
        <v>13</v>
      </c>
      <c r="E1082" t="s">
        <v>1447</v>
      </c>
      <c r="F1082" t="s">
        <v>1959</v>
      </c>
      <c r="G1082" t="s">
        <v>1748</v>
      </c>
      <c r="H1082" t="s">
        <v>2279</v>
      </c>
      <c r="I1082">
        <v>5</v>
      </c>
      <c r="J1082" t="s">
        <v>2279</v>
      </c>
      <c r="K1082" t="s">
        <v>2279</v>
      </c>
      <c r="L1082" t="s">
        <v>2279</v>
      </c>
      <c r="M1082" t="s">
        <v>2279</v>
      </c>
      <c r="N1082" t="s">
        <v>2279</v>
      </c>
      <c r="O1082" s="190" t="str">
        <f>"["&amp;$C1082&amp;"]["&amp;$D1082&amp;"]["&amp;$F1082&amp;"]"</f>
        <v>[S06_AccredCertVerifiersAnnexI][13][NumberAccredited]</v>
      </c>
    </row>
    <row r="1083" spans="1:15" x14ac:dyDescent="0.3">
      <c r="A1083" t="s">
        <v>2277</v>
      </c>
      <c r="B1083" t="s">
        <v>1951</v>
      </c>
      <c r="C1083" t="s">
        <v>1957</v>
      </c>
      <c r="D1083">
        <v>14</v>
      </c>
      <c r="E1083" t="s">
        <v>1447</v>
      </c>
      <c r="F1083" t="s">
        <v>1959</v>
      </c>
      <c r="G1083" t="s">
        <v>1748</v>
      </c>
      <c r="H1083" t="s">
        <v>2279</v>
      </c>
      <c r="I1083">
        <v>5</v>
      </c>
      <c r="J1083" t="s">
        <v>2279</v>
      </c>
      <c r="K1083" t="s">
        <v>2279</v>
      </c>
      <c r="L1083" t="s">
        <v>2279</v>
      </c>
      <c r="M1083" t="s">
        <v>2279</v>
      </c>
      <c r="N1083" t="s">
        <v>2279</v>
      </c>
      <c r="O1083" s="190" t="str">
        <f>"["&amp;$C1083&amp;"]["&amp;$D1083&amp;"]["&amp;$F1083&amp;"]"</f>
        <v>[S06_AccredCertVerifiersAnnexI][14][NumberAccredited]</v>
      </c>
    </row>
    <row r="1084" spans="1:15" x14ac:dyDescent="0.3">
      <c r="A1084" t="s">
        <v>2277</v>
      </c>
      <c r="B1084" t="s">
        <v>1951</v>
      </c>
      <c r="C1084" t="s">
        <v>1957</v>
      </c>
      <c r="D1084">
        <v>15</v>
      </c>
      <c r="E1084" t="s">
        <v>1447</v>
      </c>
      <c r="F1084" t="s">
        <v>1959</v>
      </c>
      <c r="G1084" t="s">
        <v>1748</v>
      </c>
      <c r="H1084" t="s">
        <v>2279</v>
      </c>
      <c r="I1084">
        <v>4</v>
      </c>
      <c r="J1084" t="s">
        <v>2279</v>
      </c>
      <c r="K1084" t="s">
        <v>2279</v>
      </c>
      <c r="L1084" t="s">
        <v>2279</v>
      </c>
      <c r="M1084" t="s">
        <v>2279</v>
      </c>
      <c r="N1084" t="s">
        <v>2279</v>
      </c>
      <c r="O1084" s="190" t="str">
        <f>"["&amp;$C1084&amp;"]["&amp;$D1084&amp;"]["&amp;$F1084&amp;"]"</f>
        <v>[S06_AccredCertVerifiersAnnexI][15][NumberAccredited]</v>
      </c>
    </row>
    <row r="1085" spans="1:15" x14ac:dyDescent="0.3">
      <c r="A1085" t="s">
        <v>2277</v>
      </c>
      <c r="B1085" t="s">
        <v>1951</v>
      </c>
      <c r="C1085" t="s">
        <v>1957</v>
      </c>
      <c r="D1085">
        <v>16</v>
      </c>
      <c r="E1085" t="s">
        <v>1447</v>
      </c>
      <c r="F1085" t="s">
        <v>1959</v>
      </c>
      <c r="G1085" t="s">
        <v>1748</v>
      </c>
      <c r="H1085" t="s">
        <v>2279</v>
      </c>
      <c r="I1085">
        <v>4</v>
      </c>
      <c r="J1085" t="s">
        <v>2279</v>
      </c>
      <c r="K1085" t="s">
        <v>2279</v>
      </c>
      <c r="L1085" t="s">
        <v>2279</v>
      </c>
      <c r="M1085" t="s">
        <v>2279</v>
      </c>
      <c r="N1085" t="s">
        <v>2279</v>
      </c>
      <c r="O1085" s="190" t="str">
        <f>"["&amp;$C1085&amp;"]["&amp;$D1085&amp;"]["&amp;$F1085&amp;"]"</f>
        <v>[S06_AccredCertVerifiersAnnexI][16][NumberAccredited]</v>
      </c>
    </row>
    <row r="1086" spans="1:15" x14ac:dyDescent="0.3">
      <c r="A1086" t="s">
        <v>2277</v>
      </c>
      <c r="B1086" t="s">
        <v>1951</v>
      </c>
      <c r="C1086" t="s">
        <v>1957</v>
      </c>
      <c r="D1086">
        <v>17</v>
      </c>
      <c r="E1086" t="s">
        <v>1447</v>
      </c>
      <c r="F1086" t="s">
        <v>1959</v>
      </c>
      <c r="G1086" t="s">
        <v>1748</v>
      </c>
      <c r="H1086" t="s">
        <v>2279</v>
      </c>
      <c r="I1086">
        <v>4</v>
      </c>
      <c r="J1086" t="s">
        <v>2279</v>
      </c>
      <c r="K1086" t="s">
        <v>2279</v>
      </c>
      <c r="L1086" t="s">
        <v>2279</v>
      </c>
      <c r="M1086" t="s">
        <v>2279</v>
      </c>
      <c r="N1086" t="s">
        <v>2279</v>
      </c>
      <c r="O1086" s="190" t="str">
        <f>"["&amp;$C1086&amp;"]["&amp;$D1086&amp;"]["&amp;$F1086&amp;"]"</f>
        <v>[S06_AccredCertVerifiersAnnexI][17][NumberAccredited]</v>
      </c>
    </row>
    <row r="1087" spans="1:15" x14ac:dyDescent="0.3">
      <c r="A1087" t="s">
        <v>2277</v>
      </c>
      <c r="B1087" t="s">
        <v>1951</v>
      </c>
      <c r="C1087" t="s">
        <v>1957</v>
      </c>
      <c r="D1087">
        <v>18</v>
      </c>
      <c r="E1087" t="s">
        <v>1447</v>
      </c>
      <c r="F1087" t="s">
        <v>1959</v>
      </c>
      <c r="G1087" t="s">
        <v>1748</v>
      </c>
      <c r="H1087" t="s">
        <v>2279</v>
      </c>
      <c r="I1087">
        <v>4</v>
      </c>
      <c r="J1087" t="s">
        <v>2279</v>
      </c>
      <c r="K1087" t="s">
        <v>2279</v>
      </c>
      <c r="L1087" t="s">
        <v>2279</v>
      </c>
      <c r="M1087" t="s">
        <v>2279</v>
      </c>
      <c r="N1087" t="s">
        <v>2279</v>
      </c>
      <c r="O1087" s="190" t="str">
        <f>"["&amp;$C1087&amp;"]["&amp;$D1087&amp;"]["&amp;$F1087&amp;"]"</f>
        <v>[S06_AccredCertVerifiersAnnexI][18][NumberAccredited]</v>
      </c>
    </row>
    <row r="1088" spans="1:15" x14ac:dyDescent="0.3">
      <c r="A1088" t="s">
        <v>2277</v>
      </c>
      <c r="B1088" t="s">
        <v>1951</v>
      </c>
      <c r="C1088" t="s">
        <v>1957</v>
      </c>
      <c r="D1088">
        <v>19</v>
      </c>
      <c r="E1088" t="s">
        <v>1447</v>
      </c>
      <c r="F1088" t="s">
        <v>1959</v>
      </c>
      <c r="G1088" t="s">
        <v>1748</v>
      </c>
      <c r="H1088" t="s">
        <v>2279</v>
      </c>
      <c r="I1088">
        <v>4</v>
      </c>
      <c r="J1088" t="s">
        <v>2279</v>
      </c>
      <c r="K1088" t="s">
        <v>2279</v>
      </c>
      <c r="L1088" t="s">
        <v>2279</v>
      </c>
      <c r="M1088" t="s">
        <v>2279</v>
      </c>
      <c r="N1088" t="s">
        <v>2279</v>
      </c>
      <c r="O1088" s="190" t="str">
        <f>"["&amp;$C1088&amp;"]["&amp;$D1088&amp;"]["&amp;$F1088&amp;"]"</f>
        <v>[S06_AccredCertVerifiersAnnexI][19][NumberAccredited]</v>
      </c>
    </row>
    <row r="1089" spans="1:15" x14ac:dyDescent="0.3">
      <c r="A1089" t="s">
        <v>2277</v>
      </c>
      <c r="B1089" t="s">
        <v>1951</v>
      </c>
      <c r="C1089" t="s">
        <v>1957</v>
      </c>
      <c r="D1089">
        <v>20</v>
      </c>
      <c r="E1089" t="s">
        <v>1447</v>
      </c>
      <c r="F1089" t="s">
        <v>1959</v>
      </c>
      <c r="G1089" t="s">
        <v>1748</v>
      </c>
      <c r="H1089" t="s">
        <v>2279</v>
      </c>
      <c r="I1089">
        <v>4</v>
      </c>
      <c r="J1089" t="s">
        <v>2279</v>
      </c>
      <c r="K1089" t="s">
        <v>2279</v>
      </c>
      <c r="L1089" t="s">
        <v>2279</v>
      </c>
      <c r="M1089" t="s">
        <v>2279</v>
      </c>
      <c r="N1089" t="s">
        <v>2279</v>
      </c>
      <c r="O1089" s="190" t="str">
        <f>"["&amp;$C1089&amp;"]["&amp;$D1089&amp;"]["&amp;$F1089&amp;"]"</f>
        <v>[S06_AccredCertVerifiersAnnexI][20][NumberAccredited]</v>
      </c>
    </row>
    <row r="1090" spans="1:15" x14ac:dyDescent="0.3">
      <c r="A1090" t="s">
        <v>2277</v>
      </c>
      <c r="B1090" t="s">
        <v>1951</v>
      </c>
      <c r="C1090" t="s">
        <v>1957</v>
      </c>
      <c r="D1090">
        <v>21</v>
      </c>
      <c r="E1090" t="s">
        <v>1447</v>
      </c>
      <c r="F1090" t="s">
        <v>1959</v>
      </c>
      <c r="G1090" t="s">
        <v>1748</v>
      </c>
      <c r="H1090" t="s">
        <v>2279</v>
      </c>
      <c r="I1090">
        <v>2</v>
      </c>
      <c r="J1090" t="s">
        <v>2279</v>
      </c>
      <c r="K1090" t="s">
        <v>2279</v>
      </c>
      <c r="L1090" t="s">
        <v>2279</v>
      </c>
      <c r="M1090" t="s">
        <v>2279</v>
      </c>
      <c r="N1090" t="s">
        <v>2279</v>
      </c>
      <c r="O1090" s="190" t="str">
        <f>"["&amp;$C1090&amp;"]["&amp;$D1090&amp;"]["&amp;$F1090&amp;"]"</f>
        <v>[S06_AccredCertVerifiersAnnexI][21][NumberAccredited]</v>
      </c>
    </row>
    <row r="1091" spans="1:15" x14ac:dyDescent="0.3">
      <c r="A1091" t="s">
        <v>2277</v>
      </c>
      <c r="B1091" t="s">
        <v>1951</v>
      </c>
      <c r="C1091" t="s">
        <v>1957</v>
      </c>
      <c r="D1091">
        <v>22</v>
      </c>
      <c r="E1091" t="s">
        <v>1447</v>
      </c>
      <c r="F1091" t="s">
        <v>1959</v>
      </c>
      <c r="G1091" t="s">
        <v>1748</v>
      </c>
      <c r="H1091" t="s">
        <v>2279</v>
      </c>
      <c r="I1091">
        <v>2</v>
      </c>
      <c r="J1091" t="s">
        <v>2279</v>
      </c>
      <c r="K1091" t="s">
        <v>2279</v>
      </c>
      <c r="L1091" t="s">
        <v>2279</v>
      </c>
      <c r="M1091" t="s">
        <v>2279</v>
      </c>
      <c r="N1091" t="s">
        <v>2279</v>
      </c>
      <c r="O1091" s="190" t="str">
        <f>"["&amp;$C1091&amp;"]["&amp;$D1091&amp;"]["&amp;$F1091&amp;"]"</f>
        <v>[S06_AccredCertVerifiersAnnexI][22][NumberAccredited]</v>
      </c>
    </row>
    <row r="1092" spans="1:15" x14ac:dyDescent="0.3">
      <c r="A1092" t="s">
        <v>2277</v>
      </c>
      <c r="B1092" t="s">
        <v>1951</v>
      </c>
      <c r="C1092" t="s">
        <v>1957</v>
      </c>
      <c r="D1092">
        <v>23</v>
      </c>
      <c r="E1092" t="s">
        <v>1447</v>
      </c>
      <c r="F1092" t="s">
        <v>1959</v>
      </c>
      <c r="G1092" t="s">
        <v>1748</v>
      </c>
      <c r="H1092" t="s">
        <v>2279</v>
      </c>
      <c r="I1092">
        <v>1</v>
      </c>
      <c r="J1092" t="s">
        <v>2279</v>
      </c>
      <c r="K1092" t="s">
        <v>2279</v>
      </c>
      <c r="L1092" t="s">
        <v>2279</v>
      </c>
      <c r="M1092" t="s">
        <v>2279</v>
      </c>
      <c r="N1092" t="s">
        <v>2279</v>
      </c>
      <c r="O1092" s="190" t="str">
        <f>"["&amp;$C1092&amp;"]["&amp;$D1092&amp;"]["&amp;$F1092&amp;"]"</f>
        <v>[S06_AccredCertVerifiersAnnexI][23][NumberAccredited]</v>
      </c>
    </row>
    <row r="1093" spans="1:15" x14ac:dyDescent="0.3">
      <c r="A1093" t="s">
        <v>2277</v>
      </c>
      <c r="B1093" t="s">
        <v>1951</v>
      </c>
      <c r="C1093" t="s">
        <v>1957</v>
      </c>
      <c r="D1093">
        <v>24</v>
      </c>
      <c r="E1093" t="s">
        <v>1447</v>
      </c>
      <c r="F1093" t="s">
        <v>1959</v>
      </c>
      <c r="G1093" t="s">
        <v>1748</v>
      </c>
      <c r="H1093" t="s">
        <v>2279</v>
      </c>
      <c r="I1093">
        <v>1</v>
      </c>
      <c r="J1093" t="s">
        <v>2279</v>
      </c>
      <c r="K1093" t="s">
        <v>2279</v>
      </c>
      <c r="L1093" t="s">
        <v>2279</v>
      </c>
      <c r="M1093" t="s">
        <v>2279</v>
      </c>
      <c r="N1093" t="s">
        <v>2279</v>
      </c>
      <c r="O1093" s="190" t="str">
        <f>"["&amp;$C1093&amp;"]["&amp;$D1093&amp;"]["&amp;$F1093&amp;"]"</f>
        <v>[S06_AccredCertVerifiersAnnexI][24][NumberAccredited]</v>
      </c>
    </row>
    <row r="1094" spans="1:15" x14ac:dyDescent="0.3">
      <c r="A1094" t="s">
        <v>2277</v>
      </c>
      <c r="B1094" t="s">
        <v>1951</v>
      </c>
      <c r="C1094" t="s">
        <v>1957</v>
      </c>
      <c r="D1094">
        <v>25</v>
      </c>
      <c r="E1094" t="s">
        <v>1447</v>
      </c>
      <c r="F1094" t="s">
        <v>1959</v>
      </c>
      <c r="G1094" t="s">
        <v>1748</v>
      </c>
      <c r="H1094" t="s">
        <v>2279</v>
      </c>
      <c r="I1094">
        <v>1</v>
      </c>
      <c r="J1094" t="s">
        <v>2279</v>
      </c>
      <c r="K1094" t="s">
        <v>2279</v>
      </c>
      <c r="L1094" t="s">
        <v>2279</v>
      </c>
      <c r="M1094" t="s">
        <v>2279</v>
      </c>
      <c r="N1094" t="s">
        <v>2279</v>
      </c>
      <c r="O1094" s="190" t="str">
        <f>"["&amp;$C1094&amp;"]["&amp;$D1094&amp;"]["&amp;$F1094&amp;"]"</f>
        <v>[S06_AccredCertVerifiersAnnexI][25][NumberAccredited]</v>
      </c>
    </row>
    <row r="1095" spans="1:15" x14ac:dyDescent="0.3">
      <c r="A1095" t="s">
        <v>2277</v>
      </c>
      <c r="B1095" t="s">
        <v>1951</v>
      </c>
      <c r="C1095" t="s">
        <v>1957</v>
      </c>
      <c r="D1095">
        <v>26</v>
      </c>
      <c r="E1095" t="s">
        <v>1447</v>
      </c>
      <c r="F1095" t="s">
        <v>1959</v>
      </c>
      <c r="G1095" t="s">
        <v>1748</v>
      </c>
      <c r="H1095" t="s">
        <v>2279</v>
      </c>
      <c r="I1095">
        <v>2</v>
      </c>
      <c r="J1095" t="s">
        <v>2279</v>
      </c>
      <c r="K1095" t="s">
        <v>2279</v>
      </c>
      <c r="L1095" t="s">
        <v>2279</v>
      </c>
      <c r="M1095" t="s">
        <v>2279</v>
      </c>
      <c r="N1095" t="s">
        <v>2279</v>
      </c>
      <c r="O1095" s="190" t="str">
        <f>"["&amp;$C1095&amp;"]["&amp;$D1095&amp;"]["&amp;$F1095&amp;"]"</f>
        <v>[S06_AccredCertVerifiersAnnexI][26][NumberAccredited]</v>
      </c>
    </row>
    <row r="1096" spans="1:15" x14ac:dyDescent="0.3">
      <c r="A1096" t="s">
        <v>2277</v>
      </c>
      <c r="B1096" t="s">
        <v>1951</v>
      </c>
      <c r="C1096" t="s">
        <v>1957</v>
      </c>
      <c r="D1096">
        <v>27</v>
      </c>
      <c r="E1096" t="s">
        <v>1447</v>
      </c>
      <c r="F1096" t="s">
        <v>1959</v>
      </c>
      <c r="G1096" t="s">
        <v>1748</v>
      </c>
      <c r="H1096" t="s">
        <v>2279</v>
      </c>
      <c r="I1096">
        <v>6</v>
      </c>
      <c r="J1096" t="s">
        <v>2279</v>
      </c>
      <c r="K1096" t="s">
        <v>2279</v>
      </c>
      <c r="L1096" t="s">
        <v>2279</v>
      </c>
      <c r="M1096" t="s">
        <v>2279</v>
      </c>
      <c r="N1096" t="s">
        <v>2279</v>
      </c>
      <c r="O1096" s="190" t="str">
        <f>"["&amp;$C1096&amp;"]["&amp;$D1096&amp;"]["&amp;$F1096&amp;"]"</f>
        <v>[S06_AccredCertVerifiersAnnexI][27][NumberAccredited]</v>
      </c>
    </row>
    <row r="1097" spans="1:15" x14ac:dyDescent="0.3">
      <c r="A1097" t="s">
        <v>2277</v>
      </c>
      <c r="B1097" t="s">
        <v>1951</v>
      </c>
      <c r="C1097" t="s">
        <v>1957</v>
      </c>
      <c r="D1097">
        <v>1</v>
      </c>
      <c r="E1097" t="s">
        <v>1447</v>
      </c>
      <c r="F1097" t="s">
        <v>1960</v>
      </c>
      <c r="G1097" t="s">
        <v>1748</v>
      </c>
      <c r="H1097" t="s">
        <v>2279</v>
      </c>
      <c r="I1097">
        <v>0</v>
      </c>
      <c r="J1097" t="s">
        <v>2279</v>
      </c>
      <c r="K1097" t="s">
        <v>2279</v>
      </c>
      <c r="L1097" t="s">
        <v>2279</v>
      </c>
      <c r="M1097" t="s">
        <v>2279</v>
      </c>
      <c r="N1097" t="s">
        <v>2279</v>
      </c>
      <c r="O1097" s="190" t="str">
        <f>"["&amp;$C1097&amp;"]["&amp;$D1097&amp;"]["&amp;$F1097&amp;"]"</f>
        <v>[S06_AccredCertVerifiersAnnexI][1][NumberCertified]</v>
      </c>
    </row>
    <row r="1098" spans="1:15" x14ac:dyDescent="0.3">
      <c r="A1098" t="s">
        <v>2277</v>
      </c>
      <c r="B1098" t="s">
        <v>1951</v>
      </c>
      <c r="C1098" t="s">
        <v>1957</v>
      </c>
      <c r="D1098">
        <v>2</v>
      </c>
      <c r="E1098" t="s">
        <v>1447</v>
      </c>
      <c r="F1098" t="s">
        <v>1960</v>
      </c>
      <c r="G1098" t="s">
        <v>1748</v>
      </c>
      <c r="H1098" t="s">
        <v>2279</v>
      </c>
      <c r="I1098">
        <v>0</v>
      </c>
      <c r="J1098" t="s">
        <v>2279</v>
      </c>
      <c r="K1098" t="s">
        <v>2279</v>
      </c>
      <c r="L1098" t="s">
        <v>2279</v>
      </c>
      <c r="M1098" t="s">
        <v>2279</v>
      </c>
      <c r="N1098" t="s">
        <v>2279</v>
      </c>
      <c r="O1098" s="190" t="str">
        <f>"["&amp;$C1098&amp;"]["&amp;$D1098&amp;"]["&amp;$F1098&amp;"]"</f>
        <v>[S06_AccredCertVerifiersAnnexI][2][NumberCertified]</v>
      </c>
    </row>
    <row r="1099" spans="1:15" x14ac:dyDescent="0.3">
      <c r="A1099" t="s">
        <v>2277</v>
      </c>
      <c r="B1099" t="s">
        <v>1951</v>
      </c>
      <c r="C1099" t="s">
        <v>1957</v>
      </c>
      <c r="D1099">
        <v>3</v>
      </c>
      <c r="E1099" t="s">
        <v>1447</v>
      </c>
      <c r="F1099" t="s">
        <v>1960</v>
      </c>
      <c r="G1099" t="s">
        <v>1748</v>
      </c>
      <c r="H1099" t="s">
        <v>2279</v>
      </c>
      <c r="I1099">
        <v>0</v>
      </c>
      <c r="J1099" t="s">
        <v>2279</v>
      </c>
      <c r="K1099" t="s">
        <v>2279</v>
      </c>
      <c r="L1099" t="s">
        <v>2279</v>
      </c>
      <c r="M1099" t="s">
        <v>2279</v>
      </c>
      <c r="N1099" t="s">
        <v>2279</v>
      </c>
      <c r="O1099" s="190" t="str">
        <f>"["&amp;$C1099&amp;"]["&amp;$D1099&amp;"]["&amp;$F1099&amp;"]"</f>
        <v>[S06_AccredCertVerifiersAnnexI][3][NumberCertified]</v>
      </c>
    </row>
    <row r="1100" spans="1:15" x14ac:dyDescent="0.3">
      <c r="A1100" t="s">
        <v>2277</v>
      </c>
      <c r="B1100" t="s">
        <v>1951</v>
      </c>
      <c r="C1100" t="s">
        <v>1957</v>
      </c>
      <c r="D1100">
        <v>4</v>
      </c>
      <c r="E1100" t="s">
        <v>1447</v>
      </c>
      <c r="F1100" t="s">
        <v>1960</v>
      </c>
      <c r="G1100" t="s">
        <v>1748</v>
      </c>
      <c r="H1100" t="s">
        <v>2279</v>
      </c>
      <c r="I1100">
        <v>0</v>
      </c>
      <c r="J1100" t="s">
        <v>2279</v>
      </c>
      <c r="K1100" t="s">
        <v>2279</v>
      </c>
      <c r="L1100" t="s">
        <v>2279</v>
      </c>
      <c r="M1100" t="s">
        <v>2279</v>
      </c>
      <c r="N1100" t="s">
        <v>2279</v>
      </c>
      <c r="O1100" s="190" t="str">
        <f>"["&amp;$C1100&amp;"]["&amp;$D1100&amp;"]["&amp;$F1100&amp;"]"</f>
        <v>[S06_AccredCertVerifiersAnnexI][4][NumberCertified]</v>
      </c>
    </row>
    <row r="1101" spans="1:15" x14ac:dyDescent="0.3">
      <c r="A1101" t="s">
        <v>2277</v>
      </c>
      <c r="B1101" t="s">
        <v>1951</v>
      </c>
      <c r="C1101" t="s">
        <v>1957</v>
      </c>
      <c r="D1101">
        <v>5</v>
      </c>
      <c r="E1101" t="s">
        <v>1447</v>
      </c>
      <c r="F1101" t="s">
        <v>1960</v>
      </c>
      <c r="G1101" t="s">
        <v>1748</v>
      </c>
      <c r="H1101" t="s">
        <v>2279</v>
      </c>
      <c r="I1101">
        <v>0</v>
      </c>
      <c r="J1101" t="s">
        <v>2279</v>
      </c>
      <c r="K1101" t="s">
        <v>2279</v>
      </c>
      <c r="L1101" t="s">
        <v>2279</v>
      </c>
      <c r="M1101" t="s">
        <v>2279</v>
      </c>
      <c r="N1101" t="s">
        <v>2279</v>
      </c>
      <c r="O1101" s="190" t="str">
        <f>"["&amp;$C1101&amp;"]["&amp;$D1101&amp;"]["&amp;$F1101&amp;"]"</f>
        <v>[S06_AccredCertVerifiersAnnexI][5][NumberCertified]</v>
      </c>
    </row>
    <row r="1102" spans="1:15" x14ac:dyDescent="0.3">
      <c r="A1102" t="s">
        <v>2277</v>
      </c>
      <c r="B1102" t="s">
        <v>1951</v>
      </c>
      <c r="C1102" t="s">
        <v>1957</v>
      </c>
      <c r="D1102">
        <v>6</v>
      </c>
      <c r="E1102" t="s">
        <v>1447</v>
      </c>
      <c r="F1102" t="s">
        <v>1960</v>
      </c>
      <c r="G1102" t="s">
        <v>1748</v>
      </c>
      <c r="H1102" t="s">
        <v>2279</v>
      </c>
      <c r="I1102">
        <v>0</v>
      </c>
      <c r="J1102" t="s">
        <v>2279</v>
      </c>
      <c r="K1102" t="s">
        <v>2279</v>
      </c>
      <c r="L1102" t="s">
        <v>2279</v>
      </c>
      <c r="M1102" t="s">
        <v>2279</v>
      </c>
      <c r="N1102" t="s">
        <v>2279</v>
      </c>
      <c r="O1102" s="190" t="str">
        <f>"["&amp;$C1102&amp;"]["&amp;$D1102&amp;"]["&amp;$F1102&amp;"]"</f>
        <v>[S06_AccredCertVerifiersAnnexI][6][NumberCertified]</v>
      </c>
    </row>
    <row r="1103" spans="1:15" x14ac:dyDescent="0.3">
      <c r="A1103" t="s">
        <v>2277</v>
      </c>
      <c r="B1103" t="s">
        <v>1951</v>
      </c>
      <c r="C1103" t="s">
        <v>1957</v>
      </c>
      <c r="D1103">
        <v>7</v>
      </c>
      <c r="E1103" t="s">
        <v>1447</v>
      </c>
      <c r="F1103" t="s">
        <v>1960</v>
      </c>
      <c r="G1103" t="s">
        <v>1748</v>
      </c>
      <c r="H1103" t="s">
        <v>2279</v>
      </c>
      <c r="I1103">
        <v>0</v>
      </c>
      <c r="J1103" t="s">
        <v>2279</v>
      </c>
      <c r="K1103" t="s">
        <v>2279</v>
      </c>
      <c r="L1103" t="s">
        <v>2279</v>
      </c>
      <c r="M1103" t="s">
        <v>2279</v>
      </c>
      <c r="N1103" t="s">
        <v>2279</v>
      </c>
      <c r="O1103" s="190" t="str">
        <f>"["&amp;$C1103&amp;"]["&amp;$D1103&amp;"]["&amp;$F1103&amp;"]"</f>
        <v>[S06_AccredCertVerifiersAnnexI][7][NumberCertified]</v>
      </c>
    </row>
    <row r="1104" spans="1:15" x14ac:dyDescent="0.3">
      <c r="A1104" t="s">
        <v>2277</v>
      </c>
      <c r="B1104" t="s">
        <v>1951</v>
      </c>
      <c r="C1104" t="s">
        <v>1957</v>
      </c>
      <c r="D1104">
        <v>8</v>
      </c>
      <c r="E1104" t="s">
        <v>1447</v>
      </c>
      <c r="F1104" t="s">
        <v>1960</v>
      </c>
      <c r="G1104" t="s">
        <v>1748</v>
      </c>
      <c r="H1104" t="s">
        <v>2279</v>
      </c>
      <c r="I1104">
        <v>0</v>
      </c>
      <c r="J1104" t="s">
        <v>2279</v>
      </c>
      <c r="K1104" t="s">
        <v>2279</v>
      </c>
      <c r="L1104" t="s">
        <v>2279</v>
      </c>
      <c r="M1104" t="s">
        <v>2279</v>
      </c>
      <c r="N1104" t="s">
        <v>2279</v>
      </c>
      <c r="O1104" s="190" t="str">
        <f>"["&amp;$C1104&amp;"]["&amp;$D1104&amp;"]["&amp;$F1104&amp;"]"</f>
        <v>[S06_AccredCertVerifiersAnnexI][8][NumberCertified]</v>
      </c>
    </row>
    <row r="1105" spans="1:15" x14ac:dyDescent="0.3">
      <c r="A1105" t="s">
        <v>2277</v>
      </c>
      <c r="B1105" t="s">
        <v>1951</v>
      </c>
      <c r="C1105" t="s">
        <v>1957</v>
      </c>
      <c r="D1105">
        <v>9</v>
      </c>
      <c r="E1105" t="s">
        <v>1447</v>
      </c>
      <c r="F1105" t="s">
        <v>1960</v>
      </c>
      <c r="G1105" t="s">
        <v>1748</v>
      </c>
      <c r="H1105" t="s">
        <v>2279</v>
      </c>
      <c r="I1105">
        <v>0</v>
      </c>
      <c r="J1105" t="s">
        <v>2279</v>
      </c>
      <c r="K1105" t="s">
        <v>2279</v>
      </c>
      <c r="L1105" t="s">
        <v>2279</v>
      </c>
      <c r="M1105" t="s">
        <v>2279</v>
      </c>
      <c r="N1105" t="s">
        <v>2279</v>
      </c>
      <c r="O1105" s="190" t="str">
        <f>"["&amp;$C1105&amp;"]["&amp;$D1105&amp;"]["&amp;$F1105&amp;"]"</f>
        <v>[S06_AccredCertVerifiersAnnexI][9][NumberCertified]</v>
      </c>
    </row>
    <row r="1106" spans="1:15" x14ac:dyDescent="0.3">
      <c r="A1106" t="s">
        <v>2277</v>
      </c>
      <c r="B1106" t="s">
        <v>1951</v>
      </c>
      <c r="C1106" t="s">
        <v>1957</v>
      </c>
      <c r="D1106">
        <v>10</v>
      </c>
      <c r="E1106" t="s">
        <v>1447</v>
      </c>
      <c r="F1106" t="s">
        <v>1960</v>
      </c>
      <c r="G1106" t="s">
        <v>1748</v>
      </c>
      <c r="H1106" t="s">
        <v>2279</v>
      </c>
      <c r="I1106">
        <v>0</v>
      </c>
      <c r="J1106" t="s">
        <v>2279</v>
      </c>
      <c r="K1106" t="s">
        <v>2279</v>
      </c>
      <c r="L1106" t="s">
        <v>2279</v>
      </c>
      <c r="M1106" t="s">
        <v>2279</v>
      </c>
      <c r="N1106" t="s">
        <v>2279</v>
      </c>
      <c r="O1106" s="190" t="str">
        <f>"["&amp;$C1106&amp;"]["&amp;$D1106&amp;"]["&amp;$F1106&amp;"]"</f>
        <v>[S06_AccredCertVerifiersAnnexI][10][NumberCertified]</v>
      </c>
    </row>
    <row r="1107" spans="1:15" x14ac:dyDescent="0.3">
      <c r="A1107" t="s">
        <v>2277</v>
      </c>
      <c r="B1107" t="s">
        <v>1951</v>
      </c>
      <c r="C1107" t="s">
        <v>1957</v>
      </c>
      <c r="D1107">
        <v>11</v>
      </c>
      <c r="E1107" t="s">
        <v>1447</v>
      </c>
      <c r="F1107" t="s">
        <v>1960</v>
      </c>
      <c r="G1107" t="s">
        <v>1748</v>
      </c>
      <c r="H1107" t="s">
        <v>2279</v>
      </c>
      <c r="I1107">
        <v>0</v>
      </c>
      <c r="J1107" t="s">
        <v>2279</v>
      </c>
      <c r="K1107" t="s">
        <v>2279</v>
      </c>
      <c r="L1107" t="s">
        <v>2279</v>
      </c>
      <c r="M1107" t="s">
        <v>2279</v>
      </c>
      <c r="N1107" t="s">
        <v>2279</v>
      </c>
      <c r="O1107" s="190" t="str">
        <f>"["&amp;$C1107&amp;"]["&amp;$D1107&amp;"]["&amp;$F1107&amp;"]"</f>
        <v>[S06_AccredCertVerifiersAnnexI][11][NumberCertified]</v>
      </c>
    </row>
    <row r="1108" spans="1:15" x14ac:dyDescent="0.3">
      <c r="A1108" t="s">
        <v>2277</v>
      </c>
      <c r="B1108" t="s">
        <v>1951</v>
      </c>
      <c r="C1108" t="s">
        <v>1957</v>
      </c>
      <c r="D1108">
        <v>12</v>
      </c>
      <c r="E1108" t="s">
        <v>1447</v>
      </c>
      <c r="F1108" t="s">
        <v>1960</v>
      </c>
      <c r="G1108" t="s">
        <v>1748</v>
      </c>
      <c r="H1108" t="s">
        <v>2279</v>
      </c>
      <c r="I1108">
        <v>0</v>
      </c>
      <c r="J1108" t="s">
        <v>2279</v>
      </c>
      <c r="K1108" t="s">
        <v>2279</v>
      </c>
      <c r="L1108" t="s">
        <v>2279</v>
      </c>
      <c r="M1108" t="s">
        <v>2279</v>
      </c>
      <c r="N1108" t="s">
        <v>2279</v>
      </c>
      <c r="O1108" s="190" t="str">
        <f>"["&amp;$C1108&amp;"]["&amp;$D1108&amp;"]["&amp;$F1108&amp;"]"</f>
        <v>[S06_AccredCertVerifiersAnnexI][12][NumberCertified]</v>
      </c>
    </row>
    <row r="1109" spans="1:15" x14ac:dyDescent="0.3">
      <c r="A1109" t="s">
        <v>2277</v>
      </c>
      <c r="B1109" t="s">
        <v>1951</v>
      </c>
      <c r="C1109" t="s">
        <v>1957</v>
      </c>
      <c r="D1109">
        <v>13</v>
      </c>
      <c r="E1109" t="s">
        <v>1447</v>
      </c>
      <c r="F1109" t="s">
        <v>1960</v>
      </c>
      <c r="G1109" t="s">
        <v>1748</v>
      </c>
      <c r="H1109" t="s">
        <v>2279</v>
      </c>
      <c r="I1109">
        <v>0</v>
      </c>
      <c r="J1109" t="s">
        <v>2279</v>
      </c>
      <c r="K1109" t="s">
        <v>2279</v>
      </c>
      <c r="L1109" t="s">
        <v>2279</v>
      </c>
      <c r="M1109" t="s">
        <v>2279</v>
      </c>
      <c r="N1109" t="s">
        <v>2279</v>
      </c>
      <c r="O1109" s="190" t="str">
        <f>"["&amp;$C1109&amp;"]["&amp;$D1109&amp;"]["&amp;$F1109&amp;"]"</f>
        <v>[S06_AccredCertVerifiersAnnexI][13][NumberCertified]</v>
      </c>
    </row>
    <row r="1110" spans="1:15" x14ac:dyDescent="0.3">
      <c r="A1110" t="s">
        <v>2277</v>
      </c>
      <c r="B1110" t="s">
        <v>1951</v>
      </c>
      <c r="C1110" t="s">
        <v>1957</v>
      </c>
      <c r="D1110">
        <v>14</v>
      </c>
      <c r="E1110" t="s">
        <v>1447</v>
      </c>
      <c r="F1110" t="s">
        <v>1960</v>
      </c>
      <c r="G1110" t="s">
        <v>1748</v>
      </c>
      <c r="H1110" t="s">
        <v>2279</v>
      </c>
      <c r="I1110">
        <v>0</v>
      </c>
      <c r="J1110" t="s">
        <v>2279</v>
      </c>
      <c r="K1110" t="s">
        <v>2279</v>
      </c>
      <c r="L1110" t="s">
        <v>2279</v>
      </c>
      <c r="M1110" t="s">
        <v>2279</v>
      </c>
      <c r="N1110" t="s">
        <v>2279</v>
      </c>
      <c r="O1110" s="190" t="str">
        <f>"["&amp;$C1110&amp;"]["&amp;$D1110&amp;"]["&amp;$F1110&amp;"]"</f>
        <v>[S06_AccredCertVerifiersAnnexI][14][NumberCertified]</v>
      </c>
    </row>
    <row r="1111" spans="1:15" x14ac:dyDescent="0.3">
      <c r="A1111" t="s">
        <v>2277</v>
      </c>
      <c r="B1111" t="s">
        <v>1951</v>
      </c>
      <c r="C1111" t="s">
        <v>1957</v>
      </c>
      <c r="D1111">
        <v>15</v>
      </c>
      <c r="E1111" t="s">
        <v>1447</v>
      </c>
      <c r="F1111" t="s">
        <v>1960</v>
      </c>
      <c r="G1111" t="s">
        <v>1748</v>
      </c>
      <c r="H1111" t="s">
        <v>2279</v>
      </c>
      <c r="I1111">
        <v>0</v>
      </c>
      <c r="J1111" t="s">
        <v>2279</v>
      </c>
      <c r="K1111" t="s">
        <v>2279</v>
      </c>
      <c r="L1111" t="s">
        <v>2279</v>
      </c>
      <c r="M1111" t="s">
        <v>2279</v>
      </c>
      <c r="N1111" t="s">
        <v>2279</v>
      </c>
      <c r="O1111" s="190" t="str">
        <f>"["&amp;$C1111&amp;"]["&amp;$D1111&amp;"]["&amp;$F1111&amp;"]"</f>
        <v>[S06_AccredCertVerifiersAnnexI][15][NumberCertified]</v>
      </c>
    </row>
    <row r="1112" spans="1:15" x14ac:dyDescent="0.3">
      <c r="A1112" t="s">
        <v>2277</v>
      </c>
      <c r="B1112" t="s">
        <v>1951</v>
      </c>
      <c r="C1112" t="s">
        <v>1957</v>
      </c>
      <c r="D1112">
        <v>16</v>
      </c>
      <c r="E1112" t="s">
        <v>1447</v>
      </c>
      <c r="F1112" t="s">
        <v>1960</v>
      </c>
      <c r="G1112" t="s">
        <v>1748</v>
      </c>
      <c r="H1112" t="s">
        <v>2279</v>
      </c>
      <c r="I1112">
        <v>0</v>
      </c>
      <c r="J1112" t="s">
        <v>2279</v>
      </c>
      <c r="K1112" t="s">
        <v>2279</v>
      </c>
      <c r="L1112" t="s">
        <v>2279</v>
      </c>
      <c r="M1112" t="s">
        <v>2279</v>
      </c>
      <c r="N1112" t="s">
        <v>2279</v>
      </c>
      <c r="O1112" s="190" t="str">
        <f>"["&amp;$C1112&amp;"]["&amp;$D1112&amp;"]["&amp;$F1112&amp;"]"</f>
        <v>[S06_AccredCertVerifiersAnnexI][16][NumberCertified]</v>
      </c>
    </row>
    <row r="1113" spans="1:15" x14ac:dyDescent="0.3">
      <c r="A1113" t="s">
        <v>2277</v>
      </c>
      <c r="B1113" t="s">
        <v>1951</v>
      </c>
      <c r="C1113" t="s">
        <v>1957</v>
      </c>
      <c r="D1113">
        <v>17</v>
      </c>
      <c r="E1113" t="s">
        <v>1447</v>
      </c>
      <c r="F1113" t="s">
        <v>1960</v>
      </c>
      <c r="G1113" t="s">
        <v>1748</v>
      </c>
      <c r="H1113" t="s">
        <v>2279</v>
      </c>
      <c r="I1113">
        <v>0</v>
      </c>
      <c r="J1113" t="s">
        <v>2279</v>
      </c>
      <c r="K1113" t="s">
        <v>2279</v>
      </c>
      <c r="L1113" t="s">
        <v>2279</v>
      </c>
      <c r="M1113" t="s">
        <v>2279</v>
      </c>
      <c r="N1113" t="s">
        <v>2279</v>
      </c>
      <c r="O1113" s="190" t="str">
        <f>"["&amp;$C1113&amp;"]["&amp;$D1113&amp;"]["&amp;$F1113&amp;"]"</f>
        <v>[S06_AccredCertVerifiersAnnexI][17][NumberCertified]</v>
      </c>
    </row>
    <row r="1114" spans="1:15" x14ac:dyDescent="0.3">
      <c r="A1114" t="s">
        <v>2277</v>
      </c>
      <c r="B1114" t="s">
        <v>1951</v>
      </c>
      <c r="C1114" t="s">
        <v>1957</v>
      </c>
      <c r="D1114">
        <v>18</v>
      </c>
      <c r="E1114" t="s">
        <v>1447</v>
      </c>
      <c r="F1114" t="s">
        <v>1960</v>
      </c>
      <c r="G1114" t="s">
        <v>1748</v>
      </c>
      <c r="H1114" t="s">
        <v>2279</v>
      </c>
      <c r="I1114">
        <v>0</v>
      </c>
      <c r="J1114" t="s">
        <v>2279</v>
      </c>
      <c r="K1114" t="s">
        <v>2279</v>
      </c>
      <c r="L1114" t="s">
        <v>2279</v>
      </c>
      <c r="M1114" t="s">
        <v>2279</v>
      </c>
      <c r="N1114" t="s">
        <v>2279</v>
      </c>
      <c r="O1114" s="190" t="str">
        <f>"["&amp;$C1114&amp;"]["&amp;$D1114&amp;"]["&amp;$F1114&amp;"]"</f>
        <v>[S06_AccredCertVerifiersAnnexI][18][NumberCertified]</v>
      </c>
    </row>
    <row r="1115" spans="1:15" x14ac:dyDescent="0.3">
      <c r="A1115" t="s">
        <v>2277</v>
      </c>
      <c r="B1115" t="s">
        <v>1951</v>
      </c>
      <c r="C1115" t="s">
        <v>1957</v>
      </c>
      <c r="D1115">
        <v>19</v>
      </c>
      <c r="E1115" t="s">
        <v>1447</v>
      </c>
      <c r="F1115" t="s">
        <v>1960</v>
      </c>
      <c r="G1115" t="s">
        <v>1748</v>
      </c>
      <c r="H1115" t="s">
        <v>2279</v>
      </c>
      <c r="I1115">
        <v>0</v>
      </c>
      <c r="J1115" t="s">
        <v>2279</v>
      </c>
      <c r="K1115" t="s">
        <v>2279</v>
      </c>
      <c r="L1115" t="s">
        <v>2279</v>
      </c>
      <c r="M1115" t="s">
        <v>2279</v>
      </c>
      <c r="N1115" t="s">
        <v>2279</v>
      </c>
      <c r="O1115" s="190" t="str">
        <f>"["&amp;$C1115&amp;"]["&amp;$D1115&amp;"]["&amp;$F1115&amp;"]"</f>
        <v>[S06_AccredCertVerifiersAnnexI][19][NumberCertified]</v>
      </c>
    </row>
    <row r="1116" spans="1:15" x14ac:dyDescent="0.3">
      <c r="A1116" t="s">
        <v>2277</v>
      </c>
      <c r="B1116" t="s">
        <v>1951</v>
      </c>
      <c r="C1116" t="s">
        <v>1957</v>
      </c>
      <c r="D1116">
        <v>20</v>
      </c>
      <c r="E1116" t="s">
        <v>1447</v>
      </c>
      <c r="F1116" t="s">
        <v>1960</v>
      </c>
      <c r="G1116" t="s">
        <v>1748</v>
      </c>
      <c r="H1116" t="s">
        <v>2279</v>
      </c>
      <c r="I1116">
        <v>0</v>
      </c>
      <c r="J1116" t="s">
        <v>2279</v>
      </c>
      <c r="K1116" t="s">
        <v>2279</v>
      </c>
      <c r="L1116" t="s">
        <v>2279</v>
      </c>
      <c r="M1116" t="s">
        <v>2279</v>
      </c>
      <c r="N1116" t="s">
        <v>2279</v>
      </c>
      <c r="O1116" s="190" t="str">
        <f>"["&amp;$C1116&amp;"]["&amp;$D1116&amp;"]["&amp;$F1116&amp;"]"</f>
        <v>[S06_AccredCertVerifiersAnnexI][20][NumberCertified]</v>
      </c>
    </row>
    <row r="1117" spans="1:15" x14ac:dyDescent="0.3">
      <c r="A1117" t="s">
        <v>2277</v>
      </c>
      <c r="B1117" t="s">
        <v>1951</v>
      </c>
      <c r="C1117" t="s">
        <v>1957</v>
      </c>
      <c r="D1117">
        <v>21</v>
      </c>
      <c r="E1117" t="s">
        <v>1447</v>
      </c>
      <c r="F1117" t="s">
        <v>1960</v>
      </c>
      <c r="G1117" t="s">
        <v>1748</v>
      </c>
      <c r="H1117" t="s">
        <v>2279</v>
      </c>
      <c r="I1117">
        <v>0</v>
      </c>
      <c r="J1117" t="s">
        <v>2279</v>
      </c>
      <c r="K1117" t="s">
        <v>2279</v>
      </c>
      <c r="L1117" t="s">
        <v>2279</v>
      </c>
      <c r="M1117" t="s">
        <v>2279</v>
      </c>
      <c r="N1117" t="s">
        <v>2279</v>
      </c>
      <c r="O1117" s="190" t="str">
        <f>"["&amp;$C1117&amp;"]["&amp;$D1117&amp;"]["&amp;$F1117&amp;"]"</f>
        <v>[S06_AccredCertVerifiersAnnexI][21][NumberCertified]</v>
      </c>
    </row>
    <row r="1118" spans="1:15" x14ac:dyDescent="0.3">
      <c r="A1118" t="s">
        <v>2277</v>
      </c>
      <c r="B1118" t="s">
        <v>1951</v>
      </c>
      <c r="C1118" t="s">
        <v>1957</v>
      </c>
      <c r="D1118">
        <v>22</v>
      </c>
      <c r="E1118" t="s">
        <v>1447</v>
      </c>
      <c r="F1118" t="s">
        <v>1960</v>
      </c>
      <c r="G1118" t="s">
        <v>1748</v>
      </c>
      <c r="H1118" t="s">
        <v>2279</v>
      </c>
      <c r="I1118">
        <v>0</v>
      </c>
      <c r="J1118" t="s">
        <v>2279</v>
      </c>
      <c r="K1118" t="s">
        <v>2279</v>
      </c>
      <c r="L1118" t="s">
        <v>2279</v>
      </c>
      <c r="M1118" t="s">
        <v>2279</v>
      </c>
      <c r="N1118" t="s">
        <v>2279</v>
      </c>
      <c r="O1118" s="190" t="str">
        <f>"["&amp;$C1118&amp;"]["&amp;$D1118&amp;"]["&amp;$F1118&amp;"]"</f>
        <v>[S06_AccredCertVerifiersAnnexI][22][NumberCertified]</v>
      </c>
    </row>
    <row r="1119" spans="1:15" x14ac:dyDescent="0.3">
      <c r="A1119" t="s">
        <v>2277</v>
      </c>
      <c r="B1119" t="s">
        <v>1951</v>
      </c>
      <c r="C1119" t="s">
        <v>1957</v>
      </c>
      <c r="D1119">
        <v>23</v>
      </c>
      <c r="E1119" t="s">
        <v>1447</v>
      </c>
      <c r="F1119" t="s">
        <v>1960</v>
      </c>
      <c r="G1119" t="s">
        <v>1748</v>
      </c>
      <c r="H1119" t="s">
        <v>2279</v>
      </c>
      <c r="I1119">
        <v>0</v>
      </c>
      <c r="J1119" t="s">
        <v>2279</v>
      </c>
      <c r="K1119" t="s">
        <v>2279</v>
      </c>
      <c r="L1119" t="s">
        <v>2279</v>
      </c>
      <c r="M1119" t="s">
        <v>2279</v>
      </c>
      <c r="N1119" t="s">
        <v>2279</v>
      </c>
      <c r="O1119" s="190" t="str">
        <f>"["&amp;$C1119&amp;"]["&amp;$D1119&amp;"]["&amp;$F1119&amp;"]"</f>
        <v>[S06_AccredCertVerifiersAnnexI][23][NumberCertified]</v>
      </c>
    </row>
    <row r="1120" spans="1:15" x14ac:dyDescent="0.3">
      <c r="A1120" t="s">
        <v>2277</v>
      </c>
      <c r="B1120" t="s">
        <v>1951</v>
      </c>
      <c r="C1120" t="s">
        <v>1957</v>
      </c>
      <c r="D1120">
        <v>24</v>
      </c>
      <c r="E1120" t="s">
        <v>1447</v>
      </c>
      <c r="F1120" t="s">
        <v>1960</v>
      </c>
      <c r="G1120" t="s">
        <v>1748</v>
      </c>
      <c r="H1120" t="s">
        <v>2279</v>
      </c>
      <c r="I1120">
        <v>0</v>
      </c>
      <c r="J1120" t="s">
        <v>2279</v>
      </c>
      <c r="K1120" t="s">
        <v>2279</v>
      </c>
      <c r="L1120" t="s">
        <v>2279</v>
      </c>
      <c r="M1120" t="s">
        <v>2279</v>
      </c>
      <c r="N1120" t="s">
        <v>2279</v>
      </c>
      <c r="O1120" s="190" t="str">
        <f>"["&amp;$C1120&amp;"]["&amp;$D1120&amp;"]["&amp;$F1120&amp;"]"</f>
        <v>[S06_AccredCertVerifiersAnnexI][24][NumberCertified]</v>
      </c>
    </row>
    <row r="1121" spans="1:15" x14ac:dyDescent="0.3">
      <c r="A1121" t="s">
        <v>2277</v>
      </c>
      <c r="B1121" t="s">
        <v>1951</v>
      </c>
      <c r="C1121" t="s">
        <v>1957</v>
      </c>
      <c r="D1121">
        <v>25</v>
      </c>
      <c r="E1121" t="s">
        <v>1447</v>
      </c>
      <c r="F1121" t="s">
        <v>1960</v>
      </c>
      <c r="G1121" t="s">
        <v>1748</v>
      </c>
      <c r="H1121" t="s">
        <v>2279</v>
      </c>
      <c r="I1121">
        <v>0</v>
      </c>
      <c r="J1121" t="s">
        <v>2279</v>
      </c>
      <c r="K1121" t="s">
        <v>2279</v>
      </c>
      <c r="L1121" t="s">
        <v>2279</v>
      </c>
      <c r="M1121" t="s">
        <v>2279</v>
      </c>
      <c r="N1121" t="s">
        <v>2279</v>
      </c>
      <c r="O1121" s="190" t="str">
        <f>"["&amp;$C1121&amp;"]["&amp;$D1121&amp;"]["&amp;$F1121&amp;"]"</f>
        <v>[S06_AccredCertVerifiersAnnexI][25][NumberCertified]</v>
      </c>
    </row>
    <row r="1122" spans="1:15" x14ac:dyDescent="0.3">
      <c r="A1122" t="s">
        <v>2277</v>
      </c>
      <c r="B1122" t="s">
        <v>1951</v>
      </c>
      <c r="C1122" t="s">
        <v>1957</v>
      </c>
      <c r="D1122">
        <v>26</v>
      </c>
      <c r="E1122" t="s">
        <v>1447</v>
      </c>
      <c r="F1122" t="s">
        <v>1960</v>
      </c>
      <c r="G1122" t="s">
        <v>1748</v>
      </c>
      <c r="H1122" t="s">
        <v>2279</v>
      </c>
      <c r="I1122">
        <v>0</v>
      </c>
      <c r="J1122" t="s">
        <v>2279</v>
      </c>
      <c r="K1122" t="s">
        <v>2279</v>
      </c>
      <c r="L1122" t="s">
        <v>2279</v>
      </c>
      <c r="M1122" t="s">
        <v>2279</v>
      </c>
      <c r="N1122" t="s">
        <v>2279</v>
      </c>
      <c r="O1122" s="190" t="str">
        <f>"["&amp;$C1122&amp;"]["&amp;$D1122&amp;"]["&amp;$F1122&amp;"]"</f>
        <v>[S06_AccredCertVerifiersAnnexI][26][NumberCertified]</v>
      </c>
    </row>
    <row r="1123" spans="1:15" x14ac:dyDescent="0.3">
      <c r="A1123" t="s">
        <v>2277</v>
      </c>
      <c r="B1123" t="s">
        <v>1951</v>
      </c>
      <c r="C1123" t="s">
        <v>1957</v>
      </c>
      <c r="D1123">
        <v>27</v>
      </c>
      <c r="E1123" t="s">
        <v>1447</v>
      </c>
      <c r="F1123" t="s">
        <v>1960</v>
      </c>
      <c r="G1123" t="s">
        <v>1748</v>
      </c>
      <c r="H1123" t="s">
        <v>2279</v>
      </c>
      <c r="I1123">
        <v>0</v>
      </c>
      <c r="J1123" t="s">
        <v>2279</v>
      </c>
      <c r="K1123" t="s">
        <v>2279</v>
      </c>
      <c r="L1123" t="s">
        <v>2279</v>
      </c>
      <c r="M1123" t="s">
        <v>2279</v>
      </c>
      <c r="N1123" t="s">
        <v>2279</v>
      </c>
      <c r="O1123" s="190" t="str">
        <f>"["&amp;$C1123&amp;"]["&amp;$D1123&amp;"]["&amp;$F1123&amp;"]"</f>
        <v>[S06_AccredCertVerifiersAnnexI][27][NumberCertified]</v>
      </c>
    </row>
    <row r="1124" spans="1:15" x14ac:dyDescent="0.3">
      <c r="A1124" t="s">
        <v>2277</v>
      </c>
      <c r="B1124" t="s">
        <v>1961</v>
      </c>
      <c r="C1124" t="s">
        <v>1962</v>
      </c>
      <c r="D1124">
        <v>1</v>
      </c>
      <c r="E1124" t="s">
        <v>1447</v>
      </c>
      <c r="F1124" t="s">
        <v>1963</v>
      </c>
      <c r="G1124" t="s">
        <v>1759</v>
      </c>
      <c r="H1124" t="s">
        <v>2279</v>
      </c>
      <c r="I1124" t="s">
        <v>2279</v>
      </c>
      <c r="J1124" t="s">
        <v>2279</v>
      </c>
      <c r="K1124" t="s">
        <v>2279</v>
      </c>
      <c r="L1124" t="s">
        <v>1419</v>
      </c>
      <c r="M1124" t="s">
        <v>2279</v>
      </c>
      <c r="N1124" t="s">
        <v>2279</v>
      </c>
      <c r="O1124" s="190" t="str">
        <f>"["&amp;$C1124&amp;"]["&amp;$D1124&amp;"]["&amp;$F1124&amp;"]"</f>
        <v>[S06_ApplicationInformationExchangeRequirements1][1][FromOwnMS]</v>
      </c>
    </row>
    <row r="1125" spans="1:15" x14ac:dyDescent="0.3">
      <c r="A1125" t="s">
        <v>2277</v>
      </c>
      <c r="B1125" t="s">
        <v>1961</v>
      </c>
      <c r="C1125" t="s">
        <v>1962</v>
      </c>
      <c r="D1125">
        <v>1</v>
      </c>
      <c r="E1125" t="s">
        <v>1447</v>
      </c>
      <c r="F1125" t="s">
        <v>1964</v>
      </c>
      <c r="G1125" t="s">
        <v>1759</v>
      </c>
      <c r="H1125" t="s">
        <v>2279</v>
      </c>
      <c r="I1125" t="s">
        <v>2279</v>
      </c>
      <c r="J1125" t="s">
        <v>2279</v>
      </c>
      <c r="K1125" t="s">
        <v>2279</v>
      </c>
      <c r="L1125" t="s">
        <v>1419</v>
      </c>
      <c r="M1125" t="s">
        <v>2279</v>
      </c>
      <c r="N1125" t="s">
        <v>2279</v>
      </c>
      <c r="O1125" s="190" t="str">
        <f>"["&amp;$C1125&amp;"]["&amp;$D1125&amp;"]["&amp;$F1125&amp;"]"</f>
        <v>[S06_ApplicationInformationExchangeRequirements1][1][FromOtherMS]</v>
      </c>
    </row>
    <row r="1126" spans="1:15" x14ac:dyDescent="0.3">
      <c r="A1126" t="s">
        <v>2277</v>
      </c>
      <c r="B1126" t="s">
        <v>1961</v>
      </c>
      <c r="C1126" t="s">
        <v>1962</v>
      </c>
      <c r="D1126">
        <v>2</v>
      </c>
      <c r="E1126" t="s">
        <v>1447</v>
      </c>
      <c r="F1126" t="s">
        <v>1963</v>
      </c>
      <c r="G1126" t="s">
        <v>1759</v>
      </c>
      <c r="H1126" t="s">
        <v>2279</v>
      </c>
      <c r="I1126" t="s">
        <v>2279</v>
      </c>
      <c r="J1126" t="s">
        <v>2279</v>
      </c>
      <c r="K1126" t="s">
        <v>2279</v>
      </c>
      <c r="L1126" t="s">
        <v>1419</v>
      </c>
      <c r="M1126" t="s">
        <v>2279</v>
      </c>
      <c r="N1126" t="s">
        <v>2279</v>
      </c>
      <c r="O1126" s="190" t="str">
        <f>"["&amp;$C1126&amp;"]["&amp;$D1126&amp;"]["&amp;$F1126&amp;"]"</f>
        <v>[S06_ApplicationInformationExchangeRequirements1][2][FromOwnMS]</v>
      </c>
    </row>
    <row r="1127" spans="1:15" x14ac:dyDescent="0.3">
      <c r="A1127" t="s">
        <v>2277</v>
      </c>
      <c r="B1127" t="s">
        <v>1961</v>
      </c>
      <c r="C1127" t="s">
        <v>1962</v>
      </c>
      <c r="D1127">
        <v>2</v>
      </c>
      <c r="E1127" t="s">
        <v>1447</v>
      </c>
      <c r="F1127" t="s">
        <v>1964</v>
      </c>
      <c r="G1127" t="s">
        <v>1759</v>
      </c>
      <c r="H1127" t="s">
        <v>2279</v>
      </c>
      <c r="I1127" t="s">
        <v>2279</v>
      </c>
      <c r="J1127" t="s">
        <v>2279</v>
      </c>
      <c r="K1127" t="s">
        <v>2279</v>
      </c>
      <c r="L1127" t="s">
        <v>1419</v>
      </c>
      <c r="M1127" t="s">
        <v>2279</v>
      </c>
      <c r="N1127" t="s">
        <v>2279</v>
      </c>
      <c r="O1127" s="190" t="str">
        <f>"["&amp;$C1127&amp;"]["&amp;$D1127&amp;"]["&amp;$F1127&amp;"]"</f>
        <v>[S06_ApplicationInformationExchangeRequirements1][2][FromOtherMS]</v>
      </c>
    </row>
    <row r="1128" spans="1:15" x14ac:dyDescent="0.3">
      <c r="A1128" t="s">
        <v>2277</v>
      </c>
      <c r="B1128" t="s">
        <v>1961</v>
      </c>
      <c r="C1128" t="s">
        <v>1965</v>
      </c>
      <c r="D1128">
        <v>1</v>
      </c>
      <c r="E1128" t="s">
        <v>1447</v>
      </c>
      <c r="F1128" t="s">
        <v>1967</v>
      </c>
      <c r="G1128" t="s">
        <v>1748</v>
      </c>
      <c r="H1128" t="s">
        <v>2279</v>
      </c>
      <c r="I1128">
        <v>1</v>
      </c>
      <c r="J1128" t="s">
        <v>2279</v>
      </c>
      <c r="K1128" t="s">
        <v>2279</v>
      </c>
      <c r="L1128" t="s">
        <v>2279</v>
      </c>
      <c r="M1128" t="s">
        <v>2279</v>
      </c>
      <c r="N1128" t="s">
        <v>2279</v>
      </c>
      <c r="O1128" s="190" t="str">
        <f>"["&amp;$C1128&amp;"]["&amp;$D1128&amp;"]["&amp;$F1128&amp;"]"</f>
        <v>[S06_ApplicationInformationExchangeRequirements2][1][NumberImposedOnVerifiersWithdrawal]</v>
      </c>
    </row>
    <row r="1129" spans="1:15" x14ac:dyDescent="0.3">
      <c r="A1129" t="s">
        <v>2277</v>
      </c>
      <c r="B1129" t="s">
        <v>1961</v>
      </c>
      <c r="C1129" t="s">
        <v>1965</v>
      </c>
      <c r="D1129">
        <v>1</v>
      </c>
      <c r="E1129" t="s">
        <v>1447</v>
      </c>
      <c r="F1129" t="s">
        <v>1968</v>
      </c>
      <c r="G1129" t="s">
        <v>1748</v>
      </c>
      <c r="H1129" t="s">
        <v>2279</v>
      </c>
      <c r="I1129">
        <v>1</v>
      </c>
      <c r="J1129" t="s">
        <v>2279</v>
      </c>
      <c r="K1129" t="s">
        <v>2279</v>
      </c>
      <c r="L1129" t="s">
        <v>2279</v>
      </c>
      <c r="M1129" t="s">
        <v>2279</v>
      </c>
      <c r="N1129" t="s">
        <v>2279</v>
      </c>
      <c r="O1129" s="190" t="str">
        <f>"["&amp;$C1129&amp;"]["&amp;$D1129&amp;"]["&amp;$F1129&amp;"]"</f>
        <v>[S06_ApplicationInformationExchangeRequirements2][1][NumberImposedOnVerifiersReductionOfScope]</v>
      </c>
    </row>
    <row r="1130" spans="1:15" x14ac:dyDescent="0.3">
      <c r="A1130" t="s">
        <v>2277</v>
      </c>
      <c r="B1130" t="s">
        <v>1961</v>
      </c>
      <c r="C1130" t="s">
        <v>1969</v>
      </c>
      <c r="D1130">
        <v>0</v>
      </c>
      <c r="E1130" t="s">
        <v>1447</v>
      </c>
      <c r="F1130" t="s">
        <v>1970</v>
      </c>
      <c r="G1130" t="s">
        <v>1748</v>
      </c>
      <c r="H1130" t="s">
        <v>2279</v>
      </c>
      <c r="I1130">
        <v>1</v>
      </c>
      <c r="J1130" t="s">
        <v>2279</v>
      </c>
      <c r="K1130" t="s">
        <v>2279</v>
      </c>
      <c r="L1130" t="s">
        <v>2279</v>
      </c>
      <c r="M1130" t="s">
        <v>2279</v>
      </c>
      <c r="N1130" t="s">
        <v>2279</v>
      </c>
      <c r="O1130" s="190" t="str">
        <f>"["&amp;$C1130&amp;"]["&amp;$D1130&amp;"]["&amp;$F1130&amp;"]"</f>
        <v>[S06_ApplicationInformationExchangeRequirements3][0][TimesSurveillanceRequested]</v>
      </c>
    </row>
    <row r="1131" spans="1:15" x14ac:dyDescent="0.3">
      <c r="A1131" t="s">
        <v>2277</v>
      </c>
      <c r="B1131" t="s">
        <v>1961</v>
      </c>
      <c r="C1131" t="s">
        <v>1971</v>
      </c>
      <c r="D1131">
        <v>1</v>
      </c>
      <c r="E1131" t="s">
        <v>1447</v>
      </c>
      <c r="F1131" t="s">
        <v>1972</v>
      </c>
      <c r="G1131" t="s">
        <v>1748</v>
      </c>
      <c r="H1131" t="s">
        <v>2279</v>
      </c>
      <c r="I1131">
        <v>4</v>
      </c>
      <c r="J1131" t="s">
        <v>2279</v>
      </c>
      <c r="K1131" t="s">
        <v>2279</v>
      </c>
      <c r="L1131" t="s">
        <v>2279</v>
      </c>
      <c r="M1131" t="s">
        <v>2279</v>
      </c>
      <c r="N1131" t="s">
        <v>2279</v>
      </c>
      <c r="O1131" s="190" t="str">
        <f>"["&amp;$C1131&amp;"]["&amp;$D1131&amp;"]["&amp;$F1131&amp;"]"</f>
        <v>[S06_ApplicationInformationExchangeRequirements4][1][NumberOfIssues]</v>
      </c>
    </row>
    <row r="1132" spans="1:15" x14ac:dyDescent="0.3">
      <c r="A1132" t="s">
        <v>2277</v>
      </c>
      <c r="B1132" t="s">
        <v>1961</v>
      </c>
      <c r="C1132" t="s">
        <v>1971</v>
      </c>
      <c r="D1132">
        <v>1</v>
      </c>
      <c r="E1132" t="s">
        <v>1447</v>
      </c>
      <c r="F1132" t="s">
        <v>1973</v>
      </c>
      <c r="G1132" t="s">
        <v>1748</v>
      </c>
      <c r="H1132" t="s">
        <v>2279</v>
      </c>
      <c r="I1132">
        <v>3</v>
      </c>
      <c r="J1132" t="s">
        <v>2279</v>
      </c>
      <c r="K1132" t="s">
        <v>2279</v>
      </c>
      <c r="L1132" t="s">
        <v>2279</v>
      </c>
      <c r="M1132" t="s">
        <v>2279</v>
      </c>
      <c r="N1132" t="s">
        <v>2279</v>
      </c>
      <c r="O1132" s="190" t="str">
        <f>"["&amp;$C1132&amp;"]["&amp;$D1132&amp;"]["&amp;$F1132&amp;"]"</f>
        <v>[S06_ApplicationInformationExchangeRequirements4][1][NumberOfIssuesResolved]</v>
      </c>
    </row>
    <row r="1133" spans="1:15" x14ac:dyDescent="0.3">
      <c r="A1133" t="s">
        <v>2277</v>
      </c>
      <c r="B1133" t="s">
        <v>1961</v>
      </c>
      <c r="C1133" t="s">
        <v>1971</v>
      </c>
      <c r="D1133">
        <v>3</v>
      </c>
      <c r="E1133" t="s">
        <v>1447</v>
      </c>
      <c r="F1133" t="s">
        <v>1972</v>
      </c>
      <c r="G1133" t="s">
        <v>1748</v>
      </c>
      <c r="H1133" t="s">
        <v>2279</v>
      </c>
      <c r="I1133">
        <v>3</v>
      </c>
      <c r="J1133" t="s">
        <v>2279</v>
      </c>
      <c r="K1133" t="s">
        <v>2279</v>
      </c>
      <c r="L1133" t="s">
        <v>2279</v>
      </c>
      <c r="M1133" t="s">
        <v>2279</v>
      </c>
      <c r="N1133" t="s">
        <v>2279</v>
      </c>
      <c r="O1133" s="190" t="str">
        <f>"["&amp;$C1133&amp;"]["&amp;$D1133&amp;"]["&amp;$F1133&amp;"]"</f>
        <v>[S06_ApplicationInformationExchangeRequirements4][3][NumberOfIssues]</v>
      </c>
    </row>
    <row r="1134" spans="1:15" x14ac:dyDescent="0.3">
      <c r="A1134" t="s">
        <v>2277</v>
      </c>
      <c r="B1134" t="s">
        <v>1961</v>
      </c>
      <c r="C1134" t="s">
        <v>1971</v>
      </c>
      <c r="D1134">
        <v>3</v>
      </c>
      <c r="E1134" t="s">
        <v>1447</v>
      </c>
      <c r="F1134" t="s">
        <v>1973</v>
      </c>
      <c r="G1134" t="s">
        <v>1748</v>
      </c>
      <c r="H1134" t="s">
        <v>2279</v>
      </c>
      <c r="I1134">
        <v>3</v>
      </c>
      <c r="J1134" t="s">
        <v>2279</v>
      </c>
      <c r="K1134" t="s">
        <v>2279</v>
      </c>
      <c r="L1134" t="s">
        <v>2279</v>
      </c>
      <c r="M1134" t="s">
        <v>2279</v>
      </c>
      <c r="N1134" t="s">
        <v>2279</v>
      </c>
      <c r="O1134" s="190" t="str">
        <f>"["&amp;$C1134&amp;"]["&amp;$D1134&amp;"]["&amp;$F1134&amp;"]"</f>
        <v>[S06_ApplicationInformationExchangeRequirements4][3][NumberOfIssuesResolved]</v>
      </c>
    </row>
    <row r="1135" spans="1:15" x14ac:dyDescent="0.3">
      <c r="A1135" t="s">
        <v>2277</v>
      </c>
      <c r="B1135" t="s">
        <v>1975</v>
      </c>
      <c r="C1135" t="s">
        <v>1976</v>
      </c>
      <c r="D1135">
        <v>1</v>
      </c>
      <c r="E1135" t="s">
        <v>1447</v>
      </c>
      <c r="F1135" t="s">
        <v>1868</v>
      </c>
      <c r="G1135" t="s">
        <v>1741</v>
      </c>
      <c r="H1135" t="s">
        <v>2413</v>
      </c>
      <c r="I1135" t="s">
        <v>2279</v>
      </c>
      <c r="J1135" t="s">
        <v>2279</v>
      </c>
      <c r="K1135" t="s">
        <v>2279</v>
      </c>
      <c r="L1135" t="s">
        <v>2279</v>
      </c>
      <c r="M1135" t="s">
        <v>2279</v>
      </c>
      <c r="N1135" t="s">
        <v>2279</v>
      </c>
      <c r="O1135" s="190" t="str">
        <f>"["&amp;$C1135&amp;"]["&amp;$D1135&amp;"]["&amp;$F1135&amp;"]"</f>
        <v>[S06_InstallationsConservativeEstimates][1][InstallationID]</v>
      </c>
    </row>
    <row r="1136" spans="1:15" x14ac:dyDescent="0.3">
      <c r="A1136" t="s">
        <v>2277</v>
      </c>
      <c r="B1136" t="s">
        <v>1975</v>
      </c>
      <c r="C1136" t="s">
        <v>1976</v>
      </c>
      <c r="D1136">
        <v>2</v>
      </c>
      <c r="E1136" t="s">
        <v>1447</v>
      </c>
      <c r="F1136" t="s">
        <v>1868</v>
      </c>
      <c r="G1136" t="s">
        <v>1741</v>
      </c>
      <c r="H1136" t="s">
        <v>2414</v>
      </c>
      <c r="I1136" t="s">
        <v>2279</v>
      </c>
      <c r="J1136" t="s">
        <v>2279</v>
      </c>
      <c r="K1136" t="s">
        <v>2279</v>
      </c>
      <c r="L1136" t="s">
        <v>2279</v>
      </c>
      <c r="M1136" t="s">
        <v>2279</v>
      </c>
      <c r="N1136" t="s">
        <v>2279</v>
      </c>
      <c r="O1136" s="190" t="str">
        <f>"["&amp;$C1136&amp;"]["&amp;$D1136&amp;"]["&amp;$F1136&amp;"]"</f>
        <v>[S06_InstallationsConservativeEstimates][2][InstallationID]</v>
      </c>
    </row>
    <row r="1137" spans="1:15" x14ac:dyDescent="0.3">
      <c r="A1137" t="s">
        <v>2277</v>
      </c>
      <c r="B1137" t="s">
        <v>1975</v>
      </c>
      <c r="C1137" t="s">
        <v>1976</v>
      </c>
      <c r="D1137">
        <v>3</v>
      </c>
      <c r="E1137" t="s">
        <v>1447</v>
      </c>
      <c r="F1137" t="s">
        <v>1868</v>
      </c>
      <c r="G1137" t="s">
        <v>1741</v>
      </c>
      <c r="H1137" t="s">
        <v>2415</v>
      </c>
      <c r="I1137" t="s">
        <v>2279</v>
      </c>
      <c r="J1137" t="s">
        <v>2279</v>
      </c>
      <c r="K1137" t="s">
        <v>2279</v>
      </c>
      <c r="L1137" t="s">
        <v>2279</v>
      </c>
      <c r="M1137" t="s">
        <v>2279</v>
      </c>
      <c r="N1137" t="s">
        <v>2279</v>
      </c>
      <c r="O1137" s="190" t="str">
        <f>"["&amp;$C1137&amp;"]["&amp;$D1137&amp;"]["&amp;$F1137&amp;"]"</f>
        <v>[S06_InstallationsConservativeEstimates][3][InstallationID]</v>
      </c>
    </row>
    <row r="1138" spans="1:15" x14ac:dyDescent="0.3">
      <c r="A1138" t="s">
        <v>2277</v>
      </c>
      <c r="B1138" t="s">
        <v>1975</v>
      </c>
      <c r="C1138" t="s">
        <v>1976</v>
      </c>
      <c r="D1138">
        <v>4</v>
      </c>
      <c r="E1138" t="s">
        <v>1447</v>
      </c>
      <c r="F1138" t="s">
        <v>1868</v>
      </c>
      <c r="G1138" t="s">
        <v>1741</v>
      </c>
      <c r="H1138" t="s">
        <v>2416</v>
      </c>
      <c r="I1138" t="s">
        <v>2279</v>
      </c>
      <c r="J1138" t="s">
        <v>2279</v>
      </c>
      <c r="K1138" t="s">
        <v>2279</v>
      </c>
      <c r="L1138" t="s">
        <v>2279</v>
      </c>
      <c r="M1138" t="s">
        <v>2279</v>
      </c>
      <c r="N1138" t="s">
        <v>2279</v>
      </c>
      <c r="O1138" s="190" t="str">
        <f>"["&amp;$C1138&amp;"]["&amp;$D1138&amp;"]["&amp;$F1138&amp;"]"</f>
        <v>[S06_InstallationsConservativeEstimates][4][InstallationID]</v>
      </c>
    </row>
    <row r="1139" spans="1:15" x14ac:dyDescent="0.3">
      <c r="A1139" t="s">
        <v>2277</v>
      </c>
      <c r="B1139" t="s">
        <v>1975</v>
      </c>
      <c r="C1139" t="s">
        <v>1976</v>
      </c>
      <c r="D1139">
        <v>5</v>
      </c>
      <c r="E1139" t="s">
        <v>1447</v>
      </c>
      <c r="F1139" t="s">
        <v>1868</v>
      </c>
      <c r="G1139" t="s">
        <v>1741</v>
      </c>
      <c r="H1139" t="s">
        <v>2417</v>
      </c>
      <c r="I1139" t="s">
        <v>2279</v>
      </c>
      <c r="J1139" t="s">
        <v>2279</v>
      </c>
      <c r="K1139" t="s">
        <v>2279</v>
      </c>
      <c r="L1139" t="s">
        <v>2279</v>
      </c>
      <c r="M1139" t="s">
        <v>2279</v>
      </c>
      <c r="N1139" t="s">
        <v>2279</v>
      </c>
      <c r="O1139" s="190" t="str">
        <f>"["&amp;$C1139&amp;"]["&amp;$D1139&amp;"]["&amp;$F1139&amp;"]"</f>
        <v>[S06_InstallationsConservativeEstimates][5][InstallationID]</v>
      </c>
    </row>
    <row r="1140" spans="1:15" x14ac:dyDescent="0.3">
      <c r="A1140" t="s">
        <v>2277</v>
      </c>
      <c r="B1140" t="s">
        <v>1975</v>
      </c>
      <c r="C1140" t="s">
        <v>1976</v>
      </c>
      <c r="D1140">
        <v>6</v>
      </c>
      <c r="E1140" t="s">
        <v>1447</v>
      </c>
      <c r="F1140" t="s">
        <v>1868</v>
      </c>
      <c r="G1140" t="s">
        <v>1741</v>
      </c>
      <c r="H1140" t="s">
        <v>2418</v>
      </c>
      <c r="I1140" t="s">
        <v>2279</v>
      </c>
      <c r="J1140" t="s">
        <v>2279</v>
      </c>
      <c r="K1140" t="s">
        <v>2279</v>
      </c>
      <c r="L1140" t="s">
        <v>2279</v>
      </c>
      <c r="M1140" t="s">
        <v>2279</v>
      </c>
      <c r="N1140" t="s">
        <v>2279</v>
      </c>
      <c r="O1140" s="190" t="str">
        <f>"["&amp;$C1140&amp;"]["&amp;$D1140&amp;"]["&amp;$F1140&amp;"]"</f>
        <v>[S06_InstallationsConservativeEstimates][6][InstallationID]</v>
      </c>
    </row>
    <row r="1141" spans="1:15" x14ac:dyDescent="0.3">
      <c r="A1141" t="s">
        <v>2277</v>
      </c>
      <c r="B1141" t="s">
        <v>1975</v>
      </c>
      <c r="C1141" t="s">
        <v>1976</v>
      </c>
      <c r="D1141">
        <v>7</v>
      </c>
      <c r="E1141" t="s">
        <v>1447</v>
      </c>
      <c r="F1141" t="s">
        <v>1868</v>
      </c>
      <c r="G1141" t="s">
        <v>1741</v>
      </c>
      <c r="H1141" t="s">
        <v>2419</v>
      </c>
      <c r="I1141" t="s">
        <v>2279</v>
      </c>
      <c r="J1141" t="s">
        <v>2279</v>
      </c>
      <c r="K1141" t="s">
        <v>2279</v>
      </c>
      <c r="L1141" t="s">
        <v>2279</v>
      </c>
      <c r="M1141" t="s">
        <v>2279</v>
      </c>
      <c r="N1141" t="s">
        <v>2279</v>
      </c>
      <c r="O1141" s="190" t="str">
        <f>"["&amp;$C1141&amp;"]["&amp;$D1141&amp;"]["&amp;$F1141&amp;"]"</f>
        <v>[S06_InstallationsConservativeEstimates][7][InstallationID]</v>
      </c>
    </row>
    <row r="1142" spans="1:15" x14ac:dyDescent="0.3">
      <c r="A1142" t="s">
        <v>2277</v>
      </c>
      <c r="B1142" t="s">
        <v>1975</v>
      </c>
      <c r="C1142" t="s">
        <v>1976</v>
      </c>
      <c r="D1142">
        <v>8</v>
      </c>
      <c r="E1142" t="s">
        <v>1447</v>
      </c>
      <c r="F1142" t="s">
        <v>1868</v>
      </c>
      <c r="G1142" t="s">
        <v>1741</v>
      </c>
      <c r="H1142" t="s">
        <v>2420</v>
      </c>
      <c r="I1142" t="s">
        <v>2279</v>
      </c>
      <c r="J1142" t="s">
        <v>2279</v>
      </c>
      <c r="K1142" t="s">
        <v>2279</v>
      </c>
      <c r="L1142" t="s">
        <v>2279</v>
      </c>
      <c r="M1142" t="s">
        <v>2279</v>
      </c>
      <c r="N1142" t="s">
        <v>2279</v>
      </c>
      <c r="O1142" s="190" t="str">
        <f>"["&amp;$C1142&amp;"]["&amp;$D1142&amp;"]["&amp;$F1142&amp;"]"</f>
        <v>[S06_InstallationsConservativeEstimates][8][InstallationID]</v>
      </c>
    </row>
    <row r="1143" spans="1:15" x14ac:dyDescent="0.3">
      <c r="A1143" t="s">
        <v>2277</v>
      </c>
      <c r="B1143" t="s">
        <v>1975</v>
      </c>
      <c r="C1143" t="s">
        <v>1976</v>
      </c>
      <c r="D1143">
        <v>9</v>
      </c>
      <c r="E1143" t="s">
        <v>1447</v>
      </c>
      <c r="F1143" t="s">
        <v>1868</v>
      </c>
      <c r="G1143" t="s">
        <v>1741</v>
      </c>
      <c r="H1143" t="s">
        <v>2421</v>
      </c>
      <c r="I1143" t="s">
        <v>2279</v>
      </c>
      <c r="J1143" t="s">
        <v>2279</v>
      </c>
      <c r="K1143" t="s">
        <v>2279</v>
      </c>
      <c r="L1143" t="s">
        <v>2279</v>
      </c>
      <c r="M1143" t="s">
        <v>2279</v>
      </c>
      <c r="N1143" t="s">
        <v>2279</v>
      </c>
      <c r="O1143" s="190" t="str">
        <f>"["&amp;$C1143&amp;"]["&amp;$D1143&amp;"]["&amp;$F1143&amp;"]"</f>
        <v>[S06_InstallationsConservativeEstimates][9][InstallationID]</v>
      </c>
    </row>
    <row r="1144" spans="1:15" x14ac:dyDescent="0.3">
      <c r="A1144" t="s">
        <v>2277</v>
      </c>
      <c r="B1144" t="s">
        <v>1975</v>
      </c>
      <c r="C1144" t="s">
        <v>1976</v>
      </c>
      <c r="D1144">
        <v>10</v>
      </c>
      <c r="E1144" t="s">
        <v>1447</v>
      </c>
      <c r="F1144" t="s">
        <v>1868</v>
      </c>
      <c r="G1144" t="s">
        <v>1741</v>
      </c>
      <c r="H1144" t="s">
        <v>2422</v>
      </c>
      <c r="I1144" t="s">
        <v>2279</v>
      </c>
      <c r="J1144" t="s">
        <v>2279</v>
      </c>
      <c r="K1144" t="s">
        <v>2279</v>
      </c>
      <c r="L1144" t="s">
        <v>2279</v>
      </c>
      <c r="M1144" t="s">
        <v>2279</v>
      </c>
      <c r="N1144" t="s">
        <v>2279</v>
      </c>
      <c r="O1144" s="190" t="str">
        <f>"["&amp;$C1144&amp;"]["&amp;$D1144&amp;"]["&amp;$F1144&amp;"]"</f>
        <v>[S06_InstallationsConservativeEstimates][10][InstallationID]</v>
      </c>
    </row>
    <row r="1145" spans="1:15" x14ac:dyDescent="0.3">
      <c r="A1145" t="s">
        <v>2277</v>
      </c>
      <c r="B1145" t="s">
        <v>1975</v>
      </c>
      <c r="C1145" t="s">
        <v>1976</v>
      </c>
      <c r="D1145">
        <v>1</v>
      </c>
      <c r="E1145" t="s">
        <v>1447</v>
      </c>
      <c r="F1145" t="s">
        <v>1977</v>
      </c>
      <c r="G1145" t="s">
        <v>1806</v>
      </c>
      <c r="H1145" t="s">
        <v>2279</v>
      </c>
      <c r="I1145" t="s">
        <v>2279</v>
      </c>
      <c r="J1145">
        <v>8073</v>
      </c>
      <c r="K1145" t="s">
        <v>2279</v>
      </c>
      <c r="L1145" t="s">
        <v>2279</v>
      </c>
      <c r="M1145" t="s">
        <v>2279</v>
      </c>
      <c r="N1145" t="s">
        <v>2279</v>
      </c>
      <c r="O1145" s="190" t="str">
        <f>"["&amp;$C1145&amp;"]["&amp;$D1145&amp;"]["&amp;$F1145&amp;"]"</f>
        <v>[S06_InstallationsConservativeEstimates][1][InstallationAnnualEmissionstCO2e]</v>
      </c>
    </row>
    <row r="1146" spans="1:15" x14ac:dyDescent="0.3">
      <c r="A1146" t="s">
        <v>2277</v>
      </c>
      <c r="B1146" t="s">
        <v>1975</v>
      </c>
      <c r="C1146" t="s">
        <v>1976</v>
      </c>
      <c r="D1146">
        <v>2</v>
      </c>
      <c r="E1146" t="s">
        <v>1447</v>
      </c>
      <c r="F1146" t="s">
        <v>1977</v>
      </c>
      <c r="G1146" t="s">
        <v>1806</v>
      </c>
      <c r="H1146" t="s">
        <v>2279</v>
      </c>
      <c r="I1146" t="s">
        <v>2279</v>
      </c>
      <c r="J1146">
        <v>597</v>
      </c>
      <c r="K1146" t="s">
        <v>2279</v>
      </c>
      <c r="L1146" t="s">
        <v>2279</v>
      </c>
      <c r="M1146" t="s">
        <v>2279</v>
      </c>
      <c r="N1146" t="s">
        <v>2279</v>
      </c>
      <c r="O1146" s="190" t="str">
        <f>"["&amp;$C1146&amp;"]["&amp;$D1146&amp;"]["&amp;$F1146&amp;"]"</f>
        <v>[S06_InstallationsConservativeEstimates][2][InstallationAnnualEmissionstCO2e]</v>
      </c>
    </row>
    <row r="1147" spans="1:15" x14ac:dyDescent="0.3">
      <c r="A1147" t="s">
        <v>2277</v>
      </c>
      <c r="B1147" t="s">
        <v>1975</v>
      </c>
      <c r="C1147" t="s">
        <v>1976</v>
      </c>
      <c r="D1147">
        <v>3</v>
      </c>
      <c r="E1147" t="s">
        <v>1447</v>
      </c>
      <c r="F1147" t="s">
        <v>1977</v>
      </c>
      <c r="G1147" t="s">
        <v>1806</v>
      </c>
      <c r="H1147" t="s">
        <v>2279</v>
      </c>
      <c r="I1147" t="s">
        <v>2279</v>
      </c>
      <c r="J1147">
        <v>35</v>
      </c>
      <c r="K1147" t="s">
        <v>2279</v>
      </c>
      <c r="L1147" t="s">
        <v>2279</v>
      </c>
      <c r="M1147" t="s">
        <v>2279</v>
      </c>
      <c r="N1147" t="s">
        <v>2279</v>
      </c>
      <c r="O1147" s="190" t="str">
        <f>"["&amp;$C1147&amp;"]["&amp;$D1147&amp;"]["&amp;$F1147&amp;"]"</f>
        <v>[S06_InstallationsConservativeEstimates][3][InstallationAnnualEmissionstCO2e]</v>
      </c>
    </row>
    <row r="1148" spans="1:15" x14ac:dyDescent="0.3">
      <c r="A1148" t="s">
        <v>2277</v>
      </c>
      <c r="B1148" t="s">
        <v>1975</v>
      </c>
      <c r="C1148" t="s">
        <v>1976</v>
      </c>
      <c r="D1148">
        <v>4</v>
      </c>
      <c r="E1148" t="s">
        <v>1447</v>
      </c>
      <c r="F1148" t="s">
        <v>1977</v>
      </c>
      <c r="G1148" t="s">
        <v>1806</v>
      </c>
      <c r="H1148" t="s">
        <v>2279</v>
      </c>
      <c r="I1148" t="s">
        <v>2279</v>
      </c>
      <c r="J1148">
        <v>750</v>
      </c>
      <c r="K1148" t="s">
        <v>2279</v>
      </c>
      <c r="L1148" t="s">
        <v>2279</v>
      </c>
      <c r="M1148" t="s">
        <v>2279</v>
      </c>
      <c r="N1148" t="s">
        <v>2279</v>
      </c>
      <c r="O1148" s="190" t="str">
        <f>"["&amp;$C1148&amp;"]["&amp;$D1148&amp;"]["&amp;$F1148&amp;"]"</f>
        <v>[S06_InstallationsConservativeEstimates][4][InstallationAnnualEmissionstCO2e]</v>
      </c>
    </row>
    <row r="1149" spans="1:15" x14ac:dyDescent="0.3">
      <c r="A1149" t="s">
        <v>2277</v>
      </c>
      <c r="B1149" t="s">
        <v>1975</v>
      </c>
      <c r="C1149" t="s">
        <v>1976</v>
      </c>
      <c r="D1149">
        <v>5</v>
      </c>
      <c r="E1149" t="s">
        <v>1447</v>
      </c>
      <c r="F1149" t="s">
        <v>1977</v>
      </c>
      <c r="G1149" t="s">
        <v>1806</v>
      </c>
      <c r="H1149" t="s">
        <v>2279</v>
      </c>
      <c r="I1149" t="s">
        <v>2279</v>
      </c>
      <c r="J1149">
        <v>1128</v>
      </c>
      <c r="K1149" t="s">
        <v>2279</v>
      </c>
      <c r="L1149" t="s">
        <v>2279</v>
      </c>
      <c r="M1149" t="s">
        <v>2279</v>
      </c>
      <c r="N1149" t="s">
        <v>2279</v>
      </c>
      <c r="O1149" s="190" t="str">
        <f>"["&amp;$C1149&amp;"]["&amp;$D1149&amp;"]["&amp;$F1149&amp;"]"</f>
        <v>[S06_InstallationsConservativeEstimates][5][InstallationAnnualEmissionstCO2e]</v>
      </c>
    </row>
    <row r="1150" spans="1:15" x14ac:dyDescent="0.3">
      <c r="A1150" t="s">
        <v>2277</v>
      </c>
      <c r="B1150" t="s">
        <v>1975</v>
      </c>
      <c r="C1150" t="s">
        <v>1976</v>
      </c>
      <c r="D1150">
        <v>6</v>
      </c>
      <c r="E1150" t="s">
        <v>1447</v>
      </c>
      <c r="F1150" t="s">
        <v>1977</v>
      </c>
      <c r="G1150" t="s">
        <v>1806</v>
      </c>
      <c r="H1150" t="s">
        <v>2279</v>
      </c>
      <c r="I1150" t="s">
        <v>2279</v>
      </c>
      <c r="J1150">
        <v>88010</v>
      </c>
      <c r="K1150" t="s">
        <v>2279</v>
      </c>
      <c r="L1150" t="s">
        <v>2279</v>
      </c>
      <c r="M1150" t="s">
        <v>2279</v>
      </c>
      <c r="N1150" t="s">
        <v>2279</v>
      </c>
      <c r="O1150" s="190" t="str">
        <f>"["&amp;$C1150&amp;"]["&amp;$D1150&amp;"]["&amp;$F1150&amp;"]"</f>
        <v>[S06_InstallationsConservativeEstimates][6][InstallationAnnualEmissionstCO2e]</v>
      </c>
    </row>
    <row r="1151" spans="1:15" x14ac:dyDescent="0.3">
      <c r="A1151" t="s">
        <v>2277</v>
      </c>
      <c r="B1151" t="s">
        <v>1975</v>
      </c>
      <c r="C1151" t="s">
        <v>1976</v>
      </c>
      <c r="D1151">
        <v>7</v>
      </c>
      <c r="E1151" t="s">
        <v>1447</v>
      </c>
      <c r="F1151" t="s">
        <v>1977</v>
      </c>
      <c r="G1151" t="s">
        <v>1806</v>
      </c>
      <c r="H1151" t="s">
        <v>2279</v>
      </c>
      <c r="I1151" t="s">
        <v>2279</v>
      </c>
      <c r="J1151">
        <v>527702</v>
      </c>
      <c r="K1151" t="s">
        <v>2279</v>
      </c>
      <c r="L1151" t="s">
        <v>2279</v>
      </c>
      <c r="M1151" t="s">
        <v>2279</v>
      </c>
      <c r="N1151" t="s">
        <v>2279</v>
      </c>
      <c r="O1151" s="190" t="str">
        <f>"["&amp;$C1151&amp;"]["&amp;$D1151&amp;"]["&amp;$F1151&amp;"]"</f>
        <v>[S06_InstallationsConservativeEstimates][7][InstallationAnnualEmissionstCO2e]</v>
      </c>
    </row>
    <row r="1152" spans="1:15" x14ac:dyDescent="0.3">
      <c r="A1152" t="s">
        <v>2277</v>
      </c>
      <c r="B1152" t="s">
        <v>1975</v>
      </c>
      <c r="C1152" t="s">
        <v>1976</v>
      </c>
      <c r="D1152">
        <v>1</v>
      </c>
      <c r="E1152" t="s">
        <v>1447</v>
      </c>
      <c r="F1152" t="s">
        <v>1978</v>
      </c>
      <c r="G1152" t="s">
        <v>1737</v>
      </c>
      <c r="H1152" t="s">
        <v>2279</v>
      </c>
      <c r="I1152" t="s">
        <v>2279</v>
      </c>
      <c r="J1152" t="s">
        <v>2279</v>
      </c>
      <c r="K1152" t="s">
        <v>2279</v>
      </c>
      <c r="L1152" t="s">
        <v>1040</v>
      </c>
      <c r="M1152" t="s">
        <v>2279</v>
      </c>
      <c r="N1152" t="s">
        <v>2279</v>
      </c>
      <c r="O1152" s="190" t="str">
        <f>"["&amp;$C1152&amp;"]["&amp;$D1152&amp;"]["&amp;$F1152&amp;"]"</f>
        <v>[S06_InstallationsConservativeEstimates][1][ReasonConservativeEstimate]</v>
      </c>
    </row>
    <row r="1153" spans="1:15" x14ac:dyDescent="0.3">
      <c r="A1153" t="s">
        <v>2277</v>
      </c>
      <c r="B1153" t="s">
        <v>1975</v>
      </c>
      <c r="C1153" t="s">
        <v>1976</v>
      </c>
      <c r="D1153">
        <v>2</v>
      </c>
      <c r="E1153" t="s">
        <v>1447</v>
      </c>
      <c r="F1153" t="s">
        <v>1978</v>
      </c>
      <c r="G1153" t="s">
        <v>1737</v>
      </c>
      <c r="H1153" t="s">
        <v>2279</v>
      </c>
      <c r="I1153" t="s">
        <v>2279</v>
      </c>
      <c r="J1153" t="s">
        <v>2279</v>
      </c>
      <c r="K1153" t="s">
        <v>2279</v>
      </c>
      <c r="L1153" t="s">
        <v>1437</v>
      </c>
      <c r="M1153" t="s">
        <v>2279</v>
      </c>
      <c r="N1153" t="s">
        <v>2279</v>
      </c>
      <c r="O1153" s="190" t="str">
        <f>"["&amp;$C1153&amp;"]["&amp;$D1153&amp;"]["&amp;$F1153&amp;"]"</f>
        <v>[S06_InstallationsConservativeEstimates][2][ReasonConservativeEstimate]</v>
      </c>
    </row>
    <row r="1154" spans="1:15" x14ac:dyDescent="0.3">
      <c r="A1154" t="s">
        <v>2277</v>
      </c>
      <c r="B1154" t="s">
        <v>1975</v>
      </c>
      <c r="C1154" t="s">
        <v>1976</v>
      </c>
      <c r="D1154">
        <v>3</v>
      </c>
      <c r="E1154" t="s">
        <v>1447</v>
      </c>
      <c r="F1154" t="s">
        <v>1978</v>
      </c>
      <c r="G1154" t="s">
        <v>1737</v>
      </c>
      <c r="H1154" t="s">
        <v>2279</v>
      </c>
      <c r="I1154" t="s">
        <v>2279</v>
      </c>
      <c r="J1154" t="s">
        <v>2279</v>
      </c>
      <c r="K1154" t="s">
        <v>2279</v>
      </c>
      <c r="L1154" t="s">
        <v>1536</v>
      </c>
      <c r="M1154" t="s">
        <v>2279</v>
      </c>
      <c r="N1154" t="s">
        <v>2279</v>
      </c>
      <c r="O1154" s="190" t="str">
        <f>"["&amp;$C1154&amp;"]["&amp;$D1154&amp;"]["&amp;$F1154&amp;"]"</f>
        <v>[S06_InstallationsConservativeEstimates][3][ReasonConservativeEstimate]</v>
      </c>
    </row>
    <row r="1155" spans="1:15" x14ac:dyDescent="0.3">
      <c r="A1155" t="s">
        <v>2277</v>
      </c>
      <c r="B1155" t="s">
        <v>1975</v>
      </c>
      <c r="C1155" t="s">
        <v>1976</v>
      </c>
      <c r="D1155">
        <v>4</v>
      </c>
      <c r="E1155" t="s">
        <v>1447</v>
      </c>
      <c r="F1155" t="s">
        <v>1978</v>
      </c>
      <c r="G1155" t="s">
        <v>1737</v>
      </c>
      <c r="H1155" t="s">
        <v>2279</v>
      </c>
      <c r="I1155" t="s">
        <v>2279</v>
      </c>
      <c r="J1155" t="s">
        <v>2279</v>
      </c>
      <c r="K1155" t="s">
        <v>2279</v>
      </c>
      <c r="L1155" t="s">
        <v>1437</v>
      </c>
      <c r="M1155" t="s">
        <v>2279</v>
      </c>
      <c r="N1155" t="s">
        <v>2279</v>
      </c>
      <c r="O1155" s="190" t="str">
        <f>"["&amp;$C1155&amp;"]["&amp;$D1155&amp;"]["&amp;$F1155&amp;"]"</f>
        <v>[S06_InstallationsConservativeEstimates][4][ReasonConservativeEstimate]</v>
      </c>
    </row>
    <row r="1156" spans="1:15" x14ac:dyDescent="0.3">
      <c r="A1156" t="s">
        <v>2277</v>
      </c>
      <c r="B1156" t="s">
        <v>1975</v>
      </c>
      <c r="C1156" t="s">
        <v>1976</v>
      </c>
      <c r="D1156">
        <v>5</v>
      </c>
      <c r="E1156" t="s">
        <v>1447</v>
      </c>
      <c r="F1156" t="s">
        <v>1978</v>
      </c>
      <c r="G1156" t="s">
        <v>1737</v>
      </c>
      <c r="H1156" t="s">
        <v>2279</v>
      </c>
      <c r="I1156" t="s">
        <v>2279</v>
      </c>
      <c r="J1156" t="s">
        <v>2279</v>
      </c>
      <c r="K1156" t="s">
        <v>2279</v>
      </c>
      <c r="L1156" t="s">
        <v>1040</v>
      </c>
      <c r="M1156" t="s">
        <v>2279</v>
      </c>
      <c r="N1156" t="s">
        <v>2279</v>
      </c>
      <c r="O1156" s="190" t="str">
        <f>"["&amp;$C1156&amp;"]["&amp;$D1156&amp;"]["&amp;$F1156&amp;"]"</f>
        <v>[S06_InstallationsConservativeEstimates][5][ReasonConservativeEstimate]</v>
      </c>
    </row>
    <row r="1157" spans="1:15" x14ac:dyDescent="0.3">
      <c r="A1157" t="s">
        <v>2277</v>
      </c>
      <c r="B1157" t="s">
        <v>1975</v>
      </c>
      <c r="C1157" t="s">
        <v>1976</v>
      </c>
      <c r="D1157">
        <v>6</v>
      </c>
      <c r="E1157" t="s">
        <v>1447</v>
      </c>
      <c r="F1157" t="s">
        <v>1978</v>
      </c>
      <c r="G1157" t="s">
        <v>1737</v>
      </c>
      <c r="H1157" t="s">
        <v>2279</v>
      </c>
      <c r="I1157" t="s">
        <v>2279</v>
      </c>
      <c r="J1157" t="s">
        <v>2279</v>
      </c>
      <c r="K1157" t="s">
        <v>2279</v>
      </c>
      <c r="L1157" t="s">
        <v>1524</v>
      </c>
      <c r="M1157" t="s">
        <v>2279</v>
      </c>
      <c r="N1157" t="s">
        <v>2279</v>
      </c>
      <c r="O1157" s="190" t="str">
        <f>"["&amp;$C1157&amp;"]["&amp;$D1157&amp;"]["&amp;$F1157&amp;"]"</f>
        <v>[S06_InstallationsConservativeEstimates][6][ReasonConservativeEstimate]</v>
      </c>
    </row>
    <row r="1158" spans="1:15" x14ac:dyDescent="0.3">
      <c r="A1158" t="s">
        <v>2277</v>
      </c>
      <c r="B1158" t="s">
        <v>1975</v>
      </c>
      <c r="C1158" t="s">
        <v>1976</v>
      </c>
      <c r="D1158">
        <v>7</v>
      </c>
      <c r="E1158" t="s">
        <v>1447</v>
      </c>
      <c r="F1158" t="s">
        <v>1978</v>
      </c>
      <c r="G1158" t="s">
        <v>1737</v>
      </c>
      <c r="H1158" t="s">
        <v>2279</v>
      </c>
      <c r="I1158" t="s">
        <v>2279</v>
      </c>
      <c r="J1158" t="s">
        <v>2279</v>
      </c>
      <c r="K1158" t="s">
        <v>2279</v>
      </c>
      <c r="L1158" t="s">
        <v>1524</v>
      </c>
      <c r="M1158" t="s">
        <v>2279</v>
      </c>
      <c r="N1158" t="s">
        <v>2279</v>
      </c>
      <c r="O1158" s="190" t="str">
        <f>"["&amp;$C1158&amp;"]["&amp;$D1158&amp;"]["&amp;$F1158&amp;"]"</f>
        <v>[S06_InstallationsConservativeEstimates][7][ReasonConservativeEstimate]</v>
      </c>
    </row>
    <row r="1159" spans="1:15" x14ac:dyDescent="0.3">
      <c r="A1159" t="s">
        <v>2277</v>
      </c>
      <c r="B1159" t="s">
        <v>1975</v>
      </c>
      <c r="C1159" t="s">
        <v>1976</v>
      </c>
      <c r="D1159">
        <v>8</v>
      </c>
      <c r="E1159" t="s">
        <v>1447</v>
      </c>
      <c r="F1159" t="s">
        <v>1978</v>
      </c>
      <c r="G1159" t="s">
        <v>1737</v>
      </c>
      <c r="H1159" t="s">
        <v>2279</v>
      </c>
      <c r="I1159" t="s">
        <v>2279</v>
      </c>
      <c r="J1159" t="s">
        <v>2279</v>
      </c>
      <c r="K1159" t="s">
        <v>2279</v>
      </c>
      <c r="L1159" t="s">
        <v>1524</v>
      </c>
      <c r="M1159" t="s">
        <v>2279</v>
      </c>
      <c r="N1159" t="s">
        <v>2279</v>
      </c>
      <c r="O1159" s="190" t="str">
        <f>"["&amp;$C1159&amp;"]["&amp;$D1159&amp;"]["&amp;$F1159&amp;"]"</f>
        <v>[S06_InstallationsConservativeEstimates][8][ReasonConservativeEstimate]</v>
      </c>
    </row>
    <row r="1160" spans="1:15" x14ac:dyDescent="0.3">
      <c r="A1160" t="s">
        <v>2277</v>
      </c>
      <c r="B1160" t="s">
        <v>1975</v>
      </c>
      <c r="C1160" t="s">
        <v>1976</v>
      </c>
      <c r="D1160">
        <v>9</v>
      </c>
      <c r="E1160" t="s">
        <v>1447</v>
      </c>
      <c r="F1160" t="s">
        <v>1978</v>
      </c>
      <c r="G1160" t="s">
        <v>1737</v>
      </c>
      <c r="H1160" t="s">
        <v>2279</v>
      </c>
      <c r="I1160" t="s">
        <v>2279</v>
      </c>
      <c r="J1160" t="s">
        <v>2279</v>
      </c>
      <c r="K1160" t="s">
        <v>2279</v>
      </c>
      <c r="L1160" t="s">
        <v>1437</v>
      </c>
      <c r="M1160" t="s">
        <v>2279</v>
      </c>
      <c r="N1160" t="s">
        <v>2279</v>
      </c>
      <c r="O1160" s="190" t="str">
        <f>"["&amp;$C1160&amp;"]["&amp;$D1160&amp;"]["&amp;$F1160&amp;"]"</f>
        <v>[S06_InstallationsConservativeEstimates][9][ReasonConservativeEstimate]</v>
      </c>
    </row>
    <row r="1161" spans="1:15" x14ac:dyDescent="0.3">
      <c r="A1161" t="s">
        <v>2277</v>
      </c>
      <c r="B1161" t="s">
        <v>1975</v>
      </c>
      <c r="C1161" t="s">
        <v>1976</v>
      </c>
      <c r="D1161">
        <v>10</v>
      </c>
      <c r="E1161" t="s">
        <v>1447</v>
      </c>
      <c r="F1161" t="s">
        <v>1978</v>
      </c>
      <c r="G1161" t="s">
        <v>1737</v>
      </c>
      <c r="H1161" t="s">
        <v>2279</v>
      </c>
      <c r="I1161" t="s">
        <v>2279</v>
      </c>
      <c r="J1161" t="s">
        <v>2279</v>
      </c>
      <c r="K1161" t="s">
        <v>2279</v>
      </c>
      <c r="L1161" t="s">
        <v>1437</v>
      </c>
      <c r="M1161" t="s">
        <v>2279</v>
      </c>
      <c r="N1161" t="s">
        <v>2279</v>
      </c>
      <c r="O1161" s="190" t="str">
        <f>"["&amp;$C1161&amp;"]["&amp;$D1161&amp;"]["&amp;$F1161&amp;"]"</f>
        <v>[S06_InstallationsConservativeEstimates][10][ReasonConservativeEstimate]</v>
      </c>
    </row>
    <row r="1162" spans="1:15" x14ac:dyDescent="0.3">
      <c r="A1162" t="s">
        <v>2277</v>
      </c>
      <c r="B1162" t="s">
        <v>1975</v>
      </c>
      <c r="C1162" t="s">
        <v>1976</v>
      </c>
      <c r="D1162">
        <v>1</v>
      </c>
      <c r="E1162" t="s">
        <v>1447</v>
      </c>
      <c r="F1162" t="s">
        <v>1979</v>
      </c>
      <c r="G1162" t="s">
        <v>1806</v>
      </c>
      <c r="H1162" t="s">
        <v>2279</v>
      </c>
      <c r="I1162" t="s">
        <v>2279</v>
      </c>
      <c r="J1162">
        <v>1</v>
      </c>
      <c r="K1162" t="s">
        <v>2279</v>
      </c>
      <c r="L1162" t="s">
        <v>2279</v>
      </c>
      <c r="M1162" t="s">
        <v>2279</v>
      </c>
      <c r="N1162" t="s">
        <v>2279</v>
      </c>
      <c r="O1162" s="190" t="str">
        <f>"["&amp;$C1162&amp;"]["&amp;$D1162&amp;"]["&amp;$F1162&amp;"]"</f>
        <v>[S06_InstallationsConservativeEstimates][1][InstallationConservativeShare]</v>
      </c>
    </row>
    <row r="1163" spans="1:15" x14ac:dyDescent="0.3">
      <c r="A1163" t="s">
        <v>2277</v>
      </c>
      <c r="B1163" t="s">
        <v>1975</v>
      </c>
      <c r="C1163" t="s">
        <v>1976</v>
      </c>
      <c r="D1163">
        <v>2</v>
      </c>
      <c r="E1163" t="s">
        <v>1447</v>
      </c>
      <c r="F1163" t="s">
        <v>1979</v>
      </c>
      <c r="G1163" t="s">
        <v>1806</v>
      </c>
      <c r="H1163" t="s">
        <v>2279</v>
      </c>
      <c r="I1163" t="s">
        <v>2279</v>
      </c>
      <c r="J1163">
        <v>1</v>
      </c>
      <c r="K1163" t="s">
        <v>2279</v>
      </c>
      <c r="L1163" t="s">
        <v>2279</v>
      </c>
      <c r="M1163" t="s">
        <v>2279</v>
      </c>
      <c r="N1163" t="s">
        <v>2279</v>
      </c>
      <c r="O1163" s="190" t="str">
        <f>"["&amp;$C1163&amp;"]["&amp;$D1163&amp;"]["&amp;$F1163&amp;"]"</f>
        <v>[S06_InstallationsConservativeEstimates][2][InstallationConservativeShare]</v>
      </c>
    </row>
    <row r="1164" spans="1:15" x14ac:dyDescent="0.3">
      <c r="A1164" t="s">
        <v>2277</v>
      </c>
      <c r="B1164" t="s">
        <v>1975</v>
      </c>
      <c r="C1164" t="s">
        <v>1976</v>
      </c>
      <c r="D1164">
        <v>3</v>
      </c>
      <c r="E1164" t="s">
        <v>1447</v>
      </c>
      <c r="F1164" t="s">
        <v>1979</v>
      </c>
      <c r="G1164" t="s">
        <v>1806</v>
      </c>
      <c r="H1164" t="s">
        <v>2279</v>
      </c>
      <c r="I1164" t="s">
        <v>2279</v>
      </c>
      <c r="J1164">
        <v>1</v>
      </c>
      <c r="K1164" t="s">
        <v>2279</v>
      </c>
      <c r="L1164" t="s">
        <v>2279</v>
      </c>
      <c r="M1164" t="s">
        <v>2279</v>
      </c>
      <c r="N1164" t="s">
        <v>2279</v>
      </c>
      <c r="O1164" s="190" t="str">
        <f>"["&amp;$C1164&amp;"]["&amp;$D1164&amp;"]["&amp;$F1164&amp;"]"</f>
        <v>[S06_InstallationsConservativeEstimates][3][InstallationConservativeShare]</v>
      </c>
    </row>
    <row r="1165" spans="1:15" x14ac:dyDescent="0.3">
      <c r="A1165" t="s">
        <v>2277</v>
      </c>
      <c r="B1165" t="s">
        <v>1975</v>
      </c>
      <c r="C1165" t="s">
        <v>1976</v>
      </c>
      <c r="D1165">
        <v>4</v>
      </c>
      <c r="E1165" t="s">
        <v>1447</v>
      </c>
      <c r="F1165" t="s">
        <v>1979</v>
      </c>
      <c r="G1165" t="s">
        <v>1806</v>
      </c>
      <c r="H1165" t="s">
        <v>2279</v>
      </c>
      <c r="I1165" t="s">
        <v>2279</v>
      </c>
      <c r="J1165">
        <v>1</v>
      </c>
      <c r="K1165" t="s">
        <v>2279</v>
      </c>
      <c r="L1165" t="s">
        <v>2279</v>
      </c>
      <c r="M1165" t="s">
        <v>2279</v>
      </c>
      <c r="N1165" t="s">
        <v>2279</v>
      </c>
      <c r="O1165" s="190" t="str">
        <f>"["&amp;$C1165&amp;"]["&amp;$D1165&amp;"]["&amp;$F1165&amp;"]"</f>
        <v>[S06_InstallationsConservativeEstimates][4][InstallationConservativeShare]</v>
      </c>
    </row>
    <row r="1166" spans="1:15" x14ac:dyDescent="0.3">
      <c r="A1166" t="s">
        <v>2277</v>
      </c>
      <c r="B1166" t="s">
        <v>1975</v>
      </c>
      <c r="C1166" t="s">
        <v>1976</v>
      </c>
      <c r="D1166">
        <v>5</v>
      </c>
      <c r="E1166" t="s">
        <v>1447</v>
      </c>
      <c r="F1166" t="s">
        <v>1979</v>
      </c>
      <c r="G1166" t="s">
        <v>1806</v>
      </c>
      <c r="H1166" t="s">
        <v>2279</v>
      </c>
      <c r="I1166" t="s">
        <v>2279</v>
      </c>
      <c r="J1166">
        <v>1</v>
      </c>
      <c r="K1166" t="s">
        <v>2279</v>
      </c>
      <c r="L1166" t="s">
        <v>2279</v>
      </c>
      <c r="M1166" t="s">
        <v>2279</v>
      </c>
      <c r="N1166" t="s">
        <v>2279</v>
      </c>
      <c r="O1166" s="190" t="str">
        <f>"["&amp;$C1166&amp;"]["&amp;$D1166&amp;"]["&amp;$F1166&amp;"]"</f>
        <v>[S06_InstallationsConservativeEstimates][5][InstallationConservativeShare]</v>
      </c>
    </row>
    <row r="1167" spans="1:15" x14ac:dyDescent="0.3">
      <c r="A1167" t="s">
        <v>2277</v>
      </c>
      <c r="B1167" t="s">
        <v>1975</v>
      </c>
      <c r="C1167" t="s">
        <v>1976</v>
      </c>
      <c r="D1167">
        <v>6</v>
      </c>
      <c r="E1167" t="s">
        <v>1447</v>
      </c>
      <c r="F1167" t="s">
        <v>1979</v>
      </c>
      <c r="G1167" t="s">
        <v>1806</v>
      </c>
      <c r="H1167" t="s">
        <v>2279</v>
      </c>
      <c r="I1167" t="s">
        <v>2279</v>
      </c>
      <c r="J1167">
        <v>1</v>
      </c>
      <c r="K1167" t="s">
        <v>2279</v>
      </c>
      <c r="L1167" t="s">
        <v>2279</v>
      </c>
      <c r="M1167" t="s">
        <v>2279</v>
      </c>
      <c r="N1167" t="s">
        <v>2279</v>
      </c>
      <c r="O1167" s="190" t="str">
        <f>"["&amp;$C1167&amp;"]["&amp;$D1167&amp;"]["&amp;$F1167&amp;"]"</f>
        <v>[S06_InstallationsConservativeEstimates][6][InstallationConservativeShare]</v>
      </c>
    </row>
    <row r="1168" spans="1:15" x14ac:dyDescent="0.3">
      <c r="A1168" t="s">
        <v>2277</v>
      </c>
      <c r="B1168" t="s">
        <v>1975</v>
      </c>
      <c r="C1168" t="s">
        <v>1976</v>
      </c>
      <c r="D1168">
        <v>7</v>
      </c>
      <c r="E1168" t="s">
        <v>1447</v>
      </c>
      <c r="F1168" t="s">
        <v>1979</v>
      </c>
      <c r="G1168" t="s">
        <v>1806</v>
      </c>
      <c r="H1168" t="s">
        <v>2279</v>
      </c>
      <c r="I1168" t="s">
        <v>2279</v>
      </c>
      <c r="J1168">
        <v>1</v>
      </c>
      <c r="K1168" t="s">
        <v>2279</v>
      </c>
      <c r="L1168" t="s">
        <v>2279</v>
      </c>
      <c r="M1168" t="s">
        <v>2279</v>
      </c>
      <c r="N1168" t="s">
        <v>2279</v>
      </c>
      <c r="O1168" s="190" t="str">
        <f>"["&amp;$C1168&amp;"]["&amp;$D1168&amp;"]["&amp;$F1168&amp;"]"</f>
        <v>[S06_InstallationsConservativeEstimates][7][InstallationConservativeShare]</v>
      </c>
    </row>
    <row r="1169" spans="1:15" x14ac:dyDescent="0.3">
      <c r="A1169" t="s">
        <v>2277</v>
      </c>
      <c r="B1169" t="s">
        <v>1975</v>
      </c>
      <c r="C1169" t="s">
        <v>1976</v>
      </c>
      <c r="D1169">
        <v>1</v>
      </c>
      <c r="E1169" t="s">
        <v>1447</v>
      </c>
      <c r="F1169" t="s">
        <v>1980</v>
      </c>
      <c r="G1169" t="s">
        <v>1741</v>
      </c>
      <c r="H1169" t="s">
        <v>2423</v>
      </c>
      <c r="I1169" t="s">
        <v>2279</v>
      </c>
      <c r="J1169" t="s">
        <v>2279</v>
      </c>
      <c r="K1169" t="s">
        <v>2279</v>
      </c>
      <c r="L1169" t="s">
        <v>2279</v>
      </c>
      <c r="M1169" t="s">
        <v>2279</v>
      </c>
      <c r="N1169" t="s">
        <v>2279</v>
      </c>
      <c r="O1169" s="190" t="str">
        <f>"["&amp;$C1169&amp;"]["&amp;$D1169&amp;"]["&amp;$F1169&amp;"]"</f>
        <v>[S06_InstallationsConservativeEstimates][1][ConservativeMethod]</v>
      </c>
    </row>
    <row r="1170" spans="1:15" x14ac:dyDescent="0.3">
      <c r="A1170" t="s">
        <v>2277</v>
      </c>
      <c r="B1170" t="s">
        <v>1975</v>
      </c>
      <c r="C1170" t="s">
        <v>1976</v>
      </c>
      <c r="D1170">
        <v>2</v>
      </c>
      <c r="E1170" t="s">
        <v>1447</v>
      </c>
      <c r="F1170" t="s">
        <v>1980</v>
      </c>
      <c r="G1170" t="s">
        <v>1741</v>
      </c>
      <c r="H1170" t="s">
        <v>2423</v>
      </c>
      <c r="I1170" t="s">
        <v>2279</v>
      </c>
      <c r="J1170" t="s">
        <v>2279</v>
      </c>
      <c r="K1170" t="s">
        <v>2279</v>
      </c>
      <c r="L1170" t="s">
        <v>2279</v>
      </c>
      <c r="M1170" t="s">
        <v>2279</v>
      </c>
      <c r="N1170" t="s">
        <v>2279</v>
      </c>
      <c r="O1170" s="190" t="str">
        <f>"["&amp;$C1170&amp;"]["&amp;$D1170&amp;"]["&amp;$F1170&amp;"]"</f>
        <v>[S06_InstallationsConservativeEstimates][2][ConservativeMethod]</v>
      </c>
    </row>
    <row r="1171" spans="1:15" x14ac:dyDescent="0.3">
      <c r="A1171" t="s">
        <v>2277</v>
      </c>
      <c r="B1171" t="s">
        <v>1975</v>
      </c>
      <c r="C1171" t="s">
        <v>1976</v>
      </c>
      <c r="D1171">
        <v>3</v>
      </c>
      <c r="E1171" t="s">
        <v>1447</v>
      </c>
      <c r="F1171" t="s">
        <v>1980</v>
      </c>
      <c r="G1171" t="s">
        <v>1741</v>
      </c>
      <c r="H1171" t="s">
        <v>2423</v>
      </c>
      <c r="I1171" t="s">
        <v>2279</v>
      </c>
      <c r="J1171" t="s">
        <v>2279</v>
      </c>
      <c r="K1171" t="s">
        <v>2279</v>
      </c>
      <c r="L1171" t="s">
        <v>2279</v>
      </c>
      <c r="M1171" t="s">
        <v>2279</v>
      </c>
      <c r="N1171" t="s">
        <v>2279</v>
      </c>
      <c r="O1171" s="190" t="str">
        <f>"["&amp;$C1171&amp;"]["&amp;$D1171&amp;"]["&amp;$F1171&amp;"]"</f>
        <v>[S06_InstallationsConservativeEstimates][3][ConservativeMethod]</v>
      </c>
    </row>
    <row r="1172" spans="1:15" x14ac:dyDescent="0.3">
      <c r="A1172" t="s">
        <v>2277</v>
      </c>
      <c r="B1172" t="s">
        <v>1975</v>
      </c>
      <c r="C1172" t="s">
        <v>1976</v>
      </c>
      <c r="D1172">
        <v>4</v>
      </c>
      <c r="E1172" t="s">
        <v>1447</v>
      </c>
      <c r="F1172" t="s">
        <v>1980</v>
      </c>
      <c r="G1172" t="s">
        <v>1741</v>
      </c>
      <c r="H1172" t="s">
        <v>2423</v>
      </c>
      <c r="I1172" t="s">
        <v>2279</v>
      </c>
      <c r="J1172" t="s">
        <v>2279</v>
      </c>
      <c r="K1172" t="s">
        <v>2279</v>
      </c>
      <c r="L1172" t="s">
        <v>2279</v>
      </c>
      <c r="M1172" t="s">
        <v>2279</v>
      </c>
      <c r="N1172" t="s">
        <v>2279</v>
      </c>
      <c r="O1172" s="190" t="str">
        <f>"["&amp;$C1172&amp;"]["&amp;$D1172&amp;"]["&amp;$F1172&amp;"]"</f>
        <v>[S06_InstallationsConservativeEstimates][4][ConservativeMethod]</v>
      </c>
    </row>
    <row r="1173" spans="1:15" x14ac:dyDescent="0.3">
      <c r="A1173" t="s">
        <v>2277</v>
      </c>
      <c r="B1173" t="s">
        <v>1975</v>
      </c>
      <c r="C1173" t="s">
        <v>1976</v>
      </c>
      <c r="D1173">
        <v>5</v>
      </c>
      <c r="E1173" t="s">
        <v>1447</v>
      </c>
      <c r="F1173" t="s">
        <v>1980</v>
      </c>
      <c r="G1173" t="s">
        <v>1741</v>
      </c>
      <c r="H1173" t="s">
        <v>2423</v>
      </c>
      <c r="I1173" t="s">
        <v>2279</v>
      </c>
      <c r="J1173" t="s">
        <v>2279</v>
      </c>
      <c r="K1173" t="s">
        <v>2279</v>
      </c>
      <c r="L1173" t="s">
        <v>2279</v>
      </c>
      <c r="M1173" t="s">
        <v>2279</v>
      </c>
      <c r="N1173" t="s">
        <v>2279</v>
      </c>
      <c r="O1173" s="190" t="str">
        <f>"["&amp;$C1173&amp;"]["&amp;$D1173&amp;"]["&amp;$F1173&amp;"]"</f>
        <v>[S06_InstallationsConservativeEstimates][5][ConservativeMethod]</v>
      </c>
    </row>
    <row r="1174" spans="1:15" x14ac:dyDescent="0.3">
      <c r="A1174" t="s">
        <v>2277</v>
      </c>
      <c r="B1174" t="s">
        <v>1975</v>
      </c>
      <c r="C1174" t="s">
        <v>1976</v>
      </c>
      <c r="D1174">
        <v>6</v>
      </c>
      <c r="E1174" t="s">
        <v>1447</v>
      </c>
      <c r="F1174" t="s">
        <v>1980</v>
      </c>
      <c r="G1174" t="s">
        <v>1741</v>
      </c>
      <c r="H1174" t="s">
        <v>2424</v>
      </c>
      <c r="I1174" t="s">
        <v>2279</v>
      </c>
      <c r="J1174" t="s">
        <v>2279</v>
      </c>
      <c r="K1174" t="s">
        <v>2279</v>
      </c>
      <c r="L1174" t="s">
        <v>2279</v>
      </c>
      <c r="M1174" t="s">
        <v>2279</v>
      </c>
      <c r="N1174" t="s">
        <v>2279</v>
      </c>
      <c r="O1174" s="190" t="str">
        <f>"["&amp;$C1174&amp;"]["&amp;$D1174&amp;"]["&amp;$F1174&amp;"]"</f>
        <v>[S06_InstallationsConservativeEstimates][6][ConservativeMethod]</v>
      </c>
    </row>
    <row r="1175" spans="1:15" x14ac:dyDescent="0.3">
      <c r="A1175" t="s">
        <v>2277</v>
      </c>
      <c r="B1175" t="s">
        <v>1975</v>
      </c>
      <c r="C1175" t="s">
        <v>1976</v>
      </c>
      <c r="D1175">
        <v>7</v>
      </c>
      <c r="E1175" t="s">
        <v>1447</v>
      </c>
      <c r="F1175" t="s">
        <v>1980</v>
      </c>
      <c r="G1175" t="s">
        <v>1741</v>
      </c>
      <c r="H1175" t="s">
        <v>2423</v>
      </c>
      <c r="I1175" t="s">
        <v>2279</v>
      </c>
      <c r="J1175" t="s">
        <v>2279</v>
      </c>
      <c r="K1175" t="s">
        <v>2279</v>
      </c>
      <c r="L1175" t="s">
        <v>2279</v>
      </c>
      <c r="M1175" t="s">
        <v>2279</v>
      </c>
      <c r="N1175" t="s">
        <v>2279</v>
      </c>
      <c r="O1175" s="190" t="str">
        <f>"["&amp;$C1175&amp;"]["&amp;$D1175&amp;"]["&amp;$F1175&amp;"]"</f>
        <v>[S06_InstallationsConservativeEstimates][7][ConservativeMethod]</v>
      </c>
    </row>
    <row r="1176" spans="1:15" x14ac:dyDescent="0.3">
      <c r="A1176" t="s">
        <v>2277</v>
      </c>
      <c r="B1176" t="s">
        <v>1975</v>
      </c>
      <c r="C1176" t="s">
        <v>1976</v>
      </c>
      <c r="D1176">
        <v>1</v>
      </c>
      <c r="E1176" t="s">
        <v>1447</v>
      </c>
      <c r="F1176" t="s">
        <v>1981</v>
      </c>
      <c r="G1176" t="s">
        <v>1737</v>
      </c>
      <c r="H1176" t="s">
        <v>2279</v>
      </c>
      <c r="I1176" t="s">
        <v>2279</v>
      </c>
      <c r="J1176" t="s">
        <v>2279</v>
      </c>
      <c r="K1176" t="s">
        <v>2279</v>
      </c>
      <c r="L1176" t="s">
        <v>1525</v>
      </c>
      <c r="M1176" t="s">
        <v>2279</v>
      </c>
      <c r="N1176" t="s">
        <v>2279</v>
      </c>
      <c r="O1176" s="190" t="str">
        <f>"["&amp;$C1176&amp;"]["&amp;$D1176&amp;"]["&amp;$F1176&amp;"]"</f>
        <v>[S06_InstallationsConservativeEstimates][1][FurtherAction]</v>
      </c>
    </row>
    <row r="1177" spans="1:15" x14ac:dyDescent="0.3">
      <c r="A1177" t="s">
        <v>2277</v>
      </c>
      <c r="B1177" t="s">
        <v>1975</v>
      </c>
      <c r="C1177" t="s">
        <v>1976</v>
      </c>
      <c r="D1177">
        <v>2</v>
      </c>
      <c r="E1177" t="s">
        <v>1447</v>
      </c>
      <c r="F1177" t="s">
        <v>1981</v>
      </c>
      <c r="G1177" t="s">
        <v>1737</v>
      </c>
      <c r="H1177" t="s">
        <v>2279</v>
      </c>
      <c r="I1177" t="s">
        <v>2279</v>
      </c>
      <c r="J1177" t="s">
        <v>2279</v>
      </c>
      <c r="K1177" t="s">
        <v>2279</v>
      </c>
      <c r="L1177" t="s">
        <v>1525</v>
      </c>
      <c r="M1177" t="s">
        <v>2279</v>
      </c>
      <c r="N1177" t="s">
        <v>2279</v>
      </c>
      <c r="O1177" s="190" t="str">
        <f>"["&amp;$C1177&amp;"]["&amp;$D1177&amp;"]["&amp;$F1177&amp;"]"</f>
        <v>[S06_InstallationsConservativeEstimates][2][FurtherAction]</v>
      </c>
    </row>
    <row r="1178" spans="1:15" x14ac:dyDescent="0.3">
      <c r="A1178" t="s">
        <v>2277</v>
      </c>
      <c r="B1178" t="s">
        <v>1975</v>
      </c>
      <c r="C1178" t="s">
        <v>1976</v>
      </c>
      <c r="D1178">
        <v>3</v>
      </c>
      <c r="E1178" t="s">
        <v>1447</v>
      </c>
      <c r="F1178" t="s">
        <v>1981</v>
      </c>
      <c r="G1178" t="s">
        <v>1737</v>
      </c>
      <c r="H1178" t="s">
        <v>2279</v>
      </c>
      <c r="I1178" t="s">
        <v>2279</v>
      </c>
      <c r="J1178" t="s">
        <v>2279</v>
      </c>
      <c r="K1178" t="s">
        <v>2279</v>
      </c>
      <c r="L1178" t="s">
        <v>1525</v>
      </c>
      <c r="M1178" t="s">
        <v>2279</v>
      </c>
      <c r="N1178" t="s">
        <v>2279</v>
      </c>
      <c r="O1178" s="190" t="str">
        <f>"["&amp;$C1178&amp;"]["&amp;$D1178&amp;"]["&amp;$F1178&amp;"]"</f>
        <v>[S06_InstallationsConservativeEstimates][3][FurtherAction]</v>
      </c>
    </row>
    <row r="1179" spans="1:15" x14ac:dyDescent="0.3">
      <c r="A1179" t="s">
        <v>2277</v>
      </c>
      <c r="B1179" t="s">
        <v>1975</v>
      </c>
      <c r="C1179" t="s">
        <v>1976</v>
      </c>
      <c r="D1179">
        <v>4</v>
      </c>
      <c r="E1179" t="s">
        <v>1447</v>
      </c>
      <c r="F1179" t="s">
        <v>1981</v>
      </c>
      <c r="G1179" t="s">
        <v>1737</v>
      </c>
      <c r="H1179" t="s">
        <v>2279</v>
      </c>
      <c r="I1179" t="s">
        <v>2279</v>
      </c>
      <c r="J1179" t="s">
        <v>2279</v>
      </c>
      <c r="K1179" t="s">
        <v>2279</v>
      </c>
      <c r="L1179" t="s">
        <v>1525</v>
      </c>
      <c r="M1179" t="s">
        <v>2279</v>
      </c>
      <c r="N1179" t="s">
        <v>2279</v>
      </c>
      <c r="O1179" s="190" t="str">
        <f>"["&amp;$C1179&amp;"]["&amp;$D1179&amp;"]["&amp;$F1179&amp;"]"</f>
        <v>[S06_InstallationsConservativeEstimates][4][FurtherAction]</v>
      </c>
    </row>
    <row r="1180" spans="1:15" x14ac:dyDescent="0.3">
      <c r="A1180" t="s">
        <v>2277</v>
      </c>
      <c r="B1180" t="s">
        <v>1975</v>
      </c>
      <c r="C1180" t="s">
        <v>1976</v>
      </c>
      <c r="D1180">
        <v>5</v>
      </c>
      <c r="E1180" t="s">
        <v>1447</v>
      </c>
      <c r="F1180" t="s">
        <v>1981</v>
      </c>
      <c r="G1180" t="s">
        <v>1737</v>
      </c>
      <c r="H1180" t="s">
        <v>2279</v>
      </c>
      <c r="I1180" t="s">
        <v>2279</v>
      </c>
      <c r="J1180" t="s">
        <v>2279</v>
      </c>
      <c r="K1180" t="s">
        <v>2279</v>
      </c>
      <c r="L1180" t="s">
        <v>1525</v>
      </c>
      <c r="M1180" t="s">
        <v>2279</v>
      </c>
      <c r="N1180" t="s">
        <v>2279</v>
      </c>
      <c r="O1180" s="190" t="str">
        <f>"["&amp;$C1180&amp;"]["&amp;$D1180&amp;"]["&amp;$F1180&amp;"]"</f>
        <v>[S06_InstallationsConservativeEstimates][5][FurtherAction]</v>
      </c>
    </row>
    <row r="1181" spans="1:15" x14ac:dyDescent="0.3">
      <c r="A1181" t="s">
        <v>2277</v>
      </c>
      <c r="B1181" t="s">
        <v>1975</v>
      </c>
      <c r="C1181" t="s">
        <v>1976</v>
      </c>
      <c r="D1181">
        <v>6</v>
      </c>
      <c r="E1181" t="s">
        <v>1447</v>
      </c>
      <c r="F1181" t="s">
        <v>1981</v>
      </c>
      <c r="G1181" t="s">
        <v>1737</v>
      </c>
      <c r="H1181" t="s">
        <v>2279</v>
      </c>
      <c r="I1181" t="s">
        <v>2279</v>
      </c>
      <c r="J1181" t="s">
        <v>2279</v>
      </c>
      <c r="K1181" t="s">
        <v>2279</v>
      </c>
      <c r="L1181" t="s">
        <v>1525</v>
      </c>
      <c r="M1181" t="s">
        <v>2279</v>
      </c>
      <c r="N1181" t="s">
        <v>2279</v>
      </c>
      <c r="O1181" s="190" t="str">
        <f>"["&amp;$C1181&amp;"]["&amp;$D1181&amp;"]["&amp;$F1181&amp;"]"</f>
        <v>[S06_InstallationsConservativeEstimates][6][FurtherAction]</v>
      </c>
    </row>
    <row r="1182" spans="1:15" x14ac:dyDescent="0.3">
      <c r="A1182" t="s">
        <v>2277</v>
      </c>
      <c r="B1182" t="s">
        <v>1975</v>
      </c>
      <c r="C1182" t="s">
        <v>1976</v>
      </c>
      <c r="D1182">
        <v>7</v>
      </c>
      <c r="E1182" t="s">
        <v>1447</v>
      </c>
      <c r="F1182" t="s">
        <v>1981</v>
      </c>
      <c r="G1182" t="s">
        <v>1737</v>
      </c>
      <c r="H1182" t="s">
        <v>2279</v>
      </c>
      <c r="I1182" t="s">
        <v>2279</v>
      </c>
      <c r="J1182" t="s">
        <v>2279</v>
      </c>
      <c r="K1182" t="s">
        <v>2279</v>
      </c>
      <c r="L1182" t="s">
        <v>1525</v>
      </c>
      <c r="M1182" t="s">
        <v>2279</v>
      </c>
      <c r="N1182" t="s">
        <v>2279</v>
      </c>
      <c r="O1182" s="190" t="str">
        <f>"["&amp;$C1182&amp;"]["&amp;$D1182&amp;"]["&amp;$F1182&amp;"]"</f>
        <v>[S06_InstallationsConservativeEstimates][7][FurtherAction]</v>
      </c>
    </row>
    <row r="1183" spans="1:15" x14ac:dyDescent="0.3">
      <c r="A1183" t="s">
        <v>2277</v>
      </c>
      <c r="B1183" t="s">
        <v>1975</v>
      </c>
      <c r="C1183" t="s">
        <v>1976</v>
      </c>
      <c r="D1183">
        <v>1</v>
      </c>
      <c r="E1183" t="s">
        <v>1447</v>
      </c>
      <c r="F1183" t="s">
        <v>1982</v>
      </c>
      <c r="G1183" t="s">
        <v>1741</v>
      </c>
      <c r="H1183" t="s">
        <v>2425</v>
      </c>
      <c r="I1183" t="s">
        <v>2279</v>
      </c>
      <c r="J1183" t="s">
        <v>2279</v>
      </c>
      <c r="K1183" t="s">
        <v>2279</v>
      </c>
      <c r="L1183" t="s">
        <v>2279</v>
      </c>
      <c r="M1183" t="s">
        <v>2279</v>
      </c>
      <c r="N1183" t="s">
        <v>2279</v>
      </c>
      <c r="O1183" s="190" t="str">
        <f>"["&amp;$C1183&amp;"]["&amp;$D1183&amp;"]["&amp;$F1183&amp;"]"</f>
        <v>[S06_InstallationsConservativeEstimates][1][OtherAction]</v>
      </c>
    </row>
    <row r="1184" spans="1:15" x14ac:dyDescent="0.3">
      <c r="A1184" t="s">
        <v>2277</v>
      </c>
      <c r="B1184" t="s">
        <v>1975</v>
      </c>
      <c r="C1184" t="s">
        <v>1976</v>
      </c>
      <c r="D1184">
        <v>2</v>
      </c>
      <c r="E1184" t="s">
        <v>1447</v>
      </c>
      <c r="F1184" t="s">
        <v>1982</v>
      </c>
      <c r="G1184" t="s">
        <v>1741</v>
      </c>
      <c r="H1184" t="s">
        <v>2425</v>
      </c>
      <c r="I1184" t="s">
        <v>2279</v>
      </c>
      <c r="J1184" t="s">
        <v>2279</v>
      </c>
      <c r="K1184" t="s">
        <v>2279</v>
      </c>
      <c r="L1184" t="s">
        <v>2279</v>
      </c>
      <c r="M1184" t="s">
        <v>2279</v>
      </c>
      <c r="N1184" t="s">
        <v>2279</v>
      </c>
      <c r="O1184" s="190" t="str">
        <f>"["&amp;$C1184&amp;"]["&amp;$D1184&amp;"]["&amp;$F1184&amp;"]"</f>
        <v>[S06_InstallationsConservativeEstimates][2][OtherAction]</v>
      </c>
    </row>
    <row r="1185" spans="1:15" x14ac:dyDescent="0.3">
      <c r="A1185" t="s">
        <v>2277</v>
      </c>
      <c r="B1185" t="s">
        <v>1975</v>
      </c>
      <c r="C1185" t="s">
        <v>1976</v>
      </c>
      <c r="D1185">
        <v>3</v>
      </c>
      <c r="E1185" t="s">
        <v>1447</v>
      </c>
      <c r="F1185" t="s">
        <v>1982</v>
      </c>
      <c r="G1185" t="s">
        <v>1741</v>
      </c>
      <c r="H1185" t="s">
        <v>2425</v>
      </c>
      <c r="I1185" t="s">
        <v>2279</v>
      </c>
      <c r="J1185" t="s">
        <v>2279</v>
      </c>
      <c r="K1185" t="s">
        <v>2279</v>
      </c>
      <c r="L1185" t="s">
        <v>2279</v>
      </c>
      <c r="M1185" t="s">
        <v>2279</v>
      </c>
      <c r="N1185" t="s">
        <v>2279</v>
      </c>
      <c r="O1185" s="190" t="str">
        <f>"["&amp;$C1185&amp;"]["&amp;$D1185&amp;"]["&amp;$F1185&amp;"]"</f>
        <v>[S06_InstallationsConservativeEstimates][3][OtherAction]</v>
      </c>
    </row>
    <row r="1186" spans="1:15" x14ac:dyDescent="0.3">
      <c r="A1186" t="s">
        <v>2277</v>
      </c>
      <c r="B1186" t="s">
        <v>1975</v>
      </c>
      <c r="C1186" t="s">
        <v>1976</v>
      </c>
      <c r="D1186">
        <v>4</v>
      </c>
      <c r="E1186" t="s">
        <v>1447</v>
      </c>
      <c r="F1186" t="s">
        <v>1982</v>
      </c>
      <c r="G1186" t="s">
        <v>1741</v>
      </c>
      <c r="H1186" t="s">
        <v>2425</v>
      </c>
      <c r="I1186" t="s">
        <v>2279</v>
      </c>
      <c r="J1186" t="s">
        <v>2279</v>
      </c>
      <c r="K1186" t="s">
        <v>2279</v>
      </c>
      <c r="L1186" t="s">
        <v>2279</v>
      </c>
      <c r="M1186" t="s">
        <v>2279</v>
      </c>
      <c r="N1186" t="s">
        <v>2279</v>
      </c>
      <c r="O1186" s="190" t="str">
        <f>"["&amp;$C1186&amp;"]["&amp;$D1186&amp;"]["&amp;$F1186&amp;"]"</f>
        <v>[S06_InstallationsConservativeEstimates][4][OtherAction]</v>
      </c>
    </row>
    <row r="1187" spans="1:15" x14ac:dyDescent="0.3">
      <c r="A1187" t="s">
        <v>2277</v>
      </c>
      <c r="B1187" t="s">
        <v>1975</v>
      </c>
      <c r="C1187" t="s">
        <v>1976</v>
      </c>
      <c r="D1187">
        <v>5</v>
      </c>
      <c r="E1187" t="s">
        <v>1447</v>
      </c>
      <c r="F1187" t="s">
        <v>1982</v>
      </c>
      <c r="G1187" t="s">
        <v>1741</v>
      </c>
      <c r="H1187" t="s">
        <v>2425</v>
      </c>
      <c r="I1187" t="s">
        <v>2279</v>
      </c>
      <c r="J1187" t="s">
        <v>2279</v>
      </c>
      <c r="K1187" t="s">
        <v>2279</v>
      </c>
      <c r="L1187" t="s">
        <v>2279</v>
      </c>
      <c r="M1187" t="s">
        <v>2279</v>
      </c>
      <c r="N1187" t="s">
        <v>2279</v>
      </c>
      <c r="O1187" s="190" t="str">
        <f>"["&amp;$C1187&amp;"]["&amp;$D1187&amp;"]["&amp;$F1187&amp;"]"</f>
        <v>[S06_InstallationsConservativeEstimates][5][OtherAction]</v>
      </c>
    </row>
    <row r="1188" spans="1:15" x14ac:dyDescent="0.3">
      <c r="A1188" t="s">
        <v>2277</v>
      </c>
      <c r="B1188" t="s">
        <v>1975</v>
      </c>
      <c r="C1188" t="s">
        <v>1976</v>
      </c>
      <c r="D1188">
        <v>6</v>
      </c>
      <c r="E1188" t="s">
        <v>1447</v>
      </c>
      <c r="F1188" t="s">
        <v>1982</v>
      </c>
      <c r="G1188" t="s">
        <v>1741</v>
      </c>
      <c r="H1188" t="s">
        <v>2425</v>
      </c>
      <c r="I1188" t="s">
        <v>2279</v>
      </c>
      <c r="J1188" t="s">
        <v>2279</v>
      </c>
      <c r="K1188" t="s">
        <v>2279</v>
      </c>
      <c r="L1188" t="s">
        <v>2279</v>
      </c>
      <c r="M1188" t="s">
        <v>2279</v>
      </c>
      <c r="N1188" t="s">
        <v>2279</v>
      </c>
      <c r="O1188" s="190" t="str">
        <f>"["&amp;$C1188&amp;"]["&amp;$D1188&amp;"]["&amp;$F1188&amp;"]"</f>
        <v>[S06_InstallationsConservativeEstimates][6][OtherAction]</v>
      </c>
    </row>
    <row r="1189" spans="1:15" x14ac:dyDescent="0.3">
      <c r="A1189" t="s">
        <v>2277</v>
      </c>
      <c r="B1189" t="s">
        <v>1975</v>
      </c>
      <c r="C1189" t="s">
        <v>1976</v>
      </c>
      <c r="D1189">
        <v>7</v>
      </c>
      <c r="E1189" t="s">
        <v>1447</v>
      </c>
      <c r="F1189" t="s">
        <v>1982</v>
      </c>
      <c r="G1189" t="s">
        <v>1741</v>
      </c>
      <c r="H1189" t="s">
        <v>2425</v>
      </c>
      <c r="I1189" t="s">
        <v>2279</v>
      </c>
      <c r="J1189" t="s">
        <v>2279</v>
      </c>
      <c r="K1189" t="s">
        <v>2279</v>
      </c>
      <c r="L1189" t="s">
        <v>2279</v>
      </c>
      <c r="M1189" t="s">
        <v>2279</v>
      </c>
      <c r="N1189" t="s">
        <v>2279</v>
      </c>
      <c r="O1189" s="190" t="str">
        <f>"["&amp;$C1189&amp;"]["&amp;$D1189&amp;"]["&amp;$F1189&amp;"]"</f>
        <v>[S06_InstallationsConservativeEstimates][7][OtherAction]</v>
      </c>
    </row>
    <row r="1190" spans="1:15" x14ac:dyDescent="0.3">
      <c r="A1190" t="s">
        <v>2277</v>
      </c>
      <c r="B1190" t="s">
        <v>1975</v>
      </c>
      <c r="C1190" t="s">
        <v>1983</v>
      </c>
      <c r="D1190">
        <v>1</v>
      </c>
      <c r="E1190" t="s">
        <v>1447</v>
      </c>
      <c r="F1190" t="s">
        <v>1984</v>
      </c>
      <c r="G1190" t="s">
        <v>1748</v>
      </c>
      <c r="H1190" t="s">
        <v>2279</v>
      </c>
      <c r="I1190">
        <v>4</v>
      </c>
      <c r="J1190" t="s">
        <v>2279</v>
      </c>
      <c r="K1190" t="s">
        <v>2279</v>
      </c>
      <c r="L1190" t="s">
        <v>2279</v>
      </c>
      <c r="M1190" t="s">
        <v>2279</v>
      </c>
      <c r="N1190" t="s">
        <v>2279</v>
      </c>
      <c r="O1190" s="190" t="str">
        <f>"["&amp;$C1190&amp;"]["&amp;$D1190&amp;"]["&amp;$F1190&amp;"]"</f>
        <v>[S06_NegativeOpinionInstallations][1][CountNegativeOpinions]</v>
      </c>
    </row>
    <row r="1191" spans="1:15" x14ac:dyDescent="0.3">
      <c r="A1191" t="s">
        <v>2277</v>
      </c>
      <c r="B1191" t="s">
        <v>1975</v>
      </c>
      <c r="C1191" t="s">
        <v>1983</v>
      </c>
      <c r="D1191">
        <v>2</v>
      </c>
      <c r="E1191" t="s">
        <v>1447</v>
      </c>
      <c r="F1191" t="s">
        <v>1984</v>
      </c>
      <c r="G1191" t="s">
        <v>1748</v>
      </c>
      <c r="H1191" t="s">
        <v>2279</v>
      </c>
      <c r="I1191">
        <v>0</v>
      </c>
      <c r="J1191" t="s">
        <v>2279</v>
      </c>
      <c r="K1191" t="s">
        <v>2279</v>
      </c>
      <c r="L1191" t="s">
        <v>2279</v>
      </c>
      <c r="M1191" t="s">
        <v>2279</v>
      </c>
      <c r="N1191" t="s">
        <v>2279</v>
      </c>
      <c r="O1191" s="190" t="str">
        <f>"["&amp;$C1191&amp;"]["&amp;$D1191&amp;"]["&amp;$F1191&amp;"]"</f>
        <v>[S06_NegativeOpinionInstallations][2][CountNegativeOpinions]</v>
      </c>
    </row>
    <row r="1192" spans="1:15" x14ac:dyDescent="0.3">
      <c r="A1192" t="s">
        <v>2277</v>
      </c>
      <c r="B1192" t="s">
        <v>1975</v>
      </c>
      <c r="C1192" t="s">
        <v>1983</v>
      </c>
      <c r="D1192">
        <v>3</v>
      </c>
      <c r="E1192" t="s">
        <v>1447</v>
      </c>
      <c r="F1192" t="s">
        <v>1984</v>
      </c>
      <c r="G1192" t="s">
        <v>1748</v>
      </c>
      <c r="H1192" t="s">
        <v>2279</v>
      </c>
      <c r="I1192">
        <v>3</v>
      </c>
      <c r="J1192" t="s">
        <v>2279</v>
      </c>
      <c r="K1192" t="s">
        <v>2279</v>
      </c>
      <c r="L1192" t="s">
        <v>2279</v>
      </c>
      <c r="M1192" t="s">
        <v>2279</v>
      </c>
      <c r="N1192" t="s">
        <v>2279</v>
      </c>
      <c r="O1192" s="190" t="str">
        <f>"["&amp;$C1192&amp;"]["&amp;$D1192&amp;"]["&amp;$F1192&amp;"]"</f>
        <v>[S06_NegativeOpinionInstallations][3][CountNegativeOpinions]</v>
      </c>
    </row>
    <row r="1193" spans="1:15" x14ac:dyDescent="0.3">
      <c r="A1193" t="s">
        <v>2277</v>
      </c>
      <c r="B1193" t="s">
        <v>1975</v>
      </c>
      <c r="C1193" t="s">
        <v>1983</v>
      </c>
      <c r="D1193">
        <v>4</v>
      </c>
      <c r="E1193" t="s">
        <v>1447</v>
      </c>
      <c r="F1193" t="s">
        <v>1984</v>
      </c>
      <c r="G1193" t="s">
        <v>1748</v>
      </c>
      <c r="H1193" t="s">
        <v>2279</v>
      </c>
      <c r="I1193">
        <v>2</v>
      </c>
      <c r="J1193" t="s">
        <v>2279</v>
      </c>
      <c r="K1193" t="s">
        <v>2279</v>
      </c>
      <c r="L1193" t="s">
        <v>2279</v>
      </c>
      <c r="M1193" t="s">
        <v>2279</v>
      </c>
      <c r="N1193" t="s">
        <v>2279</v>
      </c>
      <c r="O1193" s="190" t="str">
        <f>"["&amp;$C1193&amp;"]["&amp;$D1193&amp;"]["&amp;$F1193&amp;"]"</f>
        <v>[S06_NegativeOpinionInstallations][4][CountNegativeOpinions]</v>
      </c>
    </row>
    <row r="1194" spans="1:15" x14ac:dyDescent="0.3">
      <c r="A1194" t="s">
        <v>2277</v>
      </c>
      <c r="B1194" t="s">
        <v>1985</v>
      </c>
      <c r="C1194" t="s">
        <v>1986</v>
      </c>
      <c r="D1194">
        <v>0</v>
      </c>
      <c r="E1194" t="s">
        <v>1447</v>
      </c>
      <c r="F1194" t="s">
        <v>1986</v>
      </c>
      <c r="G1194" t="s">
        <v>1759</v>
      </c>
      <c r="H1194" t="s">
        <v>2279</v>
      </c>
      <c r="I1194" t="s">
        <v>2279</v>
      </c>
      <c r="J1194" t="s">
        <v>2279</v>
      </c>
      <c r="K1194" t="s">
        <v>2279</v>
      </c>
      <c r="L1194" t="s">
        <v>1419</v>
      </c>
      <c r="M1194" t="s">
        <v>2279</v>
      </c>
      <c r="N1194" t="s">
        <v>2279</v>
      </c>
      <c r="O1194" s="190" t="str">
        <f>"["&amp;$C1194&amp;"]["&amp;$D1194&amp;"]["&amp;$F1194&amp;"]"</f>
        <v>[InstallationsVerificationReportIssues][0][InstallationsVerificationReportIssues]</v>
      </c>
    </row>
    <row r="1195" spans="1:15" x14ac:dyDescent="0.3">
      <c r="A1195" t="s">
        <v>2277</v>
      </c>
      <c r="B1195" t="s">
        <v>1985</v>
      </c>
      <c r="C1195" t="s">
        <v>1987</v>
      </c>
      <c r="D1195">
        <v>1</v>
      </c>
      <c r="E1195" t="s">
        <v>1447</v>
      </c>
      <c r="F1195" t="s">
        <v>1988</v>
      </c>
      <c r="G1195" t="s">
        <v>1737</v>
      </c>
      <c r="H1195" t="s">
        <v>2279</v>
      </c>
      <c r="I1195" t="s">
        <v>2279</v>
      </c>
      <c r="J1195" t="s">
        <v>2279</v>
      </c>
      <c r="K1195" t="s">
        <v>2279</v>
      </c>
      <c r="L1195" t="s">
        <v>1420</v>
      </c>
      <c r="M1195" t="s">
        <v>2279</v>
      </c>
      <c r="N1195" t="s">
        <v>2279</v>
      </c>
      <c r="O1195" s="190" t="str">
        <f>"["&amp;$C1195&amp;"]["&amp;$D1195&amp;"]["&amp;$F1195&amp;"]"</f>
        <v>[S06_InstallationsVerificationReportsIssueDetail][1][AnnexIActivity]</v>
      </c>
    </row>
    <row r="1196" spans="1:15" x14ac:dyDescent="0.3">
      <c r="A1196" t="s">
        <v>2277</v>
      </c>
      <c r="B1196" t="s">
        <v>1985</v>
      </c>
      <c r="C1196" t="s">
        <v>1987</v>
      </c>
      <c r="D1196">
        <v>2</v>
      </c>
      <c r="E1196" t="s">
        <v>1447</v>
      </c>
      <c r="F1196" t="s">
        <v>1988</v>
      </c>
      <c r="G1196" t="s">
        <v>1737</v>
      </c>
      <c r="H1196" t="s">
        <v>2279</v>
      </c>
      <c r="I1196" t="s">
        <v>2279</v>
      </c>
      <c r="J1196" t="s">
        <v>2279</v>
      </c>
      <c r="K1196" t="s">
        <v>2279</v>
      </c>
      <c r="L1196" t="s">
        <v>1582</v>
      </c>
      <c r="M1196" t="s">
        <v>2279</v>
      </c>
      <c r="N1196" t="s">
        <v>2279</v>
      </c>
      <c r="O1196" s="190" t="str">
        <f>"["&amp;$C1196&amp;"]["&amp;$D1196&amp;"]["&amp;$F1196&amp;"]"</f>
        <v>[S06_InstallationsVerificationReportsIssueDetail][2][AnnexIActivity]</v>
      </c>
    </row>
    <row r="1197" spans="1:15" x14ac:dyDescent="0.3">
      <c r="A1197" t="s">
        <v>2277</v>
      </c>
      <c r="B1197" t="s">
        <v>1985</v>
      </c>
      <c r="C1197" t="s">
        <v>1987</v>
      </c>
      <c r="D1197">
        <v>3</v>
      </c>
      <c r="E1197" t="s">
        <v>1447</v>
      </c>
      <c r="F1197" t="s">
        <v>1988</v>
      </c>
      <c r="G1197" t="s">
        <v>1737</v>
      </c>
      <c r="H1197" t="s">
        <v>2279</v>
      </c>
      <c r="I1197" t="s">
        <v>2279</v>
      </c>
      <c r="J1197" t="s">
        <v>2279</v>
      </c>
      <c r="K1197" t="s">
        <v>2279</v>
      </c>
      <c r="L1197" t="s">
        <v>1592</v>
      </c>
      <c r="M1197" t="s">
        <v>2279</v>
      </c>
      <c r="N1197" t="s">
        <v>2279</v>
      </c>
      <c r="O1197" s="190" t="str">
        <f>"["&amp;$C1197&amp;"]["&amp;$D1197&amp;"]["&amp;$F1197&amp;"]"</f>
        <v>[S06_InstallationsVerificationReportsIssueDetail][3][AnnexIActivity]</v>
      </c>
    </row>
    <row r="1198" spans="1:15" x14ac:dyDescent="0.3">
      <c r="A1198" t="s">
        <v>2277</v>
      </c>
      <c r="B1198" t="s">
        <v>1985</v>
      </c>
      <c r="C1198" t="s">
        <v>1987</v>
      </c>
      <c r="D1198">
        <v>4</v>
      </c>
      <c r="E1198" t="s">
        <v>1447</v>
      </c>
      <c r="F1198" t="s">
        <v>1988</v>
      </c>
      <c r="G1198" t="s">
        <v>1737</v>
      </c>
      <c r="H1198" t="s">
        <v>2279</v>
      </c>
      <c r="I1198" t="s">
        <v>2279</v>
      </c>
      <c r="J1198" t="s">
        <v>2279</v>
      </c>
      <c r="K1198" t="s">
        <v>2279</v>
      </c>
      <c r="L1198" t="s">
        <v>1573</v>
      </c>
      <c r="M1198" t="s">
        <v>2279</v>
      </c>
      <c r="N1198" t="s">
        <v>2279</v>
      </c>
      <c r="O1198" s="190" t="str">
        <f>"["&amp;$C1198&amp;"]["&amp;$D1198&amp;"]["&amp;$F1198&amp;"]"</f>
        <v>[S06_InstallationsVerificationReportsIssueDetail][4][AnnexIActivity]</v>
      </c>
    </row>
    <row r="1199" spans="1:15" x14ac:dyDescent="0.3">
      <c r="A1199" t="s">
        <v>2277</v>
      </c>
      <c r="B1199" t="s">
        <v>1985</v>
      </c>
      <c r="C1199" t="s">
        <v>1987</v>
      </c>
      <c r="D1199">
        <v>5</v>
      </c>
      <c r="E1199" t="s">
        <v>1447</v>
      </c>
      <c r="F1199" t="s">
        <v>1988</v>
      </c>
      <c r="G1199" t="s">
        <v>1737</v>
      </c>
      <c r="H1199" t="s">
        <v>2279</v>
      </c>
      <c r="I1199" t="s">
        <v>2279</v>
      </c>
      <c r="J1199" t="s">
        <v>2279</v>
      </c>
      <c r="K1199" t="s">
        <v>2279</v>
      </c>
      <c r="L1199" t="s">
        <v>1597</v>
      </c>
      <c r="M1199" t="s">
        <v>2279</v>
      </c>
      <c r="N1199" t="s">
        <v>2279</v>
      </c>
      <c r="O1199" s="190" t="str">
        <f>"["&amp;$C1199&amp;"]["&amp;$D1199&amp;"]["&amp;$F1199&amp;"]"</f>
        <v>[S06_InstallationsVerificationReportsIssueDetail][5][AnnexIActivity]</v>
      </c>
    </row>
    <row r="1200" spans="1:15" x14ac:dyDescent="0.3">
      <c r="A1200" t="s">
        <v>2277</v>
      </c>
      <c r="B1200" t="s">
        <v>1985</v>
      </c>
      <c r="C1200" t="s">
        <v>1987</v>
      </c>
      <c r="D1200">
        <v>6</v>
      </c>
      <c r="E1200" t="s">
        <v>1447</v>
      </c>
      <c r="F1200" t="s">
        <v>1988</v>
      </c>
      <c r="G1200" t="s">
        <v>1737</v>
      </c>
      <c r="H1200" t="s">
        <v>2279</v>
      </c>
      <c r="I1200" t="s">
        <v>2279</v>
      </c>
      <c r="J1200" t="s">
        <v>2279</v>
      </c>
      <c r="K1200" t="s">
        <v>2279</v>
      </c>
      <c r="L1200" t="s">
        <v>1587</v>
      </c>
      <c r="M1200" t="s">
        <v>2279</v>
      </c>
      <c r="N1200" t="s">
        <v>2279</v>
      </c>
      <c r="O1200" s="190" t="str">
        <f>"["&amp;$C1200&amp;"]["&amp;$D1200&amp;"]["&amp;$F1200&amp;"]"</f>
        <v>[S06_InstallationsVerificationReportsIssueDetail][6][AnnexIActivity]</v>
      </c>
    </row>
    <row r="1201" spans="1:15" x14ac:dyDescent="0.3">
      <c r="A1201" t="s">
        <v>2277</v>
      </c>
      <c r="B1201" t="s">
        <v>1985</v>
      </c>
      <c r="C1201" t="s">
        <v>1987</v>
      </c>
      <c r="D1201">
        <v>7</v>
      </c>
      <c r="E1201" t="s">
        <v>1447</v>
      </c>
      <c r="F1201" t="s">
        <v>1988</v>
      </c>
      <c r="G1201" t="s">
        <v>1737</v>
      </c>
      <c r="H1201" t="s">
        <v>2279</v>
      </c>
      <c r="I1201" t="s">
        <v>2279</v>
      </c>
      <c r="J1201" t="s">
        <v>2279</v>
      </c>
      <c r="K1201" t="s">
        <v>2279</v>
      </c>
      <c r="L1201" t="s">
        <v>1577</v>
      </c>
      <c r="M1201" t="s">
        <v>2279</v>
      </c>
      <c r="N1201" t="s">
        <v>2279</v>
      </c>
      <c r="O1201" s="190" t="str">
        <f>"["&amp;$C1201&amp;"]["&amp;$D1201&amp;"]["&amp;$F1201&amp;"]"</f>
        <v>[S06_InstallationsVerificationReportsIssueDetail][7][AnnexIActivity]</v>
      </c>
    </row>
    <row r="1202" spans="1:15" x14ac:dyDescent="0.3">
      <c r="A1202" t="s">
        <v>2277</v>
      </c>
      <c r="B1202" t="s">
        <v>1985</v>
      </c>
      <c r="C1202" t="s">
        <v>1987</v>
      </c>
      <c r="D1202">
        <v>8</v>
      </c>
      <c r="E1202" t="s">
        <v>1447</v>
      </c>
      <c r="F1202" t="s">
        <v>1988</v>
      </c>
      <c r="G1202" t="s">
        <v>1737</v>
      </c>
      <c r="H1202" t="s">
        <v>2279</v>
      </c>
      <c r="I1202" t="s">
        <v>2279</v>
      </c>
      <c r="J1202" t="s">
        <v>2279</v>
      </c>
      <c r="K1202" t="s">
        <v>2279</v>
      </c>
      <c r="L1202" t="s">
        <v>1568</v>
      </c>
      <c r="M1202" t="s">
        <v>2279</v>
      </c>
      <c r="N1202" t="s">
        <v>2279</v>
      </c>
      <c r="O1202" s="190" t="str">
        <f>"["&amp;$C1202&amp;"]["&amp;$D1202&amp;"]["&amp;$F1202&amp;"]"</f>
        <v>[S06_InstallationsVerificationReportsIssueDetail][8][AnnexIActivity]</v>
      </c>
    </row>
    <row r="1203" spans="1:15" x14ac:dyDescent="0.3">
      <c r="A1203" t="s">
        <v>2277</v>
      </c>
      <c r="B1203" t="s">
        <v>1985</v>
      </c>
      <c r="C1203" t="s">
        <v>1987</v>
      </c>
      <c r="D1203">
        <v>9</v>
      </c>
      <c r="E1203" t="s">
        <v>1447</v>
      </c>
      <c r="F1203" t="s">
        <v>1988</v>
      </c>
      <c r="G1203" t="s">
        <v>1737</v>
      </c>
      <c r="H1203" t="s">
        <v>2279</v>
      </c>
      <c r="I1203" t="s">
        <v>2279</v>
      </c>
      <c r="J1203" t="s">
        <v>2279</v>
      </c>
      <c r="K1203" t="s">
        <v>2279</v>
      </c>
      <c r="L1203" t="s">
        <v>1626</v>
      </c>
      <c r="M1203" t="s">
        <v>2279</v>
      </c>
      <c r="N1203" t="s">
        <v>2279</v>
      </c>
      <c r="O1203" s="190" t="str">
        <f>"["&amp;$C1203&amp;"]["&amp;$D1203&amp;"]["&amp;$F1203&amp;"]"</f>
        <v>[S06_InstallationsVerificationReportsIssueDetail][9][AnnexIActivity]</v>
      </c>
    </row>
    <row r="1204" spans="1:15" x14ac:dyDescent="0.3">
      <c r="A1204" t="s">
        <v>2277</v>
      </c>
      <c r="B1204" t="s">
        <v>1985</v>
      </c>
      <c r="C1204" t="s">
        <v>1987</v>
      </c>
      <c r="D1204">
        <v>10</v>
      </c>
      <c r="E1204" t="s">
        <v>1447</v>
      </c>
      <c r="F1204" t="s">
        <v>1988</v>
      </c>
      <c r="G1204" t="s">
        <v>1737</v>
      </c>
      <c r="H1204" t="s">
        <v>2279</v>
      </c>
      <c r="I1204" t="s">
        <v>2279</v>
      </c>
      <c r="J1204" t="s">
        <v>2279</v>
      </c>
      <c r="K1204" t="s">
        <v>2279</v>
      </c>
      <c r="L1204" t="s">
        <v>1607</v>
      </c>
      <c r="M1204" t="s">
        <v>2279</v>
      </c>
      <c r="N1204" t="s">
        <v>2279</v>
      </c>
      <c r="O1204" s="190" t="str">
        <f>"["&amp;$C1204&amp;"]["&amp;$D1204&amp;"]["&amp;$F1204&amp;"]"</f>
        <v>[S06_InstallationsVerificationReportsIssueDetail][10][AnnexIActivity]</v>
      </c>
    </row>
    <row r="1205" spans="1:15" x14ac:dyDescent="0.3">
      <c r="A1205" t="s">
        <v>2277</v>
      </c>
      <c r="B1205" t="s">
        <v>1985</v>
      </c>
      <c r="C1205" t="s">
        <v>1987</v>
      </c>
      <c r="D1205">
        <v>11</v>
      </c>
      <c r="E1205" t="s">
        <v>1447</v>
      </c>
      <c r="F1205" t="s">
        <v>1988</v>
      </c>
      <c r="G1205" t="s">
        <v>1737</v>
      </c>
      <c r="H1205" t="s">
        <v>2279</v>
      </c>
      <c r="I1205" t="s">
        <v>2279</v>
      </c>
      <c r="J1205" t="s">
        <v>2279</v>
      </c>
      <c r="K1205" t="s">
        <v>2279</v>
      </c>
      <c r="L1205" t="s">
        <v>1518</v>
      </c>
      <c r="M1205" t="s">
        <v>2279</v>
      </c>
      <c r="N1205" t="s">
        <v>2279</v>
      </c>
      <c r="O1205" s="190" t="str">
        <f>"["&amp;$C1205&amp;"]["&amp;$D1205&amp;"]["&amp;$F1205&amp;"]"</f>
        <v>[S06_InstallationsVerificationReportsIssueDetail][11][AnnexIActivity]</v>
      </c>
    </row>
    <row r="1206" spans="1:15" x14ac:dyDescent="0.3">
      <c r="A1206" t="s">
        <v>2277</v>
      </c>
      <c r="B1206" t="s">
        <v>1985</v>
      </c>
      <c r="C1206" t="s">
        <v>1987</v>
      </c>
      <c r="D1206">
        <v>12</v>
      </c>
      <c r="E1206" t="s">
        <v>1447</v>
      </c>
      <c r="F1206" t="s">
        <v>1988</v>
      </c>
      <c r="G1206" t="s">
        <v>1737</v>
      </c>
      <c r="H1206" t="s">
        <v>2279</v>
      </c>
      <c r="I1206" t="s">
        <v>2279</v>
      </c>
      <c r="J1206" t="s">
        <v>2279</v>
      </c>
      <c r="K1206" t="s">
        <v>2279</v>
      </c>
      <c r="L1206" t="s">
        <v>1448</v>
      </c>
      <c r="M1206" t="s">
        <v>2279</v>
      </c>
      <c r="N1206" t="s">
        <v>2279</v>
      </c>
      <c r="O1206" s="190" t="str">
        <f>"["&amp;$C1206&amp;"]["&amp;$D1206&amp;"]["&amp;$F1206&amp;"]"</f>
        <v>[S06_InstallationsVerificationReportsIssueDetail][12][AnnexIActivity]</v>
      </c>
    </row>
    <row r="1207" spans="1:15" x14ac:dyDescent="0.3">
      <c r="A1207" t="s">
        <v>2277</v>
      </c>
      <c r="B1207" t="s">
        <v>1985</v>
      </c>
      <c r="C1207" t="s">
        <v>1987</v>
      </c>
      <c r="D1207">
        <v>13</v>
      </c>
      <c r="E1207" t="s">
        <v>1447</v>
      </c>
      <c r="F1207" t="s">
        <v>1988</v>
      </c>
      <c r="G1207" t="s">
        <v>1737</v>
      </c>
      <c r="H1207" t="s">
        <v>2279</v>
      </c>
      <c r="I1207" t="s">
        <v>2279</v>
      </c>
      <c r="J1207" t="s">
        <v>2279</v>
      </c>
      <c r="K1207" t="s">
        <v>2279</v>
      </c>
      <c r="L1207" t="s">
        <v>1562</v>
      </c>
      <c r="M1207" t="s">
        <v>2279</v>
      </c>
      <c r="N1207" t="s">
        <v>2279</v>
      </c>
      <c r="O1207" s="190" t="str">
        <f>"["&amp;$C1207&amp;"]["&amp;$D1207&amp;"]["&amp;$F1207&amp;"]"</f>
        <v>[S06_InstallationsVerificationReportsIssueDetail][13][AnnexIActivity]</v>
      </c>
    </row>
    <row r="1208" spans="1:15" x14ac:dyDescent="0.3">
      <c r="A1208" t="s">
        <v>2277</v>
      </c>
      <c r="B1208" t="s">
        <v>1985</v>
      </c>
      <c r="C1208" t="s">
        <v>1987</v>
      </c>
      <c r="D1208">
        <v>14</v>
      </c>
      <c r="E1208" t="s">
        <v>1447</v>
      </c>
      <c r="F1208" t="s">
        <v>1988</v>
      </c>
      <c r="G1208" t="s">
        <v>1737</v>
      </c>
      <c r="H1208" t="s">
        <v>2279</v>
      </c>
      <c r="I1208" t="s">
        <v>2279</v>
      </c>
      <c r="J1208" t="s">
        <v>2279</v>
      </c>
      <c r="K1208" t="s">
        <v>2279</v>
      </c>
      <c r="L1208" t="s">
        <v>1622</v>
      </c>
      <c r="M1208" t="s">
        <v>2279</v>
      </c>
      <c r="N1208" t="s">
        <v>2279</v>
      </c>
      <c r="O1208" s="190" t="str">
        <f>"["&amp;$C1208&amp;"]["&amp;$D1208&amp;"]["&amp;$F1208&amp;"]"</f>
        <v>[S06_InstallationsVerificationReportsIssueDetail][14][AnnexIActivity]</v>
      </c>
    </row>
    <row r="1209" spans="1:15" x14ac:dyDescent="0.3">
      <c r="A1209" t="s">
        <v>2277</v>
      </c>
      <c r="B1209" t="s">
        <v>1985</v>
      </c>
      <c r="C1209" t="s">
        <v>1987</v>
      </c>
      <c r="D1209">
        <v>15</v>
      </c>
      <c r="E1209" t="s">
        <v>1447</v>
      </c>
      <c r="F1209" t="s">
        <v>1988</v>
      </c>
      <c r="G1209" t="s">
        <v>1737</v>
      </c>
      <c r="H1209" t="s">
        <v>2279</v>
      </c>
      <c r="I1209" t="s">
        <v>2279</v>
      </c>
      <c r="J1209" t="s">
        <v>2279</v>
      </c>
      <c r="K1209" t="s">
        <v>2279</v>
      </c>
      <c r="L1209" t="s">
        <v>1631</v>
      </c>
      <c r="M1209" t="s">
        <v>2279</v>
      </c>
      <c r="N1209" t="s">
        <v>2279</v>
      </c>
      <c r="O1209" s="190" t="str">
        <f>"["&amp;$C1209&amp;"]["&amp;$D1209&amp;"]["&amp;$F1209&amp;"]"</f>
        <v>[S06_InstallationsVerificationReportsIssueDetail][15][AnnexIActivity]</v>
      </c>
    </row>
    <row r="1210" spans="1:15" x14ac:dyDescent="0.3">
      <c r="A1210" t="s">
        <v>2277</v>
      </c>
      <c r="B1210" t="s">
        <v>1985</v>
      </c>
      <c r="C1210" t="s">
        <v>1987</v>
      </c>
      <c r="D1210">
        <v>16</v>
      </c>
      <c r="E1210" t="s">
        <v>1447</v>
      </c>
      <c r="F1210" t="s">
        <v>1988</v>
      </c>
      <c r="G1210" t="s">
        <v>1737</v>
      </c>
      <c r="H1210" t="s">
        <v>2279</v>
      </c>
      <c r="I1210" t="s">
        <v>2279</v>
      </c>
      <c r="J1210" t="s">
        <v>2279</v>
      </c>
      <c r="K1210" t="s">
        <v>2279</v>
      </c>
      <c r="L1210" t="s">
        <v>1540</v>
      </c>
      <c r="M1210" t="s">
        <v>2279</v>
      </c>
      <c r="N1210" t="s">
        <v>2279</v>
      </c>
      <c r="O1210" s="190" t="str">
        <f>"["&amp;$C1210&amp;"]["&amp;$D1210&amp;"]["&amp;$F1210&amp;"]"</f>
        <v>[S06_InstallationsVerificationReportsIssueDetail][16][AnnexIActivity]</v>
      </c>
    </row>
    <row r="1211" spans="1:15" x14ac:dyDescent="0.3">
      <c r="A1211" t="s">
        <v>2277</v>
      </c>
      <c r="B1211" t="s">
        <v>1985</v>
      </c>
      <c r="C1211" t="s">
        <v>1987</v>
      </c>
      <c r="D1211">
        <v>17</v>
      </c>
      <c r="E1211" t="s">
        <v>1447</v>
      </c>
      <c r="F1211" t="s">
        <v>1988</v>
      </c>
      <c r="G1211" t="s">
        <v>1737</v>
      </c>
      <c r="H1211" t="s">
        <v>2279</v>
      </c>
      <c r="I1211" t="s">
        <v>2279</v>
      </c>
      <c r="J1211" t="s">
        <v>2279</v>
      </c>
      <c r="K1211" t="s">
        <v>2279</v>
      </c>
      <c r="L1211" t="s">
        <v>1502</v>
      </c>
      <c r="M1211" t="s">
        <v>2279</v>
      </c>
      <c r="N1211" t="s">
        <v>2279</v>
      </c>
      <c r="O1211" s="190" t="str">
        <f>"["&amp;$C1211&amp;"]["&amp;$D1211&amp;"]["&amp;$F1211&amp;"]"</f>
        <v>[S06_InstallationsVerificationReportsIssueDetail][17][AnnexIActivity]</v>
      </c>
    </row>
    <row r="1212" spans="1:15" x14ac:dyDescent="0.3">
      <c r="A1212" t="s">
        <v>2277</v>
      </c>
      <c r="B1212" t="s">
        <v>1985</v>
      </c>
      <c r="C1212" t="s">
        <v>1987</v>
      </c>
      <c r="D1212">
        <v>18</v>
      </c>
      <c r="E1212" t="s">
        <v>1447</v>
      </c>
      <c r="F1212" t="s">
        <v>1988</v>
      </c>
      <c r="G1212" t="s">
        <v>1737</v>
      </c>
      <c r="H1212" t="s">
        <v>2279</v>
      </c>
      <c r="I1212" t="s">
        <v>2279</v>
      </c>
      <c r="J1212" t="s">
        <v>2279</v>
      </c>
      <c r="K1212" t="s">
        <v>2279</v>
      </c>
      <c r="L1212" t="s">
        <v>1612</v>
      </c>
      <c r="M1212" t="s">
        <v>2279</v>
      </c>
      <c r="N1212" t="s">
        <v>2279</v>
      </c>
      <c r="O1212" s="190" t="str">
        <f>"["&amp;$C1212&amp;"]["&amp;$D1212&amp;"]["&amp;$F1212&amp;"]"</f>
        <v>[S06_InstallationsVerificationReportsIssueDetail][18][AnnexIActivity]</v>
      </c>
    </row>
    <row r="1213" spans="1:15" x14ac:dyDescent="0.3">
      <c r="A1213" t="s">
        <v>2277</v>
      </c>
      <c r="B1213" t="s">
        <v>1985</v>
      </c>
      <c r="C1213" t="s">
        <v>1987</v>
      </c>
      <c r="D1213">
        <v>19</v>
      </c>
      <c r="E1213" t="s">
        <v>1447</v>
      </c>
      <c r="F1213" t="s">
        <v>1988</v>
      </c>
      <c r="G1213" t="s">
        <v>1737</v>
      </c>
      <c r="H1213" t="s">
        <v>2279</v>
      </c>
      <c r="I1213" t="s">
        <v>2279</v>
      </c>
      <c r="J1213" t="s">
        <v>2279</v>
      </c>
      <c r="K1213" t="s">
        <v>2279</v>
      </c>
      <c r="L1213" t="s">
        <v>1617</v>
      </c>
      <c r="M1213" t="s">
        <v>2279</v>
      </c>
      <c r="N1213" t="s">
        <v>2279</v>
      </c>
      <c r="O1213" s="190" t="str">
        <f>"["&amp;$C1213&amp;"]["&amp;$D1213&amp;"]["&amp;$F1213&amp;"]"</f>
        <v>[S06_InstallationsVerificationReportsIssueDetail][19][AnnexIActivity]</v>
      </c>
    </row>
    <row r="1214" spans="1:15" x14ac:dyDescent="0.3">
      <c r="A1214" t="s">
        <v>2277</v>
      </c>
      <c r="B1214" t="s">
        <v>1985</v>
      </c>
      <c r="C1214" t="s">
        <v>1987</v>
      </c>
      <c r="D1214">
        <v>20</v>
      </c>
      <c r="E1214" t="s">
        <v>1447</v>
      </c>
      <c r="F1214" t="s">
        <v>1988</v>
      </c>
      <c r="G1214" t="s">
        <v>1737</v>
      </c>
      <c r="H1214" t="s">
        <v>2279</v>
      </c>
      <c r="I1214" t="s">
        <v>2279</v>
      </c>
      <c r="J1214" t="s">
        <v>2279</v>
      </c>
      <c r="K1214" t="s">
        <v>2279</v>
      </c>
      <c r="L1214" t="s">
        <v>1636</v>
      </c>
      <c r="M1214" t="s">
        <v>2279</v>
      </c>
      <c r="N1214" t="s">
        <v>2279</v>
      </c>
      <c r="O1214" s="190" t="str">
        <f>"["&amp;$C1214&amp;"]["&amp;$D1214&amp;"]["&amp;$F1214&amp;"]"</f>
        <v>[S06_InstallationsVerificationReportsIssueDetail][20][AnnexIActivity]</v>
      </c>
    </row>
    <row r="1215" spans="1:15" x14ac:dyDescent="0.3">
      <c r="A1215" t="s">
        <v>2277</v>
      </c>
      <c r="B1215" t="s">
        <v>1985</v>
      </c>
      <c r="C1215" t="s">
        <v>1987</v>
      </c>
      <c r="D1215">
        <v>21</v>
      </c>
      <c r="E1215" t="s">
        <v>1447</v>
      </c>
      <c r="F1215" t="s">
        <v>1988</v>
      </c>
      <c r="G1215" t="s">
        <v>1737</v>
      </c>
      <c r="H1215" t="s">
        <v>2279</v>
      </c>
      <c r="I1215" t="s">
        <v>2279</v>
      </c>
      <c r="J1215" t="s">
        <v>2279</v>
      </c>
      <c r="K1215" t="s">
        <v>2279</v>
      </c>
      <c r="L1215" t="s">
        <v>1478</v>
      </c>
      <c r="M1215" t="s">
        <v>2279</v>
      </c>
      <c r="N1215" t="s">
        <v>2279</v>
      </c>
      <c r="O1215" s="190" t="str">
        <f>"["&amp;$C1215&amp;"]["&amp;$D1215&amp;"]["&amp;$F1215&amp;"]"</f>
        <v>[S06_InstallationsVerificationReportsIssueDetail][21][AnnexIActivity]</v>
      </c>
    </row>
    <row r="1216" spans="1:15" x14ac:dyDescent="0.3">
      <c r="A1216" t="s">
        <v>2277</v>
      </c>
      <c r="B1216" t="s">
        <v>1985</v>
      </c>
      <c r="C1216" t="s">
        <v>1987</v>
      </c>
      <c r="D1216">
        <v>22</v>
      </c>
      <c r="E1216" t="s">
        <v>1447</v>
      </c>
      <c r="F1216" t="s">
        <v>1988</v>
      </c>
      <c r="G1216" t="s">
        <v>1737</v>
      </c>
      <c r="H1216" t="s">
        <v>2279</v>
      </c>
      <c r="I1216" t="s">
        <v>2279</v>
      </c>
      <c r="J1216" t="s">
        <v>2279</v>
      </c>
      <c r="K1216" t="s">
        <v>2279</v>
      </c>
      <c r="L1216" t="s">
        <v>1420</v>
      </c>
      <c r="M1216" t="s">
        <v>2279</v>
      </c>
      <c r="N1216" t="s">
        <v>2279</v>
      </c>
      <c r="O1216" s="190" t="str">
        <f>"["&amp;$C1216&amp;"]["&amp;$D1216&amp;"]["&amp;$F1216&amp;"]"</f>
        <v>[S06_InstallationsVerificationReportsIssueDetail][22][AnnexIActivity]</v>
      </c>
    </row>
    <row r="1217" spans="1:15" x14ac:dyDescent="0.3">
      <c r="A1217" t="s">
        <v>2277</v>
      </c>
      <c r="B1217" t="s">
        <v>1985</v>
      </c>
      <c r="C1217" t="s">
        <v>1987</v>
      </c>
      <c r="D1217">
        <v>23</v>
      </c>
      <c r="E1217" t="s">
        <v>1447</v>
      </c>
      <c r="F1217" t="s">
        <v>1988</v>
      </c>
      <c r="G1217" t="s">
        <v>1737</v>
      </c>
      <c r="H1217" t="s">
        <v>2279</v>
      </c>
      <c r="I1217" t="s">
        <v>2279</v>
      </c>
      <c r="J1217" t="s">
        <v>2279</v>
      </c>
      <c r="K1217" t="s">
        <v>2279</v>
      </c>
      <c r="L1217" t="s">
        <v>1582</v>
      </c>
      <c r="M1217" t="s">
        <v>2279</v>
      </c>
      <c r="N1217" t="s">
        <v>2279</v>
      </c>
      <c r="O1217" s="190" t="str">
        <f>"["&amp;$C1217&amp;"]["&amp;$D1217&amp;"]["&amp;$F1217&amp;"]"</f>
        <v>[S06_InstallationsVerificationReportsIssueDetail][23][AnnexIActivity]</v>
      </c>
    </row>
    <row r="1218" spans="1:15" x14ac:dyDescent="0.3">
      <c r="A1218" t="s">
        <v>2277</v>
      </c>
      <c r="B1218" t="s">
        <v>1985</v>
      </c>
      <c r="C1218" t="s">
        <v>1987</v>
      </c>
      <c r="D1218">
        <v>24</v>
      </c>
      <c r="E1218" t="s">
        <v>1447</v>
      </c>
      <c r="F1218" t="s">
        <v>1988</v>
      </c>
      <c r="G1218" t="s">
        <v>1737</v>
      </c>
      <c r="H1218" t="s">
        <v>2279</v>
      </c>
      <c r="I1218" t="s">
        <v>2279</v>
      </c>
      <c r="J1218" t="s">
        <v>2279</v>
      </c>
      <c r="K1218" t="s">
        <v>2279</v>
      </c>
      <c r="L1218" t="s">
        <v>1592</v>
      </c>
      <c r="M1218" t="s">
        <v>2279</v>
      </c>
      <c r="N1218" t="s">
        <v>2279</v>
      </c>
      <c r="O1218" s="190" t="str">
        <f>"["&amp;$C1218&amp;"]["&amp;$D1218&amp;"]["&amp;$F1218&amp;"]"</f>
        <v>[S06_InstallationsVerificationReportsIssueDetail][24][AnnexIActivity]</v>
      </c>
    </row>
    <row r="1219" spans="1:15" x14ac:dyDescent="0.3">
      <c r="A1219" t="s">
        <v>2277</v>
      </c>
      <c r="B1219" t="s">
        <v>1985</v>
      </c>
      <c r="C1219" t="s">
        <v>1987</v>
      </c>
      <c r="D1219">
        <v>25</v>
      </c>
      <c r="E1219" t="s">
        <v>1447</v>
      </c>
      <c r="F1219" t="s">
        <v>1988</v>
      </c>
      <c r="G1219" t="s">
        <v>1737</v>
      </c>
      <c r="H1219" t="s">
        <v>2279</v>
      </c>
      <c r="I1219" t="s">
        <v>2279</v>
      </c>
      <c r="J1219" t="s">
        <v>2279</v>
      </c>
      <c r="K1219" t="s">
        <v>2279</v>
      </c>
      <c r="L1219" t="s">
        <v>1573</v>
      </c>
      <c r="M1219" t="s">
        <v>2279</v>
      </c>
      <c r="N1219" t="s">
        <v>2279</v>
      </c>
      <c r="O1219" s="190" t="str">
        <f>"["&amp;$C1219&amp;"]["&amp;$D1219&amp;"]["&amp;$F1219&amp;"]"</f>
        <v>[S06_InstallationsVerificationReportsIssueDetail][25][AnnexIActivity]</v>
      </c>
    </row>
    <row r="1220" spans="1:15" x14ac:dyDescent="0.3">
      <c r="A1220" t="s">
        <v>2277</v>
      </c>
      <c r="B1220" t="s">
        <v>1985</v>
      </c>
      <c r="C1220" t="s">
        <v>1987</v>
      </c>
      <c r="D1220">
        <v>26</v>
      </c>
      <c r="E1220" t="s">
        <v>1447</v>
      </c>
      <c r="F1220" t="s">
        <v>1988</v>
      </c>
      <c r="G1220" t="s">
        <v>1737</v>
      </c>
      <c r="H1220" t="s">
        <v>2279</v>
      </c>
      <c r="I1220" t="s">
        <v>2279</v>
      </c>
      <c r="J1220" t="s">
        <v>2279</v>
      </c>
      <c r="K1220" t="s">
        <v>2279</v>
      </c>
      <c r="L1220" t="s">
        <v>1597</v>
      </c>
      <c r="M1220" t="s">
        <v>2279</v>
      </c>
      <c r="N1220" t="s">
        <v>2279</v>
      </c>
      <c r="O1220" s="190" t="str">
        <f>"["&amp;$C1220&amp;"]["&amp;$D1220&amp;"]["&amp;$F1220&amp;"]"</f>
        <v>[S06_InstallationsVerificationReportsIssueDetail][26][AnnexIActivity]</v>
      </c>
    </row>
    <row r="1221" spans="1:15" x14ac:dyDescent="0.3">
      <c r="A1221" t="s">
        <v>2277</v>
      </c>
      <c r="B1221" t="s">
        <v>1985</v>
      </c>
      <c r="C1221" t="s">
        <v>1987</v>
      </c>
      <c r="D1221">
        <v>27</v>
      </c>
      <c r="E1221" t="s">
        <v>1447</v>
      </c>
      <c r="F1221" t="s">
        <v>1988</v>
      </c>
      <c r="G1221" t="s">
        <v>1737</v>
      </c>
      <c r="H1221" t="s">
        <v>2279</v>
      </c>
      <c r="I1221" t="s">
        <v>2279</v>
      </c>
      <c r="J1221" t="s">
        <v>2279</v>
      </c>
      <c r="K1221" t="s">
        <v>2279</v>
      </c>
      <c r="L1221" t="s">
        <v>1587</v>
      </c>
      <c r="M1221" t="s">
        <v>2279</v>
      </c>
      <c r="N1221" t="s">
        <v>2279</v>
      </c>
      <c r="O1221" s="190" t="str">
        <f>"["&amp;$C1221&amp;"]["&amp;$D1221&amp;"]["&amp;$F1221&amp;"]"</f>
        <v>[S06_InstallationsVerificationReportsIssueDetail][27][AnnexIActivity]</v>
      </c>
    </row>
    <row r="1222" spans="1:15" x14ac:dyDescent="0.3">
      <c r="A1222" t="s">
        <v>2277</v>
      </c>
      <c r="B1222" t="s">
        <v>1985</v>
      </c>
      <c r="C1222" t="s">
        <v>1987</v>
      </c>
      <c r="D1222">
        <v>28</v>
      </c>
      <c r="E1222" t="s">
        <v>1447</v>
      </c>
      <c r="F1222" t="s">
        <v>1988</v>
      </c>
      <c r="G1222" t="s">
        <v>1737</v>
      </c>
      <c r="H1222" t="s">
        <v>2279</v>
      </c>
      <c r="I1222" t="s">
        <v>2279</v>
      </c>
      <c r="J1222" t="s">
        <v>2279</v>
      </c>
      <c r="K1222" t="s">
        <v>2279</v>
      </c>
      <c r="L1222" t="s">
        <v>1577</v>
      </c>
      <c r="M1222" t="s">
        <v>2279</v>
      </c>
      <c r="N1222" t="s">
        <v>2279</v>
      </c>
      <c r="O1222" s="190" t="str">
        <f>"["&amp;$C1222&amp;"]["&amp;$D1222&amp;"]["&amp;$F1222&amp;"]"</f>
        <v>[S06_InstallationsVerificationReportsIssueDetail][28][AnnexIActivity]</v>
      </c>
    </row>
    <row r="1223" spans="1:15" x14ac:dyDescent="0.3">
      <c r="A1223" t="s">
        <v>2277</v>
      </c>
      <c r="B1223" t="s">
        <v>1985</v>
      </c>
      <c r="C1223" t="s">
        <v>1987</v>
      </c>
      <c r="D1223">
        <v>29</v>
      </c>
      <c r="E1223" t="s">
        <v>1447</v>
      </c>
      <c r="F1223" t="s">
        <v>1988</v>
      </c>
      <c r="G1223" t="s">
        <v>1737</v>
      </c>
      <c r="H1223" t="s">
        <v>2279</v>
      </c>
      <c r="I1223" t="s">
        <v>2279</v>
      </c>
      <c r="J1223" t="s">
        <v>2279</v>
      </c>
      <c r="K1223" t="s">
        <v>2279</v>
      </c>
      <c r="L1223" t="s">
        <v>1568</v>
      </c>
      <c r="M1223" t="s">
        <v>2279</v>
      </c>
      <c r="N1223" t="s">
        <v>2279</v>
      </c>
      <c r="O1223" s="190" t="str">
        <f>"["&amp;$C1223&amp;"]["&amp;$D1223&amp;"]["&amp;$F1223&amp;"]"</f>
        <v>[S06_InstallationsVerificationReportsIssueDetail][29][AnnexIActivity]</v>
      </c>
    </row>
    <row r="1224" spans="1:15" x14ac:dyDescent="0.3">
      <c r="A1224" t="s">
        <v>2277</v>
      </c>
      <c r="B1224" t="s">
        <v>1985</v>
      </c>
      <c r="C1224" t="s">
        <v>1987</v>
      </c>
      <c r="D1224">
        <v>30</v>
      </c>
      <c r="E1224" t="s">
        <v>1447</v>
      </c>
      <c r="F1224" t="s">
        <v>1988</v>
      </c>
      <c r="G1224" t="s">
        <v>1737</v>
      </c>
      <c r="H1224" t="s">
        <v>2279</v>
      </c>
      <c r="I1224" t="s">
        <v>2279</v>
      </c>
      <c r="J1224" t="s">
        <v>2279</v>
      </c>
      <c r="K1224" t="s">
        <v>2279</v>
      </c>
      <c r="L1224" t="s">
        <v>1626</v>
      </c>
      <c r="M1224" t="s">
        <v>2279</v>
      </c>
      <c r="N1224" t="s">
        <v>2279</v>
      </c>
      <c r="O1224" s="190" t="str">
        <f>"["&amp;$C1224&amp;"]["&amp;$D1224&amp;"]["&amp;$F1224&amp;"]"</f>
        <v>[S06_InstallationsVerificationReportsIssueDetail][30][AnnexIActivity]</v>
      </c>
    </row>
    <row r="1225" spans="1:15" x14ac:dyDescent="0.3">
      <c r="A1225" t="s">
        <v>2277</v>
      </c>
      <c r="B1225" t="s">
        <v>1985</v>
      </c>
      <c r="C1225" t="s">
        <v>1987</v>
      </c>
      <c r="D1225">
        <v>31</v>
      </c>
      <c r="E1225" t="s">
        <v>1447</v>
      </c>
      <c r="F1225" t="s">
        <v>1988</v>
      </c>
      <c r="G1225" t="s">
        <v>1737</v>
      </c>
      <c r="H1225" t="s">
        <v>2279</v>
      </c>
      <c r="I1225" t="s">
        <v>2279</v>
      </c>
      <c r="J1225" t="s">
        <v>2279</v>
      </c>
      <c r="K1225" t="s">
        <v>2279</v>
      </c>
      <c r="L1225" t="s">
        <v>1607</v>
      </c>
      <c r="M1225" t="s">
        <v>2279</v>
      </c>
      <c r="N1225" t="s">
        <v>2279</v>
      </c>
      <c r="O1225" s="190" t="str">
        <f>"["&amp;$C1225&amp;"]["&amp;$D1225&amp;"]["&amp;$F1225&amp;"]"</f>
        <v>[S06_InstallationsVerificationReportsIssueDetail][31][AnnexIActivity]</v>
      </c>
    </row>
    <row r="1226" spans="1:15" x14ac:dyDescent="0.3">
      <c r="A1226" t="s">
        <v>2277</v>
      </c>
      <c r="B1226" t="s">
        <v>1985</v>
      </c>
      <c r="C1226" t="s">
        <v>1987</v>
      </c>
      <c r="D1226">
        <v>32</v>
      </c>
      <c r="E1226" t="s">
        <v>1447</v>
      </c>
      <c r="F1226" t="s">
        <v>1988</v>
      </c>
      <c r="G1226" t="s">
        <v>1737</v>
      </c>
      <c r="H1226" t="s">
        <v>2279</v>
      </c>
      <c r="I1226" t="s">
        <v>2279</v>
      </c>
      <c r="J1226" t="s">
        <v>2279</v>
      </c>
      <c r="K1226" t="s">
        <v>2279</v>
      </c>
      <c r="L1226" t="s">
        <v>1518</v>
      </c>
      <c r="M1226" t="s">
        <v>2279</v>
      </c>
      <c r="N1226" t="s">
        <v>2279</v>
      </c>
      <c r="O1226" s="190" t="str">
        <f>"["&amp;$C1226&amp;"]["&amp;$D1226&amp;"]["&amp;$F1226&amp;"]"</f>
        <v>[S06_InstallationsVerificationReportsIssueDetail][32][AnnexIActivity]</v>
      </c>
    </row>
    <row r="1227" spans="1:15" x14ac:dyDescent="0.3">
      <c r="A1227" t="s">
        <v>2277</v>
      </c>
      <c r="B1227" t="s">
        <v>1985</v>
      </c>
      <c r="C1227" t="s">
        <v>1987</v>
      </c>
      <c r="D1227">
        <v>33</v>
      </c>
      <c r="E1227" t="s">
        <v>1447</v>
      </c>
      <c r="F1227" t="s">
        <v>1988</v>
      </c>
      <c r="G1227" t="s">
        <v>1737</v>
      </c>
      <c r="H1227" t="s">
        <v>2279</v>
      </c>
      <c r="I1227" t="s">
        <v>2279</v>
      </c>
      <c r="J1227" t="s">
        <v>2279</v>
      </c>
      <c r="K1227" t="s">
        <v>2279</v>
      </c>
      <c r="L1227" t="s">
        <v>1562</v>
      </c>
      <c r="M1227" t="s">
        <v>2279</v>
      </c>
      <c r="N1227" t="s">
        <v>2279</v>
      </c>
      <c r="O1227" s="190" t="str">
        <f>"["&amp;$C1227&amp;"]["&amp;$D1227&amp;"]["&amp;$F1227&amp;"]"</f>
        <v>[S06_InstallationsVerificationReportsIssueDetail][33][AnnexIActivity]</v>
      </c>
    </row>
    <row r="1228" spans="1:15" x14ac:dyDescent="0.3">
      <c r="A1228" t="s">
        <v>2277</v>
      </c>
      <c r="B1228" t="s">
        <v>1985</v>
      </c>
      <c r="C1228" t="s">
        <v>1987</v>
      </c>
      <c r="D1228">
        <v>34</v>
      </c>
      <c r="E1228" t="s">
        <v>1447</v>
      </c>
      <c r="F1228" t="s">
        <v>1988</v>
      </c>
      <c r="G1228" t="s">
        <v>1737</v>
      </c>
      <c r="H1228" t="s">
        <v>2279</v>
      </c>
      <c r="I1228" t="s">
        <v>2279</v>
      </c>
      <c r="J1228" t="s">
        <v>2279</v>
      </c>
      <c r="K1228" t="s">
        <v>2279</v>
      </c>
      <c r="L1228" t="s">
        <v>1631</v>
      </c>
      <c r="M1228" t="s">
        <v>2279</v>
      </c>
      <c r="N1228" t="s">
        <v>2279</v>
      </c>
      <c r="O1228" s="190" t="str">
        <f>"["&amp;$C1228&amp;"]["&amp;$D1228&amp;"]["&amp;$F1228&amp;"]"</f>
        <v>[S06_InstallationsVerificationReportsIssueDetail][34][AnnexIActivity]</v>
      </c>
    </row>
    <row r="1229" spans="1:15" x14ac:dyDescent="0.3">
      <c r="A1229" t="s">
        <v>2277</v>
      </c>
      <c r="B1229" t="s">
        <v>1985</v>
      </c>
      <c r="C1229" t="s">
        <v>1987</v>
      </c>
      <c r="D1229">
        <v>35</v>
      </c>
      <c r="E1229" t="s">
        <v>1447</v>
      </c>
      <c r="F1229" t="s">
        <v>1988</v>
      </c>
      <c r="G1229" t="s">
        <v>1737</v>
      </c>
      <c r="H1229" t="s">
        <v>2279</v>
      </c>
      <c r="I1229" t="s">
        <v>2279</v>
      </c>
      <c r="J1229" t="s">
        <v>2279</v>
      </c>
      <c r="K1229" t="s">
        <v>2279</v>
      </c>
      <c r="L1229" t="s">
        <v>1502</v>
      </c>
      <c r="M1229" t="s">
        <v>2279</v>
      </c>
      <c r="N1229" t="s">
        <v>2279</v>
      </c>
      <c r="O1229" s="190" t="str">
        <f>"["&amp;$C1229&amp;"]["&amp;$D1229&amp;"]["&amp;$F1229&amp;"]"</f>
        <v>[S06_InstallationsVerificationReportsIssueDetail][35][AnnexIActivity]</v>
      </c>
    </row>
    <row r="1230" spans="1:15" x14ac:dyDescent="0.3">
      <c r="A1230" t="s">
        <v>2277</v>
      </c>
      <c r="B1230" t="s">
        <v>1985</v>
      </c>
      <c r="C1230" t="s">
        <v>1987</v>
      </c>
      <c r="D1230">
        <v>36</v>
      </c>
      <c r="E1230" t="s">
        <v>1447</v>
      </c>
      <c r="F1230" t="s">
        <v>1988</v>
      </c>
      <c r="G1230" t="s">
        <v>1737</v>
      </c>
      <c r="H1230" t="s">
        <v>2279</v>
      </c>
      <c r="I1230" t="s">
        <v>2279</v>
      </c>
      <c r="J1230" t="s">
        <v>2279</v>
      </c>
      <c r="K1230" t="s">
        <v>2279</v>
      </c>
      <c r="L1230" t="s">
        <v>1612</v>
      </c>
      <c r="M1230" t="s">
        <v>2279</v>
      </c>
      <c r="N1230" t="s">
        <v>2279</v>
      </c>
      <c r="O1230" s="190" t="str">
        <f>"["&amp;$C1230&amp;"]["&amp;$D1230&amp;"]["&amp;$F1230&amp;"]"</f>
        <v>[S06_InstallationsVerificationReportsIssueDetail][36][AnnexIActivity]</v>
      </c>
    </row>
    <row r="1231" spans="1:15" x14ac:dyDescent="0.3">
      <c r="A1231" t="s">
        <v>2277</v>
      </c>
      <c r="B1231" t="s">
        <v>1985</v>
      </c>
      <c r="C1231" t="s">
        <v>1987</v>
      </c>
      <c r="D1231">
        <v>37</v>
      </c>
      <c r="E1231" t="s">
        <v>1447</v>
      </c>
      <c r="F1231" t="s">
        <v>1988</v>
      </c>
      <c r="G1231" t="s">
        <v>1737</v>
      </c>
      <c r="H1231" t="s">
        <v>2279</v>
      </c>
      <c r="I1231" t="s">
        <v>2279</v>
      </c>
      <c r="J1231" t="s">
        <v>2279</v>
      </c>
      <c r="K1231" t="s">
        <v>2279</v>
      </c>
      <c r="L1231" t="s">
        <v>1478</v>
      </c>
      <c r="M1231" t="s">
        <v>2279</v>
      </c>
      <c r="N1231" t="s">
        <v>2279</v>
      </c>
      <c r="O1231" s="190" t="str">
        <f>"["&amp;$C1231&amp;"]["&amp;$D1231&amp;"]["&amp;$F1231&amp;"]"</f>
        <v>[S06_InstallationsVerificationReportsIssueDetail][37][AnnexIActivity]</v>
      </c>
    </row>
    <row r="1232" spans="1:15" x14ac:dyDescent="0.3">
      <c r="A1232" t="s">
        <v>2277</v>
      </c>
      <c r="B1232" t="s">
        <v>1985</v>
      </c>
      <c r="C1232" t="s">
        <v>1987</v>
      </c>
      <c r="D1232">
        <v>38</v>
      </c>
      <c r="E1232" t="s">
        <v>1447</v>
      </c>
      <c r="F1232" t="s">
        <v>1988</v>
      </c>
      <c r="G1232" t="s">
        <v>1737</v>
      </c>
      <c r="H1232" t="s">
        <v>2279</v>
      </c>
      <c r="I1232" t="s">
        <v>2279</v>
      </c>
      <c r="J1232" t="s">
        <v>2279</v>
      </c>
      <c r="K1232" t="s">
        <v>2279</v>
      </c>
      <c r="L1232" t="s">
        <v>1420</v>
      </c>
      <c r="M1232" t="s">
        <v>2279</v>
      </c>
      <c r="N1232" t="s">
        <v>2279</v>
      </c>
      <c r="O1232" s="190" t="str">
        <f>"["&amp;$C1232&amp;"]["&amp;$D1232&amp;"]["&amp;$F1232&amp;"]"</f>
        <v>[S06_InstallationsVerificationReportsIssueDetail][38][AnnexIActivity]</v>
      </c>
    </row>
    <row r="1233" spans="1:15" x14ac:dyDescent="0.3">
      <c r="A1233" t="s">
        <v>2277</v>
      </c>
      <c r="B1233" t="s">
        <v>1985</v>
      </c>
      <c r="C1233" t="s">
        <v>1987</v>
      </c>
      <c r="D1233">
        <v>39</v>
      </c>
      <c r="E1233" t="s">
        <v>1447</v>
      </c>
      <c r="F1233" t="s">
        <v>1988</v>
      </c>
      <c r="G1233" t="s">
        <v>1737</v>
      </c>
      <c r="H1233" t="s">
        <v>2279</v>
      </c>
      <c r="I1233" t="s">
        <v>2279</v>
      </c>
      <c r="J1233" t="s">
        <v>2279</v>
      </c>
      <c r="K1233" t="s">
        <v>2279</v>
      </c>
      <c r="L1233" t="s">
        <v>1582</v>
      </c>
      <c r="M1233" t="s">
        <v>2279</v>
      </c>
      <c r="N1233" t="s">
        <v>2279</v>
      </c>
      <c r="O1233" s="190" t="str">
        <f>"["&amp;$C1233&amp;"]["&amp;$D1233&amp;"]["&amp;$F1233&amp;"]"</f>
        <v>[S06_InstallationsVerificationReportsIssueDetail][39][AnnexIActivity]</v>
      </c>
    </row>
    <row r="1234" spans="1:15" x14ac:dyDescent="0.3">
      <c r="A1234" t="s">
        <v>2277</v>
      </c>
      <c r="B1234" t="s">
        <v>1985</v>
      </c>
      <c r="C1234" t="s">
        <v>1987</v>
      </c>
      <c r="D1234">
        <v>40</v>
      </c>
      <c r="E1234" t="s">
        <v>1447</v>
      </c>
      <c r="F1234" t="s">
        <v>1988</v>
      </c>
      <c r="G1234" t="s">
        <v>1737</v>
      </c>
      <c r="H1234" t="s">
        <v>2279</v>
      </c>
      <c r="I1234" t="s">
        <v>2279</v>
      </c>
      <c r="J1234" t="s">
        <v>2279</v>
      </c>
      <c r="K1234" t="s">
        <v>2279</v>
      </c>
      <c r="L1234" t="s">
        <v>1592</v>
      </c>
      <c r="M1234" t="s">
        <v>2279</v>
      </c>
      <c r="N1234" t="s">
        <v>2279</v>
      </c>
      <c r="O1234" s="190" t="str">
        <f>"["&amp;$C1234&amp;"]["&amp;$D1234&amp;"]["&amp;$F1234&amp;"]"</f>
        <v>[S06_InstallationsVerificationReportsIssueDetail][40][AnnexIActivity]</v>
      </c>
    </row>
    <row r="1235" spans="1:15" x14ac:dyDescent="0.3">
      <c r="A1235" t="s">
        <v>2277</v>
      </c>
      <c r="B1235" t="s">
        <v>1985</v>
      </c>
      <c r="C1235" t="s">
        <v>1987</v>
      </c>
      <c r="D1235">
        <v>41</v>
      </c>
      <c r="E1235" t="s">
        <v>1447</v>
      </c>
      <c r="F1235" t="s">
        <v>1988</v>
      </c>
      <c r="G1235" t="s">
        <v>1737</v>
      </c>
      <c r="H1235" t="s">
        <v>2279</v>
      </c>
      <c r="I1235" t="s">
        <v>2279</v>
      </c>
      <c r="J1235" t="s">
        <v>2279</v>
      </c>
      <c r="K1235" t="s">
        <v>2279</v>
      </c>
      <c r="L1235" t="s">
        <v>1573</v>
      </c>
      <c r="M1235" t="s">
        <v>2279</v>
      </c>
      <c r="N1235" t="s">
        <v>2279</v>
      </c>
      <c r="O1235" s="190" t="str">
        <f>"["&amp;$C1235&amp;"]["&amp;$D1235&amp;"]["&amp;$F1235&amp;"]"</f>
        <v>[S06_InstallationsVerificationReportsIssueDetail][41][AnnexIActivity]</v>
      </c>
    </row>
    <row r="1236" spans="1:15" x14ac:dyDescent="0.3">
      <c r="A1236" t="s">
        <v>2277</v>
      </c>
      <c r="B1236" t="s">
        <v>1985</v>
      </c>
      <c r="C1236" t="s">
        <v>1987</v>
      </c>
      <c r="D1236">
        <v>42</v>
      </c>
      <c r="E1236" t="s">
        <v>1447</v>
      </c>
      <c r="F1236" t="s">
        <v>1988</v>
      </c>
      <c r="G1236" t="s">
        <v>1737</v>
      </c>
      <c r="H1236" t="s">
        <v>2279</v>
      </c>
      <c r="I1236" t="s">
        <v>2279</v>
      </c>
      <c r="J1236" t="s">
        <v>2279</v>
      </c>
      <c r="K1236" t="s">
        <v>2279</v>
      </c>
      <c r="L1236" t="s">
        <v>1597</v>
      </c>
      <c r="M1236" t="s">
        <v>2279</v>
      </c>
      <c r="N1236" t="s">
        <v>2279</v>
      </c>
      <c r="O1236" s="190" t="str">
        <f>"["&amp;$C1236&amp;"]["&amp;$D1236&amp;"]["&amp;$F1236&amp;"]"</f>
        <v>[S06_InstallationsVerificationReportsIssueDetail][42][AnnexIActivity]</v>
      </c>
    </row>
    <row r="1237" spans="1:15" x14ac:dyDescent="0.3">
      <c r="A1237" t="s">
        <v>2277</v>
      </c>
      <c r="B1237" t="s">
        <v>1985</v>
      </c>
      <c r="C1237" t="s">
        <v>1987</v>
      </c>
      <c r="D1237">
        <v>43</v>
      </c>
      <c r="E1237" t="s">
        <v>1447</v>
      </c>
      <c r="F1237" t="s">
        <v>1988</v>
      </c>
      <c r="G1237" t="s">
        <v>1737</v>
      </c>
      <c r="H1237" t="s">
        <v>2279</v>
      </c>
      <c r="I1237" t="s">
        <v>2279</v>
      </c>
      <c r="J1237" t="s">
        <v>2279</v>
      </c>
      <c r="K1237" t="s">
        <v>2279</v>
      </c>
      <c r="L1237" t="s">
        <v>1587</v>
      </c>
      <c r="M1237" t="s">
        <v>2279</v>
      </c>
      <c r="N1237" t="s">
        <v>2279</v>
      </c>
      <c r="O1237" s="190" t="str">
        <f>"["&amp;$C1237&amp;"]["&amp;$D1237&amp;"]["&amp;$F1237&amp;"]"</f>
        <v>[S06_InstallationsVerificationReportsIssueDetail][43][AnnexIActivity]</v>
      </c>
    </row>
    <row r="1238" spans="1:15" x14ac:dyDescent="0.3">
      <c r="A1238" t="s">
        <v>2277</v>
      </c>
      <c r="B1238" t="s">
        <v>1985</v>
      </c>
      <c r="C1238" t="s">
        <v>1987</v>
      </c>
      <c r="D1238">
        <v>44</v>
      </c>
      <c r="E1238" t="s">
        <v>1447</v>
      </c>
      <c r="F1238" t="s">
        <v>1988</v>
      </c>
      <c r="G1238" t="s">
        <v>1737</v>
      </c>
      <c r="H1238" t="s">
        <v>2279</v>
      </c>
      <c r="I1238" t="s">
        <v>2279</v>
      </c>
      <c r="J1238" t="s">
        <v>2279</v>
      </c>
      <c r="K1238" t="s">
        <v>2279</v>
      </c>
      <c r="L1238" t="s">
        <v>1549</v>
      </c>
      <c r="M1238" t="s">
        <v>2279</v>
      </c>
      <c r="N1238" t="s">
        <v>2279</v>
      </c>
      <c r="O1238" s="190" t="str">
        <f>"["&amp;$C1238&amp;"]["&amp;$D1238&amp;"]["&amp;$F1238&amp;"]"</f>
        <v>[S06_InstallationsVerificationReportsIssueDetail][44][AnnexIActivity]</v>
      </c>
    </row>
    <row r="1239" spans="1:15" x14ac:dyDescent="0.3">
      <c r="A1239" t="s">
        <v>2277</v>
      </c>
      <c r="B1239" t="s">
        <v>1985</v>
      </c>
      <c r="C1239" t="s">
        <v>1987</v>
      </c>
      <c r="D1239">
        <v>45</v>
      </c>
      <c r="E1239" t="s">
        <v>1447</v>
      </c>
      <c r="F1239" t="s">
        <v>1988</v>
      </c>
      <c r="G1239" t="s">
        <v>1737</v>
      </c>
      <c r="H1239" t="s">
        <v>2279</v>
      </c>
      <c r="I1239" t="s">
        <v>2279</v>
      </c>
      <c r="J1239" t="s">
        <v>2279</v>
      </c>
      <c r="K1239" t="s">
        <v>2279</v>
      </c>
      <c r="L1239" t="s">
        <v>1577</v>
      </c>
      <c r="M1239" t="s">
        <v>2279</v>
      </c>
      <c r="N1239" t="s">
        <v>2279</v>
      </c>
      <c r="O1239" s="190" t="str">
        <f>"["&amp;$C1239&amp;"]["&amp;$D1239&amp;"]["&amp;$F1239&amp;"]"</f>
        <v>[S06_InstallationsVerificationReportsIssueDetail][45][AnnexIActivity]</v>
      </c>
    </row>
    <row r="1240" spans="1:15" x14ac:dyDescent="0.3">
      <c r="A1240" t="s">
        <v>2277</v>
      </c>
      <c r="B1240" t="s">
        <v>1985</v>
      </c>
      <c r="C1240" t="s">
        <v>1987</v>
      </c>
      <c r="D1240">
        <v>46</v>
      </c>
      <c r="E1240" t="s">
        <v>1447</v>
      </c>
      <c r="F1240" t="s">
        <v>1988</v>
      </c>
      <c r="G1240" t="s">
        <v>1737</v>
      </c>
      <c r="H1240" t="s">
        <v>2279</v>
      </c>
      <c r="I1240" t="s">
        <v>2279</v>
      </c>
      <c r="J1240" t="s">
        <v>2279</v>
      </c>
      <c r="K1240" t="s">
        <v>2279</v>
      </c>
      <c r="L1240" t="s">
        <v>1568</v>
      </c>
      <c r="M1240" t="s">
        <v>2279</v>
      </c>
      <c r="N1240" t="s">
        <v>2279</v>
      </c>
      <c r="O1240" s="190" t="str">
        <f>"["&amp;$C1240&amp;"]["&amp;$D1240&amp;"]["&amp;$F1240&amp;"]"</f>
        <v>[S06_InstallationsVerificationReportsIssueDetail][46][AnnexIActivity]</v>
      </c>
    </row>
    <row r="1241" spans="1:15" x14ac:dyDescent="0.3">
      <c r="A1241" t="s">
        <v>2277</v>
      </c>
      <c r="B1241" t="s">
        <v>1985</v>
      </c>
      <c r="C1241" t="s">
        <v>1987</v>
      </c>
      <c r="D1241">
        <v>47</v>
      </c>
      <c r="E1241" t="s">
        <v>1447</v>
      </c>
      <c r="F1241" t="s">
        <v>1988</v>
      </c>
      <c r="G1241" t="s">
        <v>1737</v>
      </c>
      <c r="H1241" t="s">
        <v>2279</v>
      </c>
      <c r="I1241" t="s">
        <v>2279</v>
      </c>
      <c r="J1241" t="s">
        <v>2279</v>
      </c>
      <c r="K1241" t="s">
        <v>2279</v>
      </c>
      <c r="L1241" t="s">
        <v>1626</v>
      </c>
      <c r="M1241" t="s">
        <v>2279</v>
      </c>
      <c r="N1241" t="s">
        <v>2279</v>
      </c>
      <c r="O1241" s="190" t="str">
        <f>"["&amp;$C1241&amp;"]["&amp;$D1241&amp;"]["&amp;$F1241&amp;"]"</f>
        <v>[S06_InstallationsVerificationReportsIssueDetail][47][AnnexIActivity]</v>
      </c>
    </row>
    <row r="1242" spans="1:15" x14ac:dyDescent="0.3">
      <c r="A1242" t="s">
        <v>2277</v>
      </c>
      <c r="B1242" t="s">
        <v>1985</v>
      </c>
      <c r="C1242" t="s">
        <v>1987</v>
      </c>
      <c r="D1242">
        <v>48</v>
      </c>
      <c r="E1242" t="s">
        <v>1447</v>
      </c>
      <c r="F1242" t="s">
        <v>1988</v>
      </c>
      <c r="G1242" t="s">
        <v>1737</v>
      </c>
      <c r="H1242" t="s">
        <v>2279</v>
      </c>
      <c r="I1242" t="s">
        <v>2279</v>
      </c>
      <c r="J1242" t="s">
        <v>2279</v>
      </c>
      <c r="K1242" t="s">
        <v>2279</v>
      </c>
      <c r="L1242" t="s">
        <v>1607</v>
      </c>
      <c r="M1242" t="s">
        <v>2279</v>
      </c>
      <c r="N1242" t="s">
        <v>2279</v>
      </c>
      <c r="O1242" s="190" t="str">
        <f>"["&amp;$C1242&amp;"]["&amp;$D1242&amp;"]["&amp;$F1242&amp;"]"</f>
        <v>[S06_InstallationsVerificationReportsIssueDetail][48][AnnexIActivity]</v>
      </c>
    </row>
    <row r="1243" spans="1:15" x14ac:dyDescent="0.3">
      <c r="A1243" t="s">
        <v>2277</v>
      </c>
      <c r="B1243" t="s">
        <v>1985</v>
      </c>
      <c r="C1243" t="s">
        <v>1987</v>
      </c>
      <c r="D1243">
        <v>49</v>
      </c>
      <c r="E1243" t="s">
        <v>1447</v>
      </c>
      <c r="F1243" t="s">
        <v>1988</v>
      </c>
      <c r="G1243" t="s">
        <v>1737</v>
      </c>
      <c r="H1243" t="s">
        <v>2279</v>
      </c>
      <c r="I1243" t="s">
        <v>2279</v>
      </c>
      <c r="J1243" t="s">
        <v>2279</v>
      </c>
      <c r="K1243" t="s">
        <v>2279</v>
      </c>
      <c r="L1243" t="s">
        <v>1518</v>
      </c>
      <c r="M1243" t="s">
        <v>2279</v>
      </c>
      <c r="N1243" t="s">
        <v>2279</v>
      </c>
      <c r="O1243" s="190" t="str">
        <f>"["&amp;$C1243&amp;"]["&amp;$D1243&amp;"]["&amp;$F1243&amp;"]"</f>
        <v>[S06_InstallationsVerificationReportsIssueDetail][49][AnnexIActivity]</v>
      </c>
    </row>
    <row r="1244" spans="1:15" x14ac:dyDescent="0.3">
      <c r="A1244" t="s">
        <v>2277</v>
      </c>
      <c r="B1244" t="s">
        <v>1985</v>
      </c>
      <c r="C1244" t="s">
        <v>1987</v>
      </c>
      <c r="D1244">
        <v>50</v>
      </c>
      <c r="E1244" t="s">
        <v>1447</v>
      </c>
      <c r="F1244" t="s">
        <v>1988</v>
      </c>
      <c r="G1244" t="s">
        <v>1737</v>
      </c>
      <c r="H1244" t="s">
        <v>2279</v>
      </c>
      <c r="I1244" t="s">
        <v>2279</v>
      </c>
      <c r="J1244" t="s">
        <v>2279</v>
      </c>
      <c r="K1244" t="s">
        <v>2279</v>
      </c>
      <c r="L1244" t="s">
        <v>1448</v>
      </c>
      <c r="M1244" t="s">
        <v>2279</v>
      </c>
      <c r="N1244" t="s">
        <v>2279</v>
      </c>
      <c r="O1244" s="190" t="str">
        <f>"["&amp;$C1244&amp;"]["&amp;$D1244&amp;"]["&amp;$F1244&amp;"]"</f>
        <v>[S06_InstallationsVerificationReportsIssueDetail][50][AnnexIActivity]</v>
      </c>
    </row>
    <row r="1245" spans="1:15" x14ac:dyDescent="0.3">
      <c r="A1245" t="s">
        <v>2277</v>
      </c>
      <c r="B1245" t="s">
        <v>1985</v>
      </c>
      <c r="C1245" t="s">
        <v>1987</v>
      </c>
      <c r="D1245">
        <v>51</v>
      </c>
      <c r="E1245" t="s">
        <v>1447</v>
      </c>
      <c r="F1245" t="s">
        <v>1988</v>
      </c>
      <c r="G1245" t="s">
        <v>1737</v>
      </c>
      <c r="H1245" t="s">
        <v>2279</v>
      </c>
      <c r="I1245" t="s">
        <v>2279</v>
      </c>
      <c r="J1245" t="s">
        <v>2279</v>
      </c>
      <c r="K1245" t="s">
        <v>2279</v>
      </c>
      <c r="L1245" t="s">
        <v>1562</v>
      </c>
      <c r="M1245" t="s">
        <v>2279</v>
      </c>
      <c r="N1245" t="s">
        <v>2279</v>
      </c>
      <c r="O1245" s="190" t="str">
        <f>"["&amp;$C1245&amp;"]["&amp;$D1245&amp;"]["&amp;$F1245&amp;"]"</f>
        <v>[S06_InstallationsVerificationReportsIssueDetail][51][AnnexIActivity]</v>
      </c>
    </row>
    <row r="1246" spans="1:15" x14ac:dyDescent="0.3">
      <c r="A1246" t="s">
        <v>2277</v>
      </c>
      <c r="B1246" t="s">
        <v>1985</v>
      </c>
      <c r="C1246" t="s">
        <v>1987</v>
      </c>
      <c r="D1246">
        <v>52</v>
      </c>
      <c r="E1246" t="s">
        <v>1447</v>
      </c>
      <c r="F1246" t="s">
        <v>1988</v>
      </c>
      <c r="G1246" t="s">
        <v>1737</v>
      </c>
      <c r="H1246" t="s">
        <v>2279</v>
      </c>
      <c r="I1246" t="s">
        <v>2279</v>
      </c>
      <c r="J1246" t="s">
        <v>2279</v>
      </c>
      <c r="K1246" t="s">
        <v>2279</v>
      </c>
      <c r="L1246" t="s">
        <v>1622</v>
      </c>
      <c r="M1246" t="s">
        <v>2279</v>
      </c>
      <c r="N1246" t="s">
        <v>2279</v>
      </c>
      <c r="O1246" s="190" t="str">
        <f>"["&amp;$C1246&amp;"]["&amp;$D1246&amp;"]["&amp;$F1246&amp;"]"</f>
        <v>[S06_InstallationsVerificationReportsIssueDetail][52][AnnexIActivity]</v>
      </c>
    </row>
    <row r="1247" spans="1:15" x14ac:dyDescent="0.3">
      <c r="A1247" t="s">
        <v>2277</v>
      </c>
      <c r="B1247" t="s">
        <v>1985</v>
      </c>
      <c r="C1247" t="s">
        <v>1987</v>
      </c>
      <c r="D1247">
        <v>53</v>
      </c>
      <c r="E1247" t="s">
        <v>1447</v>
      </c>
      <c r="F1247" t="s">
        <v>1988</v>
      </c>
      <c r="G1247" t="s">
        <v>1737</v>
      </c>
      <c r="H1247" t="s">
        <v>2279</v>
      </c>
      <c r="I1247" t="s">
        <v>2279</v>
      </c>
      <c r="J1247" t="s">
        <v>2279</v>
      </c>
      <c r="K1247" t="s">
        <v>2279</v>
      </c>
      <c r="L1247" t="s">
        <v>1631</v>
      </c>
      <c r="M1247" t="s">
        <v>2279</v>
      </c>
      <c r="N1247" t="s">
        <v>2279</v>
      </c>
      <c r="O1247" s="190" t="str">
        <f>"["&amp;$C1247&amp;"]["&amp;$D1247&amp;"]["&amp;$F1247&amp;"]"</f>
        <v>[S06_InstallationsVerificationReportsIssueDetail][53][AnnexIActivity]</v>
      </c>
    </row>
    <row r="1248" spans="1:15" x14ac:dyDescent="0.3">
      <c r="A1248" t="s">
        <v>2277</v>
      </c>
      <c r="B1248" t="s">
        <v>1985</v>
      </c>
      <c r="C1248" t="s">
        <v>1987</v>
      </c>
      <c r="D1248">
        <v>54</v>
      </c>
      <c r="E1248" t="s">
        <v>1447</v>
      </c>
      <c r="F1248" t="s">
        <v>1988</v>
      </c>
      <c r="G1248" t="s">
        <v>1737</v>
      </c>
      <c r="H1248" t="s">
        <v>2279</v>
      </c>
      <c r="I1248" t="s">
        <v>2279</v>
      </c>
      <c r="J1248" t="s">
        <v>2279</v>
      </c>
      <c r="K1248" t="s">
        <v>2279</v>
      </c>
      <c r="L1248" t="s">
        <v>1502</v>
      </c>
      <c r="M1248" t="s">
        <v>2279</v>
      </c>
      <c r="N1248" t="s">
        <v>2279</v>
      </c>
      <c r="O1248" s="190" t="str">
        <f>"["&amp;$C1248&amp;"]["&amp;$D1248&amp;"]["&amp;$F1248&amp;"]"</f>
        <v>[S06_InstallationsVerificationReportsIssueDetail][54][AnnexIActivity]</v>
      </c>
    </row>
    <row r="1249" spans="1:15" x14ac:dyDescent="0.3">
      <c r="A1249" t="s">
        <v>2277</v>
      </c>
      <c r="B1249" t="s">
        <v>1985</v>
      </c>
      <c r="C1249" t="s">
        <v>1987</v>
      </c>
      <c r="D1249">
        <v>55</v>
      </c>
      <c r="E1249" t="s">
        <v>1447</v>
      </c>
      <c r="F1249" t="s">
        <v>1988</v>
      </c>
      <c r="G1249" t="s">
        <v>1737</v>
      </c>
      <c r="H1249" t="s">
        <v>2279</v>
      </c>
      <c r="I1249" t="s">
        <v>2279</v>
      </c>
      <c r="J1249" t="s">
        <v>2279</v>
      </c>
      <c r="K1249" t="s">
        <v>2279</v>
      </c>
      <c r="L1249" t="s">
        <v>1612</v>
      </c>
      <c r="M1249" t="s">
        <v>2279</v>
      </c>
      <c r="N1249" t="s">
        <v>2279</v>
      </c>
      <c r="O1249" s="190" t="str">
        <f>"["&amp;$C1249&amp;"]["&amp;$D1249&amp;"]["&amp;$F1249&amp;"]"</f>
        <v>[S06_InstallationsVerificationReportsIssueDetail][55][AnnexIActivity]</v>
      </c>
    </row>
    <row r="1250" spans="1:15" x14ac:dyDescent="0.3">
      <c r="A1250" t="s">
        <v>2277</v>
      </c>
      <c r="B1250" t="s">
        <v>1985</v>
      </c>
      <c r="C1250" t="s">
        <v>1987</v>
      </c>
      <c r="D1250">
        <v>56</v>
      </c>
      <c r="E1250" t="s">
        <v>1447</v>
      </c>
      <c r="F1250" t="s">
        <v>1988</v>
      </c>
      <c r="G1250" t="s">
        <v>1737</v>
      </c>
      <c r="H1250" t="s">
        <v>2279</v>
      </c>
      <c r="I1250" t="s">
        <v>2279</v>
      </c>
      <c r="J1250" t="s">
        <v>2279</v>
      </c>
      <c r="K1250" t="s">
        <v>2279</v>
      </c>
      <c r="L1250" t="s">
        <v>1636</v>
      </c>
      <c r="M1250" t="s">
        <v>2279</v>
      </c>
      <c r="N1250" t="s">
        <v>2279</v>
      </c>
      <c r="O1250" s="190" t="str">
        <f>"["&amp;$C1250&amp;"]["&amp;$D1250&amp;"]["&amp;$F1250&amp;"]"</f>
        <v>[S06_InstallationsVerificationReportsIssueDetail][56][AnnexIActivity]</v>
      </c>
    </row>
    <row r="1251" spans="1:15" x14ac:dyDescent="0.3">
      <c r="A1251" t="s">
        <v>2277</v>
      </c>
      <c r="B1251" t="s">
        <v>1985</v>
      </c>
      <c r="C1251" t="s">
        <v>1987</v>
      </c>
      <c r="D1251">
        <v>57</v>
      </c>
      <c r="E1251" t="s">
        <v>1447</v>
      </c>
      <c r="F1251" t="s">
        <v>1988</v>
      </c>
      <c r="G1251" t="s">
        <v>1737</v>
      </c>
      <c r="H1251" t="s">
        <v>2279</v>
      </c>
      <c r="I1251" t="s">
        <v>2279</v>
      </c>
      <c r="J1251" t="s">
        <v>2279</v>
      </c>
      <c r="K1251" t="s">
        <v>2279</v>
      </c>
      <c r="L1251" t="s">
        <v>1478</v>
      </c>
      <c r="M1251" t="s">
        <v>2279</v>
      </c>
      <c r="N1251" t="s">
        <v>2279</v>
      </c>
      <c r="O1251" s="190" t="str">
        <f>"["&amp;$C1251&amp;"]["&amp;$D1251&amp;"]["&amp;$F1251&amp;"]"</f>
        <v>[S06_InstallationsVerificationReportsIssueDetail][57][AnnexIActivity]</v>
      </c>
    </row>
    <row r="1252" spans="1:15" x14ac:dyDescent="0.3">
      <c r="A1252" t="s">
        <v>2277</v>
      </c>
      <c r="B1252" t="s">
        <v>1985</v>
      </c>
      <c r="C1252" t="s">
        <v>1987</v>
      </c>
      <c r="D1252">
        <v>58</v>
      </c>
      <c r="E1252" t="s">
        <v>1447</v>
      </c>
      <c r="F1252" t="s">
        <v>1988</v>
      </c>
      <c r="G1252" t="s">
        <v>1737</v>
      </c>
      <c r="H1252" t="s">
        <v>2279</v>
      </c>
      <c r="I1252" t="s">
        <v>2279</v>
      </c>
      <c r="J1252" t="s">
        <v>2279</v>
      </c>
      <c r="K1252" t="s">
        <v>2279</v>
      </c>
      <c r="L1252" t="s">
        <v>1420</v>
      </c>
      <c r="M1252" t="s">
        <v>2279</v>
      </c>
      <c r="N1252" t="s">
        <v>2279</v>
      </c>
      <c r="O1252" s="190" t="str">
        <f>"["&amp;$C1252&amp;"]["&amp;$D1252&amp;"]["&amp;$F1252&amp;"]"</f>
        <v>[S06_InstallationsVerificationReportsIssueDetail][58][AnnexIActivity]</v>
      </c>
    </row>
    <row r="1253" spans="1:15" x14ac:dyDescent="0.3">
      <c r="A1253" t="s">
        <v>2277</v>
      </c>
      <c r="B1253" t="s">
        <v>1985</v>
      </c>
      <c r="C1253" t="s">
        <v>1987</v>
      </c>
      <c r="D1253">
        <v>59</v>
      </c>
      <c r="E1253" t="s">
        <v>1447</v>
      </c>
      <c r="F1253" t="s">
        <v>1988</v>
      </c>
      <c r="G1253" t="s">
        <v>1737</v>
      </c>
      <c r="H1253" t="s">
        <v>2279</v>
      </c>
      <c r="I1253" t="s">
        <v>2279</v>
      </c>
      <c r="J1253" t="s">
        <v>2279</v>
      </c>
      <c r="K1253" t="s">
        <v>2279</v>
      </c>
      <c r="L1253" t="s">
        <v>1582</v>
      </c>
      <c r="M1253" t="s">
        <v>2279</v>
      </c>
      <c r="N1253" t="s">
        <v>2279</v>
      </c>
      <c r="O1253" s="190" t="str">
        <f>"["&amp;$C1253&amp;"]["&amp;$D1253&amp;"]["&amp;$F1253&amp;"]"</f>
        <v>[S06_InstallationsVerificationReportsIssueDetail][59][AnnexIActivity]</v>
      </c>
    </row>
    <row r="1254" spans="1:15" x14ac:dyDescent="0.3">
      <c r="A1254" t="s">
        <v>2277</v>
      </c>
      <c r="B1254" t="s">
        <v>1985</v>
      </c>
      <c r="C1254" t="s">
        <v>1987</v>
      </c>
      <c r="D1254">
        <v>60</v>
      </c>
      <c r="E1254" t="s">
        <v>1447</v>
      </c>
      <c r="F1254" t="s">
        <v>1988</v>
      </c>
      <c r="G1254" t="s">
        <v>1737</v>
      </c>
      <c r="H1254" t="s">
        <v>2279</v>
      </c>
      <c r="I1254" t="s">
        <v>2279</v>
      </c>
      <c r="J1254" t="s">
        <v>2279</v>
      </c>
      <c r="K1254" t="s">
        <v>2279</v>
      </c>
      <c r="L1254" t="s">
        <v>1592</v>
      </c>
      <c r="M1254" t="s">
        <v>2279</v>
      </c>
      <c r="N1254" t="s">
        <v>2279</v>
      </c>
      <c r="O1254" s="190" t="str">
        <f>"["&amp;$C1254&amp;"]["&amp;$D1254&amp;"]["&amp;$F1254&amp;"]"</f>
        <v>[S06_InstallationsVerificationReportsIssueDetail][60][AnnexIActivity]</v>
      </c>
    </row>
    <row r="1255" spans="1:15" x14ac:dyDescent="0.3">
      <c r="A1255" t="s">
        <v>2277</v>
      </c>
      <c r="B1255" t="s">
        <v>1985</v>
      </c>
      <c r="C1255" t="s">
        <v>1987</v>
      </c>
      <c r="D1255">
        <v>61</v>
      </c>
      <c r="E1255" t="s">
        <v>1447</v>
      </c>
      <c r="F1255" t="s">
        <v>1988</v>
      </c>
      <c r="G1255" t="s">
        <v>1737</v>
      </c>
      <c r="H1255" t="s">
        <v>2279</v>
      </c>
      <c r="I1255" t="s">
        <v>2279</v>
      </c>
      <c r="J1255" t="s">
        <v>2279</v>
      </c>
      <c r="K1255" t="s">
        <v>2279</v>
      </c>
      <c r="L1255" t="s">
        <v>1573</v>
      </c>
      <c r="M1255" t="s">
        <v>2279</v>
      </c>
      <c r="N1255" t="s">
        <v>2279</v>
      </c>
      <c r="O1255" s="190" t="str">
        <f>"["&amp;$C1255&amp;"]["&amp;$D1255&amp;"]["&amp;$F1255&amp;"]"</f>
        <v>[S06_InstallationsVerificationReportsIssueDetail][61][AnnexIActivity]</v>
      </c>
    </row>
    <row r="1256" spans="1:15" x14ac:dyDescent="0.3">
      <c r="A1256" t="s">
        <v>2277</v>
      </c>
      <c r="B1256" t="s">
        <v>1985</v>
      </c>
      <c r="C1256" t="s">
        <v>1987</v>
      </c>
      <c r="D1256">
        <v>62</v>
      </c>
      <c r="E1256" t="s">
        <v>1447</v>
      </c>
      <c r="F1256" t="s">
        <v>1988</v>
      </c>
      <c r="G1256" t="s">
        <v>1737</v>
      </c>
      <c r="H1256" t="s">
        <v>2279</v>
      </c>
      <c r="I1256" t="s">
        <v>2279</v>
      </c>
      <c r="J1256" t="s">
        <v>2279</v>
      </c>
      <c r="K1256" t="s">
        <v>2279</v>
      </c>
      <c r="L1256" t="s">
        <v>1597</v>
      </c>
      <c r="M1256" t="s">
        <v>2279</v>
      </c>
      <c r="N1256" t="s">
        <v>2279</v>
      </c>
      <c r="O1256" s="190" t="str">
        <f>"["&amp;$C1256&amp;"]["&amp;$D1256&amp;"]["&amp;$F1256&amp;"]"</f>
        <v>[S06_InstallationsVerificationReportsIssueDetail][62][AnnexIActivity]</v>
      </c>
    </row>
    <row r="1257" spans="1:15" x14ac:dyDescent="0.3">
      <c r="A1257" t="s">
        <v>2277</v>
      </c>
      <c r="B1257" t="s">
        <v>1985</v>
      </c>
      <c r="C1257" t="s">
        <v>1987</v>
      </c>
      <c r="D1257">
        <v>63</v>
      </c>
      <c r="E1257" t="s">
        <v>1447</v>
      </c>
      <c r="F1257" t="s">
        <v>1988</v>
      </c>
      <c r="G1257" t="s">
        <v>1737</v>
      </c>
      <c r="H1257" t="s">
        <v>2279</v>
      </c>
      <c r="I1257" t="s">
        <v>2279</v>
      </c>
      <c r="J1257" t="s">
        <v>2279</v>
      </c>
      <c r="K1257" t="s">
        <v>2279</v>
      </c>
      <c r="L1257" t="s">
        <v>1587</v>
      </c>
      <c r="M1257" t="s">
        <v>2279</v>
      </c>
      <c r="N1257" t="s">
        <v>2279</v>
      </c>
      <c r="O1257" s="190" t="str">
        <f>"["&amp;$C1257&amp;"]["&amp;$D1257&amp;"]["&amp;$F1257&amp;"]"</f>
        <v>[S06_InstallationsVerificationReportsIssueDetail][63][AnnexIActivity]</v>
      </c>
    </row>
    <row r="1258" spans="1:15" x14ac:dyDescent="0.3">
      <c r="A1258" t="s">
        <v>2277</v>
      </c>
      <c r="B1258" t="s">
        <v>1985</v>
      </c>
      <c r="C1258" t="s">
        <v>1987</v>
      </c>
      <c r="D1258">
        <v>64</v>
      </c>
      <c r="E1258" t="s">
        <v>1447</v>
      </c>
      <c r="F1258" t="s">
        <v>1988</v>
      </c>
      <c r="G1258" t="s">
        <v>1737</v>
      </c>
      <c r="H1258" t="s">
        <v>2279</v>
      </c>
      <c r="I1258" t="s">
        <v>2279</v>
      </c>
      <c r="J1258" t="s">
        <v>2279</v>
      </c>
      <c r="K1258" t="s">
        <v>2279</v>
      </c>
      <c r="L1258" t="s">
        <v>1549</v>
      </c>
      <c r="M1258" t="s">
        <v>2279</v>
      </c>
      <c r="N1258" t="s">
        <v>2279</v>
      </c>
      <c r="O1258" s="190" t="str">
        <f>"["&amp;$C1258&amp;"]["&amp;$D1258&amp;"]["&amp;$F1258&amp;"]"</f>
        <v>[S06_InstallationsVerificationReportsIssueDetail][64][AnnexIActivity]</v>
      </c>
    </row>
    <row r="1259" spans="1:15" x14ac:dyDescent="0.3">
      <c r="A1259" t="s">
        <v>2277</v>
      </c>
      <c r="B1259" t="s">
        <v>1985</v>
      </c>
      <c r="C1259" t="s">
        <v>1987</v>
      </c>
      <c r="D1259">
        <v>65</v>
      </c>
      <c r="E1259" t="s">
        <v>1447</v>
      </c>
      <c r="F1259" t="s">
        <v>1988</v>
      </c>
      <c r="G1259" t="s">
        <v>1737</v>
      </c>
      <c r="H1259" t="s">
        <v>2279</v>
      </c>
      <c r="I1259" t="s">
        <v>2279</v>
      </c>
      <c r="J1259" t="s">
        <v>2279</v>
      </c>
      <c r="K1259" t="s">
        <v>2279</v>
      </c>
      <c r="L1259" t="s">
        <v>1577</v>
      </c>
      <c r="M1259" t="s">
        <v>2279</v>
      </c>
      <c r="N1259" t="s">
        <v>2279</v>
      </c>
      <c r="O1259" s="190" t="str">
        <f>"["&amp;$C1259&amp;"]["&amp;$D1259&amp;"]["&amp;$F1259&amp;"]"</f>
        <v>[S06_InstallationsVerificationReportsIssueDetail][65][AnnexIActivity]</v>
      </c>
    </row>
    <row r="1260" spans="1:15" x14ac:dyDescent="0.3">
      <c r="A1260" t="s">
        <v>2277</v>
      </c>
      <c r="B1260" t="s">
        <v>1985</v>
      </c>
      <c r="C1260" t="s">
        <v>1987</v>
      </c>
      <c r="D1260">
        <v>66</v>
      </c>
      <c r="E1260" t="s">
        <v>1447</v>
      </c>
      <c r="F1260" t="s">
        <v>1988</v>
      </c>
      <c r="G1260" t="s">
        <v>1737</v>
      </c>
      <c r="H1260" t="s">
        <v>2279</v>
      </c>
      <c r="I1260" t="s">
        <v>2279</v>
      </c>
      <c r="J1260" t="s">
        <v>2279</v>
      </c>
      <c r="K1260" t="s">
        <v>2279</v>
      </c>
      <c r="L1260" t="s">
        <v>1568</v>
      </c>
      <c r="M1260" t="s">
        <v>2279</v>
      </c>
      <c r="N1260" t="s">
        <v>2279</v>
      </c>
      <c r="O1260" s="190" t="str">
        <f>"["&amp;$C1260&amp;"]["&amp;$D1260&amp;"]["&amp;$F1260&amp;"]"</f>
        <v>[S06_InstallationsVerificationReportsIssueDetail][66][AnnexIActivity]</v>
      </c>
    </row>
    <row r="1261" spans="1:15" x14ac:dyDescent="0.3">
      <c r="A1261" t="s">
        <v>2277</v>
      </c>
      <c r="B1261" t="s">
        <v>1985</v>
      </c>
      <c r="C1261" t="s">
        <v>1987</v>
      </c>
      <c r="D1261">
        <v>67</v>
      </c>
      <c r="E1261" t="s">
        <v>1447</v>
      </c>
      <c r="F1261" t="s">
        <v>1988</v>
      </c>
      <c r="G1261" t="s">
        <v>1737</v>
      </c>
      <c r="H1261" t="s">
        <v>2279</v>
      </c>
      <c r="I1261" t="s">
        <v>2279</v>
      </c>
      <c r="J1261" t="s">
        <v>2279</v>
      </c>
      <c r="K1261" t="s">
        <v>2279</v>
      </c>
      <c r="L1261" t="s">
        <v>1626</v>
      </c>
      <c r="M1261" t="s">
        <v>2279</v>
      </c>
      <c r="N1261" t="s">
        <v>2279</v>
      </c>
      <c r="O1261" s="190" t="str">
        <f>"["&amp;$C1261&amp;"]["&amp;$D1261&amp;"]["&amp;$F1261&amp;"]"</f>
        <v>[S06_InstallationsVerificationReportsIssueDetail][67][AnnexIActivity]</v>
      </c>
    </row>
    <row r="1262" spans="1:15" x14ac:dyDescent="0.3">
      <c r="A1262" t="s">
        <v>2277</v>
      </c>
      <c r="B1262" t="s">
        <v>1985</v>
      </c>
      <c r="C1262" t="s">
        <v>1987</v>
      </c>
      <c r="D1262">
        <v>68</v>
      </c>
      <c r="E1262" t="s">
        <v>1447</v>
      </c>
      <c r="F1262" t="s">
        <v>1988</v>
      </c>
      <c r="G1262" t="s">
        <v>1737</v>
      </c>
      <c r="H1262" t="s">
        <v>2279</v>
      </c>
      <c r="I1262" t="s">
        <v>2279</v>
      </c>
      <c r="J1262" t="s">
        <v>2279</v>
      </c>
      <c r="K1262" t="s">
        <v>2279</v>
      </c>
      <c r="L1262" t="s">
        <v>1607</v>
      </c>
      <c r="M1262" t="s">
        <v>2279</v>
      </c>
      <c r="N1262" t="s">
        <v>2279</v>
      </c>
      <c r="O1262" s="190" t="str">
        <f>"["&amp;$C1262&amp;"]["&amp;$D1262&amp;"]["&amp;$F1262&amp;"]"</f>
        <v>[S06_InstallationsVerificationReportsIssueDetail][68][AnnexIActivity]</v>
      </c>
    </row>
    <row r="1263" spans="1:15" x14ac:dyDescent="0.3">
      <c r="A1263" t="s">
        <v>2277</v>
      </c>
      <c r="B1263" t="s">
        <v>1985</v>
      </c>
      <c r="C1263" t="s">
        <v>1987</v>
      </c>
      <c r="D1263">
        <v>69</v>
      </c>
      <c r="E1263" t="s">
        <v>1447</v>
      </c>
      <c r="F1263" t="s">
        <v>1988</v>
      </c>
      <c r="G1263" t="s">
        <v>1737</v>
      </c>
      <c r="H1263" t="s">
        <v>2279</v>
      </c>
      <c r="I1263" t="s">
        <v>2279</v>
      </c>
      <c r="J1263" t="s">
        <v>2279</v>
      </c>
      <c r="K1263" t="s">
        <v>2279</v>
      </c>
      <c r="L1263" t="s">
        <v>1518</v>
      </c>
      <c r="M1263" t="s">
        <v>2279</v>
      </c>
      <c r="N1263" t="s">
        <v>2279</v>
      </c>
      <c r="O1263" s="190" t="str">
        <f>"["&amp;$C1263&amp;"]["&amp;$D1263&amp;"]["&amp;$F1263&amp;"]"</f>
        <v>[S06_InstallationsVerificationReportsIssueDetail][69][AnnexIActivity]</v>
      </c>
    </row>
    <row r="1264" spans="1:15" x14ac:dyDescent="0.3">
      <c r="A1264" t="s">
        <v>2277</v>
      </c>
      <c r="B1264" t="s">
        <v>1985</v>
      </c>
      <c r="C1264" t="s">
        <v>1987</v>
      </c>
      <c r="D1264">
        <v>70</v>
      </c>
      <c r="E1264" t="s">
        <v>1447</v>
      </c>
      <c r="F1264" t="s">
        <v>1988</v>
      </c>
      <c r="G1264" t="s">
        <v>1737</v>
      </c>
      <c r="H1264" t="s">
        <v>2279</v>
      </c>
      <c r="I1264" t="s">
        <v>2279</v>
      </c>
      <c r="J1264" t="s">
        <v>2279</v>
      </c>
      <c r="K1264" t="s">
        <v>2279</v>
      </c>
      <c r="L1264" t="s">
        <v>1448</v>
      </c>
      <c r="M1264" t="s">
        <v>2279</v>
      </c>
      <c r="N1264" t="s">
        <v>2279</v>
      </c>
      <c r="O1264" s="190" t="str">
        <f>"["&amp;$C1264&amp;"]["&amp;$D1264&amp;"]["&amp;$F1264&amp;"]"</f>
        <v>[S06_InstallationsVerificationReportsIssueDetail][70][AnnexIActivity]</v>
      </c>
    </row>
    <row r="1265" spans="1:15" x14ac:dyDescent="0.3">
      <c r="A1265" t="s">
        <v>2277</v>
      </c>
      <c r="B1265" t="s">
        <v>1985</v>
      </c>
      <c r="C1265" t="s">
        <v>1987</v>
      </c>
      <c r="D1265">
        <v>71</v>
      </c>
      <c r="E1265" t="s">
        <v>1447</v>
      </c>
      <c r="F1265" t="s">
        <v>1988</v>
      </c>
      <c r="G1265" t="s">
        <v>1737</v>
      </c>
      <c r="H1265" t="s">
        <v>2279</v>
      </c>
      <c r="I1265" t="s">
        <v>2279</v>
      </c>
      <c r="J1265" t="s">
        <v>2279</v>
      </c>
      <c r="K1265" t="s">
        <v>2279</v>
      </c>
      <c r="L1265" t="s">
        <v>1562</v>
      </c>
      <c r="M1265" t="s">
        <v>2279</v>
      </c>
      <c r="N1265" t="s">
        <v>2279</v>
      </c>
      <c r="O1265" s="190" t="str">
        <f>"["&amp;$C1265&amp;"]["&amp;$D1265&amp;"]["&amp;$F1265&amp;"]"</f>
        <v>[S06_InstallationsVerificationReportsIssueDetail][71][AnnexIActivity]</v>
      </c>
    </row>
    <row r="1266" spans="1:15" x14ac:dyDescent="0.3">
      <c r="A1266" t="s">
        <v>2277</v>
      </c>
      <c r="B1266" t="s">
        <v>1985</v>
      </c>
      <c r="C1266" t="s">
        <v>1987</v>
      </c>
      <c r="D1266">
        <v>72</v>
      </c>
      <c r="E1266" t="s">
        <v>1447</v>
      </c>
      <c r="F1266" t="s">
        <v>1988</v>
      </c>
      <c r="G1266" t="s">
        <v>1737</v>
      </c>
      <c r="H1266" t="s">
        <v>2279</v>
      </c>
      <c r="I1266" t="s">
        <v>2279</v>
      </c>
      <c r="J1266" t="s">
        <v>2279</v>
      </c>
      <c r="K1266" t="s">
        <v>2279</v>
      </c>
      <c r="L1266" t="s">
        <v>1622</v>
      </c>
      <c r="M1266" t="s">
        <v>2279</v>
      </c>
      <c r="N1266" t="s">
        <v>2279</v>
      </c>
      <c r="O1266" s="190" t="str">
        <f>"["&amp;$C1266&amp;"]["&amp;$D1266&amp;"]["&amp;$F1266&amp;"]"</f>
        <v>[S06_InstallationsVerificationReportsIssueDetail][72][AnnexIActivity]</v>
      </c>
    </row>
    <row r="1267" spans="1:15" x14ac:dyDescent="0.3">
      <c r="A1267" t="s">
        <v>2277</v>
      </c>
      <c r="B1267" t="s">
        <v>1985</v>
      </c>
      <c r="C1267" t="s">
        <v>1987</v>
      </c>
      <c r="D1267">
        <v>73</v>
      </c>
      <c r="E1267" t="s">
        <v>1447</v>
      </c>
      <c r="F1267" t="s">
        <v>1988</v>
      </c>
      <c r="G1267" t="s">
        <v>1737</v>
      </c>
      <c r="H1267" t="s">
        <v>2279</v>
      </c>
      <c r="I1267" t="s">
        <v>2279</v>
      </c>
      <c r="J1267" t="s">
        <v>2279</v>
      </c>
      <c r="K1267" t="s">
        <v>2279</v>
      </c>
      <c r="L1267" t="s">
        <v>1631</v>
      </c>
      <c r="M1267" t="s">
        <v>2279</v>
      </c>
      <c r="N1267" t="s">
        <v>2279</v>
      </c>
      <c r="O1267" s="190" t="str">
        <f>"["&amp;$C1267&amp;"]["&amp;$D1267&amp;"]["&amp;$F1267&amp;"]"</f>
        <v>[S06_InstallationsVerificationReportsIssueDetail][73][AnnexIActivity]</v>
      </c>
    </row>
    <row r="1268" spans="1:15" x14ac:dyDescent="0.3">
      <c r="A1268" t="s">
        <v>2277</v>
      </c>
      <c r="B1268" t="s">
        <v>1985</v>
      </c>
      <c r="C1268" t="s">
        <v>1987</v>
      </c>
      <c r="D1268">
        <v>74</v>
      </c>
      <c r="E1268" t="s">
        <v>1447</v>
      </c>
      <c r="F1268" t="s">
        <v>1988</v>
      </c>
      <c r="G1268" t="s">
        <v>1737</v>
      </c>
      <c r="H1268" t="s">
        <v>2279</v>
      </c>
      <c r="I1268" t="s">
        <v>2279</v>
      </c>
      <c r="J1268" t="s">
        <v>2279</v>
      </c>
      <c r="K1268" t="s">
        <v>2279</v>
      </c>
      <c r="L1268" t="s">
        <v>1502</v>
      </c>
      <c r="M1268" t="s">
        <v>2279</v>
      </c>
      <c r="N1268" t="s">
        <v>2279</v>
      </c>
      <c r="O1268" s="190" t="str">
        <f>"["&amp;$C1268&amp;"]["&amp;$D1268&amp;"]["&amp;$F1268&amp;"]"</f>
        <v>[S06_InstallationsVerificationReportsIssueDetail][74][AnnexIActivity]</v>
      </c>
    </row>
    <row r="1269" spans="1:15" x14ac:dyDescent="0.3">
      <c r="A1269" t="s">
        <v>2277</v>
      </c>
      <c r="B1269" t="s">
        <v>1985</v>
      </c>
      <c r="C1269" t="s">
        <v>1987</v>
      </c>
      <c r="D1269">
        <v>75</v>
      </c>
      <c r="E1269" t="s">
        <v>1447</v>
      </c>
      <c r="F1269" t="s">
        <v>1988</v>
      </c>
      <c r="G1269" t="s">
        <v>1737</v>
      </c>
      <c r="H1269" t="s">
        <v>2279</v>
      </c>
      <c r="I1269" t="s">
        <v>2279</v>
      </c>
      <c r="J1269" t="s">
        <v>2279</v>
      </c>
      <c r="K1269" t="s">
        <v>2279</v>
      </c>
      <c r="L1269" t="s">
        <v>1612</v>
      </c>
      <c r="M1269" t="s">
        <v>2279</v>
      </c>
      <c r="N1269" t="s">
        <v>2279</v>
      </c>
      <c r="O1269" s="190" t="str">
        <f>"["&amp;$C1269&amp;"]["&amp;$D1269&amp;"]["&amp;$F1269&amp;"]"</f>
        <v>[S06_InstallationsVerificationReportsIssueDetail][75][AnnexIActivity]</v>
      </c>
    </row>
    <row r="1270" spans="1:15" x14ac:dyDescent="0.3">
      <c r="A1270" t="s">
        <v>2277</v>
      </c>
      <c r="B1270" t="s">
        <v>1985</v>
      </c>
      <c r="C1270" t="s">
        <v>1987</v>
      </c>
      <c r="D1270">
        <v>76</v>
      </c>
      <c r="E1270" t="s">
        <v>1447</v>
      </c>
      <c r="F1270" t="s">
        <v>1988</v>
      </c>
      <c r="G1270" t="s">
        <v>1737</v>
      </c>
      <c r="H1270" t="s">
        <v>2279</v>
      </c>
      <c r="I1270" t="s">
        <v>2279</v>
      </c>
      <c r="J1270" t="s">
        <v>2279</v>
      </c>
      <c r="K1270" t="s">
        <v>2279</v>
      </c>
      <c r="L1270" t="s">
        <v>1617</v>
      </c>
      <c r="M1270" t="s">
        <v>2279</v>
      </c>
      <c r="N1270" t="s">
        <v>2279</v>
      </c>
      <c r="O1270" s="190" t="str">
        <f>"["&amp;$C1270&amp;"]["&amp;$D1270&amp;"]["&amp;$F1270&amp;"]"</f>
        <v>[S06_InstallationsVerificationReportsIssueDetail][76][AnnexIActivity]</v>
      </c>
    </row>
    <row r="1271" spans="1:15" x14ac:dyDescent="0.3">
      <c r="A1271" t="s">
        <v>2277</v>
      </c>
      <c r="B1271" t="s">
        <v>1985</v>
      </c>
      <c r="C1271" t="s">
        <v>1987</v>
      </c>
      <c r="D1271">
        <v>77</v>
      </c>
      <c r="E1271" t="s">
        <v>1447</v>
      </c>
      <c r="F1271" t="s">
        <v>1988</v>
      </c>
      <c r="G1271" t="s">
        <v>1737</v>
      </c>
      <c r="H1271" t="s">
        <v>2279</v>
      </c>
      <c r="I1271" t="s">
        <v>2279</v>
      </c>
      <c r="J1271" t="s">
        <v>2279</v>
      </c>
      <c r="K1271" t="s">
        <v>2279</v>
      </c>
      <c r="L1271" t="s">
        <v>1636</v>
      </c>
      <c r="M1271" t="s">
        <v>2279</v>
      </c>
      <c r="N1271" t="s">
        <v>2279</v>
      </c>
      <c r="O1271" s="190" t="str">
        <f>"["&amp;$C1271&amp;"]["&amp;$D1271&amp;"]["&amp;$F1271&amp;"]"</f>
        <v>[S06_InstallationsVerificationReportsIssueDetail][77][AnnexIActivity]</v>
      </c>
    </row>
    <row r="1272" spans="1:15" x14ac:dyDescent="0.3">
      <c r="A1272" t="s">
        <v>2277</v>
      </c>
      <c r="B1272" t="s">
        <v>1985</v>
      </c>
      <c r="C1272" t="s">
        <v>1987</v>
      </c>
      <c r="D1272">
        <v>78</v>
      </c>
      <c r="E1272" t="s">
        <v>1447</v>
      </c>
      <c r="F1272" t="s">
        <v>1988</v>
      </c>
      <c r="G1272" t="s">
        <v>1737</v>
      </c>
      <c r="H1272" t="s">
        <v>2279</v>
      </c>
      <c r="I1272" t="s">
        <v>2279</v>
      </c>
      <c r="J1272" t="s">
        <v>2279</v>
      </c>
      <c r="K1272" t="s">
        <v>2279</v>
      </c>
      <c r="L1272" t="s">
        <v>1478</v>
      </c>
      <c r="M1272" t="s">
        <v>2279</v>
      </c>
      <c r="N1272" t="s">
        <v>2279</v>
      </c>
      <c r="O1272" s="190" t="str">
        <f>"["&amp;$C1272&amp;"]["&amp;$D1272&amp;"]["&amp;$F1272&amp;"]"</f>
        <v>[S06_InstallationsVerificationReportsIssueDetail][78][AnnexIActivity]</v>
      </c>
    </row>
    <row r="1273" spans="1:15" x14ac:dyDescent="0.3">
      <c r="A1273" t="s">
        <v>2277</v>
      </c>
      <c r="B1273" t="s">
        <v>1985</v>
      </c>
      <c r="C1273" t="s">
        <v>1987</v>
      </c>
      <c r="D1273">
        <v>1</v>
      </c>
      <c r="E1273" t="s">
        <v>1447</v>
      </c>
      <c r="F1273" t="s">
        <v>1989</v>
      </c>
      <c r="G1273" t="s">
        <v>1737</v>
      </c>
      <c r="H1273" t="s">
        <v>2279</v>
      </c>
      <c r="I1273" t="s">
        <v>2279</v>
      </c>
      <c r="J1273" t="s">
        <v>2279</v>
      </c>
      <c r="K1273" t="s">
        <v>2279</v>
      </c>
      <c r="L1273" t="s">
        <v>1492</v>
      </c>
      <c r="M1273" t="s">
        <v>2279</v>
      </c>
      <c r="N1273" t="s">
        <v>2279</v>
      </c>
      <c r="O1273" s="190" t="str">
        <f>"["&amp;$C1273&amp;"]["&amp;$D1273&amp;"]["&amp;$F1273&amp;"]"</f>
        <v>[S06_InstallationsVerificationReportsIssueDetail][1][TypeOfIssue]</v>
      </c>
    </row>
    <row r="1274" spans="1:15" x14ac:dyDescent="0.3">
      <c r="A1274" t="s">
        <v>2277</v>
      </c>
      <c r="B1274" t="s">
        <v>1985</v>
      </c>
      <c r="C1274" t="s">
        <v>1987</v>
      </c>
      <c r="D1274">
        <v>2</v>
      </c>
      <c r="E1274" t="s">
        <v>1447</v>
      </c>
      <c r="F1274" t="s">
        <v>1989</v>
      </c>
      <c r="G1274" t="s">
        <v>1737</v>
      </c>
      <c r="H1274" t="s">
        <v>2279</v>
      </c>
      <c r="I1274" t="s">
        <v>2279</v>
      </c>
      <c r="J1274" t="s">
        <v>2279</v>
      </c>
      <c r="K1274" t="s">
        <v>2279</v>
      </c>
      <c r="L1274" t="s">
        <v>1492</v>
      </c>
      <c r="M1274" t="s">
        <v>2279</v>
      </c>
      <c r="N1274" t="s">
        <v>2279</v>
      </c>
      <c r="O1274" s="190" t="str">
        <f>"["&amp;$C1274&amp;"]["&amp;$D1274&amp;"]["&amp;$F1274&amp;"]"</f>
        <v>[S06_InstallationsVerificationReportsIssueDetail][2][TypeOfIssue]</v>
      </c>
    </row>
    <row r="1275" spans="1:15" x14ac:dyDescent="0.3">
      <c r="A1275" t="s">
        <v>2277</v>
      </c>
      <c r="B1275" t="s">
        <v>1985</v>
      </c>
      <c r="C1275" t="s">
        <v>1987</v>
      </c>
      <c r="D1275">
        <v>3</v>
      </c>
      <c r="E1275" t="s">
        <v>1447</v>
      </c>
      <c r="F1275" t="s">
        <v>1989</v>
      </c>
      <c r="G1275" t="s">
        <v>1737</v>
      </c>
      <c r="H1275" t="s">
        <v>2279</v>
      </c>
      <c r="I1275" t="s">
        <v>2279</v>
      </c>
      <c r="J1275" t="s">
        <v>2279</v>
      </c>
      <c r="K1275" t="s">
        <v>2279</v>
      </c>
      <c r="L1275" t="s">
        <v>1492</v>
      </c>
      <c r="M1275" t="s">
        <v>2279</v>
      </c>
      <c r="N1275" t="s">
        <v>2279</v>
      </c>
      <c r="O1275" s="190" t="str">
        <f>"["&amp;$C1275&amp;"]["&amp;$D1275&amp;"]["&amp;$F1275&amp;"]"</f>
        <v>[S06_InstallationsVerificationReportsIssueDetail][3][TypeOfIssue]</v>
      </c>
    </row>
    <row r="1276" spans="1:15" x14ac:dyDescent="0.3">
      <c r="A1276" t="s">
        <v>2277</v>
      </c>
      <c r="B1276" t="s">
        <v>1985</v>
      </c>
      <c r="C1276" t="s">
        <v>1987</v>
      </c>
      <c r="D1276">
        <v>4</v>
      </c>
      <c r="E1276" t="s">
        <v>1447</v>
      </c>
      <c r="F1276" t="s">
        <v>1989</v>
      </c>
      <c r="G1276" t="s">
        <v>1737</v>
      </c>
      <c r="H1276" t="s">
        <v>2279</v>
      </c>
      <c r="I1276" t="s">
        <v>2279</v>
      </c>
      <c r="J1276" t="s">
        <v>2279</v>
      </c>
      <c r="K1276" t="s">
        <v>2279</v>
      </c>
      <c r="L1276" t="s">
        <v>1492</v>
      </c>
      <c r="M1276" t="s">
        <v>2279</v>
      </c>
      <c r="N1276" t="s">
        <v>2279</v>
      </c>
      <c r="O1276" s="190" t="str">
        <f>"["&amp;$C1276&amp;"]["&amp;$D1276&amp;"]["&amp;$F1276&amp;"]"</f>
        <v>[S06_InstallationsVerificationReportsIssueDetail][4][TypeOfIssue]</v>
      </c>
    </row>
    <row r="1277" spans="1:15" x14ac:dyDescent="0.3">
      <c r="A1277" t="s">
        <v>2277</v>
      </c>
      <c r="B1277" t="s">
        <v>1985</v>
      </c>
      <c r="C1277" t="s">
        <v>1987</v>
      </c>
      <c r="D1277">
        <v>5</v>
      </c>
      <c r="E1277" t="s">
        <v>1447</v>
      </c>
      <c r="F1277" t="s">
        <v>1989</v>
      </c>
      <c r="G1277" t="s">
        <v>1737</v>
      </c>
      <c r="H1277" t="s">
        <v>2279</v>
      </c>
      <c r="I1277" t="s">
        <v>2279</v>
      </c>
      <c r="J1277" t="s">
        <v>2279</v>
      </c>
      <c r="K1277" t="s">
        <v>2279</v>
      </c>
      <c r="L1277" t="s">
        <v>1492</v>
      </c>
      <c r="M1277" t="s">
        <v>2279</v>
      </c>
      <c r="N1277" t="s">
        <v>2279</v>
      </c>
      <c r="O1277" s="190" t="str">
        <f>"["&amp;$C1277&amp;"]["&amp;$D1277&amp;"]["&amp;$F1277&amp;"]"</f>
        <v>[S06_InstallationsVerificationReportsIssueDetail][5][TypeOfIssue]</v>
      </c>
    </row>
    <row r="1278" spans="1:15" x14ac:dyDescent="0.3">
      <c r="A1278" t="s">
        <v>2277</v>
      </c>
      <c r="B1278" t="s">
        <v>1985</v>
      </c>
      <c r="C1278" t="s">
        <v>1987</v>
      </c>
      <c r="D1278">
        <v>6</v>
      </c>
      <c r="E1278" t="s">
        <v>1447</v>
      </c>
      <c r="F1278" t="s">
        <v>1989</v>
      </c>
      <c r="G1278" t="s">
        <v>1737</v>
      </c>
      <c r="H1278" t="s">
        <v>2279</v>
      </c>
      <c r="I1278" t="s">
        <v>2279</v>
      </c>
      <c r="J1278" t="s">
        <v>2279</v>
      </c>
      <c r="K1278" t="s">
        <v>2279</v>
      </c>
      <c r="L1278" t="s">
        <v>1492</v>
      </c>
      <c r="M1278" t="s">
        <v>2279</v>
      </c>
      <c r="N1278" t="s">
        <v>2279</v>
      </c>
      <c r="O1278" s="190" t="str">
        <f>"["&amp;$C1278&amp;"]["&amp;$D1278&amp;"]["&amp;$F1278&amp;"]"</f>
        <v>[S06_InstallationsVerificationReportsIssueDetail][6][TypeOfIssue]</v>
      </c>
    </row>
    <row r="1279" spans="1:15" x14ac:dyDescent="0.3">
      <c r="A1279" t="s">
        <v>2277</v>
      </c>
      <c r="B1279" t="s">
        <v>1985</v>
      </c>
      <c r="C1279" t="s">
        <v>1987</v>
      </c>
      <c r="D1279">
        <v>7</v>
      </c>
      <c r="E1279" t="s">
        <v>1447</v>
      </c>
      <c r="F1279" t="s">
        <v>1989</v>
      </c>
      <c r="G1279" t="s">
        <v>1737</v>
      </c>
      <c r="H1279" t="s">
        <v>2279</v>
      </c>
      <c r="I1279" t="s">
        <v>2279</v>
      </c>
      <c r="J1279" t="s">
        <v>2279</v>
      </c>
      <c r="K1279" t="s">
        <v>2279</v>
      </c>
      <c r="L1279" t="s">
        <v>1492</v>
      </c>
      <c r="M1279" t="s">
        <v>2279</v>
      </c>
      <c r="N1279" t="s">
        <v>2279</v>
      </c>
      <c r="O1279" s="190" t="str">
        <f>"["&amp;$C1279&amp;"]["&amp;$D1279&amp;"]["&amp;$F1279&amp;"]"</f>
        <v>[S06_InstallationsVerificationReportsIssueDetail][7][TypeOfIssue]</v>
      </c>
    </row>
    <row r="1280" spans="1:15" x14ac:dyDescent="0.3">
      <c r="A1280" t="s">
        <v>2277</v>
      </c>
      <c r="B1280" t="s">
        <v>1985</v>
      </c>
      <c r="C1280" t="s">
        <v>1987</v>
      </c>
      <c r="D1280">
        <v>8</v>
      </c>
      <c r="E1280" t="s">
        <v>1447</v>
      </c>
      <c r="F1280" t="s">
        <v>1989</v>
      </c>
      <c r="G1280" t="s">
        <v>1737</v>
      </c>
      <c r="H1280" t="s">
        <v>2279</v>
      </c>
      <c r="I1280" t="s">
        <v>2279</v>
      </c>
      <c r="J1280" t="s">
        <v>2279</v>
      </c>
      <c r="K1280" t="s">
        <v>2279</v>
      </c>
      <c r="L1280" t="s">
        <v>1492</v>
      </c>
      <c r="M1280" t="s">
        <v>2279</v>
      </c>
      <c r="N1280" t="s">
        <v>2279</v>
      </c>
      <c r="O1280" s="190" t="str">
        <f>"["&amp;$C1280&amp;"]["&amp;$D1280&amp;"]["&amp;$F1280&amp;"]"</f>
        <v>[S06_InstallationsVerificationReportsIssueDetail][8][TypeOfIssue]</v>
      </c>
    </row>
    <row r="1281" spans="1:15" x14ac:dyDescent="0.3">
      <c r="A1281" t="s">
        <v>2277</v>
      </c>
      <c r="B1281" t="s">
        <v>1985</v>
      </c>
      <c r="C1281" t="s">
        <v>1987</v>
      </c>
      <c r="D1281">
        <v>9</v>
      </c>
      <c r="E1281" t="s">
        <v>1447</v>
      </c>
      <c r="F1281" t="s">
        <v>1989</v>
      </c>
      <c r="G1281" t="s">
        <v>1737</v>
      </c>
      <c r="H1281" t="s">
        <v>2279</v>
      </c>
      <c r="I1281" t="s">
        <v>2279</v>
      </c>
      <c r="J1281" t="s">
        <v>2279</v>
      </c>
      <c r="K1281" t="s">
        <v>2279</v>
      </c>
      <c r="L1281" t="s">
        <v>1492</v>
      </c>
      <c r="M1281" t="s">
        <v>2279</v>
      </c>
      <c r="N1281" t="s">
        <v>2279</v>
      </c>
      <c r="O1281" s="190" t="str">
        <f>"["&amp;$C1281&amp;"]["&amp;$D1281&amp;"]["&amp;$F1281&amp;"]"</f>
        <v>[S06_InstallationsVerificationReportsIssueDetail][9][TypeOfIssue]</v>
      </c>
    </row>
    <row r="1282" spans="1:15" x14ac:dyDescent="0.3">
      <c r="A1282" t="s">
        <v>2277</v>
      </c>
      <c r="B1282" t="s">
        <v>1985</v>
      </c>
      <c r="C1282" t="s">
        <v>1987</v>
      </c>
      <c r="D1282">
        <v>10</v>
      </c>
      <c r="E1282" t="s">
        <v>1447</v>
      </c>
      <c r="F1282" t="s">
        <v>1989</v>
      </c>
      <c r="G1282" t="s">
        <v>1737</v>
      </c>
      <c r="H1282" t="s">
        <v>2279</v>
      </c>
      <c r="I1282" t="s">
        <v>2279</v>
      </c>
      <c r="J1282" t="s">
        <v>2279</v>
      </c>
      <c r="K1282" t="s">
        <v>2279</v>
      </c>
      <c r="L1282" t="s">
        <v>1492</v>
      </c>
      <c r="M1282" t="s">
        <v>2279</v>
      </c>
      <c r="N1282" t="s">
        <v>2279</v>
      </c>
      <c r="O1282" s="190" t="str">
        <f>"["&amp;$C1282&amp;"]["&amp;$D1282&amp;"]["&amp;$F1282&amp;"]"</f>
        <v>[S06_InstallationsVerificationReportsIssueDetail][10][TypeOfIssue]</v>
      </c>
    </row>
    <row r="1283" spans="1:15" x14ac:dyDescent="0.3">
      <c r="A1283" t="s">
        <v>2277</v>
      </c>
      <c r="B1283" t="s">
        <v>1985</v>
      </c>
      <c r="C1283" t="s">
        <v>1987</v>
      </c>
      <c r="D1283">
        <v>11</v>
      </c>
      <c r="E1283" t="s">
        <v>1447</v>
      </c>
      <c r="F1283" t="s">
        <v>1989</v>
      </c>
      <c r="G1283" t="s">
        <v>1737</v>
      </c>
      <c r="H1283" t="s">
        <v>2279</v>
      </c>
      <c r="I1283" t="s">
        <v>2279</v>
      </c>
      <c r="J1283" t="s">
        <v>2279</v>
      </c>
      <c r="K1283" t="s">
        <v>2279</v>
      </c>
      <c r="L1283" t="s">
        <v>1492</v>
      </c>
      <c r="M1283" t="s">
        <v>2279</v>
      </c>
      <c r="N1283" t="s">
        <v>2279</v>
      </c>
      <c r="O1283" s="190" t="str">
        <f>"["&amp;$C1283&amp;"]["&amp;$D1283&amp;"]["&amp;$F1283&amp;"]"</f>
        <v>[S06_InstallationsVerificationReportsIssueDetail][11][TypeOfIssue]</v>
      </c>
    </row>
    <row r="1284" spans="1:15" x14ac:dyDescent="0.3">
      <c r="A1284" t="s">
        <v>2277</v>
      </c>
      <c r="B1284" t="s">
        <v>1985</v>
      </c>
      <c r="C1284" t="s">
        <v>1987</v>
      </c>
      <c r="D1284">
        <v>12</v>
      </c>
      <c r="E1284" t="s">
        <v>1447</v>
      </c>
      <c r="F1284" t="s">
        <v>1989</v>
      </c>
      <c r="G1284" t="s">
        <v>1737</v>
      </c>
      <c r="H1284" t="s">
        <v>2279</v>
      </c>
      <c r="I1284" t="s">
        <v>2279</v>
      </c>
      <c r="J1284" t="s">
        <v>2279</v>
      </c>
      <c r="K1284" t="s">
        <v>2279</v>
      </c>
      <c r="L1284" t="s">
        <v>1492</v>
      </c>
      <c r="M1284" t="s">
        <v>2279</v>
      </c>
      <c r="N1284" t="s">
        <v>2279</v>
      </c>
      <c r="O1284" s="190" t="str">
        <f>"["&amp;$C1284&amp;"]["&amp;$D1284&amp;"]["&amp;$F1284&amp;"]"</f>
        <v>[S06_InstallationsVerificationReportsIssueDetail][12][TypeOfIssue]</v>
      </c>
    </row>
    <row r="1285" spans="1:15" x14ac:dyDescent="0.3">
      <c r="A1285" t="s">
        <v>2277</v>
      </c>
      <c r="B1285" t="s">
        <v>1985</v>
      </c>
      <c r="C1285" t="s">
        <v>1987</v>
      </c>
      <c r="D1285">
        <v>13</v>
      </c>
      <c r="E1285" t="s">
        <v>1447</v>
      </c>
      <c r="F1285" t="s">
        <v>1989</v>
      </c>
      <c r="G1285" t="s">
        <v>1737</v>
      </c>
      <c r="H1285" t="s">
        <v>2279</v>
      </c>
      <c r="I1285" t="s">
        <v>2279</v>
      </c>
      <c r="J1285" t="s">
        <v>2279</v>
      </c>
      <c r="K1285" t="s">
        <v>2279</v>
      </c>
      <c r="L1285" t="s">
        <v>1492</v>
      </c>
      <c r="M1285" t="s">
        <v>2279</v>
      </c>
      <c r="N1285" t="s">
        <v>2279</v>
      </c>
      <c r="O1285" s="190" t="str">
        <f>"["&amp;$C1285&amp;"]["&amp;$D1285&amp;"]["&amp;$F1285&amp;"]"</f>
        <v>[S06_InstallationsVerificationReportsIssueDetail][13][TypeOfIssue]</v>
      </c>
    </row>
    <row r="1286" spans="1:15" x14ac:dyDescent="0.3">
      <c r="A1286" t="s">
        <v>2277</v>
      </c>
      <c r="B1286" t="s">
        <v>1985</v>
      </c>
      <c r="C1286" t="s">
        <v>1987</v>
      </c>
      <c r="D1286">
        <v>14</v>
      </c>
      <c r="E1286" t="s">
        <v>1447</v>
      </c>
      <c r="F1286" t="s">
        <v>1989</v>
      </c>
      <c r="G1286" t="s">
        <v>1737</v>
      </c>
      <c r="H1286" t="s">
        <v>2279</v>
      </c>
      <c r="I1286" t="s">
        <v>2279</v>
      </c>
      <c r="J1286" t="s">
        <v>2279</v>
      </c>
      <c r="K1286" t="s">
        <v>2279</v>
      </c>
      <c r="L1286" t="s">
        <v>1492</v>
      </c>
      <c r="M1286" t="s">
        <v>2279</v>
      </c>
      <c r="N1286" t="s">
        <v>2279</v>
      </c>
      <c r="O1286" s="190" t="str">
        <f>"["&amp;$C1286&amp;"]["&amp;$D1286&amp;"]["&amp;$F1286&amp;"]"</f>
        <v>[S06_InstallationsVerificationReportsIssueDetail][14][TypeOfIssue]</v>
      </c>
    </row>
    <row r="1287" spans="1:15" x14ac:dyDescent="0.3">
      <c r="A1287" t="s">
        <v>2277</v>
      </c>
      <c r="B1287" t="s">
        <v>1985</v>
      </c>
      <c r="C1287" t="s">
        <v>1987</v>
      </c>
      <c r="D1287">
        <v>15</v>
      </c>
      <c r="E1287" t="s">
        <v>1447</v>
      </c>
      <c r="F1287" t="s">
        <v>1989</v>
      </c>
      <c r="G1287" t="s">
        <v>1737</v>
      </c>
      <c r="H1287" t="s">
        <v>2279</v>
      </c>
      <c r="I1287" t="s">
        <v>2279</v>
      </c>
      <c r="J1287" t="s">
        <v>2279</v>
      </c>
      <c r="K1287" t="s">
        <v>2279</v>
      </c>
      <c r="L1287" t="s">
        <v>1492</v>
      </c>
      <c r="M1287" t="s">
        <v>2279</v>
      </c>
      <c r="N1287" t="s">
        <v>2279</v>
      </c>
      <c r="O1287" s="190" t="str">
        <f>"["&amp;$C1287&amp;"]["&amp;$D1287&amp;"]["&amp;$F1287&amp;"]"</f>
        <v>[S06_InstallationsVerificationReportsIssueDetail][15][TypeOfIssue]</v>
      </c>
    </row>
    <row r="1288" spans="1:15" x14ac:dyDescent="0.3">
      <c r="A1288" t="s">
        <v>2277</v>
      </c>
      <c r="B1288" t="s">
        <v>1985</v>
      </c>
      <c r="C1288" t="s">
        <v>1987</v>
      </c>
      <c r="D1288">
        <v>16</v>
      </c>
      <c r="E1288" t="s">
        <v>1447</v>
      </c>
      <c r="F1288" t="s">
        <v>1989</v>
      </c>
      <c r="G1288" t="s">
        <v>1737</v>
      </c>
      <c r="H1288" t="s">
        <v>2279</v>
      </c>
      <c r="I1288" t="s">
        <v>2279</v>
      </c>
      <c r="J1288" t="s">
        <v>2279</v>
      </c>
      <c r="K1288" t="s">
        <v>2279</v>
      </c>
      <c r="L1288" t="s">
        <v>1492</v>
      </c>
      <c r="M1288" t="s">
        <v>2279</v>
      </c>
      <c r="N1288" t="s">
        <v>2279</v>
      </c>
      <c r="O1288" s="190" t="str">
        <f>"["&amp;$C1288&amp;"]["&amp;$D1288&amp;"]["&amp;$F1288&amp;"]"</f>
        <v>[S06_InstallationsVerificationReportsIssueDetail][16][TypeOfIssue]</v>
      </c>
    </row>
    <row r="1289" spans="1:15" x14ac:dyDescent="0.3">
      <c r="A1289" t="s">
        <v>2277</v>
      </c>
      <c r="B1289" t="s">
        <v>1985</v>
      </c>
      <c r="C1289" t="s">
        <v>1987</v>
      </c>
      <c r="D1289">
        <v>17</v>
      </c>
      <c r="E1289" t="s">
        <v>1447</v>
      </c>
      <c r="F1289" t="s">
        <v>1989</v>
      </c>
      <c r="G1289" t="s">
        <v>1737</v>
      </c>
      <c r="H1289" t="s">
        <v>2279</v>
      </c>
      <c r="I1289" t="s">
        <v>2279</v>
      </c>
      <c r="J1289" t="s">
        <v>2279</v>
      </c>
      <c r="K1289" t="s">
        <v>2279</v>
      </c>
      <c r="L1289" t="s">
        <v>1492</v>
      </c>
      <c r="M1289" t="s">
        <v>2279</v>
      </c>
      <c r="N1289" t="s">
        <v>2279</v>
      </c>
      <c r="O1289" s="190" t="str">
        <f>"["&amp;$C1289&amp;"]["&amp;$D1289&amp;"]["&amp;$F1289&amp;"]"</f>
        <v>[S06_InstallationsVerificationReportsIssueDetail][17][TypeOfIssue]</v>
      </c>
    </row>
    <row r="1290" spans="1:15" x14ac:dyDescent="0.3">
      <c r="A1290" t="s">
        <v>2277</v>
      </c>
      <c r="B1290" t="s">
        <v>1985</v>
      </c>
      <c r="C1290" t="s">
        <v>1987</v>
      </c>
      <c r="D1290">
        <v>18</v>
      </c>
      <c r="E1290" t="s">
        <v>1447</v>
      </c>
      <c r="F1290" t="s">
        <v>1989</v>
      </c>
      <c r="G1290" t="s">
        <v>1737</v>
      </c>
      <c r="H1290" t="s">
        <v>2279</v>
      </c>
      <c r="I1290" t="s">
        <v>2279</v>
      </c>
      <c r="J1290" t="s">
        <v>2279</v>
      </c>
      <c r="K1290" t="s">
        <v>2279</v>
      </c>
      <c r="L1290" t="s">
        <v>1492</v>
      </c>
      <c r="M1290" t="s">
        <v>2279</v>
      </c>
      <c r="N1290" t="s">
        <v>2279</v>
      </c>
      <c r="O1290" s="190" t="str">
        <f>"["&amp;$C1290&amp;"]["&amp;$D1290&amp;"]["&amp;$F1290&amp;"]"</f>
        <v>[S06_InstallationsVerificationReportsIssueDetail][18][TypeOfIssue]</v>
      </c>
    </row>
    <row r="1291" spans="1:15" x14ac:dyDescent="0.3">
      <c r="A1291" t="s">
        <v>2277</v>
      </c>
      <c r="B1291" t="s">
        <v>1985</v>
      </c>
      <c r="C1291" t="s">
        <v>1987</v>
      </c>
      <c r="D1291">
        <v>19</v>
      </c>
      <c r="E1291" t="s">
        <v>1447</v>
      </c>
      <c r="F1291" t="s">
        <v>1989</v>
      </c>
      <c r="G1291" t="s">
        <v>1737</v>
      </c>
      <c r="H1291" t="s">
        <v>2279</v>
      </c>
      <c r="I1291" t="s">
        <v>2279</v>
      </c>
      <c r="J1291" t="s">
        <v>2279</v>
      </c>
      <c r="K1291" t="s">
        <v>2279</v>
      </c>
      <c r="L1291" t="s">
        <v>1492</v>
      </c>
      <c r="M1291" t="s">
        <v>2279</v>
      </c>
      <c r="N1291" t="s">
        <v>2279</v>
      </c>
      <c r="O1291" s="190" t="str">
        <f>"["&amp;$C1291&amp;"]["&amp;$D1291&amp;"]["&amp;$F1291&amp;"]"</f>
        <v>[S06_InstallationsVerificationReportsIssueDetail][19][TypeOfIssue]</v>
      </c>
    </row>
    <row r="1292" spans="1:15" x14ac:dyDescent="0.3">
      <c r="A1292" t="s">
        <v>2277</v>
      </c>
      <c r="B1292" t="s">
        <v>1985</v>
      </c>
      <c r="C1292" t="s">
        <v>1987</v>
      </c>
      <c r="D1292">
        <v>20</v>
      </c>
      <c r="E1292" t="s">
        <v>1447</v>
      </c>
      <c r="F1292" t="s">
        <v>1989</v>
      </c>
      <c r="G1292" t="s">
        <v>1737</v>
      </c>
      <c r="H1292" t="s">
        <v>2279</v>
      </c>
      <c r="I1292" t="s">
        <v>2279</v>
      </c>
      <c r="J1292" t="s">
        <v>2279</v>
      </c>
      <c r="K1292" t="s">
        <v>2279</v>
      </c>
      <c r="L1292" t="s">
        <v>1492</v>
      </c>
      <c r="M1292" t="s">
        <v>2279</v>
      </c>
      <c r="N1292" t="s">
        <v>2279</v>
      </c>
      <c r="O1292" s="190" t="str">
        <f>"["&amp;$C1292&amp;"]["&amp;$D1292&amp;"]["&amp;$F1292&amp;"]"</f>
        <v>[S06_InstallationsVerificationReportsIssueDetail][20][TypeOfIssue]</v>
      </c>
    </row>
    <row r="1293" spans="1:15" x14ac:dyDescent="0.3">
      <c r="A1293" t="s">
        <v>2277</v>
      </c>
      <c r="B1293" t="s">
        <v>1985</v>
      </c>
      <c r="C1293" t="s">
        <v>1987</v>
      </c>
      <c r="D1293">
        <v>21</v>
      </c>
      <c r="E1293" t="s">
        <v>1447</v>
      </c>
      <c r="F1293" t="s">
        <v>1989</v>
      </c>
      <c r="G1293" t="s">
        <v>1737</v>
      </c>
      <c r="H1293" t="s">
        <v>2279</v>
      </c>
      <c r="I1293" t="s">
        <v>2279</v>
      </c>
      <c r="J1293" t="s">
        <v>2279</v>
      </c>
      <c r="K1293" t="s">
        <v>2279</v>
      </c>
      <c r="L1293" t="s">
        <v>1492</v>
      </c>
      <c r="M1293" t="s">
        <v>2279</v>
      </c>
      <c r="N1293" t="s">
        <v>2279</v>
      </c>
      <c r="O1293" s="190" t="str">
        <f>"["&amp;$C1293&amp;"]["&amp;$D1293&amp;"]["&amp;$F1293&amp;"]"</f>
        <v>[S06_InstallationsVerificationReportsIssueDetail][21][TypeOfIssue]</v>
      </c>
    </row>
    <row r="1294" spans="1:15" x14ac:dyDescent="0.3">
      <c r="A1294" t="s">
        <v>2277</v>
      </c>
      <c r="B1294" t="s">
        <v>1985</v>
      </c>
      <c r="C1294" t="s">
        <v>1987</v>
      </c>
      <c r="D1294">
        <v>22</v>
      </c>
      <c r="E1294" t="s">
        <v>1447</v>
      </c>
      <c r="F1294" t="s">
        <v>1989</v>
      </c>
      <c r="G1294" t="s">
        <v>1737</v>
      </c>
      <c r="H1294" t="s">
        <v>2279</v>
      </c>
      <c r="I1294" t="s">
        <v>2279</v>
      </c>
      <c r="J1294" t="s">
        <v>2279</v>
      </c>
      <c r="K1294" t="s">
        <v>2279</v>
      </c>
      <c r="L1294" t="s">
        <v>1439</v>
      </c>
      <c r="M1294" t="s">
        <v>2279</v>
      </c>
      <c r="N1294" t="s">
        <v>2279</v>
      </c>
      <c r="O1294" s="190" t="str">
        <f>"["&amp;$C1294&amp;"]["&amp;$D1294&amp;"]["&amp;$F1294&amp;"]"</f>
        <v>[S06_InstallationsVerificationReportsIssueDetail][22][TypeOfIssue]</v>
      </c>
    </row>
    <row r="1295" spans="1:15" x14ac:dyDescent="0.3">
      <c r="A1295" t="s">
        <v>2277</v>
      </c>
      <c r="B1295" t="s">
        <v>1985</v>
      </c>
      <c r="C1295" t="s">
        <v>1987</v>
      </c>
      <c r="D1295">
        <v>23</v>
      </c>
      <c r="E1295" t="s">
        <v>1447</v>
      </c>
      <c r="F1295" t="s">
        <v>1989</v>
      </c>
      <c r="G1295" t="s">
        <v>1737</v>
      </c>
      <c r="H1295" t="s">
        <v>2279</v>
      </c>
      <c r="I1295" t="s">
        <v>2279</v>
      </c>
      <c r="J1295" t="s">
        <v>2279</v>
      </c>
      <c r="K1295" t="s">
        <v>2279</v>
      </c>
      <c r="L1295" t="s">
        <v>1439</v>
      </c>
      <c r="M1295" t="s">
        <v>2279</v>
      </c>
      <c r="N1295" t="s">
        <v>2279</v>
      </c>
      <c r="O1295" s="190" t="str">
        <f>"["&amp;$C1295&amp;"]["&amp;$D1295&amp;"]["&amp;$F1295&amp;"]"</f>
        <v>[S06_InstallationsVerificationReportsIssueDetail][23][TypeOfIssue]</v>
      </c>
    </row>
    <row r="1296" spans="1:15" x14ac:dyDescent="0.3">
      <c r="A1296" t="s">
        <v>2277</v>
      </c>
      <c r="B1296" t="s">
        <v>1985</v>
      </c>
      <c r="C1296" t="s">
        <v>1987</v>
      </c>
      <c r="D1296">
        <v>24</v>
      </c>
      <c r="E1296" t="s">
        <v>1447</v>
      </c>
      <c r="F1296" t="s">
        <v>1989</v>
      </c>
      <c r="G1296" t="s">
        <v>1737</v>
      </c>
      <c r="H1296" t="s">
        <v>2279</v>
      </c>
      <c r="I1296" t="s">
        <v>2279</v>
      </c>
      <c r="J1296" t="s">
        <v>2279</v>
      </c>
      <c r="K1296" t="s">
        <v>2279</v>
      </c>
      <c r="L1296" t="s">
        <v>1439</v>
      </c>
      <c r="M1296" t="s">
        <v>2279</v>
      </c>
      <c r="N1296" t="s">
        <v>2279</v>
      </c>
      <c r="O1296" s="190" t="str">
        <f>"["&amp;$C1296&amp;"]["&amp;$D1296&amp;"]["&amp;$F1296&amp;"]"</f>
        <v>[S06_InstallationsVerificationReportsIssueDetail][24][TypeOfIssue]</v>
      </c>
    </row>
    <row r="1297" spans="1:15" x14ac:dyDescent="0.3">
      <c r="A1297" t="s">
        <v>2277</v>
      </c>
      <c r="B1297" t="s">
        <v>1985</v>
      </c>
      <c r="C1297" t="s">
        <v>1987</v>
      </c>
      <c r="D1297">
        <v>25</v>
      </c>
      <c r="E1297" t="s">
        <v>1447</v>
      </c>
      <c r="F1297" t="s">
        <v>1989</v>
      </c>
      <c r="G1297" t="s">
        <v>1737</v>
      </c>
      <c r="H1297" t="s">
        <v>2279</v>
      </c>
      <c r="I1297" t="s">
        <v>2279</v>
      </c>
      <c r="J1297" t="s">
        <v>2279</v>
      </c>
      <c r="K1297" t="s">
        <v>2279</v>
      </c>
      <c r="L1297" t="s">
        <v>1439</v>
      </c>
      <c r="M1297" t="s">
        <v>2279</v>
      </c>
      <c r="N1297" t="s">
        <v>2279</v>
      </c>
      <c r="O1297" s="190" t="str">
        <f>"["&amp;$C1297&amp;"]["&amp;$D1297&amp;"]["&amp;$F1297&amp;"]"</f>
        <v>[S06_InstallationsVerificationReportsIssueDetail][25][TypeOfIssue]</v>
      </c>
    </row>
    <row r="1298" spans="1:15" x14ac:dyDescent="0.3">
      <c r="A1298" t="s">
        <v>2277</v>
      </c>
      <c r="B1298" t="s">
        <v>1985</v>
      </c>
      <c r="C1298" t="s">
        <v>1987</v>
      </c>
      <c r="D1298">
        <v>26</v>
      </c>
      <c r="E1298" t="s">
        <v>1447</v>
      </c>
      <c r="F1298" t="s">
        <v>1989</v>
      </c>
      <c r="G1298" t="s">
        <v>1737</v>
      </c>
      <c r="H1298" t="s">
        <v>2279</v>
      </c>
      <c r="I1298" t="s">
        <v>2279</v>
      </c>
      <c r="J1298" t="s">
        <v>2279</v>
      </c>
      <c r="K1298" t="s">
        <v>2279</v>
      </c>
      <c r="L1298" t="s">
        <v>1439</v>
      </c>
      <c r="M1298" t="s">
        <v>2279</v>
      </c>
      <c r="N1298" t="s">
        <v>2279</v>
      </c>
      <c r="O1298" s="190" t="str">
        <f>"["&amp;$C1298&amp;"]["&amp;$D1298&amp;"]["&amp;$F1298&amp;"]"</f>
        <v>[S06_InstallationsVerificationReportsIssueDetail][26][TypeOfIssue]</v>
      </c>
    </row>
    <row r="1299" spans="1:15" x14ac:dyDescent="0.3">
      <c r="A1299" t="s">
        <v>2277</v>
      </c>
      <c r="B1299" t="s">
        <v>1985</v>
      </c>
      <c r="C1299" t="s">
        <v>1987</v>
      </c>
      <c r="D1299">
        <v>27</v>
      </c>
      <c r="E1299" t="s">
        <v>1447</v>
      </c>
      <c r="F1299" t="s">
        <v>1989</v>
      </c>
      <c r="G1299" t="s">
        <v>1737</v>
      </c>
      <c r="H1299" t="s">
        <v>2279</v>
      </c>
      <c r="I1299" t="s">
        <v>2279</v>
      </c>
      <c r="J1299" t="s">
        <v>2279</v>
      </c>
      <c r="K1299" t="s">
        <v>2279</v>
      </c>
      <c r="L1299" t="s">
        <v>1439</v>
      </c>
      <c r="M1299" t="s">
        <v>2279</v>
      </c>
      <c r="N1299" t="s">
        <v>2279</v>
      </c>
      <c r="O1299" s="190" t="str">
        <f>"["&amp;$C1299&amp;"]["&amp;$D1299&amp;"]["&amp;$F1299&amp;"]"</f>
        <v>[S06_InstallationsVerificationReportsIssueDetail][27][TypeOfIssue]</v>
      </c>
    </row>
    <row r="1300" spans="1:15" x14ac:dyDescent="0.3">
      <c r="A1300" t="s">
        <v>2277</v>
      </c>
      <c r="B1300" t="s">
        <v>1985</v>
      </c>
      <c r="C1300" t="s">
        <v>1987</v>
      </c>
      <c r="D1300">
        <v>28</v>
      </c>
      <c r="E1300" t="s">
        <v>1447</v>
      </c>
      <c r="F1300" t="s">
        <v>1989</v>
      </c>
      <c r="G1300" t="s">
        <v>1737</v>
      </c>
      <c r="H1300" t="s">
        <v>2279</v>
      </c>
      <c r="I1300" t="s">
        <v>2279</v>
      </c>
      <c r="J1300" t="s">
        <v>2279</v>
      </c>
      <c r="K1300" t="s">
        <v>2279</v>
      </c>
      <c r="L1300" t="s">
        <v>1439</v>
      </c>
      <c r="M1300" t="s">
        <v>2279</v>
      </c>
      <c r="N1300" t="s">
        <v>2279</v>
      </c>
      <c r="O1300" s="190" t="str">
        <f>"["&amp;$C1300&amp;"]["&amp;$D1300&amp;"]["&amp;$F1300&amp;"]"</f>
        <v>[S06_InstallationsVerificationReportsIssueDetail][28][TypeOfIssue]</v>
      </c>
    </row>
    <row r="1301" spans="1:15" x14ac:dyDescent="0.3">
      <c r="A1301" t="s">
        <v>2277</v>
      </c>
      <c r="B1301" t="s">
        <v>1985</v>
      </c>
      <c r="C1301" t="s">
        <v>1987</v>
      </c>
      <c r="D1301">
        <v>29</v>
      </c>
      <c r="E1301" t="s">
        <v>1447</v>
      </c>
      <c r="F1301" t="s">
        <v>1989</v>
      </c>
      <c r="G1301" t="s">
        <v>1737</v>
      </c>
      <c r="H1301" t="s">
        <v>2279</v>
      </c>
      <c r="I1301" t="s">
        <v>2279</v>
      </c>
      <c r="J1301" t="s">
        <v>2279</v>
      </c>
      <c r="K1301" t="s">
        <v>2279</v>
      </c>
      <c r="L1301" t="s">
        <v>1439</v>
      </c>
      <c r="M1301" t="s">
        <v>2279</v>
      </c>
      <c r="N1301" t="s">
        <v>2279</v>
      </c>
      <c r="O1301" s="190" t="str">
        <f>"["&amp;$C1301&amp;"]["&amp;$D1301&amp;"]["&amp;$F1301&amp;"]"</f>
        <v>[S06_InstallationsVerificationReportsIssueDetail][29][TypeOfIssue]</v>
      </c>
    </row>
    <row r="1302" spans="1:15" x14ac:dyDescent="0.3">
      <c r="A1302" t="s">
        <v>2277</v>
      </c>
      <c r="B1302" t="s">
        <v>1985</v>
      </c>
      <c r="C1302" t="s">
        <v>1987</v>
      </c>
      <c r="D1302">
        <v>30</v>
      </c>
      <c r="E1302" t="s">
        <v>1447</v>
      </c>
      <c r="F1302" t="s">
        <v>1989</v>
      </c>
      <c r="G1302" t="s">
        <v>1737</v>
      </c>
      <c r="H1302" t="s">
        <v>2279</v>
      </c>
      <c r="I1302" t="s">
        <v>2279</v>
      </c>
      <c r="J1302" t="s">
        <v>2279</v>
      </c>
      <c r="K1302" t="s">
        <v>2279</v>
      </c>
      <c r="L1302" t="s">
        <v>1439</v>
      </c>
      <c r="M1302" t="s">
        <v>2279</v>
      </c>
      <c r="N1302" t="s">
        <v>2279</v>
      </c>
      <c r="O1302" s="190" t="str">
        <f>"["&amp;$C1302&amp;"]["&amp;$D1302&amp;"]["&amp;$F1302&amp;"]"</f>
        <v>[S06_InstallationsVerificationReportsIssueDetail][30][TypeOfIssue]</v>
      </c>
    </row>
    <row r="1303" spans="1:15" x14ac:dyDescent="0.3">
      <c r="A1303" t="s">
        <v>2277</v>
      </c>
      <c r="B1303" t="s">
        <v>1985</v>
      </c>
      <c r="C1303" t="s">
        <v>1987</v>
      </c>
      <c r="D1303">
        <v>31</v>
      </c>
      <c r="E1303" t="s">
        <v>1447</v>
      </c>
      <c r="F1303" t="s">
        <v>1989</v>
      </c>
      <c r="G1303" t="s">
        <v>1737</v>
      </c>
      <c r="H1303" t="s">
        <v>2279</v>
      </c>
      <c r="I1303" t="s">
        <v>2279</v>
      </c>
      <c r="J1303" t="s">
        <v>2279</v>
      </c>
      <c r="K1303" t="s">
        <v>2279</v>
      </c>
      <c r="L1303" t="s">
        <v>1439</v>
      </c>
      <c r="M1303" t="s">
        <v>2279</v>
      </c>
      <c r="N1303" t="s">
        <v>2279</v>
      </c>
      <c r="O1303" s="190" t="str">
        <f>"["&amp;$C1303&amp;"]["&amp;$D1303&amp;"]["&amp;$F1303&amp;"]"</f>
        <v>[S06_InstallationsVerificationReportsIssueDetail][31][TypeOfIssue]</v>
      </c>
    </row>
    <row r="1304" spans="1:15" x14ac:dyDescent="0.3">
      <c r="A1304" t="s">
        <v>2277</v>
      </c>
      <c r="B1304" t="s">
        <v>1985</v>
      </c>
      <c r="C1304" t="s">
        <v>1987</v>
      </c>
      <c r="D1304">
        <v>32</v>
      </c>
      <c r="E1304" t="s">
        <v>1447</v>
      </c>
      <c r="F1304" t="s">
        <v>1989</v>
      </c>
      <c r="G1304" t="s">
        <v>1737</v>
      </c>
      <c r="H1304" t="s">
        <v>2279</v>
      </c>
      <c r="I1304" t="s">
        <v>2279</v>
      </c>
      <c r="J1304" t="s">
        <v>2279</v>
      </c>
      <c r="K1304" t="s">
        <v>2279</v>
      </c>
      <c r="L1304" t="s">
        <v>1439</v>
      </c>
      <c r="M1304" t="s">
        <v>2279</v>
      </c>
      <c r="N1304" t="s">
        <v>2279</v>
      </c>
      <c r="O1304" s="190" t="str">
        <f>"["&amp;$C1304&amp;"]["&amp;$D1304&amp;"]["&amp;$F1304&amp;"]"</f>
        <v>[S06_InstallationsVerificationReportsIssueDetail][32][TypeOfIssue]</v>
      </c>
    </row>
    <row r="1305" spans="1:15" x14ac:dyDescent="0.3">
      <c r="A1305" t="s">
        <v>2277</v>
      </c>
      <c r="B1305" t="s">
        <v>1985</v>
      </c>
      <c r="C1305" t="s">
        <v>1987</v>
      </c>
      <c r="D1305">
        <v>33</v>
      </c>
      <c r="E1305" t="s">
        <v>1447</v>
      </c>
      <c r="F1305" t="s">
        <v>1989</v>
      </c>
      <c r="G1305" t="s">
        <v>1737</v>
      </c>
      <c r="H1305" t="s">
        <v>2279</v>
      </c>
      <c r="I1305" t="s">
        <v>2279</v>
      </c>
      <c r="J1305" t="s">
        <v>2279</v>
      </c>
      <c r="K1305" t="s">
        <v>2279</v>
      </c>
      <c r="L1305" t="s">
        <v>1439</v>
      </c>
      <c r="M1305" t="s">
        <v>2279</v>
      </c>
      <c r="N1305" t="s">
        <v>2279</v>
      </c>
      <c r="O1305" s="190" t="str">
        <f>"["&amp;$C1305&amp;"]["&amp;$D1305&amp;"]["&amp;$F1305&amp;"]"</f>
        <v>[S06_InstallationsVerificationReportsIssueDetail][33][TypeOfIssue]</v>
      </c>
    </row>
    <row r="1306" spans="1:15" x14ac:dyDescent="0.3">
      <c r="A1306" t="s">
        <v>2277</v>
      </c>
      <c r="B1306" t="s">
        <v>1985</v>
      </c>
      <c r="C1306" t="s">
        <v>1987</v>
      </c>
      <c r="D1306">
        <v>34</v>
      </c>
      <c r="E1306" t="s">
        <v>1447</v>
      </c>
      <c r="F1306" t="s">
        <v>1989</v>
      </c>
      <c r="G1306" t="s">
        <v>1737</v>
      </c>
      <c r="H1306" t="s">
        <v>2279</v>
      </c>
      <c r="I1306" t="s">
        <v>2279</v>
      </c>
      <c r="J1306" t="s">
        <v>2279</v>
      </c>
      <c r="K1306" t="s">
        <v>2279</v>
      </c>
      <c r="L1306" t="s">
        <v>1439</v>
      </c>
      <c r="M1306" t="s">
        <v>2279</v>
      </c>
      <c r="N1306" t="s">
        <v>2279</v>
      </c>
      <c r="O1306" s="190" t="str">
        <f>"["&amp;$C1306&amp;"]["&amp;$D1306&amp;"]["&amp;$F1306&amp;"]"</f>
        <v>[S06_InstallationsVerificationReportsIssueDetail][34][TypeOfIssue]</v>
      </c>
    </row>
    <row r="1307" spans="1:15" x14ac:dyDescent="0.3">
      <c r="A1307" t="s">
        <v>2277</v>
      </c>
      <c r="B1307" t="s">
        <v>1985</v>
      </c>
      <c r="C1307" t="s">
        <v>1987</v>
      </c>
      <c r="D1307">
        <v>35</v>
      </c>
      <c r="E1307" t="s">
        <v>1447</v>
      </c>
      <c r="F1307" t="s">
        <v>1989</v>
      </c>
      <c r="G1307" t="s">
        <v>1737</v>
      </c>
      <c r="H1307" t="s">
        <v>2279</v>
      </c>
      <c r="I1307" t="s">
        <v>2279</v>
      </c>
      <c r="J1307" t="s">
        <v>2279</v>
      </c>
      <c r="K1307" t="s">
        <v>2279</v>
      </c>
      <c r="L1307" t="s">
        <v>1439</v>
      </c>
      <c r="M1307" t="s">
        <v>2279</v>
      </c>
      <c r="N1307" t="s">
        <v>2279</v>
      </c>
      <c r="O1307" s="190" t="str">
        <f>"["&amp;$C1307&amp;"]["&amp;$D1307&amp;"]["&amp;$F1307&amp;"]"</f>
        <v>[S06_InstallationsVerificationReportsIssueDetail][35][TypeOfIssue]</v>
      </c>
    </row>
    <row r="1308" spans="1:15" x14ac:dyDescent="0.3">
      <c r="A1308" t="s">
        <v>2277</v>
      </c>
      <c r="B1308" t="s">
        <v>1985</v>
      </c>
      <c r="C1308" t="s">
        <v>1987</v>
      </c>
      <c r="D1308">
        <v>36</v>
      </c>
      <c r="E1308" t="s">
        <v>1447</v>
      </c>
      <c r="F1308" t="s">
        <v>1989</v>
      </c>
      <c r="G1308" t="s">
        <v>1737</v>
      </c>
      <c r="H1308" t="s">
        <v>2279</v>
      </c>
      <c r="I1308" t="s">
        <v>2279</v>
      </c>
      <c r="J1308" t="s">
        <v>2279</v>
      </c>
      <c r="K1308" t="s">
        <v>2279</v>
      </c>
      <c r="L1308" t="s">
        <v>1439</v>
      </c>
      <c r="M1308" t="s">
        <v>2279</v>
      </c>
      <c r="N1308" t="s">
        <v>2279</v>
      </c>
      <c r="O1308" s="190" t="str">
        <f>"["&amp;$C1308&amp;"]["&amp;$D1308&amp;"]["&amp;$F1308&amp;"]"</f>
        <v>[S06_InstallationsVerificationReportsIssueDetail][36][TypeOfIssue]</v>
      </c>
    </row>
    <row r="1309" spans="1:15" x14ac:dyDescent="0.3">
      <c r="A1309" t="s">
        <v>2277</v>
      </c>
      <c r="B1309" t="s">
        <v>1985</v>
      </c>
      <c r="C1309" t="s">
        <v>1987</v>
      </c>
      <c r="D1309">
        <v>37</v>
      </c>
      <c r="E1309" t="s">
        <v>1447</v>
      </c>
      <c r="F1309" t="s">
        <v>1989</v>
      </c>
      <c r="G1309" t="s">
        <v>1737</v>
      </c>
      <c r="H1309" t="s">
        <v>2279</v>
      </c>
      <c r="I1309" t="s">
        <v>2279</v>
      </c>
      <c r="J1309" t="s">
        <v>2279</v>
      </c>
      <c r="K1309" t="s">
        <v>2279</v>
      </c>
      <c r="L1309" t="s">
        <v>1439</v>
      </c>
      <c r="M1309" t="s">
        <v>2279</v>
      </c>
      <c r="N1309" t="s">
        <v>2279</v>
      </c>
      <c r="O1309" s="190" t="str">
        <f>"["&amp;$C1309&amp;"]["&amp;$D1309&amp;"]["&amp;$F1309&amp;"]"</f>
        <v>[S06_InstallationsVerificationReportsIssueDetail][37][TypeOfIssue]</v>
      </c>
    </row>
    <row r="1310" spans="1:15" x14ac:dyDescent="0.3">
      <c r="A1310" t="s">
        <v>2277</v>
      </c>
      <c r="B1310" t="s">
        <v>1985</v>
      </c>
      <c r="C1310" t="s">
        <v>1987</v>
      </c>
      <c r="D1310">
        <v>38</v>
      </c>
      <c r="E1310" t="s">
        <v>1447</v>
      </c>
      <c r="F1310" t="s">
        <v>1989</v>
      </c>
      <c r="G1310" t="s">
        <v>1737</v>
      </c>
      <c r="H1310" t="s">
        <v>2279</v>
      </c>
      <c r="I1310" t="s">
        <v>2279</v>
      </c>
      <c r="J1310" t="s">
        <v>2279</v>
      </c>
      <c r="K1310" t="s">
        <v>2279</v>
      </c>
      <c r="L1310" t="s">
        <v>1467</v>
      </c>
      <c r="M1310" t="s">
        <v>2279</v>
      </c>
      <c r="N1310" t="s">
        <v>2279</v>
      </c>
      <c r="O1310" s="190" t="str">
        <f>"["&amp;$C1310&amp;"]["&amp;$D1310&amp;"]["&amp;$F1310&amp;"]"</f>
        <v>[S06_InstallationsVerificationReportsIssueDetail][38][TypeOfIssue]</v>
      </c>
    </row>
    <row r="1311" spans="1:15" x14ac:dyDescent="0.3">
      <c r="A1311" t="s">
        <v>2277</v>
      </c>
      <c r="B1311" t="s">
        <v>1985</v>
      </c>
      <c r="C1311" t="s">
        <v>1987</v>
      </c>
      <c r="D1311">
        <v>39</v>
      </c>
      <c r="E1311" t="s">
        <v>1447</v>
      </c>
      <c r="F1311" t="s">
        <v>1989</v>
      </c>
      <c r="G1311" t="s">
        <v>1737</v>
      </c>
      <c r="H1311" t="s">
        <v>2279</v>
      </c>
      <c r="I1311" t="s">
        <v>2279</v>
      </c>
      <c r="J1311" t="s">
        <v>2279</v>
      </c>
      <c r="K1311" t="s">
        <v>2279</v>
      </c>
      <c r="L1311" t="s">
        <v>1467</v>
      </c>
      <c r="M1311" t="s">
        <v>2279</v>
      </c>
      <c r="N1311" t="s">
        <v>2279</v>
      </c>
      <c r="O1311" s="190" t="str">
        <f>"["&amp;$C1311&amp;"]["&amp;$D1311&amp;"]["&amp;$F1311&amp;"]"</f>
        <v>[S06_InstallationsVerificationReportsIssueDetail][39][TypeOfIssue]</v>
      </c>
    </row>
    <row r="1312" spans="1:15" x14ac:dyDescent="0.3">
      <c r="A1312" t="s">
        <v>2277</v>
      </c>
      <c r="B1312" t="s">
        <v>1985</v>
      </c>
      <c r="C1312" t="s">
        <v>1987</v>
      </c>
      <c r="D1312">
        <v>40</v>
      </c>
      <c r="E1312" t="s">
        <v>1447</v>
      </c>
      <c r="F1312" t="s">
        <v>1989</v>
      </c>
      <c r="G1312" t="s">
        <v>1737</v>
      </c>
      <c r="H1312" t="s">
        <v>2279</v>
      </c>
      <c r="I1312" t="s">
        <v>2279</v>
      </c>
      <c r="J1312" t="s">
        <v>2279</v>
      </c>
      <c r="K1312" t="s">
        <v>2279</v>
      </c>
      <c r="L1312" t="s">
        <v>1467</v>
      </c>
      <c r="M1312" t="s">
        <v>2279</v>
      </c>
      <c r="N1312" t="s">
        <v>2279</v>
      </c>
      <c r="O1312" s="190" t="str">
        <f>"["&amp;$C1312&amp;"]["&amp;$D1312&amp;"]["&amp;$F1312&amp;"]"</f>
        <v>[S06_InstallationsVerificationReportsIssueDetail][40][TypeOfIssue]</v>
      </c>
    </row>
    <row r="1313" spans="1:15" x14ac:dyDescent="0.3">
      <c r="A1313" t="s">
        <v>2277</v>
      </c>
      <c r="B1313" t="s">
        <v>1985</v>
      </c>
      <c r="C1313" t="s">
        <v>1987</v>
      </c>
      <c r="D1313">
        <v>41</v>
      </c>
      <c r="E1313" t="s">
        <v>1447</v>
      </c>
      <c r="F1313" t="s">
        <v>1989</v>
      </c>
      <c r="G1313" t="s">
        <v>1737</v>
      </c>
      <c r="H1313" t="s">
        <v>2279</v>
      </c>
      <c r="I1313" t="s">
        <v>2279</v>
      </c>
      <c r="J1313" t="s">
        <v>2279</v>
      </c>
      <c r="K1313" t="s">
        <v>2279</v>
      </c>
      <c r="L1313" t="s">
        <v>1467</v>
      </c>
      <c r="M1313" t="s">
        <v>2279</v>
      </c>
      <c r="N1313" t="s">
        <v>2279</v>
      </c>
      <c r="O1313" s="190" t="str">
        <f>"["&amp;$C1313&amp;"]["&amp;$D1313&amp;"]["&amp;$F1313&amp;"]"</f>
        <v>[S06_InstallationsVerificationReportsIssueDetail][41][TypeOfIssue]</v>
      </c>
    </row>
    <row r="1314" spans="1:15" x14ac:dyDescent="0.3">
      <c r="A1314" t="s">
        <v>2277</v>
      </c>
      <c r="B1314" t="s">
        <v>1985</v>
      </c>
      <c r="C1314" t="s">
        <v>1987</v>
      </c>
      <c r="D1314">
        <v>42</v>
      </c>
      <c r="E1314" t="s">
        <v>1447</v>
      </c>
      <c r="F1314" t="s">
        <v>1989</v>
      </c>
      <c r="G1314" t="s">
        <v>1737</v>
      </c>
      <c r="H1314" t="s">
        <v>2279</v>
      </c>
      <c r="I1314" t="s">
        <v>2279</v>
      </c>
      <c r="J1314" t="s">
        <v>2279</v>
      </c>
      <c r="K1314" t="s">
        <v>2279</v>
      </c>
      <c r="L1314" t="s">
        <v>1467</v>
      </c>
      <c r="M1314" t="s">
        <v>2279</v>
      </c>
      <c r="N1314" t="s">
        <v>2279</v>
      </c>
      <c r="O1314" s="190" t="str">
        <f>"["&amp;$C1314&amp;"]["&amp;$D1314&amp;"]["&amp;$F1314&amp;"]"</f>
        <v>[S06_InstallationsVerificationReportsIssueDetail][42][TypeOfIssue]</v>
      </c>
    </row>
    <row r="1315" spans="1:15" x14ac:dyDescent="0.3">
      <c r="A1315" t="s">
        <v>2277</v>
      </c>
      <c r="B1315" t="s">
        <v>1985</v>
      </c>
      <c r="C1315" t="s">
        <v>1987</v>
      </c>
      <c r="D1315">
        <v>43</v>
      </c>
      <c r="E1315" t="s">
        <v>1447</v>
      </c>
      <c r="F1315" t="s">
        <v>1989</v>
      </c>
      <c r="G1315" t="s">
        <v>1737</v>
      </c>
      <c r="H1315" t="s">
        <v>2279</v>
      </c>
      <c r="I1315" t="s">
        <v>2279</v>
      </c>
      <c r="J1315" t="s">
        <v>2279</v>
      </c>
      <c r="K1315" t="s">
        <v>2279</v>
      </c>
      <c r="L1315" t="s">
        <v>1467</v>
      </c>
      <c r="M1315" t="s">
        <v>2279</v>
      </c>
      <c r="N1315" t="s">
        <v>2279</v>
      </c>
      <c r="O1315" s="190" t="str">
        <f>"["&amp;$C1315&amp;"]["&amp;$D1315&amp;"]["&amp;$F1315&amp;"]"</f>
        <v>[S06_InstallationsVerificationReportsIssueDetail][43][TypeOfIssue]</v>
      </c>
    </row>
    <row r="1316" spans="1:15" x14ac:dyDescent="0.3">
      <c r="A1316" t="s">
        <v>2277</v>
      </c>
      <c r="B1316" t="s">
        <v>1985</v>
      </c>
      <c r="C1316" t="s">
        <v>1987</v>
      </c>
      <c r="D1316">
        <v>44</v>
      </c>
      <c r="E1316" t="s">
        <v>1447</v>
      </c>
      <c r="F1316" t="s">
        <v>1989</v>
      </c>
      <c r="G1316" t="s">
        <v>1737</v>
      </c>
      <c r="H1316" t="s">
        <v>2279</v>
      </c>
      <c r="I1316" t="s">
        <v>2279</v>
      </c>
      <c r="J1316" t="s">
        <v>2279</v>
      </c>
      <c r="K1316" t="s">
        <v>2279</v>
      </c>
      <c r="L1316" t="s">
        <v>1467</v>
      </c>
      <c r="M1316" t="s">
        <v>2279</v>
      </c>
      <c r="N1316" t="s">
        <v>2279</v>
      </c>
      <c r="O1316" s="190" t="str">
        <f>"["&amp;$C1316&amp;"]["&amp;$D1316&amp;"]["&amp;$F1316&amp;"]"</f>
        <v>[S06_InstallationsVerificationReportsIssueDetail][44][TypeOfIssue]</v>
      </c>
    </row>
    <row r="1317" spans="1:15" x14ac:dyDescent="0.3">
      <c r="A1317" t="s">
        <v>2277</v>
      </c>
      <c r="B1317" t="s">
        <v>1985</v>
      </c>
      <c r="C1317" t="s">
        <v>1987</v>
      </c>
      <c r="D1317">
        <v>45</v>
      </c>
      <c r="E1317" t="s">
        <v>1447</v>
      </c>
      <c r="F1317" t="s">
        <v>1989</v>
      </c>
      <c r="G1317" t="s">
        <v>1737</v>
      </c>
      <c r="H1317" t="s">
        <v>2279</v>
      </c>
      <c r="I1317" t="s">
        <v>2279</v>
      </c>
      <c r="J1317" t="s">
        <v>2279</v>
      </c>
      <c r="K1317" t="s">
        <v>2279</v>
      </c>
      <c r="L1317" t="s">
        <v>1467</v>
      </c>
      <c r="M1317" t="s">
        <v>2279</v>
      </c>
      <c r="N1317" t="s">
        <v>2279</v>
      </c>
      <c r="O1317" s="190" t="str">
        <f>"["&amp;$C1317&amp;"]["&amp;$D1317&amp;"]["&amp;$F1317&amp;"]"</f>
        <v>[S06_InstallationsVerificationReportsIssueDetail][45][TypeOfIssue]</v>
      </c>
    </row>
    <row r="1318" spans="1:15" x14ac:dyDescent="0.3">
      <c r="A1318" t="s">
        <v>2277</v>
      </c>
      <c r="B1318" t="s">
        <v>1985</v>
      </c>
      <c r="C1318" t="s">
        <v>1987</v>
      </c>
      <c r="D1318">
        <v>46</v>
      </c>
      <c r="E1318" t="s">
        <v>1447</v>
      </c>
      <c r="F1318" t="s">
        <v>1989</v>
      </c>
      <c r="G1318" t="s">
        <v>1737</v>
      </c>
      <c r="H1318" t="s">
        <v>2279</v>
      </c>
      <c r="I1318" t="s">
        <v>2279</v>
      </c>
      <c r="J1318" t="s">
        <v>2279</v>
      </c>
      <c r="K1318" t="s">
        <v>2279</v>
      </c>
      <c r="L1318" t="s">
        <v>1467</v>
      </c>
      <c r="M1318" t="s">
        <v>2279</v>
      </c>
      <c r="N1318" t="s">
        <v>2279</v>
      </c>
      <c r="O1318" s="190" t="str">
        <f>"["&amp;$C1318&amp;"]["&amp;$D1318&amp;"]["&amp;$F1318&amp;"]"</f>
        <v>[S06_InstallationsVerificationReportsIssueDetail][46][TypeOfIssue]</v>
      </c>
    </row>
    <row r="1319" spans="1:15" x14ac:dyDescent="0.3">
      <c r="A1319" t="s">
        <v>2277</v>
      </c>
      <c r="B1319" t="s">
        <v>1985</v>
      </c>
      <c r="C1319" t="s">
        <v>1987</v>
      </c>
      <c r="D1319">
        <v>47</v>
      </c>
      <c r="E1319" t="s">
        <v>1447</v>
      </c>
      <c r="F1319" t="s">
        <v>1989</v>
      </c>
      <c r="G1319" t="s">
        <v>1737</v>
      </c>
      <c r="H1319" t="s">
        <v>2279</v>
      </c>
      <c r="I1319" t="s">
        <v>2279</v>
      </c>
      <c r="J1319" t="s">
        <v>2279</v>
      </c>
      <c r="K1319" t="s">
        <v>2279</v>
      </c>
      <c r="L1319" t="s">
        <v>1467</v>
      </c>
      <c r="M1319" t="s">
        <v>2279</v>
      </c>
      <c r="N1319" t="s">
        <v>2279</v>
      </c>
      <c r="O1319" s="190" t="str">
        <f>"["&amp;$C1319&amp;"]["&amp;$D1319&amp;"]["&amp;$F1319&amp;"]"</f>
        <v>[S06_InstallationsVerificationReportsIssueDetail][47][TypeOfIssue]</v>
      </c>
    </row>
    <row r="1320" spans="1:15" x14ac:dyDescent="0.3">
      <c r="A1320" t="s">
        <v>2277</v>
      </c>
      <c r="B1320" t="s">
        <v>1985</v>
      </c>
      <c r="C1320" t="s">
        <v>1987</v>
      </c>
      <c r="D1320">
        <v>48</v>
      </c>
      <c r="E1320" t="s">
        <v>1447</v>
      </c>
      <c r="F1320" t="s">
        <v>1989</v>
      </c>
      <c r="G1320" t="s">
        <v>1737</v>
      </c>
      <c r="H1320" t="s">
        <v>2279</v>
      </c>
      <c r="I1320" t="s">
        <v>2279</v>
      </c>
      <c r="J1320" t="s">
        <v>2279</v>
      </c>
      <c r="K1320" t="s">
        <v>2279</v>
      </c>
      <c r="L1320" t="s">
        <v>1467</v>
      </c>
      <c r="M1320" t="s">
        <v>2279</v>
      </c>
      <c r="N1320" t="s">
        <v>2279</v>
      </c>
      <c r="O1320" s="190" t="str">
        <f>"["&amp;$C1320&amp;"]["&amp;$D1320&amp;"]["&amp;$F1320&amp;"]"</f>
        <v>[S06_InstallationsVerificationReportsIssueDetail][48][TypeOfIssue]</v>
      </c>
    </row>
    <row r="1321" spans="1:15" x14ac:dyDescent="0.3">
      <c r="A1321" t="s">
        <v>2277</v>
      </c>
      <c r="B1321" t="s">
        <v>1985</v>
      </c>
      <c r="C1321" t="s">
        <v>1987</v>
      </c>
      <c r="D1321">
        <v>49</v>
      </c>
      <c r="E1321" t="s">
        <v>1447</v>
      </c>
      <c r="F1321" t="s">
        <v>1989</v>
      </c>
      <c r="G1321" t="s">
        <v>1737</v>
      </c>
      <c r="H1321" t="s">
        <v>2279</v>
      </c>
      <c r="I1321" t="s">
        <v>2279</v>
      </c>
      <c r="J1321" t="s">
        <v>2279</v>
      </c>
      <c r="K1321" t="s">
        <v>2279</v>
      </c>
      <c r="L1321" t="s">
        <v>1467</v>
      </c>
      <c r="M1321" t="s">
        <v>2279</v>
      </c>
      <c r="N1321" t="s">
        <v>2279</v>
      </c>
      <c r="O1321" s="190" t="str">
        <f>"["&amp;$C1321&amp;"]["&amp;$D1321&amp;"]["&amp;$F1321&amp;"]"</f>
        <v>[S06_InstallationsVerificationReportsIssueDetail][49][TypeOfIssue]</v>
      </c>
    </row>
    <row r="1322" spans="1:15" x14ac:dyDescent="0.3">
      <c r="A1322" t="s">
        <v>2277</v>
      </c>
      <c r="B1322" t="s">
        <v>1985</v>
      </c>
      <c r="C1322" t="s">
        <v>1987</v>
      </c>
      <c r="D1322">
        <v>50</v>
      </c>
      <c r="E1322" t="s">
        <v>1447</v>
      </c>
      <c r="F1322" t="s">
        <v>1989</v>
      </c>
      <c r="G1322" t="s">
        <v>1737</v>
      </c>
      <c r="H1322" t="s">
        <v>2279</v>
      </c>
      <c r="I1322" t="s">
        <v>2279</v>
      </c>
      <c r="J1322" t="s">
        <v>2279</v>
      </c>
      <c r="K1322" t="s">
        <v>2279</v>
      </c>
      <c r="L1322" t="s">
        <v>1467</v>
      </c>
      <c r="M1322" t="s">
        <v>2279</v>
      </c>
      <c r="N1322" t="s">
        <v>2279</v>
      </c>
      <c r="O1322" s="190" t="str">
        <f>"["&amp;$C1322&amp;"]["&amp;$D1322&amp;"]["&amp;$F1322&amp;"]"</f>
        <v>[S06_InstallationsVerificationReportsIssueDetail][50][TypeOfIssue]</v>
      </c>
    </row>
    <row r="1323" spans="1:15" x14ac:dyDescent="0.3">
      <c r="A1323" t="s">
        <v>2277</v>
      </c>
      <c r="B1323" t="s">
        <v>1985</v>
      </c>
      <c r="C1323" t="s">
        <v>1987</v>
      </c>
      <c r="D1323">
        <v>51</v>
      </c>
      <c r="E1323" t="s">
        <v>1447</v>
      </c>
      <c r="F1323" t="s">
        <v>1989</v>
      </c>
      <c r="G1323" t="s">
        <v>1737</v>
      </c>
      <c r="H1323" t="s">
        <v>2279</v>
      </c>
      <c r="I1323" t="s">
        <v>2279</v>
      </c>
      <c r="J1323" t="s">
        <v>2279</v>
      </c>
      <c r="K1323" t="s">
        <v>2279</v>
      </c>
      <c r="L1323" t="s">
        <v>1467</v>
      </c>
      <c r="M1323" t="s">
        <v>2279</v>
      </c>
      <c r="N1323" t="s">
        <v>2279</v>
      </c>
      <c r="O1323" s="190" t="str">
        <f>"["&amp;$C1323&amp;"]["&amp;$D1323&amp;"]["&amp;$F1323&amp;"]"</f>
        <v>[S06_InstallationsVerificationReportsIssueDetail][51][TypeOfIssue]</v>
      </c>
    </row>
    <row r="1324" spans="1:15" x14ac:dyDescent="0.3">
      <c r="A1324" t="s">
        <v>2277</v>
      </c>
      <c r="B1324" t="s">
        <v>1985</v>
      </c>
      <c r="C1324" t="s">
        <v>1987</v>
      </c>
      <c r="D1324">
        <v>52</v>
      </c>
      <c r="E1324" t="s">
        <v>1447</v>
      </c>
      <c r="F1324" t="s">
        <v>1989</v>
      </c>
      <c r="G1324" t="s">
        <v>1737</v>
      </c>
      <c r="H1324" t="s">
        <v>2279</v>
      </c>
      <c r="I1324" t="s">
        <v>2279</v>
      </c>
      <c r="J1324" t="s">
        <v>2279</v>
      </c>
      <c r="K1324" t="s">
        <v>2279</v>
      </c>
      <c r="L1324" t="s">
        <v>1467</v>
      </c>
      <c r="M1324" t="s">
        <v>2279</v>
      </c>
      <c r="N1324" t="s">
        <v>2279</v>
      </c>
      <c r="O1324" s="190" t="str">
        <f>"["&amp;$C1324&amp;"]["&amp;$D1324&amp;"]["&amp;$F1324&amp;"]"</f>
        <v>[S06_InstallationsVerificationReportsIssueDetail][52][TypeOfIssue]</v>
      </c>
    </row>
    <row r="1325" spans="1:15" x14ac:dyDescent="0.3">
      <c r="A1325" t="s">
        <v>2277</v>
      </c>
      <c r="B1325" t="s">
        <v>1985</v>
      </c>
      <c r="C1325" t="s">
        <v>1987</v>
      </c>
      <c r="D1325">
        <v>53</v>
      </c>
      <c r="E1325" t="s">
        <v>1447</v>
      </c>
      <c r="F1325" t="s">
        <v>1989</v>
      </c>
      <c r="G1325" t="s">
        <v>1737</v>
      </c>
      <c r="H1325" t="s">
        <v>2279</v>
      </c>
      <c r="I1325" t="s">
        <v>2279</v>
      </c>
      <c r="J1325" t="s">
        <v>2279</v>
      </c>
      <c r="K1325" t="s">
        <v>2279</v>
      </c>
      <c r="L1325" t="s">
        <v>1467</v>
      </c>
      <c r="M1325" t="s">
        <v>2279</v>
      </c>
      <c r="N1325" t="s">
        <v>2279</v>
      </c>
      <c r="O1325" s="190" t="str">
        <f>"["&amp;$C1325&amp;"]["&amp;$D1325&amp;"]["&amp;$F1325&amp;"]"</f>
        <v>[S06_InstallationsVerificationReportsIssueDetail][53][TypeOfIssue]</v>
      </c>
    </row>
    <row r="1326" spans="1:15" x14ac:dyDescent="0.3">
      <c r="A1326" t="s">
        <v>2277</v>
      </c>
      <c r="B1326" t="s">
        <v>1985</v>
      </c>
      <c r="C1326" t="s">
        <v>1987</v>
      </c>
      <c r="D1326">
        <v>54</v>
      </c>
      <c r="E1326" t="s">
        <v>1447</v>
      </c>
      <c r="F1326" t="s">
        <v>1989</v>
      </c>
      <c r="G1326" t="s">
        <v>1737</v>
      </c>
      <c r="H1326" t="s">
        <v>2279</v>
      </c>
      <c r="I1326" t="s">
        <v>2279</v>
      </c>
      <c r="J1326" t="s">
        <v>2279</v>
      </c>
      <c r="K1326" t="s">
        <v>2279</v>
      </c>
      <c r="L1326" t="s">
        <v>1467</v>
      </c>
      <c r="M1326" t="s">
        <v>2279</v>
      </c>
      <c r="N1326" t="s">
        <v>2279</v>
      </c>
      <c r="O1326" s="190" t="str">
        <f>"["&amp;$C1326&amp;"]["&amp;$D1326&amp;"]["&amp;$F1326&amp;"]"</f>
        <v>[S06_InstallationsVerificationReportsIssueDetail][54][TypeOfIssue]</v>
      </c>
    </row>
    <row r="1327" spans="1:15" x14ac:dyDescent="0.3">
      <c r="A1327" t="s">
        <v>2277</v>
      </c>
      <c r="B1327" t="s">
        <v>1985</v>
      </c>
      <c r="C1327" t="s">
        <v>1987</v>
      </c>
      <c r="D1327">
        <v>55</v>
      </c>
      <c r="E1327" t="s">
        <v>1447</v>
      </c>
      <c r="F1327" t="s">
        <v>1989</v>
      </c>
      <c r="G1327" t="s">
        <v>1737</v>
      </c>
      <c r="H1327" t="s">
        <v>2279</v>
      </c>
      <c r="I1327" t="s">
        <v>2279</v>
      </c>
      <c r="J1327" t="s">
        <v>2279</v>
      </c>
      <c r="K1327" t="s">
        <v>2279</v>
      </c>
      <c r="L1327" t="s">
        <v>1467</v>
      </c>
      <c r="M1327" t="s">
        <v>2279</v>
      </c>
      <c r="N1327" t="s">
        <v>2279</v>
      </c>
      <c r="O1327" s="190" t="str">
        <f>"["&amp;$C1327&amp;"]["&amp;$D1327&amp;"]["&amp;$F1327&amp;"]"</f>
        <v>[S06_InstallationsVerificationReportsIssueDetail][55][TypeOfIssue]</v>
      </c>
    </row>
    <row r="1328" spans="1:15" x14ac:dyDescent="0.3">
      <c r="A1328" t="s">
        <v>2277</v>
      </c>
      <c r="B1328" t="s">
        <v>1985</v>
      </c>
      <c r="C1328" t="s">
        <v>1987</v>
      </c>
      <c r="D1328">
        <v>56</v>
      </c>
      <c r="E1328" t="s">
        <v>1447</v>
      </c>
      <c r="F1328" t="s">
        <v>1989</v>
      </c>
      <c r="G1328" t="s">
        <v>1737</v>
      </c>
      <c r="H1328" t="s">
        <v>2279</v>
      </c>
      <c r="I1328" t="s">
        <v>2279</v>
      </c>
      <c r="J1328" t="s">
        <v>2279</v>
      </c>
      <c r="K1328" t="s">
        <v>2279</v>
      </c>
      <c r="L1328" t="s">
        <v>1467</v>
      </c>
      <c r="M1328" t="s">
        <v>2279</v>
      </c>
      <c r="N1328" t="s">
        <v>2279</v>
      </c>
      <c r="O1328" s="190" t="str">
        <f>"["&amp;$C1328&amp;"]["&amp;$D1328&amp;"]["&amp;$F1328&amp;"]"</f>
        <v>[S06_InstallationsVerificationReportsIssueDetail][56][TypeOfIssue]</v>
      </c>
    </row>
    <row r="1329" spans="1:15" x14ac:dyDescent="0.3">
      <c r="A1329" t="s">
        <v>2277</v>
      </c>
      <c r="B1329" t="s">
        <v>1985</v>
      </c>
      <c r="C1329" t="s">
        <v>1987</v>
      </c>
      <c r="D1329">
        <v>57</v>
      </c>
      <c r="E1329" t="s">
        <v>1447</v>
      </c>
      <c r="F1329" t="s">
        <v>1989</v>
      </c>
      <c r="G1329" t="s">
        <v>1737</v>
      </c>
      <c r="H1329" t="s">
        <v>2279</v>
      </c>
      <c r="I1329" t="s">
        <v>2279</v>
      </c>
      <c r="J1329" t="s">
        <v>2279</v>
      </c>
      <c r="K1329" t="s">
        <v>2279</v>
      </c>
      <c r="L1329" t="s">
        <v>1467</v>
      </c>
      <c r="M1329" t="s">
        <v>2279</v>
      </c>
      <c r="N1329" t="s">
        <v>2279</v>
      </c>
      <c r="O1329" s="190" t="str">
        <f>"["&amp;$C1329&amp;"]["&amp;$D1329&amp;"]["&amp;$F1329&amp;"]"</f>
        <v>[S06_InstallationsVerificationReportsIssueDetail][57][TypeOfIssue]</v>
      </c>
    </row>
    <row r="1330" spans="1:15" x14ac:dyDescent="0.3">
      <c r="A1330" t="s">
        <v>2277</v>
      </c>
      <c r="B1330" t="s">
        <v>1985</v>
      </c>
      <c r="C1330" t="s">
        <v>1987</v>
      </c>
      <c r="D1330">
        <v>58</v>
      </c>
      <c r="E1330" t="s">
        <v>1447</v>
      </c>
      <c r="F1330" t="s">
        <v>1989</v>
      </c>
      <c r="G1330" t="s">
        <v>1737</v>
      </c>
      <c r="H1330" t="s">
        <v>2279</v>
      </c>
      <c r="I1330" t="s">
        <v>2279</v>
      </c>
      <c r="J1330" t="s">
        <v>2279</v>
      </c>
      <c r="K1330" t="s">
        <v>2279</v>
      </c>
      <c r="L1330" t="s">
        <v>1512</v>
      </c>
      <c r="M1330" t="s">
        <v>2279</v>
      </c>
      <c r="N1330" t="s">
        <v>2279</v>
      </c>
      <c r="O1330" s="190" t="str">
        <f>"["&amp;$C1330&amp;"]["&amp;$D1330&amp;"]["&amp;$F1330&amp;"]"</f>
        <v>[S06_InstallationsVerificationReportsIssueDetail][58][TypeOfIssue]</v>
      </c>
    </row>
    <row r="1331" spans="1:15" x14ac:dyDescent="0.3">
      <c r="A1331" t="s">
        <v>2277</v>
      </c>
      <c r="B1331" t="s">
        <v>1985</v>
      </c>
      <c r="C1331" t="s">
        <v>1987</v>
      </c>
      <c r="D1331">
        <v>59</v>
      </c>
      <c r="E1331" t="s">
        <v>1447</v>
      </c>
      <c r="F1331" t="s">
        <v>1989</v>
      </c>
      <c r="G1331" t="s">
        <v>1737</v>
      </c>
      <c r="H1331" t="s">
        <v>2279</v>
      </c>
      <c r="I1331" t="s">
        <v>2279</v>
      </c>
      <c r="J1331" t="s">
        <v>2279</v>
      </c>
      <c r="K1331" t="s">
        <v>2279</v>
      </c>
      <c r="L1331" t="s">
        <v>1512</v>
      </c>
      <c r="M1331" t="s">
        <v>2279</v>
      </c>
      <c r="N1331" t="s">
        <v>2279</v>
      </c>
      <c r="O1331" s="190" t="str">
        <f>"["&amp;$C1331&amp;"]["&amp;$D1331&amp;"]["&amp;$F1331&amp;"]"</f>
        <v>[S06_InstallationsVerificationReportsIssueDetail][59][TypeOfIssue]</v>
      </c>
    </row>
    <row r="1332" spans="1:15" x14ac:dyDescent="0.3">
      <c r="A1332" t="s">
        <v>2277</v>
      </c>
      <c r="B1332" t="s">
        <v>1985</v>
      </c>
      <c r="C1332" t="s">
        <v>1987</v>
      </c>
      <c r="D1332">
        <v>60</v>
      </c>
      <c r="E1332" t="s">
        <v>1447</v>
      </c>
      <c r="F1332" t="s">
        <v>1989</v>
      </c>
      <c r="G1332" t="s">
        <v>1737</v>
      </c>
      <c r="H1332" t="s">
        <v>2279</v>
      </c>
      <c r="I1332" t="s">
        <v>2279</v>
      </c>
      <c r="J1332" t="s">
        <v>2279</v>
      </c>
      <c r="K1332" t="s">
        <v>2279</v>
      </c>
      <c r="L1332" t="s">
        <v>1512</v>
      </c>
      <c r="M1332" t="s">
        <v>2279</v>
      </c>
      <c r="N1332" t="s">
        <v>2279</v>
      </c>
      <c r="O1332" s="190" t="str">
        <f>"["&amp;$C1332&amp;"]["&amp;$D1332&amp;"]["&amp;$F1332&amp;"]"</f>
        <v>[S06_InstallationsVerificationReportsIssueDetail][60][TypeOfIssue]</v>
      </c>
    </row>
    <row r="1333" spans="1:15" x14ac:dyDescent="0.3">
      <c r="A1333" t="s">
        <v>2277</v>
      </c>
      <c r="B1333" t="s">
        <v>1985</v>
      </c>
      <c r="C1333" t="s">
        <v>1987</v>
      </c>
      <c r="D1333">
        <v>61</v>
      </c>
      <c r="E1333" t="s">
        <v>1447</v>
      </c>
      <c r="F1333" t="s">
        <v>1989</v>
      </c>
      <c r="G1333" t="s">
        <v>1737</v>
      </c>
      <c r="H1333" t="s">
        <v>2279</v>
      </c>
      <c r="I1333" t="s">
        <v>2279</v>
      </c>
      <c r="J1333" t="s">
        <v>2279</v>
      </c>
      <c r="K1333" t="s">
        <v>2279</v>
      </c>
      <c r="L1333" t="s">
        <v>1512</v>
      </c>
      <c r="M1333" t="s">
        <v>2279</v>
      </c>
      <c r="N1333" t="s">
        <v>2279</v>
      </c>
      <c r="O1333" s="190" t="str">
        <f>"["&amp;$C1333&amp;"]["&amp;$D1333&amp;"]["&amp;$F1333&amp;"]"</f>
        <v>[S06_InstallationsVerificationReportsIssueDetail][61][TypeOfIssue]</v>
      </c>
    </row>
    <row r="1334" spans="1:15" x14ac:dyDescent="0.3">
      <c r="A1334" t="s">
        <v>2277</v>
      </c>
      <c r="B1334" t="s">
        <v>1985</v>
      </c>
      <c r="C1334" t="s">
        <v>1987</v>
      </c>
      <c r="D1334">
        <v>62</v>
      </c>
      <c r="E1334" t="s">
        <v>1447</v>
      </c>
      <c r="F1334" t="s">
        <v>1989</v>
      </c>
      <c r="G1334" t="s">
        <v>1737</v>
      </c>
      <c r="H1334" t="s">
        <v>2279</v>
      </c>
      <c r="I1334" t="s">
        <v>2279</v>
      </c>
      <c r="J1334" t="s">
        <v>2279</v>
      </c>
      <c r="K1334" t="s">
        <v>2279</v>
      </c>
      <c r="L1334" t="s">
        <v>1512</v>
      </c>
      <c r="M1334" t="s">
        <v>2279</v>
      </c>
      <c r="N1334" t="s">
        <v>2279</v>
      </c>
      <c r="O1334" s="190" t="str">
        <f>"["&amp;$C1334&amp;"]["&amp;$D1334&amp;"]["&amp;$F1334&amp;"]"</f>
        <v>[S06_InstallationsVerificationReportsIssueDetail][62][TypeOfIssue]</v>
      </c>
    </row>
    <row r="1335" spans="1:15" x14ac:dyDescent="0.3">
      <c r="A1335" t="s">
        <v>2277</v>
      </c>
      <c r="B1335" t="s">
        <v>1985</v>
      </c>
      <c r="C1335" t="s">
        <v>1987</v>
      </c>
      <c r="D1335">
        <v>63</v>
      </c>
      <c r="E1335" t="s">
        <v>1447</v>
      </c>
      <c r="F1335" t="s">
        <v>1989</v>
      </c>
      <c r="G1335" t="s">
        <v>1737</v>
      </c>
      <c r="H1335" t="s">
        <v>2279</v>
      </c>
      <c r="I1335" t="s">
        <v>2279</v>
      </c>
      <c r="J1335" t="s">
        <v>2279</v>
      </c>
      <c r="K1335" t="s">
        <v>2279</v>
      </c>
      <c r="L1335" t="s">
        <v>1512</v>
      </c>
      <c r="M1335" t="s">
        <v>2279</v>
      </c>
      <c r="N1335" t="s">
        <v>2279</v>
      </c>
      <c r="O1335" s="190" t="str">
        <f>"["&amp;$C1335&amp;"]["&amp;$D1335&amp;"]["&amp;$F1335&amp;"]"</f>
        <v>[S06_InstallationsVerificationReportsIssueDetail][63][TypeOfIssue]</v>
      </c>
    </row>
    <row r="1336" spans="1:15" x14ac:dyDescent="0.3">
      <c r="A1336" t="s">
        <v>2277</v>
      </c>
      <c r="B1336" t="s">
        <v>1985</v>
      </c>
      <c r="C1336" t="s">
        <v>1987</v>
      </c>
      <c r="D1336">
        <v>64</v>
      </c>
      <c r="E1336" t="s">
        <v>1447</v>
      </c>
      <c r="F1336" t="s">
        <v>1989</v>
      </c>
      <c r="G1336" t="s">
        <v>1737</v>
      </c>
      <c r="H1336" t="s">
        <v>2279</v>
      </c>
      <c r="I1336" t="s">
        <v>2279</v>
      </c>
      <c r="J1336" t="s">
        <v>2279</v>
      </c>
      <c r="K1336" t="s">
        <v>2279</v>
      </c>
      <c r="L1336" t="s">
        <v>1512</v>
      </c>
      <c r="M1336" t="s">
        <v>2279</v>
      </c>
      <c r="N1336" t="s">
        <v>2279</v>
      </c>
      <c r="O1336" s="190" t="str">
        <f>"["&amp;$C1336&amp;"]["&amp;$D1336&amp;"]["&amp;$F1336&amp;"]"</f>
        <v>[S06_InstallationsVerificationReportsIssueDetail][64][TypeOfIssue]</v>
      </c>
    </row>
    <row r="1337" spans="1:15" x14ac:dyDescent="0.3">
      <c r="A1337" t="s">
        <v>2277</v>
      </c>
      <c r="B1337" t="s">
        <v>1985</v>
      </c>
      <c r="C1337" t="s">
        <v>1987</v>
      </c>
      <c r="D1337">
        <v>65</v>
      </c>
      <c r="E1337" t="s">
        <v>1447</v>
      </c>
      <c r="F1337" t="s">
        <v>1989</v>
      </c>
      <c r="G1337" t="s">
        <v>1737</v>
      </c>
      <c r="H1337" t="s">
        <v>2279</v>
      </c>
      <c r="I1337" t="s">
        <v>2279</v>
      </c>
      <c r="J1337" t="s">
        <v>2279</v>
      </c>
      <c r="K1337" t="s">
        <v>2279</v>
      </c>
      <c r="L1337" t="s">
        <v>1512</v>
      </c>
      <c r="M1337" t="s">
        <v>2279</v>
      </c>
      <c r="N1337" t="s">
        <v>2279</v>
      </c>
      <c r="O1337" s="190" t="str">
        <f>"["&amp;$C1337&amp;"]["&amp;$D1337&amp;"]["&amp;$F1337&amp;"]"</f>
        <v>[S06_InstallationsVerificationReportsIssueDetail][65][TypeOfIssue]</v>
      </c>
    </row>
    <row r="1338" spans="1:15" x14ac:dyDescent="0.3">
      <c r="A1338" t="s">
        <v>2277</v>
      </c>
      <c r="B1338" t="s">
        <v>1985</v>
      </c>
      <c r="C1338" t="s">
        <v>1987</v>
      </c>
      <c r="D1338">
        <v>66</v>
      </c>
      <c r="E1338" t="s">
        <v>1447</v>
      </c>
      <c r="F1338" t="s">
        <v>1989</v>
      </c>
      <c r="G1338" t="s">
        <v>1737</v>
      </c>
      <c r="H1338" t="s">
        <v>2279</v>
      </c>
      <c r="I1338" t="s">
        <v>2279</v>
      </c>
      <c r="J1338" t="s">
        <v>2279</v>
      </c>
      <c r="K1338" t="s">
        <v>2279</v>
      </c>
      <c r="L1338" t="s">
        <v>1512</v>
      </c>
      <c r="M1338" t="s">
        <v>2279</v>
      </c>
      <c r="N1338" t="s">
        <v>2279</v>
      </c>
      <c r="O1338" s="190" t="str">
        <f>"["&amp;$C1338&amp;"]["&amp;$D1338&amp;"]["&amp;$F1338&amp;"]"</f>
        <v>[S06_InstallationsVerificationReportsIssueDetail][66][TypeOfIssue]</v>
      </c>
    </row>
    <row r="1339" spans="1:15" x14ac:dyDescent="0.3">
      <c r="A1339" t="s">
        <v>2277</v>
      </c>
      <c r="B1339" t="s">
        <v>1985</v>
      </c>
      <c r="C1339" t="s">
        <v>1987</v>
      </c>
      <c r="D1339">
        <v>67</v>
      </c>
      <c r="E1339" t="s">
        <v>1447</v>
      </c>
      <c r="F1339" t="s">
        <v>1989</v>
      </c>
      <c r="G1339" t="s">
        <v>1737</v>
      </c>
      <c r="H1339" t="s">
        <v>2279</v>
      </c>
      <c r="I1339" t="s">
        <v>2279</v>
      </c>
      <c r="J1339" t="s">
        <v>2279</v>
      </c>
      <c r="K1339" t="s">
        <v>2279</v>
      </c>
      <c r="L1339" t="s">
        <v>1512</v>
      </c>
      <c r="M1339" t="s">
        <v>2279</v>
      </c>
      <c r="N1339" t="s">
        <v>2279</v>
      </c>
      <c r="O1339" s="190" t="str">
        <f>"["&amp;$C1339&amp;"]["&amp;$D1339&amp;"]["&amp;$F1339&amp;"]"</f>
        <v>[S06_InstallationsVerificationReportsIssueDetail][67][TypeOfIssue]</v>
      </c>
    </row>
    <row r="1340" spans="1:15" x14ac:dyDescent="0.3">
      <c r="A1340" t="s">
        <v>2277</v>
      </c>
      <c r="B1340" t="s">
        <v>1985</v>
      </c>
      <c r="C1340" t="s">
        <v>1987</v>
      </c>
      <c r="D1340">
        <v>68</v>
      </c>
      <c r="E1340" t="s">
        <v>1447</v>
      </c>
      <c r="F1340" t="s">
        <v>1989</v>
      </c>
      <c r="G1340" t="s">
        <v>1737</v>
      </c>
      <c r="H1340" t="s">
        <v>2279</v>
      </c>
      <c r="I1340" t="s">
        <v>2279</v>
      </c>
      <c r="J1340" t="s">
        <v>2279</v>
      </c>
      <c r="K1340" t="s">
        <v>2279</v>
      </c>
      <c r="L1340" t="s">
        <v>1512</v>
      </c>
      <c r="M1340" t="s">
        <v>2279</v>
      </c>
      <c r="N1340" t="s">
        <v>2279</v>
      </c>
      <c r="O1340" s="190" t="str">
        <f>"["&amp;$C1340&amp;"]["&amp;$D1340&amp;"]["&amp;$F1340&amp;"]"</f>
        <v>[S06_InstallationsVerificationReportsIssueDetail][68][TypeOfIssue]</v>
      </c>
    </row>
    <row r="1341" spans="1:15" x14ac:dyDescent="0.3">
      <c r="A1341" t="s">
        <v>2277</v>
      </c>
      <c r="B1341" t="s">
        <v>1985</v>
      </c>
      <c r="C1341" t="s">
        <v>1987</v>
      </c>
      <c r="D1341">
        <v>69</v>
      </c>
      <c r="E1341" t="s">
        <v>1447</v>
      </c>
      <c r="F1341" t="s">
        <v>1989</v>
      </c>
      <c r="G1341" t="s">
        <v>1737</v>
      </c>
      <c r="H1341" t="s">
        <v>2279</v>
      </c>
      <c r="I1341" t="s">
        <v>2279</v>
      </c>
      <c r="J1341" t="s">
        <v>2279</v>
      </c>
      <c r="K1341" t="s">
        <v>2279</v>
      </c>
      <c r="L1341" t="s">
        <v>1512</v>
      </c>
      <c r="M1341" t="s">
        <v>2279</v>
      </c>
      <c r="N1341" t="s">
        <v>2279</v>
      </c>
      <c r="O1341" s="190" t="str">
        <f>"["&amp;$C1341&amp;"]["&amp;$D1341&amp;"]["&amp;$F1341&amp;"]"</f>
        <v>[S06_InstallationsVerificationReportsIssueDetail][69][TypeOfIssue]</v>
      </c>
    </row>
    <row r="1342" spans="1:15" x14ac:dyDescent="0.3">
      <c r="A1342" t="s">
        <v>2277</v>
      </c>
      <c r="B1342" t="s">
        <v>1985</v>
      </c>
      <c r="C1342" t="s">
        <v>1987</v>
      </c>
      <c r="D1342">
        <v>70</v>
      </c>
      <c r="E1342" t="s">
        <v>1447</v>
      </c>
      <c r="F1342" t="s">
        <v>1989</v>
      </c>
      <c r="G1342" t="s">
        <v>1737</v>
      </c>
      <c r="H1342" t="s">
        <v>2279</v>
      </c>
      <c r="I1342" t="s">
        <v>2279</v>
      </c>
      <c r="J1342" t="s">
        <v>2279</v>
      </c>
      <c r="K1342" t="s">
        <v>2279</v>
      </c>
      <c r="L1342" t="s">
        <v>1512</v>
      </c>
      <c r="M1342" t="s">
        <v>2279</v>
      </c>
      <c r="N1342" t="s">
        <v>2279</v>
      </c>
      <c r="O1342" s="190" t="str">
        <f>"["&amp;$C1342&amp;"]["&amp;$D1342&amp;"]["&amp;$F1342&amp;"]"</f>
        <v>[S06_InstallationsVerificationReportsIssueDetail][70][TypeOfIssue]</v>
      </c>
    </row>
    <row r="1343" spans="1:15" x14ac:dyDescent="0.3">
      <c r="A1343" t="s">
        <v>2277</v>
      </c>
      <c r="B1343" t="s">
        <v>1985</v>
      </c>
      <c r="C1343" t="s">
        <v>1987</v>
      </c>
      <c r="D1343">
        <v>71</v>
      </c>
      <c r="E1343" t="s">
        <v>1447</v>
      </c>
      <c r="F1343" t="s">
        <v>1989</v>
      </c>
      <c r="G1343" t="s">
        <v>1737</v>
      </c>
      <c r="H1343" t="s">
        <v>2279</v>
      </c>
      <c r="I1343" t="s">
        <v>2279</v>
      </c>
      <c r="J1343" t="s">
        <v>2279</v>
      </c>
      <c r="K1343" t="s">
        <v>2279</v>
      </c>
      <c r="L1343" t="s">
        <v>1512</v>
      </c>
      <c r="M1343" t="s">
        <v>2279</v>
      </c>
      <c r="N1343" t="s">
        <v>2279</v>
      </c>
      <c r="O1343" s="190" t="str">
        <f>"["&amp;$C1343&amp;"]["&amp;$D1343&amp;"]["&amp;$F1343&amp;"]"</f>
        <v>[S06_InstallationsVerificationReportsIssueDetail][71][TypeOfIssue]</v>
      </c>
    </row>
    <row r="1344" spans="1:15" x14ac:dyDescent="0.3">
      <c r="A1344" t="s">
        <v>2277</v>
      </c>
      <c r="B1344" t="s">
        <v>1985</v>
      </c>
      <c r="C1344" t="s">
        <v>1987</v>
      </c>
      <c r="D1344">
        <v>72</v>
      </c>
      <c r="E1344" t="s">
        <v>1447</v>
      </c>
      <c r="F1344" t="s">
        <v>1989</v>
      </c>
      <c r="G1344" t="s">
        <v>1737</v>
      </c>
      <c r="H1344" t="s">
        <v>2279</v>
      </c>
      <c r="I1344" t="s">
        <v>2279</v>
      </c>
      <c r="J1344" t="s">
        <v>2279</v>
      </c>
      <c r="K1344" t="s">
        <v>2279</v>
      </c>
      <c r="L1344" t="s">
        <v>1512</v>
      </c>
      <c r="M1344" t="s">
        <v>2279</v>
      </c>
      <c r="N1344" t="s">
        <v>2279</v>
      </c>
      <c r="O1344" s="190" t="str">
        <f>"["&amp;$C1344&amp;"]["&amp;$D1344&amp;"]["&amp;$F1344&amp;"]"</f>
        <v>[S06_InstallationsVerificationReportsIssueDetail][72][TypeOfIssue]</v>
      </c>
    </row>
    <row r="1345" spans="1:15" x14ac:dyDescent="0.3">
      <c r="A1345" t="s">
        <v>2277</v>
      </c>
      <c r="B1345" t="s">
        <v>1985</v>
      </c>
      <c r="C1345" t="s">
        <v>1987</v>
      </c>
      <c r="D1345">
        <v>73</v>
      </c>
      <c r="E1345" t="s">
        <v>1447</v>
      </c>
      <c r="F1345" t="s">
        <v>1989</v>
      </c>
      <c r="G1345" t="s">
        <v>1737</v>
      </c>
      <c r="H1345" t="s">
        <v>2279</v>
      </c>
      <c r="I1345" t="s">
        <v>2279</v>
      </c>
      <c r="J1345" t="s">
        <v>2279</v>
      </c>
      <c r="K1345" t="s">
        <v>2279</v>
      </c>
      <c r="L1345" t="s">
        <v>1512</v>
      </c>
      <c r="M1345" t="s">
        <v>2279</v>
      </c>
      <c r="N1345" t="s">
        <v>2279</v>
      </c>
      <c r="O1345" s="190" t="str">
        <f>"["&amp;$C1345&amp;"]["&amp;$D1345&amp;"]["&amp;$F1345&amp;"]"</f>
        <v>[S06_InstallationsVerificationReportsIssueDetail][73][TypeOfIssue]</v>
      </c>
    </row>
    <row r="1346" spans="1:15" x14ac:dyDescent="0.3">
      <c r="A1346" t="s">
        <v>2277</v>
      </c>
      <c r="B1346" t="s">
        <v>1985</v>
      </c>
      <c r="C1346" t="s">
        <v>1987</v>
      </c>
      <c r="D1346">
        <v>74</v>
      </c>
      <c r="E1346" t="s">
        <v>1447</v>
      </c>
      <c r="F1346" t="s">
        <v>1989</v>
      </c>
      <c r="G1346" t="s">
        <v>1737</v>
      </c>
      <c r="H1346" t="s">
        <v>2279</v>
      </c>
      <c r="I1346" t="s">
        <v>2279</v>
      </c>
      <c r="J1346" t="s">
        <v>2279</v>
      </c>
      <c r="K1346" t="s">
        <v>2279</v>
      </c>
      <c r="L1346" t="s">
        <v>1512</v>
      </c>
      <c r="M1346" t="s">
        <v>2279</v>
      </c>
      <c r="N1346" t="s">
        <v>2279</v>
      </c>
      <c r="O1346" s="190" t="str">
        <f>"["&amp;$C1346&amp;"]["&amp;$D1346&amp;"]["&amp;$F1346&amp;"]"</f>
        <v>[S06_InstallationsVerificationReportsIssueDetail][74][TypeOfIssue]</v>
      </c>
    </row>
    <row r="1347" spans="1:15" x14ac:dyDescent="0.3">
      <c r="A1347" t="s">
        <v>2277</v>
      </c>
      <c r="B1347" t="s">
        <v>1985</v>
      </c>
      <c r="C1347" t="s">
        <v>1987</v>
      </c>
      <c r="D1347">
        <v>75</v>
      </c>
      <c r="E1347" t="s">
        <v>1447</v>
      </c>
      <c r="F1347" t="s">
        <v>1989</v>
      </c>
      <c r="G1347" t="s">
        <v>1737</v>
      </c>
      <c r="H1347" t="s">
        <v>2279</v>
      </c>
      <c r="I1347" t="s">
        <v>2279</v>
      </c>
      <c r="J1347" t="s">
        <v>2279</v>
      </c>
      <c r="K1347" t="s">
        <v>2279</v>
      </c>
      <c r="L1347" t="s">
        <v>1512</v>
      </c>
      <c r="M1347" t="s">
        <v>2279</v>
      </c>
      <c r="N1347" t="s">
        <v>2279</v>
      </c>
      <c r="O1347" s="190" t="str">
        <f>"["&amp;$C1347&amp;"]["&amp;$D1347&amp;"]["&amp;$F1347&amp;"]"</f>
        <v>[S06_InstallationsVerificationReportsIssueDetail][75][TypeOfIssue]</v>
      </c>
    </row>
    <row r="1348" spans="1:15" x14ac:dyDescent="0.3">
      <c r="A1348" t="s">
        <v>2277</v>
      </c>
      <c r="B1348" t="s">
        <v>1985</v>
      </c>
      <c r="C1348" t="s">
        <v>1987</v>
      </c>
      <c r="D1348">
        <v>76</v>
      </c>
      <c r="E1348" t="s">
        <v>1447</v>
      </c>
      <c r="F1348" t="s">
        <v>1989</v>
      </c>
      <c r="G1348" t="s">
        <v>1737</v>
      </c>
      <c r="H1348" t="s">
        <v>2279</v>
      </c>
      <c r="I1348" t="s">
        <v>2279</v>
      </c>
      <c r="J1348" t="s">
        <v>2279</v>
      </c>
      <c r="K1348" t="s">
        <v>2279</v>
      </c>
      <c r="L1348" t="s">
        <v>1512</v>
      </c>
      <c r="M1348" t="s">
        <v>2279</v>
      </c>
      <c r="N1348" t="s">
        <v>2279</v>
      </c>
      <c r="O1348" s="190" t="str">
        <f>"["&amp;$C1348&amp;"]["&amp;$D1348&amp;"]["&amp;$F1348&amp;"]"</f>
        <v>[S06_InstallationsVerificationReportsIssueDetail][76][TypeOfIssue]</v>
      </c>
    </row>
    <row r="1349" spans="1:15" x14ac:dyDescent="0.3">
      <c r="A1349" t="s">
        <v>2277</v>
      </c>
      <c r="B1349" t="s">
        <v>1985</v>
      </c>
      <c r="C1349" t="s">
        <v>1987</v>
      </c>
      <c r="D1349">
        <v>77</v>
      </c>
      <c r="E1349" t="s">
        <v>1447</v>
      </c>
      <c r="F1349" t="s">
        <v>1989</v>
      </c>
      <c r="G1349" t="s">
        <v>1737</v>
      </c>
      <c r="H1349" t="s">
        <v>2279</v>
      </c>
      <c r="I1349" t="s">
        <v>2279</v>
      </c>
      <c r="J1349" t="s">
        <v>2279</v>
      </c>
      <c r="K1349" t="s">
        <v>2279</v>
      </c>
      <c r="L1349" t="s">
        <v>1512</v>
      </c>
      <c r="M1349" t="s">
        <v>2279</v>
      </c>
      <c r="N1349" t="s">
        <v>2279</v>
      </c>
      <c r="O1349" s="190" t="str">
        <f>"["&amp;$C1349&amp;"]["&amp;$D1349&amp;"]["&amp;$F1349&amp;"]"</f>
        <v>[S06_InstallationsVerificationReportsIssueDetail][77][TypeOfIssue]</v>
      </c>
    </row>
    <row r="1350" spans="1:15" x14ac:dyDescent="0.3">
      <c r="A1350" t="s">
        <v>2277</v>
      </c>
      <c r="B1350" t="s">
        <v>1985</v>
      </c>
      <c r="C1350" t="s">
        <v>1987</v>
      </c>
      <c r="D1350">
        <v>78</v>
      </c>
      <c r="E1350" t="s">
        <v>1447</v>
      </c>
      <c r="F1350" t="s">
        <v>1989</v>
      </c>
      <c r="G1350" t="s">
        <v>1737</v>
      </c>
      <c r="H1350" t="s">
        <v>2279</v>
      </c>
      <c r="I1350" t="s">
        <v>2279</v>
      </c>
      <c r="J1350" t="s">
        <v>2279</v>
      </c>
      <c r="K1350" t="s">
        <v>2279</v>
      </c>
      <c r="L1350" t="s">
        <v>1512</v>
      </c>
      <c r="M1350" t="s">
        <v>2279</v>
      </c>
      <c r="N1350" t="s">
        <v>2279</v>
      </c>
      <c r="O1350" s="190" t="str">
        <f>"["&amp;$C1350&amp;"]["&amp;$D1350&amp;"]["&amp;$F1350&amp;"]"</f>
        <v>[S06_InstallationsVerificationReportsIssueDetail][78][TypeOfIssue]</v>
      </c>
    </row>
    <row r="1351" spans="1:15" x14ac:dyDescent="0.3">
      <c r="A1351" t="s">
        <v>2277</v>
      </c>
      <c r="B1351" t="s">
        <v>1985</v>
      </c>
      <c r="C1351" t="s">
        <v>1987</v>
      </c>
      <c r="D1351">
        <v>1</v>
      </c>
      <c r="E1351" t="s">
        <v>1447</v>
      </c>
      <c r="F1351" t="s">
        <v>1798</v>
      </c>
      <c r="G1351" t="s">
        <v>1748</v>
      </c>
      <c r="H1351" t="s">
        <v>2279</v>
      </c>
      <c r="I1351">
        <v>430</v>
      </c>
      <c r="J1351" t="s">
        <v>2279</v>
      </c>
      <c r="K1351" t="s">
        <v>2279</v>
      </c>
      <c r="L1351" t="s">
        <v>2279</v>
      </c>
      <c r="M1351" t="s">
        <v>2279</v>
      </c>
      <c r="N1351" t="s">
        <v>2279</v>
      </c>
      <c r="O1351" s="190" t="str">
        <f>"["&amp;$C1351&amp;"]["&amp;$D1351&amp;"]["&amp;$F1351&amp;"]"</f>
        <v>[S06_InstallationsVerificationReportsIssueDetail][1][NumberOfInstallations]</v>
      </c>
    </row>
    <row r="1352" spans="1:15" x14ac:dyDescent="0.3">
      <c r="A1352" t="s">
        <v>2277</v>
      </c>
      <c r="B1352" t="s">
        <v>1985</v>
      </c>
      <c r="C1352" t="s">
        <v>1987</v>
      </c>
      <c r="D1352">
        <v>2</v>
      </c>
      <c r="E1352" t="s">
        <v>1447</v>
      </c>
      <c r="F1352" t="s">
        <v>1798</v>
      </c>
      <c r="G1352" t="s">
        <v>1748</v>
      </c>
      <c r="H1352" t="s">
        <v>2279</v>
      </c>
      <c r="I1352">
        <v>7</v>
      </c>
      <c r="J1352" t="s">
        <v>2279</v>
      </c>
      <c r="K1352" t="s">
        <v>2279</v>
      </c>
      <c r="L1352" t="s">
        <v>2279</v>
      </c>
      <c r="M1352" t="s">
        <v>2279</v>
      </c>
      <c r="N1352" t="s">
        <v>2279</v>
      </c>
      <c r="O1352" s="190" t="str">
        <f>"["&amp;$C1352&amp;"]["&amp;$D1352&amp;"]["&amp;$F1352&amp;"]"</f>
        <v>[S06_InstallationsVerificationReportsIssueDetail][2][NumberOfInstallations]</v>
      </c>
    </row>
    <row r="1353" spans="1:15" x14ac:dyDescent="0.3">
      <c r="A1353" t="s">
        <v>2277</v>
      </c>
      <c r="B1353" t="s">
        <v>1985</v>
      </c>
      <c r="C1353" t="s">
        <v>1987</v>
      </c>
      <c r="D1353">
        <v>3</v>
      </c>
      <c r="E1353" t="s">
        <v>1447</v>
      </c>
      <c r="F1353" t="s">
        <v>1798</v>
      </c>
      <c r="G1353" t="s">
        <v>1748</v>
      </c>
      <c r="H1353" t="s">
        <v>2279</v>
      </c>
      <c r="I1353">
        <v>20</v>
      </c>
      <c r="J1353" t="s">
        <v>2279</v>
      </c>
      <c r="K1353" t="s">
        <v>2279</v>
      </c>
      <c r="L1353" t="s">
        <v>2279</v>
      </c>
      <c r="M1353" t="s">
        <v>2279</v>
      </c>
      <c r="N1353" t="s">
        <v>2279</v>
      </c>
      <c r="O1353" s="190" t="str">
        <f>"["&amp;$C1353&amp;"]["&amp;$D1353&amp;"]["&amp;$F1353&amp;"]"</f>
        <v>[S06_InstallationsVerificationReportsIssueDetail][3][NumberOfInstallations]</v>
      </c>
    </row>
    <row r="1354" spans="1:15" x14ac:dyDescent="0.3">
      <c r="A1354" t="s">
        <v>2277</v>
      </c>
      <c r="B1354" t="s">
        <v>1985</v>
      </c>
      <c r="C1354" t="s">
        <v>1987</v>
      </c>
      <c r="D1354">
        <v>4</v>
      </c>
      <c r="E1354" t="s">
        <v>1447</v>
      </c>
      <c r="F1354" t="s">
        <v>1798</v>
      </c>
      <c r="G1354" t="s">
        <v>1748</v>
      </c>
      <c r="H1354" t="s">
        <v>2279</v>
      </c>
      <c r="I1354">
        <v>25</v>
      </c>
      <c r="J1354" t="s">
        <v>2279</v>
      </c>
      <c r="K1354" t="s">
        <v>2279</v>
      </c>
      <c r="L1354" t="s">
        <v>2279</v>
      </c>
      <c r="M1354" t="s">
        <v>2279</v>
      </c>
      <c r="N1354" t="s">
        <v>2279</v>
      </c>
      <c r="O1354" s="190" t="str">
        <f>"["&amp;$C1354&amp;"]["&amp;$D1354&amp;"]["&amp;$F1354&amp;"]"</f>
        <v>[S06_InstallationsVerificationReportsIssueDetail][4][NumberOfInstallations]</v>
      </c>
    </row>
    <row r="1355" spans="1:15" x14ac:dyDescent="0.3">
      <c r="A1355" t="s">
        <v>2277</v>
      </c>
      <c r="B1355" t="s">
        <v>1985</v>
      </c>
      <c r="C1355" t="s">
        <v>1987</v>
      </c>
      <c r="D1355">
        <v>5</v>
      </c>
      <c r="E1355" t="s">
        <v>1447</v>
      </c>
      <c r="F1355" t="s">
        <v>1798</v>
      </c>
      <c r="G1355" t="s">
        <v>1748</v>
      </c>
      <c r="H1355" t="s">
        <v>2279</v>
      </c>
      <c r="I1355">
        <v>49</v>
      </c>
      <c r="J1355" t="s">
        <v>2279</v>
      </c>
      <c r="K1355" t="s">
        <v>2279</v>
      </c>
      <c r="L1355" t="s">
        <v>2279</v>
      </c>
      <c r="M1355" t="s">
        <v>2279</v>
      </c>
      <c r="N1355" t="s">
        <v>2279</v>
      </c>
      <c r="O1355" s="190" t="str">
        <f>"["&amp;$C1355&amp;"]["&amp;$D1355&amp;"]["&amp;$F1355&amp;"]"</f>
        <v>[S06_InstallationsVerificationReportsIssueDetail][5][NumberOfInstallations]</v>
      </c>
    </row>
    <row r="1356" spans="1:15" x14ac:dyDescent="0.3">
      <c r="A1356" t="s">
        <v>2277</v>
      </c>
      <c r="B1356" t="s">
        <v>1985</v>
      </c>
      <c r="C1356" t="s">
        <v>1987</v>
      </c>
      <c r="D1356">
        <v>6</v>
      </c>
      <c r="E1356" t="s">
        <v>1447</v>
      </c>
      <c r="F1356" t="s">
        <v>1798</v>
      </c>
      <c r="G1356" t="s">
        <v>1748</v>
      </c>
      <c r="H1356" t="s">
        <v>2279</v>
      </c>
      <c r="I1356">
        <v>9</v>
      </c>
      <c r="J1356" t="s">
        <v>2279</v>
      </c>
      <c r="K1356" t="s">
        <v>2279</v>
      </c>
      <c r="L1356" t="s">
        <v>2279</v>
      </c>
      <c r="M1356" t="s">
        <v>2279</v>
      </c>
      <c r="N1356" t="s">
        <v>2279</v>
      </c>
      <c r="O1356" s="190" t="str">
        <f>"["&amp;$C1356&amp;"]["&amp;$D1356&amp;"]["&amp;$F1356&amp;"]"</f>
        <v>[S06_InstallationsVerificationReportsIssueDetail][6][NumberOfInstallations]</v>
      </c>
    </row>
    <row r="1357" spans="1:15" x14ac:dyDescent="0.3">
      <c r="A1357" t="s">
        <v>2277</v>
      </c>
      <c r="B1357" t="s">
        <v>1985</v>
      </c>
      <c r="C1357" t="s">
        <v>1987</v>
      </c>
      <c r="D1357">
        <v>7</v>
      </c>
      <c r="E1357" t="s">
        <v>1447</v>
      </c>
      <c r="F1357" t="s">
        <v>1798</v>
      </c>
      <c r="G1357" t="s">
        <v>1748</v>
      </c>
      <c r="H1357" t="s">
        <v>2279</v>
      </c>
      <c r="I1357">
        <v>42</v>
      </c>
      <c r="J1357" t="s">
        <v>2279</v>
      </c>
      <c r="K1357" t="s">
        <v>2279</v>
      </c>
      <c r="L1357" t="s">
        <v>2279</v>
      </c>
      <c r="M1357" t="s">
        <v>2279</v>
      </c>
      <c r="N1357" t="s">
        <v>2279</v>
      </c>
      <c r="O1357" s="190" t="str">
        <f>"["&amp;$C1357&amp;"]["&amp;$D1357&amp;"]["&amp;$F1357&amp;"]"</f>
        <v>[S06_InstallationsVerificationReportsIssueDetail][7][NumberOfInstallations]</v>
      </c>
    </row>
    <row r="1358" spans="1:15" x14ac:dyDescent="0.3">
      <c r="A1358" t="s">
        <v>2277</v>
      </c>
      <c r="B1358" t="s">
        <v>1985</v>
      </c>
      <c r="C1358" t="s">
        <v>1987</v>
      </c>
      <c r="D1358">
        <v>8</v>
      </c>
      <c r="E1358" t="s">
        <v>1447</v>
      </c>
      <c r="F1358" t="s">
        <v>1798</v>
      </c>
      <c r="G1358" t="s">
        <v>1748</v>
      </c>
      <c r="H1358" t="s">
        <v>2279</v>
      </c>
      <c r="I1358">
        <v>13</v>
      </c>
      <c r="J1358" t="s">
        <v>2279</v>
      </c>
      <c r="K1358" t="s">
        <v>2279</v>
      </c>
      <c r="L1358" t="s">
        <v>2279</v>
      </c>
      <c r="M1358" t="s">
        <v>2279</v>
      </c>
      <c r="N1358" t="s">
        <v>2279</v>
      </c>
      <c r="O1358" s="190" t="str">
        <f>"["&amp;$C1358&amp;"]["&amp;$D1358&amp;"]["&amp;$F1358&amp;"]"</f>
        <v>[S06_InstallationsVerificationReportsIssueDetail][8][NumberOfInstallations]</v>
      </c>
    </row>
    <row r="1359" spans="1:15" x14ac:dyDescent="0.3">
      <c r="A1359" t="s">
        <v>2277</v>
      </c>
      <c r="B1359" t="s">
        <v>1985</v>
      </c>
      <c r="C1359" t="s">
        <v>1987</v>
      </c>
      <c r="D1359">
        <v>9</v>
      </c>
      <c r="E1359" t="s">
        <v>1447</v>
      </c>
      <c r="F1359" t="s">
        <v>1798</v>
      </c>
      <c r="G1359" t="s">
        <v>1748</v>
      </c>
      <c r="H1359" t="s">
        <v>2279</v>
      </c>
      <c r="I1359">
        <v>24</v>
      </c>
      <c r="J1359" t="s">
        <v>2279</v>
      </c>
      <c r="K1359" t="s">
        <v>2279</v>
      </c>
      <c r="L1359" t="s">
        <v>2279</v>
      </c>
      <c r="M1359" t="s">
        <v>2279</v>
      </c>
      <c r="N1359" t="s">
        <v>2279</v>
      </c>
      <c r="O1359" s="190" t="str">
        <f>"["&amp;$C1359&amp;"]["&amp;$D1359&amp;"]["&amp;$F1359&amp;"]"</f>
        <v>[S06_InstallationsVerificationReportsIssueDetail][9][NumberOfInstallations]</v>
      </c>
    </row>
    <row r="1360" spans="1:15" x14ac:dyDescent="0.3">
      <c r="A1360" t="s">
        <v>2277</v>
      </c>
      <c r="B1360" t="s">
        <v>1985</v>
      </c>
      <c r="C1360" t="s">
        <v>1987</v>
      </c>
      <c r="D1360">
        <v>10</v>
      </c>
      <c r="E1360" t="s">
        <v>1447</v>
      </c>
      <c r="F1360" t="s">
        <v>1798</v>
      </c>
      <c r="G1360" t="s">
        <v>1748</v>
      </c>
      <c r="H1360" t="s">
        <v>2279</v>
      </c>
      <c r="I1360">
        <v>4</v>
      </c>
      <c r="J1360" t="s">
        <v>2279</v>
      </c>
      <c r="K1360" t="s">
        <v>2279</v>
      </c>
      <c r="L1360" t="s">
        <v>2279</v>
      </c>
      <c r="M1360" t="s">
        <v>2279</v>
      </c>
      <c r="N1360" t="s">
        <v>2279</v>
      </c>
      <c r="O1360" s="190" t="str">
        <f>"["&amp;$C1360&amp;"]["&amp;$D1360&amp;"]["&amp;$F1360&amp;"]"</f>
        <v>[S06_InstallationsVerificationReportsIssueDetail][10][NumberOfInstallations]</v>
      </c>
    </row>
    <row r="1361" spans="1:15" x14ac:dyDescent="0.3">
      <c r="A1361" t="s">
        <v>2277</v>
      </c>
      <c r="B1361" t="s">
        <v>1985</v>
      </c>
      <c r="C1361" t="s">
        <v>1987</v>
      </c>
      <c r="D1361">
        <v>11</v>
      </c>
      <c r="E1361" t="s">
        <v>1447</v>
      </c>
      <c r="F1361" t="s">
        <v>1798</v>
      </c>
      <c r="G1361" t="s">
        <v>1748</v>
      </c>
      <c r="H1361" t="s">
        <v>2279</v>
      </c>
      <c r="I1361">
        <v>16</v>
      </c>
      <c r="J1361" t="s">
        <v>2279</v>
      </c>
      <c r="K1361" t="s">
        <v>2279</v>
      </c>
      <c r="L1361" t="s">
        <v>2279</v>
      </c>
      <c r="M1361" t="s">
        <v>2279</v>
      </c>
      <c r="N1361" t="s">
        <v>2279</v>
      </c>
      <c r="O1361" s="190" t="str">
        <f>"["&amp;$C1361&amp;"]["&amp;$D1361&amp;"]["&amp;$F1361&amp;"]"</f>
        <v>[S06_InstallationsVerificationReportsIssueDetail][11][NumberOfInstallations]</v>
      </c>
    </row>
    <row r="1362" spans="1:15" x14ac:dyDescent="0.3">
      <c r="A1362" t="s">
        <v>2277</v>
      </c>
      <c r="B1362" t="s">
        <v>1985</v>
      </c>
      <c r="C1362" t="s">
        <v>1987</v>
      </c>
      <c r="D1362">
        <v>12</v>
      </c>
      <c r="E1362" t="s">
        <v>1447</v>
      </c>
      <c r="F1362" t="s">
        <v>1798</v>
      </c>
      <c r="G1362" t="s">
        <v>1748</v>
      </c>
      <c r="H1362" t="s">
        <v>2279</v>
      </c>
      <c r="I1362">
        <v>9</v>
      </c>
      <c r="J1362" t="s">
        <v>2279</v>
      </c>
      <c r="K1362" t="s">
        <v>2279</v>
      </c>
      <c r="L1362" t="s">
        <v>2279</v>
      </c>
      <c r="M1362" t="s">
        <v>2279</v>
      </c>
      <c r="N1362" t="s">
        <v>2279</v>
      </c>
      <c r="O1362" s="190" t="str">
        <f>"["&amp;$C1362&amp;"]["&amp;$D1362&amp;"]["&amp;$F1362&amp;"]"</f>
        <v>[S06_InstallationsVerificationReportsIssueDetail][12][NumberOfInstallations]</v>
      </c>
    </row>
    <row r="1363" spans="1:15" x14ac:dyDescent="0.3">
      <c r="A1363" t="s">
        <v>2277</v>
      </c>
      <c r="B1363" t="s">
        <v>1985</v>
      </c>
      <c r="C1363" t="s">
        <v>1987</v>
      </c>
      <c r="D1363">
        <v>13</v>
      </c>
      <c r="E1363" t="s">
        <v>1447</v>
      </c>
      <c r="F1363" t="s">
        <v>1798</v>
      </c>
      <c r="G1363" t="s">
        <v>1748</v>
      </c>
      <c r="H1363" t="s">
        <v>2279</v>
      </c>
      <c r="I1363">
        <v>11</v>
      </c>
      <c r="J1363" t="s">
        <v>2279</v>
      </c>
      <c r="K1363" t="s">
        <v>2279</v>
      </c>
      <c r="L1363" t="s">
        <v>2279</v>
      </c>
      <c r="M1363" t="s">
        <v>2279</v>
      </c>
      <c r="N1363" t="s">
        <v>2279</v>
      </c>
      <c r="O1363" s="190" t="str">
        <f>"["&amp;$C1363&amp;"]["&amp;$D1363&amp;"]["&amp;$F1363&amp;"]"</f>
        <v>[S06_InstallationsVerificationReportsIssueDetail][13][NumberOfInstallations]</v>
      </c>
    </row>
    <row r="1364" spans="1:15" x14ac:dyDescent="0.3">
      <c r="A1364" t="s">
        <v>2277</v>
      </c>
      <c r="B1364" t="s">
        <v>1985</v>
      </c>
      <c r="C1364" t="s">
        <v>1987</v>
      </c>
      <c r="D1364">
        <v>14</v>
      </c>
      <c r="E1364" t="s">
        <v>1447</v>
      </c>
      <c r="F1364" t="s">
        <v>1798</v>
      </c>
      <c r="G1364" t="s">
        <v>1748</v>
      </c>
      <c r="H1364" t="s">
        <v>2279</v>
      </c>
      <c r="I1364">
        <v>6</v>
      </c>
      <c r="J1364" t="s">
        <v>2279</v>
      </c>
      <c r="K1364" t="s">
        <v>2279</v>
      </c>
      <c r="L1364" t="s">
        <v>2279</v>
      </c>
      <c r="M1364" t="s">
        <v>2279</v>
      </c>
      <c r="N1364" t="s">
        <v>2279</v>
      </c>
      <c r="O1364" s="190" t="str">
        <f>"["&amp;$C1364&amp;"]["&amp;$D1364&amp;"]["&amp;$F1364&amp;"]"</f>
        <v>[S06_InstallationsVerificationReportsIssueDetail][14][NumberOfInstallations]</v>
      </c>
    </row>
    <row r="1365" spans="1:15" x14ac:dyDescent="0.3">
      <c r="A1365" t="s">
        <v>2277</v>
      </c>
      <c r="B1365" t="s">
        <v>1985</v>
      </c>
      <c r="C1365" t="s">
        <v>1987</v>
      </c>
      <c r="D1365">
        <v>15</v>
      </c>
      <c r="E1365" t="s">
        <v>1447</v>
      </c>
      <c r="F1365" t="s">
        <v>1798</v>
      </c>
      <c r="G1365" t="s">
        <v>1748</v>
      </c>
      <c r="H1365" t="s">
        <v>2279</v>
      </c>
      <c r="I1365">
        <v>4</v>
      </c>
      <c r="J1365" t="s">
        <v>2279</v>
      </c>
      <c r="K1365" t="s">
        <v>2279</v>
      </c>
      <c r="L1365" t="s">
        <v>2279</v>
      </c>
      <c r="M1365" t="s">
        <v>2279</v>
      </c>
      <c r="N1365" t="s">
        <v>2279</v>
      </c>
      <c r="O1365" s="190" t="str">
        <f>"["&amp;$C1365&amp;"]["&amp;$D1365&amp;"]["&amp;$F1365&amp;"]"</f>
        <v>[S06_InstallationsVerificationReportsIssueDetail][15][NumberOfInstallations]</v>
      </c>
    </row>
    <row r="1366" spans="1:15" x14ac:dyDescent="0.3">
      <c r="A1366" t="s">
        <v>2277</v>
      </c>
      <c r="B1366" t="s">
        <v>1985</v>
      </c>
      <c r="C1366" t="s">
        <v>1987</v>
      </c>
      <c r="D1366">
        <v>16</v>
      </c>
      <c r="E1366" t="s">
        <v>1447</v>
      </c>
      <c r="F1366" t="s">
        <v>1798</v>
      </c>
      <c r="G1366" t="s">
        <v>1748</v>
      </c>
      <c r="H1366" t="s">
        <v>2279</v>
      </c>
      <c r="I1366">
        <v>1</v>
      </c>
      <c r="J1366" t="s">
        <v>2279</v>
      </c>
      <c r="K1366" t="s">
        <v>2279</v>
      </c>
      <c r="L1366" t="s">
        <v>2279</v>
      </c>
      <c r="M1366" t="s">
        <v>2279</v>
      </c>
      <c r="N1366" t="s">
        <v>2279</v>
      </c>
      <c r="O1366" s="190" t="str">
        <f>"["&amp;$C1366&amp;"]["&amp;$D1366&amp;"]["&amp;$F1366&amp;"]"</f>
        <v>[S06_InstallationsVerificationReportsIssueDetail][16][NumberOfInstallations]</v>
      </c>
    </row>
    <row r="1367" spans="1:15" x14ac:dyDescent="0.3">
      <c r="A1367" t="s">
        <v>2277</v>
      </c>
      <c r="B1367" t="s">
        <v>1985</v>
      </c>
      <c r="C1367" t="s">
        <v>1987</v>
      </c>
      <c r="D1367">
        <v>17</v>
      </c>
      <c r="E1367" t="s">
        <v>1447</v>
      </c>
      <c r="F1367" t="s">
        <v>1798</v>
      </c>
      <c r="G1367" t="s">
        <v>1748</v>
      </c>
      <c r="H1367" t="s">
        <v>2279</v>
      </c>
      <c r="I1367">
        <v>2</v>
      </c>
      <c r="J1367" t="s">
        <v>2279</v>
      </c>
      <c r="K1367" t="s">
        <v>2279</v>
      </c>
      <c r="L1367" t="s">
        <v>2279</v>
      </c>
      <c r="M1367" t="s">
        <v>2279</v>
      </c>
      <c r="N1367" t="s">
        <v>2279</v>
      </c>
      <c r="O1367" s="190" t="str">
        <f>"["&amp;$C1367&amp;"]["&amp;$D1367&amp;"]["&amp;$F1367&amp;"]"</f>
        <v>[S06_InstallationsVerificationReportsIssueDetail][17][NumberOfInstallations]</v>
      </c>
    </row>
    <row r="1368" spans="1:15" x14ac:dyDescent="0.3">
      <c r="A1368" t="s">
        <v>2277</v>
      </c>
      <c r="B1368" t="s">
        <v>1985</v>
      </c>
      <c r="C1368" t="s">
        <v>1987</v>
      </c>
      <c r="D1368">
        <v>18</v>
      </c>
      <c r="E1368" t="s">
        <v>1447</v>
      </c>
      <c r="F1368" t="s">
        <v>1798</v>
      </c>
      <c r="G1368" t="s">
        <v>1748</v>
      </c>
      <c r="H1368" t="s">
        <v>2279</v>
      </c>
      <c r="I1368">
        <v>1</v>
      </c>
      <c r="J1368" t="s">
        <v>2279</v>
      </c>
      <c r="K1368" t="s">
        <v>2279</v>
      </c>
      <c r="L1368" t="s">
        <v>2279</v>
      </c>
      <c r="M1368" t="s">
        <v>2279</v>
      </c>
      <c r="N1368" t="s">
        <v>2279</v>
      </c>
      <c r="O1368" s="190" t="str">
        <f>"["&amp;$C1368&amp;"]["&amp;$D1368&amp;"]["&amp;$F1368&amp;"]"</f>
        <v>[S06_InstallationsVerificationReportsIssueDetail][18][NumberOfInstallations]</v>
      </c>
    </row>
    <row r="1369" spans="1:15" x14ac:dyDescent="0.3">
      <c r="A1369" t="s">
        <v>2277</v>
      </c>
      <c r="B1369" t="s">
        <v>1985</v>
      </c>
      <c r="C1369" t="s">
        <v>1987</v>
      </c>
      <c r="D1369">
        <v>19</v>
      </c>
      <c r="E1369" t="s">
        <v>1447</v>
      </c>
      <c r="F1369" t="s">
        <v>1798</v>
      </c>
      <c r="G1369" t="s">
        <v>1748</v>
      </c>
      <c r="H1369" t="s">
        <v>2279</v>
      </c>
      <c r="I1369">
        <v>1</v>
      </c>
      <c r="J1369" t="s">
        <v>2279</v>
      </c>
      <c r="K1369" t="s">
        <v>2279</v>
      </c>
      <c r="L1369" t="s">
        <v>2279</v>
      </c>
      <c r="M1369" t="s">
        <v>2279</v>
      </c>
      <c r="N1369" t="s">
        <v>2279</v>
      </c>
      <c r="O1369" s="190" t="str">
        <f>"["&amp;$C1369&amp;"]["&amp;$D1369&amp;"]["&amp;$F1369&amp;"]"</f>
        <v>[S06_InstallationsVerificationReportsIssueDetail][19][NumberOfInstallations]</v>
      </c>
    </row>
    <row r="1370" spans="1:15" x14ac:dyDescent="0.3">
      <c r="A1370" t="s">
        <v>2277</v>
      </c>
      <c r="B1370" t="s">
        <v>1985</v>
      </c>
      <c r="C1370" t="s">
        <v>1987</v>
      </c>
      <c r="D1370">
        <v>20</v>
      </c>
      <c r="E1370" t="s">
        <v>1447</v>
      </c>
      <c r="F1370" t="s">
        <v>1798</v>
      </c>
      <c r="G1370" t="s">
        <v>1748</v>
      </c>
      <c r="H1370" t="s">
        <v>2279</v>
      </c>
      <c r="I1370">
        <v>2</v>
      </c>
      <c r="J1370" t="s">
        <v>2279</v>
      </c>
      <c r="K1370" t="s">
        <v>2279</v>
      </c>
      <c r="L1370" t="s">
        <v>2279</v>
      </c>
      <c r="M1370" t="s">
        <v>2279</v>
      </c>
      <c r="N1370" t="s">
        <v>2279</v>
      </c>
      <c r="O1370" s="190" t="str">
        <f>"["&amp;$C1370&amp;"]["&amp;$D1370&amp;"]["&amp;$F1370&amp;"]"</f>
        <v>[S06_InstallationsVerificationReportsIssueDetail][20][NumberOfInstallations]</v>
      </c>
    </row>
    <row r="1371" spans="1:15" x14ac:dyDescent="0.3">
      <c r="A1371" t="s">
        <v>2277</v>
      </c>
      <c r="B1371" t="s">
        <v>1985</v>
      </c>
      <c r="C1371" t="s">
        <v>1987</v>
      </c>
      <c r="D1371">
        <v>21</v>
      </c>
      <c r="E1371" t="s">
        <v>1447</v>
      </c>
      <c r="F1371" t="s">
        <v>1798</v>
      </c>
      <c r="G1371" t="s">
        <v>1748</v>
      </c>
      <c r="H1371" t="s">
        <v>2279</v>
      </c>
      <c r="I1371">
        <v>2</v>
      </c>
      <c r="J1371" t="s">
        <v>2279</v>
      </c>
      <c r="K1371" t="s">
        <v>2279</v>
      </c>
      <c r="L1371" t="s">
        <v>2279</v>
      </c>
      <c r="M1371" t="s">
        <v>2279</v>
      </c>
      <c r="N1371" t="s">
        <v>2279</v>
      </c>
      <c r="O1371" s="190" t="str">
        <f>"["&amp;$C1371&amp;"]["&amp;$D1371&amp;"]["&amp;$F1371&amp;"]"</f>
        <v>[S06_InstallationsVerificationReportsIssueDetail][21][NumberOfInstallations]</v>
      </c>
    </row>
    <row r="1372" spans="1:15" x14ac:dyDescent="0.3">
      <c r="A1372" t="s">
        <v>2277</v>
      </c>
      <c r="B1372" t="s">
        <v>1985</v>
      </c>
      <c r="C1372" t="s">
        <v>1987</v>
      </c>
      <c r="D1372">
        <v>22</v>
      </c>
      <c r="E1372" t="s">
        <v>1447</v>
      </c>
      <c r="F1372" t="s">
        <v>1798</v>
      </c>
      <c r="G1372" t="s">
        <v>1748</v>
      </c>
      <c r="H1372" t="s">
        <v>2279</v>
      </c>
      <c r="I1372">
        <v>161</v>
      </c>
      <c r="J1372" t="s">
        <v>2279</v>
      </c>
      <c r="K1372" t="s">
        <v>2279</v>
      </c>
      <c r="L1372" t="s">
        <v>2279</v>
      </c>
      <c r="M1372" t="s">
        <v>2279</v>
      </c>
      <c r="N1372" t="s">
        <v>2279</v>
      </c>
      <c r="O1372" s="190" t="str">
        <f>"["&amp;$C1372&amp;"]["&amp;$D1372&amp;"]["&amp;$F1372&amp;"]"</f>
        <v>[S06_InstallationsVerificationReportsIssueDetail][22][NumberOfInstallations]</v>
      </c>
    </row>
    <row r="1373" spans="1:15" x14ac:dyDescent="0.3">
      <c r="A1373" t="s">
        <v>2277</v>
      </c>
      <c r="B1373" t="s">
        <v>1985</v>
      </c>
      <c r="C1373" t="s">
        <v>1987</v>
      </c>
      <c r="D1373">
        <v>23</v>
      </c>
      <c r="E1373" t="s">
        <v>1447</v>
      </c>
      <c r="F1373" t="s">
        <v>1798</v>
      </c>
      <c r="G1373" t="s">
        <v>1748</v>
      </c>
      <c r="H1373" t="s">
        <v>2279</v>
      </c>
      <c r="I1373">
        <v>4</v>
      </c>
      <c r="J1373" t="s">
        <v>2279</v>
      </c>
      <c r="K1373" t="s">
        <v>2279</v>
      </c>
      <c r="L1373" t="s">
        <v>2279</v>
      </c>
      <c r="M1373" t="s">
        <v>2279</v>
      </c>
      <c r="N1373" t="s">
        <v>2279</v>
      </c>
      <c r="O1373" s="190" t="str">
        <f>"["&amp;$C1373&amp;"]["&amp;$D1373&amp;"]["&amp;$F1373&amp;"]"</f>
        <v>[S06_InstallationsVerificationReportsIssueDetail][23][NumberOfInstallations]</v>
      </c>
    </row>
    <row r="1374" spans="1:15" x14ac:dyDescent="0.3">
      <c r="A1374" t="s">
        <v>2277</v>
      </c>
      <c r="B1374" t="s">
        <v>1985</v>
      </c>
      <c r="C1374" t="s">
        <v>1987</v>
      </c>
      <c r="D1374">
        <v>24</v>
      </c>
      <c r="E1374" t="s">
        <v>1447</v>
      </c>
      <c r="F1374" t="s">
        <v>1798</v>
      </c>
      <c r="G1374" t="s">
        <v>1748</v>
      </c>
      <c r="H1374" t="s">
        <v>2279</v>
      </c>
      <c r="I1374">
        <v>5</v>
      </c>
      <c r="J1374" t="s">
        <v>2279</v>
      </c>
      <c r="K1374" t="s">
        <v>2279</v>
      </c>
      <c r="L1374" t="s">
        <v>2279</v>
      </c>
      <c r="M1374" t="s">
        <v>2279</v>
      </c>
      <c r="N1374" t="s">
        <v>2279</v>
      </c>
      <c r="O1374" s="190" t="str">
        <f>"["&amp;$C1374&amp;"]["&amp;$D1374&amp;"]["&amp;$F1374&amp;"]"</f>
        <v>[S06_InstallationsVerificationReportsIssueDetail][24][NumberOfInstallations]</v>
      </c>
    </row>
    <row r="1375" spans="1:15" x14ac:dyDescent="0.3">
      <c r="A1375" t="s">
        <v>2277</v>
      </c>
      <c r="B1375" t="s">
        <v>1985</v>
      </c>
      <c r="C1375" t="s">
        <v>1987</v>
      </c>
      <c r="D1375">
        <v>25</v>
      </c>
      <c r="E1375" t="s">
        <v>1447</v>
      </c>
      <c r="F1375" t="s">
        <v>1798</v>
      </c>
      <c r="G1375" t="s">
        <v>1748</v>
      </c>
      <c r="H1375" t="s">
        <v>2279</v>
      </c>
      <c r="I1375">
        <v>18</v>
      </c>
      <c r="J1375" t="s">
        <v>2279</v>
      </c>
      <c r="K1375" t="s">
        <v>2279</v>
      </c>
      <c r="L1375" t="s">
        <v>2279</v>
      </c>
      <c r="M1375" t="s">
        <v>2279</v>
      </c>
      <c r="N1375" t="s">
        <v>2279</v>
      </c>
      <c r="O1375" s="190" t="str">
        <f>"["&amp;$C1375&amp;"]["&amp;$D1375&amp;"]["&amp;$F1375&amp;"]"</f>
        <v>[S06_InstallationsVerificationReportsIssueDetail][25][NumberOfInstallations]</v>
      </c>
    </row>
    <row r="1376" spans="1:15" x14ac:dyDescent="0.3">
      <c r="A1376" t="s">
        <v>2277</v>
      </c>
      <c r="B1376" t="s">
        <v>1985</v>
      </c>
      <c r="C1376" t="s">
        <v>1987</v>
      </c>
      <c r="D1376">
        <v>26</v>
      </c>
      <c r="E1376" t="s">
        <v>1447</v>
      </c>
      <c r="F1376" t="s">
        <v>1798</v>
      </c>
      <c r="G1376" t="s">
        <v>1748</v>
      </c>
      <c r="H1376" t="s">
        <v>2279</v>
      </c>
      <c r="I1376">
        <v>17</v>
      </c>
      <c r="J1376" t="s">
        <v>2279</v>
      </c>
      <c r="K1376" t="s">
        <v>2279</v>
      </c>
      <c r="L1376" t="s">
        <v>2279</v>
      </c>
      <c r="M1376" t="s">
        <v>2279</v>
      </c>
      <c r="N1376" t="s">
        <v>2279</v>
      </c>
      <c r="O1376" s="190" t="str">
        <f>"["&amp;$C1376&amp;"]["&amp;$D1376&amp;"]["&amp;$F1376&amp;"]"</f>
        <v>[S06_InstallationsVerificationReportsIssueDetail][26][NumberOfInstallations]</v>
      </c>
    </row>
    <row r="1377" spans="1:15" x14ac:dyDescent="0.3">
      <c r="A1377" t="s">
        <v>2277</v>
      </c>
      <c r="B1377" t="s">
        <v>1985</v>
      </c>
      <c r="C1377" t="s">
        <v>1987</v>
      </c>
      <c r="D1377">
        <v>27</v>
      </c>
      <c r="E1377" t="s">
        <v>1447</v>
      </c>
      <c r="F1377" t="s">
        <v>1798</v>
      </c>
      <c r="G1377" t="s">
        <v>1748</v>
      </c>
      <c r="H1377" t="s">
        <v>2279</v>
      </c>
      <c r="I1377">
        <v>4</v>
      </c>
      <c r="J1377" t="s">
        <v>2279</v>
      </c>
      <c r="K1377" t="s">
        <v>2279</v>
      </c>
      <c r="L1377" t="s">
        <v>2279</v>
      </c>
      <c r="M1377" t="s">
        <v>2279</v>
      </c>
      <c r="N1377" t="s">
        <v>2279</v>
      </c>
      <c r="O1377" s="190" t="str">
        <f>"["&amp;$C1377&amp;"]["&amp;$D1377&amp;"]["&amp;$F1377&amp;"]"</f>
        <v>[S06_InstallationsVerificationReportsIssueDetail][27][NumberOfInstallations]</v>
      </c>
    </row>
    <row r="1378" spans="1:15" x14ac:dyDescent="0.3">
      <c r="A1378" t="s">
        <v>2277</v>
      </c>
      <c r="B1378" t="s">
        <v>1985</v>
      </c>
      <c r="C1378" t="s">
        <v>1987</v>
      </c>
      <c r="D1378">
        <v>28</v>
      </c>
      <c r="E1378" t="s">
        <v>1447</v>
      </c>
      <c r="F1378" t="s">
        <v>1798</v>
      </c>
      <c r="G1378" t="s">
        <v>1748</v>
      </c>
      <c r="H1378" t="s">
        <v>2279</v>
      </c>
      <c r="I1378">
        <v>2</v>
      </c>
      <c r="J1378" t="s">
        <v>2279</v>
      </c>
      <c r="K1378" t="s">
        <v>2279</v>
      </c>
      <c r="L1378" t="s">
        <v>2279</v>
      </c>
      <c r="M1378" t="s">
        <v>2279</v>
      </c>
      <c r="N1378" t="s">
        <v>2279</v>
      </c>
      <c r="O1378" s="190" t="str">
        <f>"["&amp;$C1378&amp;"]["&amp;$D1378&amp;"]["&amp;$F1378&amp;"]"</f>
        <v>[S06_InstallationsVerificationReportsIssueDetail][28][NumberOfInstallations]</v>
      </c>
    </row>
    <row r="1379" spans="1:15" x14ac:dyDescent="0.3">
      <c r="A1379" t="s">
        <v>2277</v>
      </c>
      <c r="B1379" t="s">
        <v>1985</v>
      </c>
      <c r="C1379" t="s">
        <v>1987</v>
      </c>
      <c r="D1379">
        <v>29</v>
      </c>
      <c r="E1379" t="s">
        <v>1447</v>
      </c>
      <c r="F1379" t="s">
        <v>1798</v>
      </c>
      <c r="G1379" t="s">
        <v>1748</v>
      </c>
      <c r="H1379" t="s">
        <v>2279</v>
      </c>
      <c r="I1379">
        <v>8</v>
      </c>
      <c r="J1379" t="s">
        <v>2279</v>
      </c>
      <c r="K1379" t="s">
        <v>2279</v>
      </c>
      <c r="L1379" t="s">
        <v>2279</v>
      </c>
      <c r="M1379" t="s">
        <v>2279</v>
      </c>
      <c r="N1379" t="s">
        <v>2279</v>
      </c>
      <c r="O1379" s="190" t="str">
        <f>"["&amp;$C1379&amp;"]["&amp;$D1379&amp;"]["&amp;$F1379&amp;"]"</f>
        <v>[S06_InstallationsVerificationReportsIssueDetail][29][NumberOfInstallations]</v>
      </c>
    </row>
    <row r="1380" spans="1:15" x14ac:dyDescent="0.3">
      <c r="A1380" t="s">
        <v>2277</v>
      </c>
      <c r="B1380" t="s">
        <v>1985</v>
      </c>
      <c r="C1380" t="s">
        <v>1987</v>
      </c>
      <c r="D1380">
        <v>30</v>
      </c>
      <c r="E1380" t="s">
        <v>1447</v>
      </c>
      <c r="F1380" t="s">
        <v>1798</v>
      </c>
      <c r="G1380" t="s">
        <v>1748</v>
      </c>
      <c r="H1380" t="s">
        <v>2279</v>
      </c>
      <c r="I1380">
        <v>11</v>
      </c>
      <c r="J1380" t="s">
        <v>2279</v>
      </c>
      <c r="K1380" t="s">
        <v>2279</v>
      </c>
      <c r="L1380" t="s">
        <v>2279</v>
      </c>
      <c r="M1380" t="s">
        <v>2279</v>
      </c>
      <c r="N1380" t="s">
        <v>2279</v>
      </c>
      <c r="O1380" s="190" t="str">
        <f>"["&amp;$C1380&amp;"]["&amp;$D1380&amp;"]["&amp;$F1380&amp;"]"</f>
        <v>[S06_InstallationsVerificationReportsIssueDetail][30][NumberOfInstallations]</v>
      </c>
    </row>
    <row r="1381" spans="1:15" x14ac:dyDescent="0.3">
      <c r="A1381" t="s">
        <v>2277</v>
      </c>
      <c r="B1381" t="s">
        <v>1985</v>
      </c>
      <c r="C1381" t="s">
        <v>1987</v>
      </c>
      <c r="D1381">
        <v>31</v>
      </c>
      <c r="E1381" t="s">
        <v>1447</v>
      </c>
      <c r="F1381" t="s">
        <v>1798</v>
      </c>
      <c r="G1381" t="s">
        <v>1748</v>
      </c>
      <c r="H1381" t="s">
        <v>2279</v>
      </c>
      <c r="I1381">
        <v>1</v>
      </c>
      <c r="J1381" t="s">
        <v>2279</v>
      </c>
      <c r="K1381" t="s">
        <v>2279</v>
      </c>
      <c r="L1381" t="s">
        <v>2279</v>
      </c>
      <c r="M1381" t="s">
        <v>2279</v>
      </c>
      <c r="N1381" t="s">
        <v>2279</v>
      </c>
      <c r="O1381" s="190" t="str">
        <f>"["&amp;$C1381&amp;"]["&amp;$D1381&amp;"]["&amp;$F1381&amp;"]"</f>
        <v>[S06_InstallationsVerificationReportsIssueDetail][31][NumberOfInstallations]</v>
      </c>
    </row>
    <row r="1382" spans="1:15" x14ac:dyDescent="0.3">
      <c r="A1382" t="s">
        <v>2277</v>
      </c>
      <c r="B1382" t="s">
        <v>1985</v>
      </c>
      <c r="C1382" t="s">
        <v>1987</v>
      </c>
      <c r="D1382">
        <v>32</v>
      </c>
      <c r="E1382" t="s">
        <v>1447</v>
      </c>
      <c r="F1382" t="s">
        <v>1798</v>
      </c>
      <c r="G1382" t="s">
        <v>1748</v>
      </c>
      <c r="H1382" t="s">
        <v>2279</v>
      </c>
      <c r="I1382">
        <v>11</v>
      </c>
      <c r="J1382" t="s">
        <v>2279</v>
      </c>
      <c r="K1382" t="s">
        <v>2279</v>
      </c>
      <c r="L1382" t="s">
        <v>2279</v>
      </c>
      <c r="M1382" t="s">
        <v>2279</v>
      </c>
      <c r="N1382" t="s">
        <v>2279</v>
      </c>
      <c r="O1382" s="190" t="str">
        <f>"["&amp;$C1382&amp;"]["&amp;$D1382&amp;"]["&amp;$F1382&amp;"]"</f>
        <v>[S06_InstallationsVerificationReportsIssueDetail][32][NumberOfInstallations]</v>
      </c>
    </row>
    <row r="1383" spans="1:15" x14ac:dyDescent="0.3">
      <c r="A1383" t="s">
        <v>2277</v>
      </c>
      <c r="B1383" t="s">
        <v>1985</v>
      </c>
      <c r="C1383" t="s">
        <v>1987</v>
      </c>
      <c r="D1383">
        <v>33</v>
      </c>
      <c r="E1383" t="s">
        <v>1447</v>
      </c>
      <c r="F1383" t="s">
        <v>1798</v>
      </c>
      <c r="G1383" t="s">
        <v>1748</v>
      </c>
      <c r="H1383" t="s">
        <v>2279</v>
      </c>
      <c r="I1383">
        <v>12</v>
      </c>
      <c r="J1383" t="s">
        <v>2279</v>
      </c>
      <c r="K1383" t="s">
        <v>2279</v>
      </c>
      <c r="L1383" t="s">
        <v>2279</v>
      </c>
      <c r="M1383" t="s">
        <v>2279</v>
      </c>
      <c r="N1383" t="s">
        <v>2279</v>
      </c>
      <c r="O1383" s="190" t="str">
        <f>"["&amp;$C1383&amp;"]["&amp;$D1383&amp;"]["&amp;$F1383&amp;"]"</f>
        <v>[S06_InstallationsVerificationReportsIssueDetail][33][NumberOfInstallations]</v>
      </c>
    </row>
    <row r="1384" spans="1:15" x14ac:dyDescent="0.3">
      <c r="A1384" t="s">
        <v>2277</v>
      </c>
      <c r="B1384" t="s">
        <v>1985</v>
      </c>
      <c r="C1384" t="s">
        <v>1987</v>
      </c>
      <c r="D1384">
        <v>34</v>
      </c>
      <c r="E1384" t="s">
        <v>1447</v>
      </c>
      <c r="F1384" t="s">
        <v>1798</v>
      </c>
      <c r="G1384" t="s">
        <v>1748</v>
      </c>
      <c r="H1384" t="s">
        <v>2279</v>
      </c>
      <c r="I1384">
        <v>1</v>
      </c>
      <c r="J1384" t="s">
        <v>2279</v>
      </c>
      <c r="K1384" t="s">
        <v>2279</v>
      </c>
      <c r="L1384" t="s">
        <v>2279</v>
      </c>
      <c r="M1384" t="s">
        <v>2279</v>
      </c>
      <c r="N1384" t="s">
        <v>2279</v>
      </c>
      <c r="O1384" s="190" t="str">
        <f>"["&amp;$C1384&amp;"]["&amp;$D1384&amp;"]["&amp;$F1384&amp;"]"</f>
        <v>[S06_InstallationsVerificationReportsIssueDetail][34][NumberOfInstallations]</v>
      </c>
    </row>
    <row r="1385" spans="1:15" x14ac:dyDescent="0.3">
      <c r="A1385" t="s">
        <v>2277</v>
      </c>
      <c r="B1385" t="s">
        <v>1985</v>
      </c>
      <c r="C1385" t="s">
        <v>1987</v>
      </c>
      <c r="D1385">
        <v>35</v>
      </c>
      <c r="E1385" t="s">
        <v>1447</v>
      </c>
      <c r="F1385" t="s">
        <v>1798</v>
      </c>
      <c r="G1385" t="s">
        <v>1748</v>
      </c>
      <c r="H1385" t="s">
        <v>2279</v>
      </c>
      <c r="I1385">
        <v>3</v>
      </c>
      <c r="J1385" t="s">
        <v>2279</v>
      </c>
      <c r="K1385" t="s">
        <v>2279</v>
      </c>
      <c r="L1385" t="s">
        <v>2279</v>
      </c>
      <c r="M1385" t="s">
        <v>2279</v>
      </c>
      <c r="N1385" t="s">
        <v>2279</v>
      </c>
      <c r="O1385" s="190" t="str">
        <f>"["&amp;$C1385&amp;"]["&amp;$D1385&amp;"]["&amp;$F1385&amp;"]"</f>
        <v>[S06_InstallationsVerificationReportsIssueDetail][35][NumberOfInstallations]</v>
      </c>
    </row>
    <row r="1386" spans="1:15" x14ac:dyDescent="0.3">
      <c r="A1386" t="s">
        <v>2277</v>
      </c>
      <c r="B1386" t="s">
        <v>1985</v>
      </c>
      <c r="C1386" t="s">
        <v>1987</v>
      </c>
      <c r="D1386">
        <v>36</v>
      </c>
      <c r="E1386" t="s">
        <v>1447</v>
      </c>
      <c r="F1386" t="s">
        <v>1798</v>
      </c>
      <c r="G1386" t="s">
        <v>1748</v>
      </c>
      <c r="H1386" t="s">
        <v>2279</v>
      </c>
      <c r="I1386">
        <v>1</v>
      </c>
      <c r="J1386" t="s">
        <v>2279</v>
      </c>
      <c r="K1386" t="s">
        <v>2279</v>
      </c>
      <c r="L1386" t="s">
        <v>2279</v>
      </c>
      <c r="M1386" t="s">
        <v>2279</v>
      </c>
      <c r="N1386" t="s">
        <v>2279</v>
      </c>
      <c r="O1386" s="190" t="str">
        <f>"["&amp;$C1386&amp;"]["&amp;$D1386&amp;"]["&amp;$F1386&amp;"]"</f>
        <v>[S06_InstallationsVerificationReportsIssueDetail][36][NumberOfInstallations]</v>
      </c>
    </row>
    <row r="1387" spans="1:15" x14ac:dyDescent="0.3">
      <c r="A1387" t="s">
        <v>2277</v>
      </c>
      <c r="B1387" t="s">
        <v>1985</v>
      </c>
      <c r="C1387" t="s">
        <v>1987</v>
      </c>
      <c r="D1387">
        <v>37</v>
      </c>
      <c r="E1387" t="s">
        <v>1447</v>
      </c>
      <c r="F1387" t="s">
        <v>1798</v>
      </c>
      <c r="G1387" t="s">
        <v>1748</v>
      </c>
      <c r="H1387" t="s">
        <v>2279</v>
      </c>
      <c r="I1387">
        <v>2</v>
      </c>
      <c r="J1387" t="s">
        <v>2279</v>
      </c>
      <c r="K1387" t="s">
        <v>2279</v>
      </c>
      <c r="L1387" t="s">
        <v>2279</v>
      </c>
      <c r="M1387" t="s">
        <v>2279</v>
      </c>
      <c r="N1387" t="s">
        <v>2279</v>
      </c>
      <c r="O1387" s="190" t="str">
        <f>"["&amp;$C1387&amp;"]["&amp;$D1387&amp;"]["&amp;$F1387&amp;"]"</f>
        <v>[S06_InstallationsVerificationReportsIssueDetail][37][NumberOfInstallations]</v>
      </c>
    </row>
    <row r="1388" spans="1:15" x14ac:dyDescent="0.3">
      <c r="A1388" t="s">
        <v>2277</v>
      </c>
      <c r="B1388" t="s">
        <v>1985</v>
      </c>
      <c r="C1388" t="s">
        <v>1987</v>
      </c>
      <c r="D1388">
        <v>38</v>
      </c>
      <c r="E1388" t="s">
        <v>1447</v>
      </c>
      <c r="F1388" t="s">
        <v>1798</v>
      </c>
      <c r="G1388" t="s">
        <v>1748</v>
      </c>
      <c r="H1388" t="s">
        <v>2279</v>
      </c>
      <c r="I1388">
        <v>326</v>
      </c>
      <c r="J1388" t="s">
        <v>2279</v>
      </c>
      <c r="K1388" t="s">
        <v>2279</v>
      </c>
      <c r="L1388" t="s">
        <v>2279</v>
      </c>
      <c r="M1388" t="s">
        <v>2279</v>
      </c>
      <c r="N1388" t="s">
        <v>2279</v>
      </c>
      <c r="O1388" s="190" t="str">
        <f>"["&amp;$C1388&amp;"]["&amp;$D1388&amp;"]["&amp;$F1388&amp;"]"</f>
        <v>[S06_InstallationsVerificationReportsIssueDetail][38][NumberOfInstallations]</v>
      </c>
    </row>
    <row r="1389" spans="1:15" x14ac:dyDescent="0.3">
      <c r="A1389" t="s">
        <v>2277</v>
      </c>
      <c r="B1389" t="s">
        <v>1985</v>
      </c>
      <c r="C1389" t="s">
        <v>1987</v>
      </c>
      <c r="D1389">
        <v>39</v>
      </c>
      <c r="E1389" t="s">
        <v>1447</v>
      </c>
      <c r="F1389" t="s">
        <v>1798</v>
      </c>
      <c r="G1389" t="s">
        <v>1748</v>
      </c>
      <c r="H1389" t="s">
        <v>2279</v>
      </c>
      <c r="I1389">
        <v>3</v>
      </c>
      <c r="J1389" t="s">
        <v>2279</v>
      </c>
      <c r="K1389" t="s">
        <v>2279</v>
      </c>
      <c r="L1389" t="s">
        <v>2279</v>
      </c>
      <c r="M1389" t="s">
        <v>2279</v>
      </c>
      <c r="N1389" t="s">
        <v>2279</v>
      </c>
      <c r="O1389" s="190" t="str">
        <f>"["&amp;$C1389&amp;"]["&amp;$D1389&amp;"]["&amp;$F1389&amp;"]"</f>
        <v>[S06_InstallationsVerificationReportsIssueDetail][39][NumberOfInstallations]</v>
      </c>
    </row>
    <row r="1390" spans="1:15" x14ac:dyDescent="0.3">
      <c r="A1390" t="s">
        <v>2277</v>
      </c>
      <c r="B1390" t="s">
        <v>1985</v>
      </c>
      <c r="C1390" t="s">
        <v>1987</v>
      </c>
      <c r="D1390">
        <v>40</v>
      </c>
      <c r="E1390" t="s">
        <v>1447</v>
      </c>
      <c r="F1390" t="s">
        <v>1798</v>
      </c>
      <c r="G1390" t="s">
        <v>1748</v>
      </c>
      <c r="H1390" t="s">
        <v>2279</v>
      </c>
      <c r="I1390">
        <v>18</v>
      </c>
      <c r="J1390" t="s">
        <v>2279</v>
      </c>
      <c r="K1390" t="s">
        <v>2279</v>
      </c>
      <c r="L1390" t="s">
        <v>2279</v>
      </c>
      <c r="M1390" t="s">
        <v>2279</v>
      </c>
      <c r="N1390" t="s">
        <v>2279</v>
      </c>
      <c r="O1390" s="190" t="str">
        <f>"["&amp;$C1390&amp;"]["&amp;$D1390&amp;"]["&amp;$F1390&amp;"]"</f>
        <v>[S06_InstallationsVerificationReportsIssueDetail][40][NumberOfInstallations]</v>
      </c>
    </row>
    <row r="1391" spans="1:15" x14ac:dyDescent="0.3">
      <c r="A1391" t="s">
        <v>2277</v>
      </c>
      <c r="B1391" t="s">
        <v>1985</v>
      </c>
      <c r="C1391" t="s">
        <v>1987</v>
      </c>
      <c r="D1391">
        <v>41</v>
      </c>
      <c r="E1391" t="s">
        <v>1447</v>
      </c>
      <c r="F1391" t="s">
        <v>1798</v>
      </c>
      <c r="G1391" t="s">
        <v>1748</v>
      </c>
      <c r="H1391" t="s">
        <v>2279</v>
      </c>
      <c r="I1391">
        <v>21</v>
      </c>
      <c r="J1391" t="s">
        <v>2279</v>
      </c>
      <c r="K1391" t="s">
        <v>2279</v>
      </c>
      <c r="L1391" t="s">
        <v>2279</v>
      </c>
      <c r="M1391" t="s">
        <v>2279</v>
      </c>
      <c r="N1391" t="s">
        <v>2279</v>
      </c>
      <c r="O1391" s="190" t="str">
        <f>"["&amp;$C1391&amp;"]["&amp;$D1391&amp;"]["&amp;$F1391&amp;"]"</f>
        <v>[S06_InstallationsVerificationReportsIssueDetail][41][NumberOfInstallations]</v>
      </c>
    </row>
    <row r="1392" spans="1:15" x14ac:dyDescent="0.3">
      <c r="A1392" t="s">
        <v>2277</v>
      </c>
      <c r="B1392" t="s">
        <v>1985</v>
      </c>
      <c r="C1392" t="s">
        <v>1987</v>
      </c>
      <c r="D1392">
        <v>42</v>
      </c>
      <c r="E1392" t="s">
        <v>1447</v>
      </c>
      <c r="F1392" t="s">
        <v>1798</v>
      </c>
      <c r="G1392" t="s">
        <v>1748</v>
      </c>
      <c r="H1392" t="s">
        <v>2279</v>
      </c>
      <c r="I1392">
        <v>33</v>
      </c>
      <c r="J1392" t="s">
        <v>2279</v>
      </c>
      <c r="K1392" t="s">
        <v>2279</v>
      </c>
      <c r="L1392" t="s">
        <v>2279</v>
      </c>
      <c r="M1392" t="s">
        <v>2279</v>
      </c>
      <c r="N1392" t="s">
        <v>2279</v>
      </c>
      <c r="O1392" s="190" t="str">
        <f>"["&amp;$C1392&amp;"]["&amp;$D1392&amp;"]["&amp;$F1392&amp;"]"</f>
        <v>[S06_InstallationsVerificationReportsIssueDetail][42][NumberOfInstallations]</v>
      </c>
    </row>
    <row r="1393" spans="1:15" x14ac:dyDescent="0.3">
      <c r="A1393" t="s">
        <v>2277</v>
      </c>
      <c r="B1393" t="s">
        <v>1985</v>
      </c>
      <c r="C1393" t="s">
        <v>1987</v>
      </c>
      <c r="D1393">
        <v>43</v>
      </c>
      <c r="E1393" t="s">
        <v>1447</v>
      </c>
      <c r="F1393" t="s">
        <v>1798</v>
      </c>
      <c r="G1393" t="s">
        <v>1748</v>
      </c>
      <c r="H1393" t="s">
        <v>2279</v>
      </c>
      <c r="I1393">
        <v>7</v>
      </c>
      <c r="J1393" t="s">
        <v>2279</v>
      </c>
      <c r="K1393" t="s">
        <v>2279</v>
      </c>
      <c r="L1393" t="s">
        <v>2279</v>
      </c>
      <c r="M1393" t="s">
        <v>2279</v>
      </c>
      <c r="N1393" t="s">
        <v>2279</v>
      </c>
      <c r="O1393" s="190" t="str">
        <f>"["&amp;$C1393&amp;"]["&amp;$D1393&amp;"]["&amp;$F1393&amp;"]"</f>
        <v>[S06_InstallationsVerificationReportsIssueDetail][43][NumberOfInstallations]</v>
      </c>
    </row>
    <row r="1394" spans="1:15" x14ac:dyDescent="0.3">
      <c r="A1394" t="s">
        <v>2277</v>
      </c>
      <c r="B1394" t="s">
        <v>1985</v>
      </c>
      <c r="C1394" t="s">
        <v>1987</v>
      </c>
      <c r="D1394">
        <v>44</v>
      </c>
      <c r="E1394" t="s">
        <v>1447</v>
      </c>
      <c r="F1394" t="s">
        <v>1798</v>
      </c>
      <c r="G1394" t="s">
        <v>1748</v>
      </c>
      <c r="H1394" t="s">
        <v>2279</v>
      </c>
      <c r="I1394">
        <v>1</v>
      </c>
      <c r="J1394" t="s">
        <v>2279</v>
      </c>
      <c r="K1394" t="s">
        <v>2279</v>
      </c>
      <c r="L1394" t="s">
        <v>2279</v>
      </c>
      <c r="M1394" t="s">
        <v>2279</v>
      </c>
      <c r="N1394" t="s">
        <v>2279</v>
      </c>
      <c r="O1394" s="190" t="str">
        <f>"["&amp;$C1394&amp;"]["&amp;$D1394&amp;"]["&amp;$F1394&amp;"]"</f>
        <v>[S06_InstallationsVerificationReportsIssueDetail][44][NumberOfInstallations]</v>
      </c>
    </row>
    <row r="1395" spans="1:15" x14ac:dyDescent="0.3">
      <c r="A1395" t="s">
        <v>2277</v>
      </c>
      <c r="B1395" t="s">
        <v>1985</v>
      </c>
      <c r="C1395" t="s">
        <v>1987</v>
      </c>
      <c r="D1395">
        <v>45</v>
      </c>
      <c r="E1395" t="s">
        <v>1447</v>
      </c>
      <c r="F1395" t="s">
        <v>1798</v>
      </c>
      <c r="G1395" t="s">
        <v>1748</v>
      </c>
      <c r="H1395" t="s">
        <v>2279</v>
      </c>
      <c r="I1395">
        <v>11</v>
      </c>
      <c r="J1395" t="s">
        <v>2279</v>
      </c>
      <c r="K1395" t="s">
        <v>2279</v>
      </c>
      <c r="L1395" t="s">
        <v>2279</v>
      </c>
      <c r="M1395" t="s">
        <v>2279</v>
      </c>
      <c r="N1395" t="s">
        <v>2279</v>
      </c>
      <c r="O1395" s="190" t="str">
        <f>"["&amp;$C1395&amp;"]["&amp;$D1395&amp;"]["&amp;$F1395&amp;"]"</f>
        <v>[S06_InstallationsVerificationReportsIssueDetail][45][NumberOfInstallations]</v>
      </c>
    </row>
    <row r="1396" spans="1:15" x14ac:dyDescent="0.3">
      <c r="A1396" t="s">
        <v>2277</v>
      </c>
      <c r="B1396" t="s">
        <v>1985</v>
      </c>
      <c r="C1396" t="s">
        <v>1987</v>
      </c>
      <c r="D1396">
        <v>46</v>
      </c>
      <c r="E1396" t="s">
        <v>1447</v>
      </c>
      <c r="F1396" t="s">
        <v>1798</v>
      </c>
      <c r="G1396" t="s">
        <v>1748</v>
      </c>
      <c r="H1396" t="s">
        <v>2279</v>
      </c>
      <c r="I1396">
        <v>15</v>
      </c>
      <c r="J1396" t="s">
        <v>2279</v>
      </c>
      <c r="K1396" t="s">
        <v>2279</v>
      </c>
      <c r="L1396" t="s">
        <v>2279</v>
      </c>
      <c r="M1396" t="s">
        <v>2279</v>
      </c>
      <c r="N1396" t="s">
        <v>2279</v>
      </c>
      <c r="O1396" s="190" t="str">
        <f>"["&amp;$C1396&amp;"]["&amp;$D1396&amp;"]["&amp;$F1396&amp;"]"</f>
        <v>[S06_InstallationsVerificationReportsIssueDetail][46][NumberOfInstallations]</v>
      </c>
    </row>
    <row r="1397" spans="1:15" x14ac:dyDescent="0.3">
      <c r="A1397" t="s">
        <v>2277</v>
      </c>
      <c r="B1397" t="s">
        <v>1985</v>
      </c>
      <c r="C1397" t="s">
        <v>1987</v>
      </c>
      <c r="D1397">
        <v>47</v>
      </c>
      <c r="E1397" t="s">
        <v>1447</v>
      </c>
      <c r="F1397" t="s">
        <v>1798</v>
      </c>
      <c r="G1397" t="s">
        <v>1748</v>
      </c>
      <c r="H1397" t="s">
        <v>2279</v>
      </c>
      <c r="I1397">
        <v>19</v>
      </c>
      <c r="J1397" t="s">
        <v>2279</v>
      </c>
      <c r="K1397" t="s">
        <v>2279</v>
      </c>
      <c r="L1397" t="s">
        <v>2279</v>
      </c>
      <c r="M1397" t="s">
        <v>2279</v>
      </c>
      <c r="N1397" t="s">
        <v>2279</v>
      </c>
      <c r="O1397" s="190" t="str">
        <f>"["&amp;$C1397&amp;"]["&amp;$D1397&amp;"]["&amp;$F1397&amp;"]"</f>
        <v>[S06_InstallationsVerificationReportsIssueDetail][47][NumberOfInstallations]</v>
      </c>
    </row>
    <row r="1398" spans="1:15" x14ac:dyDescent="0.3">
      <c r="A1398" t="s">
        <v>2277</v>
      </c>
      <c r="B1398" t="s">
        <v>1985</v>
      </c>
      <c r="C1398" t="s">
        <v>1987</v>
      </c>
      <c r="D1398">
        <v>48</v>
      </c>
      <c r="E1398" t="s">
        <v>1447</v>
      </c>
      <c r="F1398" t="s">
        <v>1798</v>
      </c>
      <c r="G1398" t="s">
        <v>1748</v>
      </c>
      <c r="H1398" t="s">
        <v>2279</v>
      </c>
      <c r="I1398">
        <v>1</v>
      </c>
      <c r="J1398" t="s">
        <v>2279</v>
      </c>
      <c r="K1398" t="s">
        <v>2279</v>
      </c>
      <c r="L1398" t="s">
        <v>2279</v>
      </c>
      <c r="M1398" t="s">
        <v>2279</v>
      </c>
      <c r="N1398" t="s">
        <v>2279</v>
      </c>
      <c r="O1398" s="190" t="str">
        <f>"["&amp;$C1398&amp;"]["&amp;$D1398&amp;"]["&amp;$F1398&amp;"]"</f>
        <v>[S06_InstallationsVerificationReportsIssueDetail][48][NumberOfInstallations]</v>
      </c>
    </row>
    <row r="1399" spans="1:15" x14ac:dyDescent="0.3">
      <c r="A1399" t="s">
        <v>2277</v>
      </c>
      <c r="B1399" t="s">
        <v>1985</v>
      </c>
      <c r="C1399" t="s">
        <v>1987</v>
      </c>
      <c r="D1399">
        <v>49</v>
      </c>
      <c r="E1399" t="s">
        <v>1447</v>
      </c>
      <c r="F1399" t="s">
        <v>1798</v>
      </c>
      <c r="G1399" t="s">
        <v>1748</v>
      </c>
      <c r="H1399" t="s">
        <v>2279</v>
      </c>
      <c r="I1399">
        <v>10</v>
      </c>
      <c r="J1399" t="s">
        <v>2279</v>
      </c>
      <c r="K1399" t="s">
        <v>2279</v>
      </c>
      <c r="L1399" t="s">
        <v>2279</v>
      </c>
      <c r="M1399" t="s">
        <v>2279</v>
      </c>
      <c r="N1399" t="s">
        <v>2279</v>
      </c>
      <c r="O1399" s="190" t="str">
        <f>"["&amp;$C1399&amp;"]["&amp;$D1399&amp;"]["&amp;$F1399&amp;"]"</f>
        <v>[S06_InstallationsVerificationReportsIssueDetail][49][NumberOfInstallations]</v>
      </c>
    </row>
    <row r="1400" spans="1:15" x14ac:dyDescent="0.3">
      <c r="A1400" t="s">
        <v>2277</v>
      </c>
      <c r="B1400" t="s">
        <v>1985</v>
      </c>
      <c r="C1400" t="s">
        <v>1987</v>
      </c>
      <c r="D1400">
        <v>50</v>
      </c>
      <c r="E1400" t="s">
        <v>1447</v>
      </c>
      <c r="F1400" t="s">
        <v>1798</v>
      </c>
      <c r="G1400" t="s">
        <v>1748</v>
      </c>
      <c r="H1400" t="s">
        <v>2279</v>
      </c>
      <c r="I1400">
        <v>7</v>
      </c>
      <c r="J1400" t="s">
        <v>2279</v>
      </c>
      <c r="K1400" t="s">
        <v>2279</v>
      </c>
      <c r="L1400" t="s">
        <v>2279</v>
      </c>
      <c r="M1400" t="s">
        <v>2279</v>
      </c>
      <c r="N1400" t="s">
        <v>2279</v>
      </c>
      <c r="O1400" s="190" t="str">
        <f>"["&amp;$C1400&amp;"]["&amp;$D1400&amp;"]["&amp;$F1400&amp;"]"</f>
        <v>[S06_InstallationsVerificationReportsIssueDetail][50][NumberOfInstallations]</v>
      </c>
    </row>
    <row r="1401" spans="1:15" x14ac:dyDescent="0.3">
      <c r="A1401" t="s">
        <v>2277</v>
      </c>
      <c r="B1401" t="s">
        <v>1985</v>
      </c>
      <c r="C1401" t="s">
        <v>1987</v>
      </c>
      <c r="D1401">
        <v>51</v>
      </c>
      <c r="E1401" t="s">
        <v>1447</v>
      </c>
      <c r="F1401" t="s">
        <v>1798</v>
      </c>
      <c r="G1401" t="s">
        <v>1748</v>
      </c>
      <c r="H1401" t="s">
        <v>2279</v>
      </c>
      <c r="I1401">
        <v>17</v>
      </c>
      <c r="J1401" t="s">
        <v>2279</v>
      </c>
      <c r="K1401" t="s">
        <v>2279</v>
      </c>
      <c r="L1401" t="s">
        <v>2279</v>
      </c>
      <c r="M1401" t="s">
        <v>2279</v>
      </c>
      <c r="N1401" t="s">
        <v>2279</v>
      </c>
      <c r="O1401" s="190" t="str">
        <f>"["&amp;$C1401&amp;"]["&amp;$D1401&amp;"]["&amp;$F1401&amp;"]"</f>
        <v>[S06_InstallationsVerificationReportsIssueDetail][51][NumberOfInstallations]</v>
      </c>
    </row>
    <row r="1402" spans="1:15" x14ac:dyDescent="0.3">
      <c r="A1402" t="s">
        <v>2277</v>
      </c>
      <c r="B1402" t="s">
        <v>1985</v>
      </c>
      <c r="C1402" t="s">
        <v>1987</v>
      </c>
      <c r="D1402">
        <v>52</v>
      </c>
      <c r="E1402" t="s">
        <v>1447</v>
      </c>
      <c r="F1402" t="s">
        <v>1798</v>
      </c>
      <c r="G1402" t="s">
        <v>1748</v>
      </c>
      <c r="H1402" t="s">
        <v>2279</v>
      </c>
      <c r="I1402">
        <v>1</v>
      </c>
      <c r="J1402" t="s">
        <v>2279</v>
      </c>
      <c r="K1402" t="s">
        <v>2279</v>
      </c>
      <c r="L1402" t="s">
        <v>2279</v>
      </c>
      <c r="M1402" t="s">
        <v>2279</v>
      </c>
      <c r="N1402" t="s">
        <v>2279</v>
      </c>
      <c r="O1402" s="190" t="str">
        <f>"["&amp;$C1402&amp;"]["&amp;$D1402&amp;"]["&amp;$F1402&amp;"]"</f>
        <v>[S06_InstallationsVerificationReportsIssueDetail][52][NumberOfInstallations]</v>
      </c>
    </row>
    <row r="1403" spans="1:15" x14ac:dyDescent="0.3">
      <c r="A1403" t="s">
        <v>2277</v>
      </c>
      <c r="B1403" t="s">
        <v>1985</v>
      </c>
      <c r="C1403" t="s">
        <v>1987</v>
      </c>
      <c r="D1403">
        <v>53</v>
      </c>
      <c r="E1403" t="s">
        <v>1447</v>
      </c>
      <c r="F1403" t="s">
        <v>1798</v>
      </c>
      <c r="G1403" t="s">
        <v>1748</v>
      </c>
      <c r="H1403" t="s">
        <v>2279</v>
      </c>
      <c r="I1403">
        <v>2</v>
      </c>
      <c r="J1403" t="s">
        <v>2279</v>
      </c>
      <c r="K1403" t="s">
        <v>2279</v>
      </c>
      <c r="L1403" t="s">
        <v>2279</v>
      </c>
      <c r="M1403" t="s">
        <v>2279</v>
      </c>
      <c r="N1403" t="s">
        <v>2279</v>
      </c>
      <c r="O1403" s="190" t="str">
        <f>"["&amp;$C1403&amp;"]["&amp;$D1403&amp;"]["&amp;$F1403&amp;"]"</f>
        <v>[S06_InstallationsVerificationReportsIssueDetail][53][NumberOfInstallations]</v>
      </c>
    </row>
    <row r="1404" spans="1:15" x14ac:dyDescent="0.3">
      <c r="A1404" t="s">
        <v>2277</v>
      </c>
      <c r="B1404" t="s">
        <v>1985</v>
      </c>
      <c r="C1404" t="s">
        <v>1987</v>
      </c>
      <c r="D1404">
        <v>54</v>
      </c>
      <c r="E1404" t="s">
        <v>1447</v>
      </c>
      <c r="F1404" t="s">
        <v>1798</v>
      </c>
      <c r="G1404" t="s">
        <v>1748</v>
      </c>
      <c r="H1404" t="s">
        <v>2279</v>
      </c>
      <c r="I1404">
        <v>3</v>
      </c>
      <c r="J1404" t="s">
        <v>2279</v>
      </c>
      <c r="K1404" t="s">
        <v>2279</v>
      </c>
      <c r="L1404" t="s">
        <v>2279</v>
      </c>
      <c r="M1404" t="s">
        <v>2279</v>
      </c>
      <c r="N1404" t="s">
        <v>2279</v>
      </c>
      <c r="O1404" s="190" t="str">
        <f>"["&amp;$C1404&amp;"]["&amp;$D1404&amp;"]["&amp;$F1404&amp;"]"</f>
        <v>[S06_InstallationsVerificationReportsIssueDetail][54][NumberOfInstallations]</v>
      </c>
    </row>
    <row r="1405" spans="1:15" x14ac:dyDescent="0.3">
      <c r="A1405" t="s">
        <v>2277</v>
      </c>
      <c r="B1405" t="s">
        <v>1985</v>
      </c>
      <c r="C1405" t="s">
        <v>1987</v>
      </c>
      <c r="D1405">
        <v>55</v>
      </c>
      <c r="E1405" t="s">
        <v>1447</v>
      </c>
      <c r="F1405" t="s">
        <v>1798</v>
      </c>
      <c r="G1405" t="s">
        <v>1748</v>
      </c>
      <c r="H1405" t="s">
        <v>2279</v>
      </c>
      <c r="I1405">
        <v>1</v>
      </c>
      <c r="J1405" t="s">
        <v>2279</v>
      </c>
      <c r="K1405" t="s">
        <v>2279</v>
      </c>
      <c r="L1405" t="s">
        <v>2279</v>
      </c>
      <c r="M1405" t="s">
        <v>2279</v>
      </c>
      <c r="N1405" t="s">
        <v>2279</v>
      </c>
      <c r="O1405" s="190" t="str">
        <f>"["&amp;$C1405&amp;"]["&amp;$D1405&amp;"]["&amp;$F1405&amp;"]"</f>
        <v>[S06_InstallationsVerificationReportsIssueDetail][55][NumberOfInstallations]</v>
      </c>
    </row>
    <row r="1406" spans="1:15" x14ac:dyDescent="0.3">
      <c r="A1406" t="s">
        <v>2277</v>
      </c>
      <c r="B1406" t="s">
        <v>1985</v>
      </c>
      <c r="C1406" t="s">
        <v>1987</v>
      </c>
      <c r="D1406">
        <v>56</v>
      </c>
      <c r="E1406" t="s">
        <v>1447</v>
      </c>
      <c r="F1406" t="s">
        <v>1798</v>
      </c>
      <c r="G1406" t="s">
        <v>1748</v>
      </c>
      <c r="H1406" t="s">
        <v>2279</v>
      </c>
      <c r="I1406">
        <v>1</v>
      </c>
      <c r="J1406" t="s">
        <v>2279</v>
      </c>
      <c r="K1406" t="s">
        <v>2279</v>
      </c>
      <c r="L1406" t="s">
        <v>2279</v>
      </c>
      <c r="M1406" t="s">
        <v>2279</v>
      </c>
      <c r="N1406" t="s">
        <v>2279</v>
      </c>
      <c r="O1406" s="190" t="str">
        <f>"["&amp;$C1406&amp;"]["&amp;$D1406&amp;"]["&amp;$F1406&amp;"]"</f>
        <v>[S06_InstallationsVerificationReportsIssueDetail][56][NumberOfInstallations]</v>
      </c>
    </row>
    <row r="1407" spans="1:15" x14ac:dyDescent="0.3">
      <c r="A1407" t="s">
        <v>2277</v>
      </c>
      <c r="B1407" t="s">
        <v>1985</v>
      </c>
      <c r="C1407" t="s">
        <v>1987</v>
      </c>
      <c r="D1407">
        <v>57</v>
      </c>
      <c r="E1407" t="s">
        <v>1447</v>
      </c>
      <c r="F1407" t="s">
        <v>1798</v>
      </c>
      <c r="G1407" t="s">
        <v>1748</v>
      </c>
      <c r="H1407" t="s">
        <v>2279</v>
      </c>
      <c r="I1407">
        <v>2</v>
      </c>
      <c r="J1407" t="s">
        <v>2279</v>
      </c>
      <c r="K1407" t="s">
        <v>2279</v>
      </c>
      <c r="L1407" t="s">
        <v>2279</v>
      </c>
      <c r="M1407" t="s">
        <v>2279</v>
      </c>
      <c r="N1407" t="s">
        <v>2279</v>
      </c>
      <c r="O1407" s="190" t="str">
        <f>"["&amp;$C1407&amp;"]["&amp;$D1407&amp;"]["&amp;$F1407&amp;"]"</f>
        <v>[S06_InstallationsVerificationReportsIssueDetail][57][NumberOfInstallations]</v>
      </c>
    </row>
    <row r="1408" spans="1:15" x14ac:dyDescent="0.3">
      <c r="A1408" t="s">
        <v>2277</v>
      </c>
      <c r="B1408" t="s">
        <v>1985</v>
      </c>
      <c r="C1408" t="s">
        <v>1987</v>
      </c>
      <c r="D1408">
        <v>58</v>
      </c>
      <c r="E1408" t="s">
        <v>1447</v>
      </c>
      <c r="F1408" t="s">
        <v>1798</v>
      </c>
      <c r="G1408" t="s">
        <v>1748</v>
      </c>
      <c r="H1408" t="s">
        <v>2279</v>
      </c>
      <c r="I1408">
        <v>364</v>
      </c>
      <c r="J1408" t="s">
        <v>2279</v>
      </c>
      <c r="K1408" t="s">
        <v>2279</v>
      </c>
      <c r="L1408" t="s">
        <v>2279</v>
      </c>
      <c r="M1408" t="s">
        <v>2279</v>
      </c>
      <c r="N1408" t="s">
        <v>2279</v>
      </c>
      <c r="O1408" s="190" t="str">
        <f>"["&amp;$C1408&amp;"]["&amp;$D1408&amp;"]["&amp;$F1408&amp;"]"</f>
        <v>[S06_InstallationsVerificationReportsIssueDetail][58][NumberOfInstallations]</v>
      </c>
    </row>
    <row r="1409" spans="1:15" x14ac:dyDescent="0.3">
      <c r="A1409" t="s">
        <v>2277</v>
      </c>
      <c r="B1409" t="s">
        <v>1985</v>
      </c>
      <c r="C1409" t="s">
        <v>1987</v>
      </c>
      <c r="D1409">
        <v>59</v>
      </c>
      <c r="E1409" t="s">
        <v>1447</v>
      </c>
      <c r="F1409" t="s">
        <v>1798</v>
      </c>
      <c r="G1409" t="s">
        <v>1748</v>
      </c>
      <c r="H1409" t="s">
        <v>2279</v>
      </c>
      <c r="I1409">
        <v>4</v>
      </c>
      <c r="J1409" t="s">
        <v>2279</v>
      </c>
      <c r="K1409" t="s">
        <v>2279</v>
      </c>
      <c r="L1409" t="s">
        <v>2279</v>
      </c>
      <c r="M1409" t="s">
        <v>2279</v>
      </c>
      <c r="N1409" t="s">
        <v>2279</v>
      </c>
      <c r="O1409" s="190" t="str">
        <f>"["&amp;$C1409&amp;"]["&amp;$D1409&amp;"]["&amp;$F1409&amp;"]"</f>
        <v>[S06_InstallationsVerificationReportsIssueDetail][59][NumberOfInstallations]</v>
      </c>
    </row>
    <row r="1410" spans="1:15" x14ac:dyDescent="0.3">
      <c r="A1410" t="s">
        <v>2277</v>
      </c>
      <c r="B1410" t="s">
        <v>1985</v>
      </c>
      <c r="C1410" t="s">
        <v>1987</v>
      </c>
      <c r="D1410">
        <v>60</v>
      </c>
      <c r="E1410" t="s">
        <v>1447</v>
      </c>
      <c r="F1410" t="s">
        <v>1798</v>
      </c>
      <c r="G1410" t="s">
        <v>1748</v>
      </c>
      <c r="H1410" t="s">
        <v>2279</v>
      </c>
      <c r="I1410">
        <v>19</v>
      </c>
      <c r="J1410" t="s">
        <v>2279</v>
      </c>
      <c r="K1410" t="s">
        <v>2279</v>
      </c>
      <c r="L1410" t="s">
        <v>2279</v>
      </c>
      <c r="M1410" t="s">
        <v>2279</v>
      </c>
      <c r="N1410" t="s">
        <v>2279</v>
      </c>
      <c r="O1410" s="190" t="str">
        <f>"["&amp;$C1410&amp;"]["&amp;$D1410&amp;"]["&amp;$F1410&amp;"]"</f>
        <v>[S06_InstallationsVerificationReportsIssueDetail][60][NumberOfInstallations]</v>
      </c>
    </row>
    <row r="1411" spans="1:15" x14ac:dyDescent="0.3">
      <c r="A1411" t="s">
        <v>2277</v>
      </c>
      <c r="B1411" t="s">
        <v>1985</v>
      </c>
      <c r="C1411" t="s">
        <v>1987</v>
      </c>
      <c r="D1411">
        <v>61</v>
      </c>
      <c r="E1411" t="s">
        <v>1447</v>
      </c>
      <c r="F1411" t="s">
        <v>1798</v>
      </c>
      <c r="G1411" t="s">
        <v>1748</v>
      </c>
      <c r="H1411" t="s">
        <v>2279</v>
      </c>
      <c r="I1411">
        <v>19</v>
      </c>
      <c r="J1411" t="s">
        <v>2279</v>
      </c>
      <c r="K1411" t="s">
        <v>2279</v>
      </c>
      <c r="L1411" t="s">
        <v>2279</v>
      </c>
      <c r="M1411" t="s">
        <v>2279</v>
      </c>
      <c r="N1411" t="s">
        <v>2279</v>
      </c>
      <c r="O1411" s="190" t="str">
        <f>"["&amp;$C1411&amp;"]["&amp;$D1411&amp;"]["&amp;$F1411&amp;"]"</f>
        <v>[S06_InstallationsVerificationReportsIssueDetail][61][NumberOfInstallations]</v>
      </c>
    </row>
    <row r="1412" spans="1:15" x14ac:dyDescent="0.3">
      <c r="A1412" t="s">
        <v>2277</v>
      </c>
      <c r="B1412" t="s">
        <v>1985</v>
      </c>
      <c r="C1412" t="s">
        <v>1987</v>
      </c>
      <c r="D1412">
        <v>62</v>
      </c>
      <c r="E1412" t="s">
        <v>1447</v>
      </c>
      <c r="F1412" t="s">
        <v>1798</v>
      </c>
      <c r="G1412" t="s">
        <v>1748</v>
      </c>
      <c r="H1412" t="s">
        <v>2279</v>
      </c>
      <c r="I1412">
        <v>53</v>
      </c>
      <c r="J1412" t="s">
        <v>2279</v>
      </c>
      <c r="K1412" t="s">
        <v>2279</v>
      </c>
      <c r="L1412" t="s">
        <v>2279</v>
      </c>
      <c r="M1412" t="s">
        <v>2279</v>
      </c>
      <c r="N1412" t="s">
        <v>2279</v>
      </c>
      <c r="O1412" s="190" t="str">
        <f>"["&amp;$C1412&amp;"]["&amp;$D1412&amp;"]["&amp;$F1412&amp;"]"</f>
        <v>[S06_InstallationsVerificationReportsIssueDetail][62][NumberOfInstallations]</v>
      </c>
    </row>
    <row r="1413" spans="1:15" x14ac:dyDescent="0.3">
      <c r="A1413" t="s">
        <v>2277</v>
      </c>
      <c r="B1413" t="s">
        <v>1985</v>
      </c>
      <c r="C1413" t="s">
        <v>1987</v>
      </c>
      <c r="D1413">
        <v>63</v>
      </c>
      <c r="E1413" t="s">
        <v>1447</v>
      </c>
      <c r="F1413" t="s">
        <v>1798</v>
      </c>
      <c r="G1413" t="s">
        <v>1748</v>
      </c>
      <c r="H1413" t="s">
        <v>2279</v>
      </c>
      <c r="I1413">
        <v>6</v>
      </c>
      <c r="J1413" t="s">
        <v>2279</v>
      </c>
      <c r="K1413" t="s">
        <v>2279</v>
      </c>
      <c r="L1413" t="s">
        <v>2279</v>
      </c>
      <c r="M1413" t="s">
        <v>2279</v>
      </c>
      <c r="N1413" t="s">
        <v>2279</v>
      </c>
      <c r="O1413" s="190" t="str">
        <f>"["&amp;$C1413&amp;"]["&amp;$D1413&amp;"]["&amp;$F1413&amp;"]"</f>
        <v>[S06_InstallationsVerificationReportsIssueDetail][63][NumberOfInstallations]</v>
      </c>
    </row>
    <row r="1414" spans="1:15" x14ac:dyDescent="0.3">
      <c r="A1414" t="s">
        <v>2277</v>
      </c>
      <c r="B1414" t="s">
        <v>1985</v>
      </c>
      <c r="C1414" t="s">
        <v>1987</v>
      </c>
      <c r="D1414">
        <v>64</v>
      </c>
      <c r="E1414" t="s">
        <v>1447</v>
      </c>
      <c r="F1414" t="s">
        <v>1798</v>
      </c>
      <c r="G1414" t="s">
        <v>1748</v>
      </c>
      <c r="H1414" t="s">
        <v>2279</v>
      </c>
      <c r="I1414">
        <v>1</v>
      </c>
      <c r="J1414" t="s">
        <v>2279</v>
      </c>
      <c r="K1414" t="s">
        <v>2279</v>
      </c>
      <c r="L1414" t="s">
        <v>2279</v>
      </c>
      <c r="M1414" t="s">
        <v>2279</v>
      </c>
      <c r="N1414" t="s">
        <v>2279</v>
      </c>
      <c r="O1414" s="190" t="str">
        <f>"["&amp;$C1414&amp;"]["&amp;$D1414&amp;"]["&amp;$F1414&amp;"]"</f>
        <v>[S06_InstallationsVerificationReportsIssueDetail][64][NumberOfInstallations]</v>
      </c>
    </row>
    <row r="1415" spans="1:15" x14ac:dyDescent="0.3">
      <c r="A1415" t="s">
        <v>2277</v>
      </c>
      <c r="B1415" t="s">
        <v>1985</v>
      </c>
      <c r="C1415" t="s">
        <v>1987</v>
      </c>
      <c r="D1415">
        <v>65</v>
      </c>
      <c r="E1415" t="s">
        <v>1447</v>
      </c>
      <c r="F1415" t="s">
        <v>1798</v>
      </c>
      <c r="G1415" t="s">
        <v>1748</v>
      </c>
      <c r="H1415" t="s">
        <v>2279</v>
      </c>
      <c r="I1415">
        <v>24</v>
      </c>
      <c r="J1415" t="s">
        <v>2279</v>
      </c>
      <c r="K1415" t="s">
        <v>2279</v>
      </c>
      <c r="L1415" t="s">
        <v>2279</v>
      </c>
      <c r="M1415" t="s">
        <v>2279</v>
      </c>
      <c r="N1415" t="s">
        <v>2279</v>
      </c>
      <c r="O1415" s="190" t="str">
        <f>"["&amp;$C1415&amp;"]["&amp;$D1415&amp;"]["&amp;$F1415&amp;"]"</f>
        <v>[S06_InstallationsVerificationReportsIssueDetail][65][NumberOfInstallations]</v>
      </c>
    </row>
    <row r="1416" spans="1:15" x14ac:dyDescent="0.3">
      <c r="A1416" t="s">
        <v>2277</v>
      </c>
      <c r="B1416" t="s">
        <v>1985</v>
      </c>
      <c r="C1416" t="s">
        <v>1987</v>
      </c>
      <c r="D1416">
        <v>66</v>
      </c>
      <c r="E1416" t="s">
        <v>1447</v>
      </c>
      <c r="F1416" t="s">
        <v>1798</v>
      </c>
      <c r="G1416" t="s">
        <v>1748</v>
      </c>
      <c r="H1416" t="s">
        <v>2279</v>
      </c>
      <c r="I1416">
        <v>19</v>
      </c>
      <c r="J1416" t="s">
        <v>2279</v>
      </c>
      <c r="K1416" t="s">
        <v>2279</v>
      </c>
      <c r="L1416" t="s">
        <v>2279</v>
      </c>
      <c r="M1416" t="s">
        <v>2279</v>
      </c>
      <c r="N1416" t="s">
        <v>2279</v>
      </c>
      <c r="O1416" s="190" t="str">
        <f>"["&amp;$C1416&amp;"]["&amp;$D1416&amp;"]["&amp;$F1416&amp;"]"</f>
        <v>[S06_InstallationsVerificationReportsIssueDetail][66][NumberOfInstallations]</v>
      </c>
    </row>
    <row r="1417" spans="1:15" x14ac:dyDescent="0.3">
      <c r="A1417" t="s">
        <v>2277</v>
      </c>
      <c r="B1417" t="s">
        <v>1985</v>
      </c>
      <c r="C1417" t="s">
        <v>1987</v>
      </c>
      <c r="D1417">
        <v>67</v>
      </c>
      <c r="E1417" t="s">
        <v>1447</v>
      </c>
      <c r="F1417" t="s">
        <v>1798</v>
      </c>
      <c r="G1417" t="s">
        <v>1748</v>
      </c>
      <c r="H1417" t="s">
        <v>2279</v>
      </c>
      <c r="I1417">
        <v>23</v>
      </c>
      <c r="J1417" t="s">
        <v>2279</v>
      </c>
      <c r="K1417" t="s">
        <v>2279</v>
      </c>
      <c r="L1417" t="s">
        <v>2279</v>
      </c>
      <c r="M1417" t="s">
        <v>2279</v>
      </c>
      <c r="N1417" t="s">
        <v>2279</v>
      </c>
      <c r="O1417" s="190" t="str">
        <f>"["&amp;$C1417&amp;"]["&amp;$D1417&amp;"]["&amp;$F1417&amp;"]"</f>
        <v>[S06_InstallationsVerificationReportsIssueDetail][67][NumberOfInstallations]</v>
      </c>
    </row>
    <row r="1418" spans="1:15" x14ac:dyDescent="0.3">
      <c r="A1418" t="s">
        <v>2277</v>
      </c>
      <c r="B1418" t="s">
        <v>1985</v>
      </c>
      <c r="C1418" t="s">
        <v>1987</v>
      </c>
      <c r="D1418">
        <v>68</v>
      </c>
      <c r="E1418" t="s">
        <v>1447</v>
      </c>
      <c r="F1418" t="s">
        <v>1798</v>
      </c>
      <c r="G1418" t="s">
        <v>1748</v>
      </c>
      <c r="H1418" t="s">
        <v>2279</v>
      </c>
      <c r="I1418">
        <v>4</v>
      </c>
      <c r="J1418" t="s">
        <v>2279</v>
      </c>
      <c r="K1418" t="s">
        <v>2279</v>
      </c>
      <c r="L1418" t="s">
        <v>2279</v>
      </c>
      <c r="M1418" t="s">
        <v>2279</v>
      </c>
      <c r="N1418" t="s">
        <v>2279</v>
      </c>
      <c r="O1418" s="190" t="str">
        <f>"["&amp;$C1418&amp;"]["&amp;$D1418&amp;"]["&amp;$F1418&amp;"]"</f>
        <v>[S06_InstallationsVerificationReportsIssueDetail][68][NumberOfInstallations]</v>
      </c>
    </row>
    <row r="1419" spans="1:15" x14ac:dyDescent="0.3">
      <c r="A1419" t="s">
        <v>2277</v>
      </c>
      <c r="B1419" t="s">
        <v>1985</v>
      </c>
      <c r="C1419" t="s">
        <v>1987</v>
      </c>
      <c r="D1419">
        <v>69</v>
      </c>
      <c r="E1419" t="s">
        <v>1447</v>
      </c>
      <c r="F1419" t="s">
        <v>1798</v>
      </c>
      <c r="G1419" t="s">
        <v>1748</v>
      </c>
      <c r="H1419" t="s">
        <v>2279</v>
      </c>
      <c r="I1419">
        <v>15</v>
      </c>
      <c r="J1419" t="s">
        <v>2279</v>
      </c>
      <c r="K1419" t="s">
        <v>2279</v>
      </c>
      <c r="L1419" t="s">
        <v>2279</v>
      </c>
      <c r="M1419" t="s">
        <v>2279</v>
      </c>
      <c r="N1419" t="s">
        <v>2279</v>
      </c>
      <c r="O1419" s="190" t="str">
        <f>"["&amp;$C1419&amp;"]["&amp;$D1419&amp;"]["&amp;$F1419&amp;"]"</f>
        <v>[S06_InstallationsVerificationReportsIssueDetail][69][NumberOfInstallations]</v>
      </c>
    </row>
    <row r="1420" spans="1:15" x14ac:dyDescent="0.3">
      <c r="A1420" t="s">
        <v>2277</v>
      </c>
      <c r="B1420" t="s">
        <v>1985</v>
      </c>
      <c r="C1420" t="s">
        <v>1987</v>
      </c>
      <c r="D1420">
        <v>70</v>
      </c>
      <c r="E1420" t="s">
        <v>1447</v>
      </c>
      <c r="F1420" t="s">
        <v>1798</v>
      </c>
      <c r="G1420" t="s">
        <v>1748</v>
      </c>
      <c r="H1420" t="s">
        <v>2279</v>
      </c>
      <c r="I1420">
        <v>6</v>
      </c>
      <c r="J1420" t="s">
        <v>2279</v>
      </c>
      <c r="K1420" t="s">
        <v>2279</v>
      </c>
      <c r="L1420" t="s">
        <v>2279</v>
      </c>
      <c r="M1420" t="s">
        <v>2279</v>
      </c>
      <c r="N1420" t="s">
        <v>2279</v>
      </c>
      <c r="O1420" s="190" t="str">
        <f>"["&amp;$C1420&amp;"]["&amp;$D1420&amp;"]["&amp;$F1420&amp;"]"</f>
        <v>[S06_InstallationsVerificationReportsIssueDetail][70][NumberOfInstallations]</v>
      </c>
    </row>
    <row r="1421" spans="1:15" x14ac:dyDescent="0.3">
      <c r="A1421" t="s">
        <v>2277</v>
      </c>
      <c r="B1421" t="s">
        <v>1985</v>
      </c>
      <c r="C1421" t="s">
        <v>1987</v>
      </c>
      <c r="D1421">
        <v>71</v>
      </c>
      <c r="E1421" t="s">
        <v>1447</v>
      </c>
      <c r="F1421" t="s">
        <v>1798</v>
      </c>
      <c r="G1421" t="s">
        <v>1748</v>
      </c>
      <c r="H1421" t="s">
        <v>2279</v>
      </c>
      <c r="I1421">
        <v>11</v>
      </c>
      <c r="J1421" t="s">
        <v>2279</v>
      </c>
      <c r="K1421" t="s">
        <v>2279</v>
      </c>
      <c r="L1421" t="s">
        <v>2279</v>
      </c>
      <c r="M1421" t="s">
        <v>2279</v>
      </c>
      <c r="N1421" t="s">
        <v>2279</v>
      </c>
      <c r="O1421" s="190" t="str">
        <f>"["&amp;$C1421&amp;"]["&amp;$D1421&amp;"]["&amp;$F1421&amp;"]"</f>
        <v>[S06_InstallationsVerificationReportsIssueDetail][71][NumberOfInstallations]</v>
      </c>
    </row>
    <row r="1422" spans="1:15" x14ac:dyDescent="0.3">
      <c r="A1422" t="s">
        <v>2277</v>
      </c>
      <c r="B1422" t="s">
        <v>1985</v>
      </c>
      <c r="C1422" t="s">
        <v>1987</v>
      </c>
      <c r="D1422">
        <v>72</v>
      </c>
      <c r="E1422" t="s">
        <v>1447</v>
      </c>
      <c r="F1422" t="s">
        <v>1798</v>
      </c>
      <c r="G1422" t="s">
        <v>1748</v>
      </c>
      <c r="H1422" t="s">
        <v>2279</v>
      </c>
      <c r="I1422">
        <v>2</v>
      </c>
      <c r="J1422" t="s">
        <v>2279</v>
      </c>
      <c r="K1422" t="s">
        <v>2279</v>
      </c>
      <c r="L1422" t="s">
        <v>2279</v>
      </c>
      <c r="M1422" t="s">
        <v>2279</v>
      </c>
      <c r="N1422" t="s">
        <v>2279</v>
      </c>
      <c r="O1422" s="190" t="str">
        <f>"["&amp;$C1422&amp;"]["&amp;$D1422&amp;"]["&amp;$F1422&amp;"]"</f>
        <v>[S06_InstallationsVerificationReportsIssueDetail][72][NumberOfInstallations]</v>
      </c>
    </row>
    <row r="1423" spans="1:15" x14ac:dyDescent="0.3">
      <c r="A1423" t="s">
        <v>2277</v>
      </c>
      <c r="B1423" t="s">
        <v>1985</v>
      </c>
      <c r="C1423" t="s">
        <v>1987</v>
      </c>
      <c r="D1423">
        <v>73</v>
      </c>
      <c r="E1423" t="s">
        <v>1447</v>
      </c>
      <c r="F1423" t="s">
        <v>1798</v>
      </c>
      <c r="G1423" t="s">
        <v>1748</v>
      </c>
      <c r="H1423" t="s">
        <v>2279</v>
      </c>
      <c r="I1423">
        <v>2</v>
      </c>
      <c r="J1423" t="s">
        <v>2279</v>
      </c>
      <c r="K1423" t="s">
        <v>2279</v>
      </c>
      <c r="L1423" t="s">
        <v>2279</v>
      </c>
      <c r="M1423" t="s">
        <v>2279</v>
      </c>
      <c r="N1423" t="s">
        <v>2279</v>
      </c>
      <c r="O1423" s="190" t="str">
        <f>"["&amp;$C1423&amp;"]["&amp;$D1423&amp;"]["&amp;$F1423&amp;"]"</f>
        <v>[S06_InstallationsVerificationReportsIssueDetail][73][NumberOfInstallations]</v>
      </c>
    </row>
    <row r="1424" spans="1:15" x14ac:dyDescent="0.3">
      <c r="A1424" t="s">
        <v>2277</v>
      </c>
      <c r="B1424" t="s">
        <v>1985</v>
      </c>
      <c r="C1424" t="s">
        <v>1987</v>
      </c>
      <c r="D1424">
        <v>74</v>
      </c>
      <c r="E1424" t="s">
        <v>1447</v>
      </c>
      <c r="F1424" t="s">
        <v>1798</v>
      </c>
      <c r="G1424" t="s">
        <v>1748</v>
      </c>
      <c r="H1424" t="s">
        <v>2279</v>
      </c>
      <c r="I1424">
        <v>2</v>
      </c>
      <c r="J1424" t="s">
        <v>2279</v>
      </c>
      <c r="K1424" t="s">
        <v>2279</v>
      </c>
      <c r="L1424" t="s">
        <v>2279</v>
      </c>
      <c r="M1424" t="s">
        <v>2279</v>
      </c>
      <c r="N1424" t="s">
        <v>2279</v>
      </c>
      <c r="O1424" s="190" t="str">
        <f>"["&amp;$C1424&amp;"]["&amp;$D1424&amp;"]["&amp;$F1424&amp;"]"</f>
        <v>[S06_InstallationsVerificationReportsIssueDetail][74][NumberOfInstallations]</v>
      </c>
    </row>
    <row r="1425" spans="1:15" x14ac:dyDescent="0.3">
      <c r="A1425" t="s">
        <v>2277</v>
      </c>
      <c r="B1425" t="s">
        <v>1985</v>
      </c>
      <c r="C1425" t="s">
        <v>1987</v>
      </c>
      <c r="D1425">
        <v>75</v>
      </c>
      <c r="E1425" t="s">
        <v>1447</v>
      </c>
      <c r="F1425" t="s">
        <v>1798</v>
      </c>
      <c r="G1425" t="s">
        <v>1748</v>
      </c>
      <c r="H1425" t="s">
        <v>2279</v>
      </c>
      <c r="I1425">
        <v>1</v>
      </c>
      <c r="J1425" t="s">
        <v>2279</v>
      </c>
      <c r="K1425" t="s">
        <v>2279</v>
      </c>
      <c r="L1425" t="s">
        <v>2279</v>
      </c>
      <c r="M1425" t="s">
        <v>2279</v>
      </c>
      <c r="N1425" t="s">
        <v>2279</v>
      </c>
      <c r="O1425" s="190" t="str">
        <f>"["&amp;$C1425&amp;"]["&amp;$D1425&amp;"]["&amp;$F1425&amp;"]"</f>
        <v>[S06_InstallationsVerificationReportsIssueDetail][75][NumberOfInstallations]</v>
      </c>
    </row>
    <row r="1426" spans="1:15" x14ac:dyDescent="0.3">
      <c r="A1426" t="s">
        <v>2277</v>
      </c>
      <c r="B1426" t="s">
        <v>1985</v>
      </c>
      <c r="C1426" t="s">
        <v>1987</v>
      </c>
      <c r="D1426">
        <v>76</v>
      </c>
      <c r="E1426" t="s">
        <v>1447</v>
      </c>
      <c r="F1426" t="s">
        <v>1798</v>
      </c>
      <c r="G1426" t="s">
        <v>1748</v>
      </c>
      <c r="H1426" t="s">
        <v>2279</v>
      </c>
      <c r="I1426">
        <v>1</v>
      </c>
      <c r="J1426" t="s">
        <v>2279</v>
      </c>
      <c r="K1426" t="s">
        <v>2279</v>
      </c>
      <c r="L1426" t="s">
        <v>2279</v>
      </c>
      <c r="M1426" t="s">
        <v>2279</v>
      </c>
      <c r="N1426" t="s">
        <v>2279</v>
      </c>
      <c r="O1426" s="190" t="str">
        <f>"["&amp;$C1426&amp;"]["&amp;$D1426&amp;"]["&amp;$F1426&amp;"]"</f>
        <v>[S06_InstallationsVerificationReportsIssueDetail][76][NumberOfInstallations]</v>
      </c>
    </row>
    <row r="1427" spans="1:15" x14ac:dyDescent="0.3">
      <c r="A1427" t="s">
        <v>2277</v>
      </c>
      <c r="B1427" t="s">
        <v>1985</v>
      </c>
      <c r="C1427" t="s">
        <v>1987</v>
      </c>
      <c r="D1427">
        <v>77</v>
      </c>
      <c r="E1427" t="s">
        <v>1447</v>
      </c>
      <c r="F1427" t="s">
        <v>1798</v>
      </c>
      <c r="G1427" t="s">
        <v>1748</v>
      </c>
      <c r="H1427" t="s">
        <v>2279</v>
      </c>
      <c r="I1427">
        <v>1</v>
      </c>
      <c r="J1427" t="s">
        <v>2279</v>
      </c>
      <c r="K1427" t="s">
        <v>2279</v>
      </c>
      <c r="L1427" t="s">
        <v>2279</v>
      </c>
      <c r="M1427" t="s">
        <v>2279</v>
      </c>
      <c r="N1427" t="s">
        <v>2279</v>
      </c>
      <c r="O1427" s="190" t="str">
        <f>"["&amp;$C1427&amp;"]["&amp;$D1427&amp;"]["&amp;$F1427&amp;"]"</f>
        <v>[S06_InstallationsVerificationReportsIssueDetail][77][NumberOfInstallations]</v>
      </c>
    </row>
    <row r="1428" spans="1:15" x14ac:dyDescent="0.3">
      <c r="A1428" t="s">
        <v>2277</v>
      </c>
      <c r="B1428" t="s">
        <v>1985</v>
      </c>
      <c r="C1428" t="s">
        <v>1987</v>
      </c>
      <c r="D1428">
        <v>78</v>
      </c>
      <c r="E1428" t="s">
        <v>1447</v>
      </c>
      <c r="F1428" t="s">
        <v>1798</v>
      </c>
      <c r="G1428" t="s">
        <v>1748</v>
      </c>
      <c r="H1428" t="s">
        <v>2279</v>
      </c>
      <c r="I1428">
        <v>1</v>
      </c>
      <c r="J1428" t="s">
        <v>2279</v>
      </c>
      <c r="K1428" t="s">
        <v>2279</v>
      </c>
      <c r="L1428" t="s">
        <v>2279</v>
      </c>
      <c r="M1428" t="s">
        <v>2279</v>
      </c>
      <c r="N1428" t="s">
        <v>2279</v>
      </c>
      <c r="O1428" s="190" t="str">
        <f>"["&amp;$C1428&amp;"]["&amp;$D1428&amp;"]["&amp;$F1428&amp;"]"</f>
        <v>[S06_InstallationsVerificationReportsIssueDetail][78][NumberOfInstallations]</v>
      </c>
    </row>
    <row r="1429" spans="1:15" x14ac:dyDescent="0.3">
      <c r="A1429" t="s">
        <v>2277</v>
      </c>
      <c r="B1429" t="s">
        <v>1985</v>
      </c>
      <c r="C1429" t="s">
        <v>1987</v>
      </c>
      <c r="D1429">
        <v>1</v>
      </c>
      <c r="E1429" t="s">
        <v>1447</v>
      </c>
      <c r="F1429" t="s">
        <v>1972</v>
      </c>
      <c r="G1429" t="s">
        <v>1748</v>
      </c>
      <c r="H1429" t="s">
        <v>2279</v>
      </c>
      <c r="I1429">
        <v>430</v>
      </c>
      <c r="J1429" t="s">
        <v>2279</v>
      </c>
      <c r="K1429" t="s">
        <v>2279</v>
      </c>
      <c r="L1429" t="s">
        <v>2279</v>
      </c>
      <c r="M1429" t="s">
        <v>2279</v>
      </c>
      <c r="N1429" t="s">
        <v>2279</v>
      </c>
      <c r="O1429" s="190" t="str">
        <f>"["&amp;$C1429&amp;"]["&amp;$D1429&amp;"]["&amp;$F1429&amp;"]"</f>
        <v>[S06_InstallationsVerificationReportsIssueDetail][1][NumberOfIssues]</v>
      </c>
    </row>
    <row r="1430" spans="1:15" x14ac:dyDescent="0.3">
      <c r="A1430" t="s">
        <v>2277</v>
      </c>
      <c r="B1430" t="s">
        <v>1985</v>
      </c>
      <c r="C1430" t="s">
        <v>1987</v>
      </c>
      <c r="D1430">
        <v>2</v>
      </c>
      <c r="E1430" t="s">
        <v>1447</v>
      </c>
      <c r="F1430" t="s">
        <v>1972</v>
      </c>
      <c r="G1430" t="s">
        <v>1748</v>
      </c>
      <c r="H1430" t="s">
        <v>2279</v>
      </c>
      <c r="I1430">
        <v>7</v>
      </c>
      <c r="J1430" t="s">
        <v>2279</v>
      </c>
      <c r="K1430" t="s">
        <v>2279</v>
      </c>
      <c r="L1430" t="s">
        <v>2279</v>
      </c>
      <c r="M1430" t="s">
        <v>2279</v>
      </c>
      <c r="N1430" t="s">
        <v>2279</v>
      </c>
      <c r="O1430" s="190" t="str">
        <f>"["&amp;$C1430&amp;"]["&amp;$D1430&amp;"]["&amp;$F1430&amp;"]"</f>
        <v>[S06_InstallationsVerificationReportsIssueDetail][2][NumberOfIssues]</v>
      </c>
    </row>
    <row r="1431" spans="1:15" x14ac:dyDescent="0.3">
      <c r="A1431" t="s">
        <v>2277</v>
      </c>
      <c r="B1431" t="s">
        <v>1985</v>
      </c>
      <c r="C1431" t="s">
        <v>1987</v>
      </c>
      <c r="D1431">
        <v>3</v>
      </c>
      <c r="E1431" t="s">
        <v>1447</v>
      </c>
      <c r="F1431" t="s">
        <v>1972</v>
      </c>
      <c r="G1431" t="s">
        <v>1748</v>
      </c>
      <c r="H1431" t="s">
        <v>2279</v>
      </c>
      <c r="I1431">
        <v>20</v>
      </c>
      <c r="J1431" t="s">
        <v>2279</v>
      </c>
      <c r="K1431" t="s">
        <v>2279</v>
      </c>
      <c r="L1431" t="s">
        <v>2279</v>
      </c>
      <c r="M1431" t="s">
        <v>2279</v>
      </c>
      <c r="N1431" t="s">
        <v>2279</v>
      </c>
      <c r="O1431" s="190" t="str">
        <f>"["&amp;$C1431&amp;"]["&amp;$D1431&amp;"]["&amp;$F1431&amp;"]"</f>
        <v>[S06_InstallationsVerificationReportsIssueDetail][3][NumberOfIssues]</v>
      </c>
    </row>
    <row r="1432" spans="1:15" x14ac:dyDescent="0.3">
      <c r="A1432" t="s">
        <v>2277</v>
      </c>
      <c r="B1432" t="s">
        <v>1985</v>
      </c>
      <c r="C1432" t="s">
        <v>1987</v>
      </c>
      <c r="D1432">
        <v>4</v>
      </c>
      <c r="E1432" t="s">
        <v>1447</v>
      </c>
      <c r="F1432" t="s">
        <v>1972</v>
      </c>
      <c r="G1432" t="s">
        <v>1748</v>
      </c>
      <c r="H1432" t="s">
        <v>2279</v>
      </c>
      <c r="I1432">
        <v>25</v>
      </c>
      <c r="J1432" t="s">
        <v>2279</v>
      </c>
      <c r="K1432" t="s">
        <v>2279</v>
      </c>
      <c r="L1432" t="s">
        <v>2279</v>
      </c>
      <c r="M1432" t="s">
        <v>2279</v>
      </c>
      <c r="N1432" t="s">
        <v>2279</v>
      </c>
      <c r="O1432" s="190" t="str">
        <f>"["&amp;$C1432&amp;"]["&amp;$D1432&amp;"]["&amp;$F1432&amp;"]"</f>
        <v>[S06_InstallationsVerificationReportsIssueDetail][4][NumberOfIssues]</v>
      </c>
    </row>
    <row r="1433" spans="1:15" x14ac:dyDescent="0.3">
      <c r="A1433" t="s">
        <v>2277</v>
      </c>
      <c r="B1433" t="s">
        <v>1985</v>
      </c>
      <c r="C1433" t="s">
        <v>1987</v>
      </c>
      <c r="D1433">
        <v>5</v>
      </c>
      <c r="E1433" t="s">
        <v>1447</v>
      </c>
      <c r="F1433" t="s">
        <v>1972</v>
      </c>
      <c r="G1433" t="s">
        <v>1748</v>
      </c>
      <c r="H1433" t="s">
        <v>2279</v>
      </c>
      <c r="I1433">
        <v>49</v>
      </c>
      <c r="J1433" t="s">
        <v>2279</v>
      </c>
      <c r="K1433" t="s">
        <v>2279</v>
      </c>
      <c r="L1433" t="s">
        <v>2279</v>
      </c>
      <c r="M1433" t="s">
        <v>2279</v>
      </c>
      <c r="N1433" t="s">
        <v>2279</v>
      </c>
      <c r="O1433" s="190" t="str">
        <f>"["&amp;$C1433&amp;"]["&amp;$D1433&amp;"]["&amp;$F1433&amp;"]"</f>
        <v>[S06_InstallationsVerificationReportsIssueDetail][5][NumberOfIssues]</v>
      </c>
    </row>
    <row r="1434" spans="1:15" x14ac:dyDescent="0.3">
      <c r="A1434" t="s">
        <v>2277</v>
      </c>
      <c r="B1434" t="s">
        <v>1985</v>
      </c>
      <c r="C1434" t="s">
        <v>1987</v>
      </c>
      <c r="D1434">
        <v>6</v>
      </c>
      <c r="E1434" t="s">
        <v>1447</v>
      </c>
      <c r="F1434" t="s">
        <v>1972</v>
      </c>
      <c r="G1434" t="s">
        <v>1748</v>
      </c>
      <c r="H1434" t="s">
        <v>2279</v>
      </c>
      <c r="I1434">
        <v>9</v>
      </c>
      <c r="J1434" t="s">
        <v>2279</v>
      </c>
      <c r="K1434" t="s">
        <v>2279</v>
      </c>
      <c r="L1434" t="s">
        <v>2279</v>
      </c>
      <c r="M1434" t="s">
        <v>2279</v>
      </c>
      <c r="N1434" t="s">
        <v>2279</v>
      </c>
      <c r="O1434" s="190" t="str">
        <f>"["&amp;$C1434&amp;"]["&amp;$D1434&amp;"]["&amp;$F1434&amp;"]"</f>
        <v>[S06_InstallationsVerificationReportsIssueDetail][6][NumberOfIssues]</v>
      </c>
    </row>
    <row r="1435" spans="1:15" x14ac:dyDescent="0.3">
      <c r="A1435" t="s">
        <v>2277</v>
      </c>
      <c r="B1435" t="s">
        <v>1985</v>
      </c>
      <c r="C1435" t="s">
        <v>1987</v>
      </c>
      <c r="D1435">
        <v>7</v>
      </c>
      <c r="E1435" t="s">
        <v>1447</v>
      </c>
      <c r="F1435" t="s">
        <v>1972</v>
      </c>
      <c r="G1435" t="s">
        <v>1748</v>
      </c>
      <c r="H1435" t="s">
        <v>2279</v>
      </c>
      <c r="I1435">
        <v>42</v>
      </c>
      <c r="J1435" t="s">
        <v>2279</v>
      </c>
      <c r="K1435" t="s">
        <v>2279</v>
      </c>
      <c r="L1435" t="s">
        <v>2279</v>
      </c>
      <c r="M1435" t="s">
        <v>2279</v>
      </c>
      <c r="N1435" t="s">
        <v>2279</v>
      </c>
      <c r="O1435" s="190" t="str">
        <f>"["&amp;$C1435&amp;"]["&amp;$D1435&amp;"]["&amp;$F1435&amp;"]"</f>
        <v>[S06_InstallationsVerificationReportsIssueDetail][7][NumberOfIssues]</v>
      </c>
    </row>
    <row r="1436" spans="1:15" x14ac:dyDescent="0.3">
      <c r="A1436" t="s">
        <v>2277</v>
      </c>
      <c r="B1436" t="s">
        <v>1985</v>
      </c>
      <c r="C1436" t="s">
        <v>1987</v>
      </c>
      <c r="D1436">
        <v>8</v>
      </c>
      <c r="E1436" t="s">
        <v>1447</v>
      </c>
      <c r="F1436" t="s">
        <v>1972</v>
      </c>
      <c r="G1436" t="s">
        <v>1748</v>
      </c>
      <c r="H1436" t="s">
        <v>2279</v>
      </c>
      <c r="I1436">
        <v>13</v>
      </c>
      <c r="J1436" t="s">
        <v>2279</v>
      </c>
      <c r="K1436" t="s">
        <v>2279</v>
      </c>
      <c r="L1436" t="s">
        <v>2279</v>
      </c>
      <c r="M1436" t="s">
        <v>2279</v>
      </c>
      <c r="N1436" t="s">
        <v>2279</v>
      </c>
      <c r="O1436" s="190" t="str">
        <f>"["&amp;$C1436&amp;"]["&amp;$D1436&amp;"]["&amp;$F1436&amp;"]"</f>
        <v>[S06_InstallationsVerificationReportsIssueDetail][8][NumberOfIssues]</v>
      </c>
    </row>
    <row r="1437" spans="1:15" x14ac:dyDescent="0.3">
      <c r="A1437" t="s">
        <v>2277</v>
      </c>
      <c r="B1437" t="s">
        <v>1985</v>
      </c>
      <c r="C1437" t="s">
        <v>1987</v>
      </c>
      <c r="D1437">
        <v>9</v>
      </c>
      <c r="E1437" t="s">
        <v>1447</v>
      </c>
      <c r="F1437" t="s">
        <v>1972</v>
      </c>
      <c r="G1437" t="s">
        <v>1748</v>
      </c>
      <c r="H1437" t="s">
        <v>2279</v>
      </c>
      <c r="I1437">
        <v>24</v>
      </c>
      <c r="J1437" t="s">
        <v>2279</v>
      </c>
      <c r="K1437" t="s">
        <v>2279</v>
      </c>
      <c r="L1437" t="s">
        <v>2279</v>
      </c>
      <c r="M1437" t="s">
        <v>2279</v>
      </c>
      <c r="N1437" t="s">
        <v>2279</v>
      </c>
      <c r="O1437" s="190" t="str">
        <f>"["&amp;$C1437&amp;"]["&amp;$D1437&amp;"]["&amp;$F1437&amp;"]"</f>
        <v>[S06_InstallationsVerificationReportsIssueDetail][9][NumberOfIssues]</v>
      </c>
    </row>
    <row r="1438" spans="1:15" x14ac:dyDescent="0.3">
      <c r="A1438" t="s">
        <v>2277</v>
      </c>
      <c r="B1438" t="s">
        <v>1985</v>
      </c>
      <c r="C1438" t="s">
        <v>1987</v>
      </c>
      <c r="D1438">
        <v>10</v>
      </c>
      <c r="E1438" t="s">
        <v>1447</v>
      </c>
      <c r="F1438" t="s">
        <v>1972</v>
      </c>
      <c r="G1438" t="s">
        <v>1748</v>
      </c>
      <c r="H1438" t="s">
        <v>2279</v>
      </c>
      <c r="I1438">
        <v>4</v>
      </c>
      <c r="J1438" t="s">
        <v>2279</v>
      </c>
      <c r="K1438" t="s">
        <v>2279</v>
      </c>
      <c r="L1438" t="s">
        <v>2279</v>
      </c>
      <c r="M1438" t="s">
        <v>2279</v>
      </c>
      <c r="N1438" t="s">
        <v>2279</v>
      </c>
      <c r="O1438" s="190" t="str">
        <f>"["&amp;$C1438&amp;"]["&amp;$D1438&amp;"]["&amp;$F1438&amp;"]"</f>
        <v>[S06_InstallationsVerificationReportsIssueDetail][10][NumberOfIssues]</v>
      </c>
    </row>
    <row r="1439" spans="1:15" x14ac:dyDescent="0.3">
      <c r="A1439" t="s">
        <v>2277</v>
      </c>
      <c r="B1439" t="s">
        <v>1985</v>
      </c>
      <c r="C1439" t="s">
        <v>1987</v>
      </c>
      <c r="D1439">
        <v>11</v>
      </c>
      <c r="E1439" t="s">
        <v>1447</v>
      </c>
      <c r="F1439" t="s">
        <v>1972</v>
      </c>
      <c r="G1439" t="s">
        <v>1748</v>
      </c>
      <c r="H1439" t="s">
        <v>2279</v>
      </c>
      <c r="I1439">
        <v>16</v>
      </c>
      <c r="J1439" t="s">
        <v>2279</v>
      </c>
      <c r="K1439" t="s">
        <v>2279</v>
      </c>
      <c r="L1439" t="s">
        <v>2279</v>
      </c>
      <c r="M1439" t="s">
        <v>2279</v>
      </c>
      <c r="N1439" t="s">
        <v>2279</v>
      </c>
      <c r="O1439" s="190" t="str">
        <f>"["&amp;$C1439&amp;"]["&amp;$D1439&amp;"]["&amp;$F1439&amp;"]"</f>
        <v>[S06_InstallationsVerificationReportsIssueDetail][11][NumberOfIssues]</v>
      </c>
    </row>
    <row r="1440" spans="1:15" x14ac:dyDescent="0.3">
      <c r="A1440" t="s">
        <v>2277</v>
      </c>
      <c r="B1440" t="s">
        <v>1985</v>
      </c>
      <c r="C1440" t="s">
        <v>1987</v>
      </c>
      <c r="D1440">
        <v>12</v>
      </c>
      <c r="E1440" t="s">
        <v>1447</v>
      </c>
      <c r="F1440" t="s">
        <v>1972</v>
      </c>
      <c r="G1440" t="s">
        <v>1748</v>
      </c>
      <c r="H1440" t="s">
        <v>2279</v>
      </c>
      <c r="I1440">
        <v>9</v>
      </c>
      <c r="J1440" t="s">
        <v>2279</v>
      </c>
      <c r="K1440" t="s">
        <v>2279</v>
      </c>
      <c r="L1440" t="s">
        <v>2279</v>
      </c>
      <c r="M1440" t="s">
        <v>2279</v>
      </c>
      <c r="N1440" t="s">
        <v>2279</v>
      </c>
      <c r="O1440" s="190" t="str">
        <f>"["&amp;$C1440&amp;"]["&amp;$D1440&amp;"]["&amp;$F1440&amp;"]"</f>
        <v>[S06_InstallationsVerificationReportsIssueDetail][12][NumberOfIssues]</v>
      </c>
    </row>
    <row r="1441" spans="1:15" x14ac:dyDescent="0.3">
      <c r="A1441" t="s">
        <v>2277</v>
      </c>
      <c r="B1441" t="s">
        <v>1985</v>
      </c>
      <c r="C1441" t="s">
        <v>1987</v>
      </c>
      <c r="D1441">
        <v>13</v>
      </c>
      <c r="E1441" t="s">
        <v>1447</v>
      </c>
      <c r="F1441" t="s">
        <v>1972</v>
      </c>
      <c r="G1441" t="s">
        <v>1748</v>
      </c>
      <c r="H1441" t="s">
        <v>2279</v>
      </c>
      <c r="I1441">
        <v>11</v>
      </c>
      <c r="J1441" t="s">
        <v>2279</v>
      </c>
      <c r="K1441" t="s">
        <v>2279</v>
      </c>
      <c r="L1441" t="s">
        <v>2279</v>
      </c>
      <c r="M1441" t="s">
        <v>2279</v>
      </c>
      <c r="N1441" t="s">
        <v>2279</v>
      </c>
      <c r="O1441" s="190" t="str">
        <f>"["&amp;$C1441&amp;"]["&amp;$D1441&amp;"]["&amp;$F1441&amp;"]"</f>
        <v>[S06_InstallationsVerificationReportsIssueDetail][13][NumberOfIssues]</v>
      </c>
    </row>
    <row r="1442" spans="1:15" x14ac:dyDescent="0.3">
      <c r="A1442" t="s">
        <v>2277</v>
      </c>
      <c r="B1442" t="s">
        <v>1985</v>
      </c>
      <c r="C1442" t="s">
        <v>1987</v>
      </c>
      <c r="D1442">
        <v>14</v>
      </c>
      <c r="E1442" t="s">
        <v>1447</v>
      </c>
      <c r="F1442" t="s">
        <v>1972</v>
      </c>
      <c r="G1442" t="s">
        <v>1748</v>
      </c>
      <c r="H1442" t="s">
        <v>2279</v>
      </c>
      <c r="I1442">
        <v>6</v>
      </c>
      <c r="J1442" t="s">
        <v>2279</v>
      </c>
      <c r="K1442" t="s">
        <v>2279</v>
      </c>
      <c r="L1442" t="s">
        <v>2279</v>
      </c>
      <c r="M1442" t="s">
        <v>2279</v>
      </c>
      <c r="N1442" t="s">
        <v>2279</v>
      </c>
      <c r="O1442" s="190" t="str">
        <f>"["&amp;$C1442&amp;"]["&amp;$D1442&amp;"]["&amp;$F1442&amp;"]"</f>
        <v>[S06_InstallationsVerificationReportsIssueDetail][14][NumberOfIssues]</v>
      </c>
    </row>
    <row r="1443" spans="1:15" x14ac:dyDescent="0.3">
      <c r="A1443" t="s">
        <v>2277</v>
      </c>
      <c r="B1443" t="s">
        <v>1985</v>
      </c>
      <c r="C1443" t="s">
        <v>1987</v>
      </c>
      <c r="D1443">
        <v>15</v>
      </c>
      <c r="E1443" t="s">
        <v>1447</v>
      </c>
      <c r="F1443" t="s">
        <v>1972</v>
      </c>
      <c r="G1443" t="s">
        <v>1748</v>
      </c>
      <c r="H1443" t="s">
        <v>2279</v>
      </c>
      <c r="I1443">
        <v>4</v>
      </c>
      <c r="J1443" t="s">
        <v>2279</v>
      </c>
      <c r="K1443" t="s">
        <v>2279</v>
      </c>
      <c r="L1443" t="s">
        <v>2279</v>
      </c>
      <c r="M1443" t="s">
        <v>2279</v>
      </c>
      <c r="N1443" t="s">
        <v>2279</v>
      </c>
      <c r="O1443" s="190" t="str">
        <f>"["&amp;$C1443&amp;"]["&amp;$D1443&amp;"]["&amp;$F1443&amp;"]"</f>
        <v>[S06_InstallationsVerificationReportsIssueDetail][15][NumberOfIssues]</v>
      </c>
    </row>
    <row r="1444" spans="1:15" x14ac:dyDescent="0.3">
      <c r="A1444" t="s">
        <v>2277</v>
      </c>
      <c r="B1444" t="s">
        <v>1985</v>
      </c>
      <c r="C1444" t="s">
        <v>1987</v>
      </c>
      <c r="D1444">
        <v>16</v>
      </c>
      <c r="E1444" t="s">
        <v>1447</v>
      </c>
      <c r="F1444" t="s">
        <v>1972</v>
      </c>
      <c r="G1444" t="s">
        <v>1748</v>
      </c>
      <c r="H1444" t="s">
        <v>2279</v>
      </c>
      <c r="I1444">
        <v>1</v>
      </c>
      <c r="J1444" t="s">
        <v>2279</v>
      </c>
      <c r="K1444" t="s">
        <v>2279</v>
      </c>
      <c r="L1444" t="s">
        <v>2279</v>
      </c>
      <c r="M1444" t="s">
        <v>2279</v>
      </c>
      <c r="N1444" t="s">
        <v>2279</v>
      </c>
      <c r="O1444" s="190" t="str">
        <f>"["&amp;$C1444&amp;"]["&amp;$D1444&amp;"]["&amp;$F1444&amp;"]"</f>
        <v>[S06_InstallationsVerificationReportsIssueDetail][16][NumberOfIssues]</v>
      </c>
    </row>
    <row r="1445" spans="1:15" x14ac:dyDescent="0.3">
      <c r="A1445" t="s">
        <v>2277</v>
      </c>
      <c r="B1445" t="s">
        <v>1985</v>
      </c>
      <c r="C1445" t="s">
        <v>1987</v>
      </c>
      <c r="D1445">
        <v>17</v>
      </c>
      <c r="E1445" t="s">
        <v>1447</v>
      </c>
      <c r="F1445" t="s">
        <v>1972</v>
      </c>
      <c r="G1445" t="s">
        <v>1748</v>
      </c>
      <c r="H1445" t="s">
        <v>2279</v>
      </c>
      <c r="I1445">
        <v>2</v>
      </c>
      <c r="J1445" t="s">
        <v>2279</v>
      </c>
      <c r="K1445" t="s">
        <v>2279</v>
      </c>
      <c r="L1445" t="s">
        <v>2279</v>
      </c>
      <c r="M1445" t="s">
        <v>2279</v>
      </c>
      <c r="N1445" t="s">
        <v>2279</v>
      </c>
      <c r="O1445" s="190" t="str">
        <f>"["&amp;$C1445&amp;"]["&amp;$D1445&amp;"]["&amp;$F1445&amp;"]"</f>
        <v>[S06_InstallationsVerificationReportsIssueDetail][17][NumberOfIssues]</v>
      </c>
    </row>
    <row r="1446" spans="1:15" x14ac:dyDescent="0.3">
      <c r="A1446" t="s">
        <v>2277</v>
      </c>
      <c r="B1446" t="s">
        <v>1985</v>
      </c>
      <c r="C1446" t="s">
        <v>1987</v>
      </c>
      <c r="D1446">
        <v>18</v>
      </c>
      <c r="E1446" t="s">
        <v>1447</v>
      </c>
      <c r="F1446" t="s">
        <v>1972</v>
      </c>
      <c r="G1446" t="s">
        <v>1748</v>
      </c>
      <c r="H1446" t="s">
        <v>2279</v>
      </c>
      <c r="I1446">
        <v>1</v>
      </c>
      <c r="J1446" t="s">
        <v>2279</v>
      </c>
      <c r="K1446" t="s">
        <v>2279</v>
      </c>
      <c r="L1446" t="s">
        <v>2279</v>
      </c>
      <c r="M1446" t="s">
        <v>2279</v>
      </c>
      <c r="N1446" t="s">
        <v>2279</v>
      </c>
      <c r="O1446" s="190" t="str">
        <f>"["&amp;$C1446&amp;"]["&amp;$D1446&amp;"]["&amp;$F1446&amp;"]"</f>
        <v>[S06_InstallationsVerificationReportsIssueDetail][18][NumberOfIssues]</v>
      </c>
    </row>
    <row r="1447" spans="1:15" x14ac:dyDescent="0.3">
      <c r="A1447" t="s">
        <v>2277</v>
      </c>
      <c r="B1447" t="s">
        <v>1985</v>
      </c>
      <c r="C1447" t="s">
        <v>1987</v>
      </c>
      <c r="D1447">
        <v>19</v>
      </c>
      <c r="E1447" t="s">
        <v>1447</v>
      </c>
      <c r="F1447" t="s">
        <v>1972</v>
      </c>
      <c r="G1447" t="s">
        <v>1748</v>
      </c>
      <c r="H1447" t="s">
        <v>2279</v>
      </c>
      <c r="I1447">
        <v>1</v>
      </c>
      <c r="J1447" t="s">
        <v>2279</v>
      </c>
      <c r="K1447" t="s">
        <v>2279</v>
      </c>
      <c r="L1447" t="s">
        <v>2279</v>
      </c>
      <c r="M1447" t="s">
        <v>2279</v>
      </c>
      <c r="N1447" t="s">
        <v>2279</v>
      </c>
      <c r="O1447" s="190" t="str">
        <f>"["&amp;$C1447&amp;"]["&amp;$D1447&amp;"]["&amp;$F1447&amp;"]"</f>
        <v>[S06_InstallationsVerificationReportsIssueDetail][19][NumberOfIssues]</v>
      </c>
    </row>
    <row r="1448" spans="1:15" x14ac:dyDescent="0.3">
      <c r="A1448" t="s">
        <v>2277</v>
      </c>
      <c r="B1448" t="s">
        <v>1985</v>
      </c>
      <c r="C1448" t="s">
        <v>1987</v>
      </c>
      <c r="D1448">
        <v>20</v>
      </c>
      <c r="E1448" t="s">
        <v>1447</v>
      </c>
      <c r="F1448" t="s">
        <v>1972</v>
      </c>
      <c r="G1448" t="s">
        <v>1748</v>
      </c>
      <c r="H1448" t="s">
        <v>2279</v>
      </c>
      <c r="I1448">
        <v>2</v>
      </c>
      <c r="J1448" t="s">
        <v>2279</v>
      </c>
      <c r="K1448" t="s">
        <v>2279</v>
      </c>
      <c r="L1448" t="s">
        <v>2279</v>
      </c>
      <c r="M1448" t="s">
        <v>2279</v>
      </c>
      <c r="N1448" t="s">
        <v>2279</v>
      </c>
      <c r="O1448" s="190" t="str">
        <f>"["&amp;$C1448&amp;"]["&amp;$D1448&amp;"]["&amp;$F1448&amp;"]"</f>
        <v>[S06_InstallationsVerificationReportsIssueDetail][20][NumberOfIssues]</v>
      </c>
    </row>
    <row r="1449" spans="1:15" x14ac:dyDescent="0.3">
      <c r="A1449" t="s">
        <v>2277</v>
      </c>
      <c r="B1449" t="s">
        <v>1985</v>
      </c>
      <c r="C1449" t="s">
        <v>1987</v>
      </c>
      <c r="D1449">
        <v>21</v>
      </c>
      <c r="E1449" t="s">
        <v>1447</v>
      </c>
      <c r="F1449" t="s">
        <v>1972</v>
      </c>
      <c r="G1449" t="s">
        <v>1748</v>
      </c>
      <c r="H1449" t="s">
        <v>2279</v>
      </c>
      <c r="I1449">
        <v>2</v>
      </c>
      <c r="J1449" t="s">
        <v>2279</v>
      </c>
      <c r="K1449" t="s">
        <v>2279</v>
      </c>
      <c r="L1449" t="s">
        <v>2279</v>
      </c>
      <c r="M1449" t="s">
        <v>2279</v>
      </c>
      <c r="N1449" t="s">
        <v>2279</v>
      </c>
      <c r="O1449" s="190" t="str">
        <f>"["&amp;$C1449&amp;"]["&amp;$D1449&amp;"]["&amp;$F1449&amp;"]"</f>
        <v>[S06_InstallationsVerificationReportsIssueDetail][21][NumberOfIssues]</v>
      </c>
    </row>
    <row r="1450" spans="1:15" x14ac:dyDescent="0.3">
      <c r="A1450" t="s">
        <v>2277</v>
      </c>
      <c r="B1450" t="s">
        <v>1985</v>
      </c>
      <c r="C1450" t="s">
        <v>1987</v>
      </c>
      <c r="D1450">
        <v>22</v>
      </c>
      <c r="E1450" t="s">
        <v>1447</v>
      </c>
      <c r="F1450" t="s">
        <v>1972</v>
      </c>
      <c r="G1450" t="s">
        <v>1748</v>
      </c>
      <c r="H1450" t="s">
        <v>2279</v>
      </c>
      <c r="I1450">
        <v>161</v>
      </c>
      <c r="J1450" t="s">
        <v>2279</v>
      </c>
      <c r="K1450" t="s">
        <v>2279</v>
      </c>
      <c r="L1450" t="s">
        <v>2279</v>
      </c>
      <c r="M1450" t="s">
        <v>2279</v>
      </c>
      <c r="N1450" t="s">
        <v>2279</v>
      </c>
      <c r="O1450" s="190" t="str">
        <f>"["&amp;$C1450&amp;"]["&amp;$D1450&amp;"]["&amp;$F1450&amp;"]"</f>
        <v>[S06_InstallationsVerificationReportsIssueDetail][22][NumberOfIssues]</v>
      </c>
    </row>
    <row r="1451" spans="1:15" x14ac:dyDescent="0.3">
      <c r="A1451" t="s">
        <v>2277</v>
      </c>
      <c r="B1451" t="s">
        <v>1985</v>
      </c>
      <c r="C1451" t="s">
        <v>1987</v>
      </c>
      <c r="D1451">
        <v>23</v>
      </c>
      <c r="E1451" t="s">
        <v>1447</v>
      </c>
      <c r="F1451" t="s">
        <v>1972</v>
      </c>
      <c r="G1451" t="s">
        <v>1748</v>
      </c>
      <c r="H1451" t="s">
        <v>2279</v>
      </c>
      <c r="I1451">
        <v>4</v>
      </c>
      <c r="J1451" t="s">
        <v>2279</v>
      </c>
      <c r="K1451" t="s">
        <v>2279</v>
      </c>
      <c r="L1451" t="s">
        <v>2279</v>
      </c>
      <c r="M1451" t="s">
        <v>2279</v>
      </c>
      <c r="N1451" t="s">
        <v>2279</v>
      </c>
      <c r="O1451" s="190" t="str">
        <f>"["&amp;$C1451&amp;"]["&amp;$D1451&amp;"]["&amp;$F1451&amp;"]"</f>
        <v>[S06_InstallationsVerificationReportsIssueDetail][23][NumberOfIssues]</v>
      </c>
    </row>
    <row r="1452" spans="1:15" x14ac:dyDescent="0.3">
      <c r="A1452" t="s">
        <v>2277</v>
      </c>
      <c r="B1452" t="s">
        <v>1985</v>
      </c>
      <c r="C1452" t="s">
        <v>1987</v>
      </c>
      <c r="D1452">
        <v>24</v>
      </c>
      <c r="E1452" t="s">
        <v>1447</v>
      </c>
      <c r="F1452" t="s">
        <v>1972</v>
      </c>
      <c r="G1452" t="s">
        <v>1748</v>
      </c>
      <c r="H1452" t="s">
        <v>2279</v>
      </c>
      <c r="I1452">
        <v>5</v>
      </c>
      <c r="J1452" t="s">
        <v>2279</v>
      </c>
      <c r="K1452" t="s">
        <v>2279</v>
      </c>
      <c r="L1452" t="s">
        <v>2279</v>
      </c>
      <c r="M1452" t="s">
        <v>2279</v>
      </c>
      <c r="N1452" t="s">
        <v>2279</v>
      </c>
      <c r="O1452" s="190" t="str">
        <f>"["&amp;$C1452&amp;"]["&amp;$D1452&amp;"]["&amp;$F1452&amp;"]"</f>
        <v>[S06_InstallationsVerificationReportsIssueDetail][24][NumberOfIssues]</v>
      </c>
    </row>
    <row r="1453" spans="1:15" x14ac:dyDescent="0.3">
      <c r="A1453" t="s">
        <v>2277</v>
      </c>
      <c r="B1453" t="s">
        <v>1985</v>
      </c>
      <c r="C1453" t="s">
        <v>1987</v>
      </c>
      <c r="D1453">
        <v>25</v>
      </c>
      <c r="E1453" t="s">
        <v>1447</v>
      </c>
      <c r="F1453" t="s">
        <v>1972</v>
      </c>
      <c r="G1453" t="s">
        <v>1748</v>
      </c>
      <c r="H1453" t="s">
        <v>2279</v>
      </c>
      <c r="I1453">
        <v>18</v>
      </c>
      <c r="J1453" t="s">
        <v>2279</v>
      </c>
      <c r="K1453" t="s">
        <v>2279</v>
      </c>
      <c r="L1453" t="s">
        <v>2279</v>
      </c>
      <c r="M1453" t="s">
        <v>2279</v>
      </c>
      <c r="N1453" t="s">
        <v>2279</v>
      </c>
      <c r="O1453" s="190" t="str">
        <f>"["&amp;$C1453&amp;"]["&amp;$D1453&amp;"]["&amp;$F1453&amp;"]"</f>
        <v>[S06_InstallationsVerificationReportsIssueDetail][25][NumberOfIssues]</v>
      </c>
    </row>
    <row r="1454" spans="1:15" x14ac:dyDescent="0.3">
      <c r="A1454" t="s">
        <v>2277</v>
      </c>
      <c r="B1454" t="s">
        <v>1985</v>
      </c>
      <c r="C1454" t="s">
        <v>1987</v>
      </c>
      <c r="D1454">
        <v>26</v>
      </c>
      <c r="E1454" t="s">
        <v>1447</v>
      </c>
      <c r="F1454" t="s">
        <v>1972</v>
      </c>
      <c r="G1454" t="s">
        <v>1748</v>
      </c>
      <c r="H1454" t="s">
        <v>2279</v>
      </c>
      <c r="I1454">
        <v>17</v>
      </c>
      <c r="J1454" t="s">
        <v>2279</v>
      </c>
      <c r="K1454" t="s">
        <v>2279</v>
      </c>
      <c r="L1454" t="s">
        <v>2279</v>
      </c>
      <c r="M1454" t="s">
        <v>2279</v>
      </c>
      <c r="N1454" t="s">
        <v>2279</v>
      </c>
      <c r="O1454" s="190" t="str">
        <f>"["&amp;$C1454&amp;"]["&amp;$D1454&amp;"]["&amp;$F1454&amp;"]"</f>
        <v>[S06_InstallationsVerificationReportsIssueDetail][26][NumberOfIssues]</v>
      </c>
    </row>
    <row r="1455" spans="1:15" x14ac:dyDescent="0.3">
      <c r="A1455" t="s">
        <v>2277</v>
      </c>
      <c r="B1455" t="s">
        <v>1985</v>
      </c>
      <c r="C1455" t="s">
        <v>1987</v>
      </c>
      <c r="D1455">
        <v>27</v>
      </c>
      <c r="E1455" t="s">
        <v>1447</v>
      </c>
      <c r="F1455" t="s">
        <v>1972</v>
      </c>
      <c r="G1455" t="s">
        <v>1748</v>
      </c>
      <c r="H1455" t="s">
        <v>2279</v>
      </c>
      <c r="I1455">
        <v>4</v>
      </c>
      <c r="J1455" t="s">
        <v>2279</v>
      </c>
      <c r="K1455" t="s">
        <v>2279</v>
      </c>
      <c r="L1455" t="s">
        <v>2279</v>
      </c>
      <c r="M1455" t="s">
        <v>2279</v>
      </c>
      <c r="N1455" t="s">
        <v>2279</v>
      </c>
      <c r="O1455" s="190" t="str">
        <f>"["&amp;$C1455&amp;"]["&amp;$D1455&amp;"]["&amp;$F1455&amp;"]"</f>
        <v>[S06_InstallationsVerificationReportsIssueDetail][27][NumberOfIssues]</v>
      </c>
    </row>
    <row r="1456" spans="1:15" x14ac:dyDescent="0.3">
      <c r="A1456" t="s">
        <v>2277</v>
      </c>
      <c r="B1456" t="s">
        <v>1985</v>
      </c>
      <c r="C1456" t="s">
        <v>1987</v>
      </c>
      <c r="D1456">
        <v>28</v>
      </c>
      <c r="E1456" t="s">
        <v>1447</v>
      </c>
      <c r="F1456" t="s">
        <v>1972</v>
      </c>
      <c r="G1456" t="s">
        <v>1748</v>
      </c>
      <c r="H1456" t="s">
        <v>2279</v>
      </c>
      <c r="I1456">
        <v>2</v>
      </c>
      <c r="J1456" t="s">
        <v>2279</v>
      </c>
      <c r="K1456" t="s">
        <v>2279</v>
      </c>
      <c r="L1456" t="s">
        <v>2279</v>
      </c>
      <c r="M1456" t="s">
        <v>2279</v>
      </c>
      <c r="N1456" t="s">
        <v>2279</v>
      </c>
      <c r="O1456" s="190" t="str">
        <f>"["&amp;$C1456&amp;"]["&amp;$D1456&amp;"]["&amp;$F1456&amp;"]"</f>
        <v>[S06_InstallationsVerificationReportsIssueDetail][28][NumberOfIssues]</v>
      </c>
    </row>
    <row r="1457" spans="1:15" x14ac:dyDescent="0.3">
      <c r="A1457" t="s">
        <v>2277</v>
      </c>
      <c r="B1457" t="s">
        <v>1985</v>
      </c>
      <c r="C1457" t="s">
        <v>1987</v>
      </c>
      <c r="D1457">
        <v>29</v>
      </c>
      <c r="E1457" t="s">
        <v>1447</v>
      </c>
      <c r="F1457" t="s">
        <v>1972</v>
      </c>
      <c r="G1457" t="s">
        <v>1748</v>
      </c>
      <c r="H1457" t="s">
        <v>2279</v>
      </c>
      <c r="I1457">
        <v>8</v>
      </c>
      <c r="J1457" t="s">
        <v>2279</v>
      </c>
      <c r="K1457" t="s">
        <v>2279</v>
      </c>
      <c r="L1457" t="s">
        <v>2279</v>
      </c>
      <c r="M1457" t="s">
        <v>2279</v>
      </c>
      <c r="N1457" t="s">
        <v>2279</v>
      </c>
      <c r="O1457" s="190" t="str">
        <f>"["&amp;$C1457&amp;"]["&amp;$D1457&amp;"]["&amp;$F1457&amp;"]"</f>
        <v>[S06_InstallationsVerificationReportsIssueDetail][29][NumberOfIssues]</v>
      </c>
    </row>
    <row r="1458" spans="1:15" x14ac:dyDescent="0.3">
      <c r="A1458" t="s">
        <v>2277</v>
      </c>
      <c r="B1458" t="s">
        <v>1985</v>
      </c>
      <c r="C1458" t="s">
        <v>1987</v>
      </c>
      <c r="D1458">
        <v>30</v>
      </c>
      <c r="E1458" t="s">
        <v>1447</v>
      </c>
      <c r="F1458" t="s">
        <v>1972</v>
      </c>
      <c r="G1458" t="s">
        <v>1748</v>
      </c>
      <c r="H1458" t="s">
        <v>2279</v>
      </c>
      <c r="I1458">
        <v>11</v>
      </c>
      <c r="J1458" t="s">
        <v>2279</v>
      </c>
      <c r="K1458" t="s">
        <v>2279</v>
      </c>
      <c r="L1458" t="s">
        <v>2279</v>
      </c>
      <c r="M1458" t="s">
        <v>2279</v>
      </c>
      <c r="N1458" t="s">
        <v>2279</v>
      </c>
      <c r="O1458" s="190" t="str">
        <f>"["&amp;$C1458&amp;"]["&amp;$D1458&amp;"]["&amp;$F1458&amp;"]"</f>
        <v>[S06_InstallationsVerificationReportsIssueDetail][30][NumberOfIssues]</v>
      </c>
    </row>
    <row r="1459" spans="1:15" x14ac:dyDescent="0.3">
      <c r="A1459" t="s">
        <v>2277</v>
      </c>
      <c r="B1459" t="s">
        <v>1985</v>
      </c>
      <c r="C1459" t="s">
        <v>1987</v>
      </c>
      <c r="D1459">
        <v>31</v>
      </c>
      <c r="E1459" t="s">
        <v>1447</v>
      </c>
      <c r="F1459" t="s">
        <v>1972</v>
      </c>
      <c r="G1459" t="s">
        <v>1748</v>
      </c>
      <c r="H1459" t="s">
        <v>2279</v>
      </c>
      <c r="I1459">
        <v>1</v>
      </c>
      <c r="J1459" t="s">
        <v>2279</v>
      </c>
      <c r="K1459" t="s">
        <v>2279</v>
      </c>
      <c r="L1459" t="s">
        <v>2279</v>
      </c>
      <c r="M1459" t="s">
        <v>2279</v>
      </c>
      <c r="N1459" t="s">
        <v>2279</v>
      </c>
      <c r="O1459" s="190" t="str">
        <f>"["&amp;$C1459&amp;"]["&amp;$D1459&amp;"]["&amp;$F1459&amp;"]"</f>
        <v>[S06_InstallationsVerificationReportsIssueDetail][31][NumberOfIssues]</v>
      </c>
    </row>
    <row r="1460" spans="1:15" x14ac:dyDescent="0.3">
      <c r="A1460" t="s">
        <v>2277</v>
      </c>
      <c r="B1460" t="s">
        <v>1985</v>
      </c>
      <c r="C1460" t="s">
        <v>1987</v>
      </c>
      <c r="D1460">
        <v>32</v>
      </c>
      <c r="E1460" t="s">
        <v>1447</v>
      </c>
      <c r="F1460" t="s">
        <v>1972</v>
      </c>
      <c r="G1460" t="s">
        <v>1748</v>
      </c>
      <c r="H1460" t="s">
        <v>2279</v>
      </c>
      <c r="I1460">
        <v>11</v>
      </c>
      <c r="J1460" t="s">
        <v>2279</v>
      </c>
      <c r="K1460" t="s">
        <v>2279</v>
      </c>
      <c r="L1460" t="s">
        <v>2279</v>
      </c>
      <c r="M1460" t="s">
        <v>2279</v>
      </c>
      <c r="N1460" t="s">
        <v>2279</v>
      </c>
      <c r="O1460" s="190" t="str">
        <f>"["&amp;$C1460&amp;"]["&amp;$D1460&amp;"]["&amp;$F1460&amp;"]"</f>
        <v>[S06_InstallationsVerificationReportsIssueDetail][32][NumberOfIssues]</v>
      </c>
    </row>
    <row r="1461" spans="1:15" x14ac:dyDescent="0.3">
      <c r="A1461" t="s">
        <v>2277</v>
      </c>
      <c r="B1461" t="s">
        <v>1985</v>
      </c>
      <c r="C1461" t="s">
        <v>1987</v>
      </c>
      <c r="D1461">
        <v>33</v>
      </c>
      <c r="E1461" t="s">
        <v>1447</v>
      </c>
      <c r="F1461" t="s">
        <v>1972</v>
      </c>
      <c r="G1461" t="s">
        <v>1748</v>
      </c>
      <c r="H1461" t="s">
        <v>2279</v>
      </c>
      <c r="I1461">
        <v>12</v>
      </c>
      <c r="J1461" t="s">
        <v>2279</v>
      </c>
      <c r="K1461" t="s">
        <v>2279</v>
      </c>
      <c r="L1461" t="s">
        <v>2279</v>
      </c>
      <c r="M1461" t="s">
        <v>2279</v>
      </c>
      <c r="N1461" t="s">
        <v>2279</v>
      </c>
      <c r="O1461" s="190" t="str">
        <f>"["&amp;$C1461&amp;"]["&amp;$D1461&amp;"]["&amp;$F1461&amp;"]"</f>
        <v>[S06_InstallationsVerificationReportsIssueDetail][33][NumberOfIssues]</v>
      </c>
    </row>
    <row r="1462" spans="1:15" x14ac:dyDescent="0.3">
      <c r="A1462" t="s">
        <v>2277</v>
      </c>
      <c r="B1462" t="s">
        <v>1985</v>
      </c>
      <c r="C1462" t="s">
        <v>1987</v>
      </c>
      <c r="D1462">
        <v>34</v>
      </c>
      <c r="E1462" t="s">
        <v>1447</v>
      </c>
      <c r="F1462" t="s">
        <v>1972</v>
      </c>
      <c r="G1462" t="s">
        <v>1748</v>
      </c>
      <c r="H1462" t="s">
        <v>2279</v>
      </c>
      <c r="I1462">
        <v>1</v>
      </c>
      <c r="J1462" t="s">
        <v>2279</v>
      </c>
      <c r="K1462" t="s">
        <v>2279</v>
      </c>
      <c r="L1462" t="s">
        <v>2279</v>
      </c>
      <c r="M1462" t="s">
        <v>2279</v>
      </c>
      <c r="N1462" t="s">
        <v>2279</v>
      </c>
      <c r="O1462" s="190" t="str">
        <f>"["&amp;$C1462&amp;"]["&amp;$D1462&amp;"]["&amp;$F1462&amp;"]"</f>
        <v>[S06_InstallationsVerificationReportsIssueDetail][34][NumberOfIssues]</v>
      </c>
    </row>
    <row r="1463" spans="1:15" x14ac:dyDescent="0.3">
      <c r="A1463" t="s">
        <v>2277</v>
      </c>
      <c r="B1463" t="s">
        <v>1985</v>
      </c>
      <c r="C1463" t="s">
        <v>1987</v>
      </c>
      <c r="D1463">
        <v>35</v>
      </c>
      <c r="E1463" t="s">
        <v>1447</v>
      </c>
      <c r="F1463" t="s">
        <v>1972</v>
      </c>
      <c r="G1463" t="s">
        <v>1748</v>
      </c>
      <c r="H1463" t="s">
        <v>2279</v>
      </c>
      <c r="I1463">
        <v>3</v>
      </c>
      <c r="J1463" t="s">
        <v>2279</v>
      </c>
      <c r="K1463" t="s">
        <v>2279</v>
      </c>
      <c r="L1463" t="s">
        <v>2279</v>
      </c>
      <c r="M1463" t="s">
        <v>2279</v>
      </c>
      <c r="N1463" t="s">
        <v>2279</v>
      </c>
      <c r="O1463" s="190" t="str">
        <f>"["&amp;$C1463&amp;"]["&amp;$D1463&amp;"]["&amp;$F1463&amp;"]"</f>
        <v>[S06_InstallationsVerificationReportsIssueDetail][35][NumberOfIssues]</v>
      </c>
    </row>
    <row r="1464" spans="1:15" x14ac:dyDescent="0.3">
      <c r="A1464" t="s">
        <v>2277</v>
      </c>
      <c r="B1464" t="s">
        <v>1985</v>
      </c>
      <c r="C1464" t="s">
        <v>1987</v>
      </c>
      <c r="D1464">
        <v>36</v>
      </c>
      <c r="E1464" t="s">
        <v>1447</v>
      </c>
      <c r="F1464" t="s">
        <v>1972</v>
      </c>
      <c r="G1464" t="s">
        <v>1748</v>
      </c>
      <c r="H1464" t="s">
        <v>2279</v>
      </c>
      <c r="I1464">
        <v>1</v>
      </c>
      <c r="J1464" t="s">
        <v>2279</v>
      </c>
      <c r="K1464" t="s">
        <v>2279</v>
      </c>
      <c r="L1464" t="s">
        <v>2279</v>
      </c>
      <c r="M1464" t="s">
        <v>2279</v>
      </c>
      <c r="N1464" t="s">
        <v>2279</v>
      </c>
      <c r="O1464" s="190" t="str">
        <f>"["&amp;$C1464&amp;"]["&amp;$D1464&amp;"]["&amp;$F1464&amp;"]"</f>
        <v>[S06_InstallationsVerificationReportsIssueDetail][36][NumberOfIssues]</v>
      </c>
    </row>
    <row r="1465" spans="1:15" x14ac:dyDescent="0.3">
      <c r="A1465" t="s">
        <v>2277</v>
      </c>
      <c r="B1465" t="s">
        <v>1985</v>
      </c>
      <c r="C1465" t="s">
        <v>1987</v>
      </c>
      <c r="D1465">
        <v>37</v>
      </c>
      <c r="E1465" t="s">
        <v>1447</v>
      </c>
      <c r="F1465" t="s">
        <v>1972</v>
      </c>
      <c r="G1465" t="s">
        <v>1748</v>
      </c>
      <c r="H1465" t="s">
        <v>2279</v>
      </c>
      <c r="I1465">
        <v>2</v>
      </c>
      <c r="J1465" t="s">
        <v>2279</v>
      </c>
      <c r="K1465" t="s">
        <v>2279</v>
      </c>
      <c r="L1465" t="s">
        <v>2279</v>
      </c>
      <c r="M1465" t="s">
        <v>2279</v>
      </c>
      <c r="N1465" t="s">
        <v>2279</v>
      </c>
      <c r="O1465" s="190" t="str">
        <f>"["&amp;$C1465&amp;"]["&amp;$D1465&amp;"]["&amp;$F1465&amp;"]"</f>
        <v>[S06_InstallationsVerificationReportsIssueDetail][37][NumberOfIssues]</v>
      </c>
    </row>
    <row r="1466" spans="1:15" x14ac:dyDescent="0.3">
      <c r="A1466" t="s">
        <v>2277</v>
      </c>
      <c r="B1466" t="s">
        <v>1985</v>
      </c>
      <c r="C1466" t="s">
        <v>1987</v>
      </c>
      <c r="D1466">
        <v>38</v>
      </c>
      <c r="E1466" t="s">
        <v>1447</v>
      </c>
      <c r="F1466" t="s">
        <v>1972</v>
      </c>
      <c r="G1466" t="s">
        <v>1748</v>
      </c>
      <c r="H1466" t="s">
        <v>2279</v>
      </c>
      <c r="I1466">
        <v>326</v>
      </c>
      <c r="J1466" t="s">
        <v>2279</v>
      </c>
      <c r="K1466" t="s">
        <v>2279</v>
      </c>
      <c r="L1466" t="s">
        <v>2279</v>
      </c>
      <c r="M1466" t="s">
        <v>2279</v>
      </c>
      <c r="N1466" t="s">
        <v>2279</v>
      </c>
      <c r="O1466" s="190" t="str">
        <f>"["&amp;$C1466&amp;"]["&amp;$D1466&amp;"]["&amp;$F1466&amp;"]"</f>
        <v>[S06_InstallationsVerificationReportsIssueDetail][38][NumberOfIssues]</v>
      </c>
    </row>
    <row r="1467" spans="1:15" x14ac:dyDescent="0.3">
      <c r="A1467" t="s">
        <v>2277</v>
      </c>
      <c r="B1467" t="s">
        <v>1985</v>
      </c>
      <c r="C1467" t="s">
        <v>1987</v>
      </c>
      <c r="D1467">
        <v>39</v>
      </c>
      <c r="E1467" t="s">
        <v>1447</v>
      </c>
      <c r="F1467" t="s">
        <v>1972</v>
      </c>
      <c r="G1467" t="s">
        <v>1748</v>
      </c>
      <c r="H1467" t="s">
        <v>2279</v>
      </c>
      <c r="I1467">
        <v>3</v>
      </c>
      <c r="J1467" t="s">
        <v>2279</v>
      </c>
      <c r="K1467" t="s">
        <v>2279</v>
      </c>
      <c r="L1467" t="s">
        <v>2279</v>
      </c>
      <c r="M1467" t="s">
        <v>2279</v>
      </c>
      <c r="N1467" t="s">
        <v>2279</v>
      </c>
      <c r="O1467" s="190" t="str">
        <f>"["&amp;$C1467&amp;"]["&amp;$D1467&amp;"]["&amp;$F1467&amp;"]"</f>
        <v>[S06_InstallationsVerificationReportsIssueDetail][39][NumberOfIssues]</v>
      </c>
    </row>
    <row r="1468" spans="1:15" x14ac:dyDescent="0.3">
      <c r="A1468" t="s">
        <v>2277</v>
      </c>
      <c r="B1468" t="s">
        <v>1985</v>
      </c>
      <c r="C1468" t="s">
        <v>1987</v>
      </c>
      <c r="D1468">
        <v>40</v>
      </c>
      <c r="E1468" t="s">
        <v>1447</v>
      </c>
      <c r="F1468" t="s">
        <v>1972</v>
      </c>
      <c r="G1468" t="s">
        <v>1748</v>
      </c>
      <c r="H1468" t="s">
        <v>2279</v>
      </c>
      <c r="I1468">
        <v>18</v>
      </c>
      <c r="J1468" t="s">
        <v>2279</v>
      </c>
      <c r="K1468" t="s">
        <v>2279</v>
      </c>
      <c r="L1468" t="s">
        <v>2279</v>
      </c>
      <c r="M1468" t="s">
        <v>2279</v>
      </c>
      <c r="N1468" t="s">
        <v>2279</v>
      </c>
      <c r="O1468" s="190" t="str">
        <f>"["&amp;$C1468&amp;"]["&amp;$D1468&amp;"]["&amp;$F1468&amp;"]"</f>
        <v>[S06_InstallationsVerificationReportsIssueDetail][40][NumberOfIssues]</v>
      </c>
    </row>
    <row r="1469" spans="1:15" x14ac:dyDescent="0.3">
      <c r="A1469" t="s">
        <v>2277</v>
      </c>
      <c r="B1469" t="s">
        <v>1985</v>
      </c>
      <c r="C1469" t="s">
        <v>1987</v>
      </c>
      <c r="D1469">
        <v>41</v>
      </c>
      <c r="E1469" t="s">
        <v>1447</v>
      </c>
      <c r="F1469" t="s">
        <v>1972</v>
      </c>
      <c r="G1469" t="s">
        <v>1748</v>
      </c>
      <c r="H1469" t="s">
        <v>2279</v>
      </c>
      <c r="I1469">
        <v>21</v>
      </c>
      <c r="J1469" t="s">
        <v>2279</v>
      </c>
      <c r="K1469" t="s">
        <v>2279</v>
      </c>
      <c r="L1469" t="s">
        <v>2279</v>
      </c>
      <c r="M1469" t="s">
        <v>2279</v>
      </c>
      <c r="N1469" t="s">
        <v>2279</v>
      </c>
      <c r="O1469" s="190" t="str">
        <f>"["&amp;$C1469&amp;"]["&amp;$D1469&amp;"]["&amp;$F1469&amp;"]"</f>
        <v>[S06_InstallationsVerificationReportsIssueDetail][41][NumberOfIssues]</v>
      </c>
    </row>
    <row r="1470" spans="1:15" x14ac:dyDescent="0.3">
      <c r="A1470" t="s">
        <v>2277</v>
      </c>
      <c r="B1470" t="s">
        <v>1985</v>
      </c>
      <c r="C1470" t="s">
        <v>1987</v>
      </c>
      <c r="D1470">
        <v>42</v>
      </c>
      <c r="E1470" t="s">
        <v>1447</v>
      </c>
      <c r="F1470" t="s">
        <v>1972</v>
      </c>
      <c r="G1470" t="s">
        <v>1748</v>
      </c>
      <c r="H1470" t="s">
        <v>2279</v>
      </c>
      <c r="I1470">
        <v>33</v>
      </c>
      <c r="J1470" t="s">
        <v>2279</v>
      </c>
      <c r="K1470" t="s">
        <v>2279</v>
      </c>
      <c r="L1470" t="s">
        <v>2279</v>
      </c>
      <c r="M1470" t="s">
        <v>2279</v>
      </c>
      <c r="N1470" t="s">
        <v>2279</v>
      </c>
      <c r="O1470" s="190" t="str">
        <f>"["&amp;$C1470&amp;"]["&amp;$D1470&amp;"]["&amp;$F1470&amp;"]"</f>
        <v>[S06_InstallationsVerificationReportsIssueDetail][42][NumberOfIssues]</v>
      </c>
    </row>
    <row r="1471" spans="1:15" x14ac:dyDescent="0.3">
      <c r="A1471" t="s">
        <v>2277</v>
      </c>
      <c r="B1471" t="s">
        <v>1985</v>
      </c>
      <c r="C1471" t="s">
        <v>1987</v>
      </c>
      <c r="D1471">
        <v>43</v>
      </c>
      <c r="E1471" t="s">
        <v>1447</v>
      </c>
      <c r="F1471" t="s">
        <v>1972</v>
      </c>
      <c r="G1471" t="s">
        <v>1748</v>
      </c>
      <c r="H1471" t="s">
        <v>2279</v>
      </c>
      <c r="I1471">
        <v>7</v>
      </c>
      <c r="J1471" t="s">
        <v>2279</v>
      </c>
      <c r="K1471" t="s">
        <v>2279</v>
      </c>
      <c r="L1471" t="s">
        <v>2279</v>
      </c>
      <c r="M1471" t="s">
        <v>2279</v>
      </c>
      <c r="N1471" t="s">
        <v>2279</v>
      </c>
      <c r="O1471" s="190" t="str">
        <f>"["&amp;$C1471&amp;"]["&amp;$D1471&amp;"]["&amp;$F1471&amp;"]"</f>
        <v>[S06_InstallationsVerificationReportsIssueDetail][43][NumberOfIssues]</v>
      </c>
    </row>
    <row r="1472" spans="1:15" x14ac:dyDescent="0.3">
      <c r="A1472" t="s">
        <v>2277</v>
      </c>
      <c r="B1472" t="s">
        <v>1985</v>
      </c>
      <c r="C1472" t="s">
        <v>1987</v>
      </c>
      <c r="D1472">
        <v>44</v>
      </c>
      <c r="E1472" t="s">
        <v>1447</v>
      </c>
      <c r="F1472" t="s">
        <v>1972</v>
      </c>
      <c r="G1472" t="s">
        <v>1748</v>
      </c>
      <c r="H1472" t="s">
        <v>2279</v>
      </c>
      <c r="I1472">
        <v>1</v>
      </c>
      <c r="J1472" t="s">
        <v>2279</v>
      </c>
      <c r="K1472" t="s">
        <v>2279</v>
      </c>
      <c r="L1472" t="s">
        <v>2279</v>
      </c>
      <c r="M1472" t="s">
        <v>2279</v>
      </c>
      <c r="N1472" t="s">
        <v>2279</v>
      </c>
      <c r="O1472" s="190" t="str">
        <f>"["&amp;$C1472&amp;"]["&amp;$D1472&amp;"]["&amp;$F1472&amp;"]"</f>
        <v>[S06_InstallationsVerificationReportsIssueDetail][44][NumberOfIssues]</v>
      </c>
    </row>
    <row r="1473" spans="1:15" x14ac:dyDescent="0.3">
      <c r="A1473" t="s">
        <v>2277</v>
      </c>
      <c r="B1473" t="s">
        <v>1985</v>
      </c>
      <c r="C1473" t="s">
        <v>1987</v>
      </c>
      <c r="D1473">
        <v>45</v>
      </c>
      <c r="E1473" t="s">
        <v>1447</v>
      </c>
      <c r="F1473" t="s">
        <v>1972</v>
      </c>
      <c r="G1473" t="s">
        <v>1748</v>
      </c>
      <c r="H1473" t="s">
        <v>2279</v>
      </c>
      <c r="I1473">
        <v>11</v>
      </c>
      <c r="J1473" t="s">
        <v>2279</v>
      </c>
      <c r="K1473" t="s">
        <v>2279</v>
      </c>
      <c r="L1473" t="s">
        <v>2279</v>
      </c>
      <c r="M1473" t="s">
        <v>2279</v>
      </c>
      <c r="N1473" t="s">
        <v>2279</v>
      </c>
      <c r="O1473" s="190" t="str">
        <f>"["&amp;$C1473&amp;"]["&amp;$D1473&amp;"]["&amp;$F1473&amp;"]"</f>
        <v>[S06_InstallationsVerificationReportsIssueDetail][45][NumberOfIssues]</v>
      </c>
    </row>
    <row r="1474" spans="1:15" x14ac:dyDescent="0.3">
      <c r="A1474" t="s">
        <v>2277</v>
      </c>
      <c r="B1474" t="s">
        <v>1985</v>
      </c>
      <c r="C1474" t="s">
        <v>1987</v>
      </c>
      <c r="D1474">
        <v>46</v>
      </c>
      <c r="E1474" t="s">
        <v>1447</v>
      </c>
      <c r="F1474" t="s">
        <v>1972</v>
      </c>
      <c r="G1474" t="s">
        <v>1748</v>
      </c>
      <c r="H1474" t="s">
        <v>2279</v>
      </c>
      <c r="I1474">
        <v>15</v>
      </c>
      <c r="J1474" t="s">
        <v>2279</v>
      </c>
      <c r="K1474" t="s">
        <v>2279</v>
      </c>
      <c r="L1474" t="s">
        <v>2279</v>
      </c>
      <c r="M1474" t="s">
        <v>2279</v>
      </c>
      <c r="N1474" t="s">
        <v>2279</v>
      </c>
      <c r="O1474" s="190" t="str">
        <f>"["&amp;$C1474&amp;"]["&amp;$D1474&amp;"]["&amp;$F1474&amp;"]"</f>
        <v>[S06_InstallationsVerificationReportsIssueDetail][46][NumberOfIssues]</v>
      </c>
    </row>
    <row r="1475" spans="1:15" x14ac:dyDescent="0.3">
      <c r="A1475" t="s">
        <v>2277</v>
      </c>
      <c r="B1475" t="s">
        <v>1985</v>
      </c>
      <c r="C1475" t="s">
        <v>1987</v>
      </c>
      <c r="D1475">
        <v>47</v>
      </c>
      <c r="E1475" t="s">
        <v>1447</v>
      </c>
      <c r="F1475" t="s">
        <v>1972</v>
      </c>
      <c r="G1475" t="s">
        <v>1748</v>
      </c>
      <c r="H1475" t="s">
        <v>2279</v>
      </c>
      <c r="I1475">
        <v>19</v>
      </c>
      <c r="J1475" t="s">
        <v>2279</v>
      </c>
      <c r="K1475" t="s">
        <v>2279</v>
      </c>
      <c r="L1475" t="s">
        <v>2279</v>
      </c>
      <c r="M1475" t="s">
        <v>2279</v>
      </c>
      <c r="N1475" t="s">
        <v>2279</v>
      </c>
      <c r="O1475" s="190" t="str">
        <f>"["&amp;$C1475&amp;"]["&amp;$D1475&amp;"]["&amp;$F1475&amp;"]"</f>
        <v>[S06_InstallationsVerificationReportsIssueDetail][47][NumberOfIssues]</v>
      </c>
    </row>
    <row r="1476" spans="1:15" x14ac:dyDescent="0.3">
      <c r="A1476" t="s">
        <v>2277</v>
      </c>
      <c r="B1476" t="s">
        <v>1985</v>
      </c>
      <c r="C1476" t="s">
        <v>1987</v>
      </c>
      <c r="D1476">
        <v>48</v>
      </c>
      <c r="E1476" t="s">
        <v>1447</v>
      </c>
      <c r="F1476" t="s">
        <v>1972</v>
      </c>
      <c r="G1476" t="s">
        <v>1748</v>
      </c>
      <c r="H1476" t="s">
        <v>2279</v>
      </c>
      <c r="I1476">
        <v>1</v>
      </c>
      <c r="J1476" t="s">
        <v>2279</v>
      </c>
      <c r="K1476" t="s">
        <v>2279</v>
      </c>
      <c r="L1476" t="s">
        <v>2279</v>
      </c>
      <c r="M1476" t="s">
        <v>2279</v>
      </c>
      <c r="N1476" t="s">
        <v>2279</v>
      </c>
      <c r="O1476" s="190" t="str">
        <f>"["&amp;$C1476&amp;"]["&amp;$D1476&amp;"]["&amp;$F1476&amp;"]"</f>
        <v>[S06_InstallationsVerificationReportsIssueDetail][48][NumberOfIssues]</v>
      </c>
    </row>
    <row r="1477" spans="1:15" x14ac:dyDescent="0.3">
      <c r="A1477" t="s">
        <v>2277</v>
      </c>
      <c r="B1477" t="s">
        <v>1985</v>
      </c>
      <c r="C1477" t="s">
        <v>1987</v>
      </c>
      <c r="D1477">
        <v>49</v>
      </c>
      <c r="E1477" t="s">
        <v>1447</v>
      </c>
      <c r="F1477" t="s">
        <v>1972</v>
      </c>
      <c r="G1477" t="s">
        <v>1748</v>
      </c>
      <c r="H1477" t="s">
        <v>2279</v>
      </c>
      <c r="I1477">
        <v>10</v>
      </c>
      <c r="J1477" t="s">
        <v>2279</v>
      </c>
      <c r="K1477" t="s">
        <v>2279</v>
      </c>
      <c r="L1477" t="s">
        <v>2279</v>
      </c>
      <c r="M1477" t="s">
        <v>2279</v>
      </c>
      <c r="N1477" t="s">
        <v>2279</v>
      </c>
      <c r="O1477" s="190" t="str">
        <f>"["&amp;$C1477&amp;"]["&amp;$D1477&amp;"]["&amp;$F1477&amp;"]"</f>
        <v>[S06_InstallationsVerificationReportsIssueDetail][49][NumberOfIssues]</v>
      </c>
    </row>
    <row r="1478" spans="1:15" x14ac:dyDescent="0.3">
      <c r="A1478" t="s">
        <v>2277</v>
      </c>
      <c r="B1478" t="s">
        <v>1985</v>
      </c>
      <c r="C1478" t="s">
        <v>1987</v>
      </c>
      <c r="D1478">
        <v>50</v>
      </c>
      <c r="E1478" t="s">
        <v>1447</v>
      </c>
      <c r="F1478" t="s">
        <v>1972</v>
      </c>
      <c r="G1478" t="s">
        <v>1748</v>
      </c>
      <c r="H1478" t="s">
        <v>2279</v>
      </c>
      <c r="I1478">
        <v>7</v>
      </c>
      <c r="J1478" t="s">
        <v>2279</v>
      </c>
      <c r="K1478" t="s">
        <v>2279</v>
      </c>
      <c r="L1478" t="s">
        <v>2279</v>
      </c>
      <c r="M1478" t="s">
        <v>2279</v>
      </c>
      <c r="N1478" t="s">
        <v>2279</v>
      </c>
      <c r="O1478" s="190" t="str">
        <f>"["&amp;$C1478&amp;"]["&amp;$D1478&amp;"]["&amp;$F1478&amp;"]"</f>
        <v>[S06_InstallationsVerificationReportsIssueDetail][50][NumberOfIssues]</v>
      </c>
    </row>
    <row r="1479" spans="1:15" x14ac:dyDescent="0.3">
      <c r="A1479" t="s">
        <v>2277</v>
      </c>
      <c r="B1479" t="s">
        <v>1985</v>
      </c>
      <c r="C1479" t="s">
        <v>1987</v>
      </c>
      <c r="D1479">
        <v>51</v>
      </c>
      <c r="E1479" t="s">
        <v>1447</v>
      </c>
      <c r="F1479" t="s">
        <v>1972</v>
      </c>
      <c r="G1479" t="s">
        <v>1748</v>
      </c>
      <c r="H1479" t="s">
        <v>2279</v>
      </c>
      <c r="I1479">
        <v>17</v>
      </c>
      <c r="J1479" t="s">
        <v>2279</v>
      </c>
      <c r="K1479" t="s">
        <v>2279</v>
      </c>
      <c r="L1479" t="s">
        <v>2279</v>
      </c>
      <c r="M1479" t="s">
        <v>2279</v>
      </c>
      <c r="N1479" t="s">
        <v>2279</v>
      </c>
      <c r="O1479" s="190" t="str">
        <f>"["&amp;$C1479&amp;"]["&amp;$D1479&amp;"]["&amp;$F1479&amp;"]"</f>
        <v>[S06_InstallationsVerificationReportsIssueDetail][51][NumberOfIssues]</v>
      </c>
    </row>
    <row r="1480" spans="1:15" x14ac:dyDescent="0.3">
      <c r="A1480" t="s">
        <v>2277</v>
      </c>
      <c r="B1480" t="s">
        <v>1985</v>
      </c>
      <c r="C1480" t="s">
        <v>1987</v>
      </c>
      <c r="D1480">
        <v>52</v>
      </c>
      <c r="E1480" t="s">
        <v>1447</v>
      </c>
      <c r="F1480" t="s">
        <v>1972</v>
      </c>
      <c r="G1480" t="s">
        <v>1748</v>
      </c>
      <c r="H1480" t="s">
        <v>2279</v>
      </c>
      <c r="I1480">
        <v>1</v>
      </c>
      <c r="J1480" t="s">
        <v>2279</v>
      </c>
      <c r="K1480" t="s">
        <v>2279</v>
      </c>
      <c r="L1480" t="s">
        <v>2279</v>
      </c>
      <c r="M1480" t="s">
        <v>2279</v>
      </c>
      <c r="N1480" t="s">
        <v>2279</v>
      </c>
      <c r="O1480" s="190" t="str">
        <f>"["&amp;$C1480&amp;"]["&amp;$D1480&amp;"]["&amp;$F1480&amp;"]"</f>
        <v>[S06_InstallationsVerificationReportsIssueDetail][52][NumberOfIssues]</v>
      </c>
    </row>
    <row r="1481" spans="1:15" x14ac:dyDescent="0.3">
      <c r="A1481" t="s">
        <v>2277</v>
      </c>
      <c r="B1481" t="s">
        <v>1985</v>
      </c>
      <c r="C1481" t="s">
        <v>1987</v>
      </c>
      <c r="D1481">
        <v>53</v>
      </c>
      <c r="E1481" t="s">
        <v>1447</v>
      </c>
      <c r="F1481" t="s">
        <v>1972</v>
      </c>
      <c r="G1481" t="s">
        <v>1748</v>
      </c>
      <c r="H1481" t="s">
        <v>2279</v>
      </c>
      <c r="I1481">
        <v>2</v>
      </c>
      <c r="J1481" t="s">
        <v>2279</v>
      </c>
      <c r="K1481" t="s">
        <v>2279</v>
      </c>
      <c r="L1481" t="s">
        <v>2279</v>
      </c>
      <c r="M1481" t="s">
        <v>2279</v>
      </c>
      <c r="N1481" t="s">
        <v>2279</v>
      </c>
      <c r="O1481" s="190" t="str">
        <f>"["&amp;$C1481&amp;"]["&amp;$D1481&amp;"]["&amp;$F1481&amp;"]"</f>
        <v>[S06_InstallationsVerificationReportsIssueDetail][53][NumberOfIssues]</v>
      </c>
    </row>
    <row r="1482" spans="1:15" x14ac:dyDescent="0.3">
      <c r="A1482" t="s">
        <v>2277</v>
      </c>
      <c r="B1482" t="s">
        <v>1985</v>
      </c>
      <c r="C1482" t="s">
        <v>1987</v>
      </c>
      <c r="D1482">
        <v>54</v>
      </c>
      <c r="E1482" t="s">
        <v>1447</v>
      </c>
      <c r="F1482" t="s">
        <v>1972</v>
      </c>
      <c r="G1482" t="s">
        <v>1748</v>
      </c>
      <c r="H1482" t="s">
        <v>2279</v>
      </c>
      <c r="I1482">
        <v>3</v>
      </c>
      <c r="J1482" t="s">
        <v>2279</v>
      </c>
      <c r="K1482" t="s">
        <v>2279</v>
      </c>
      <c r="L1482" t="s">
        <v>2279</v>
      </c>
      <c r="M1482" t="s">
        <v>2279</v>
      </c>
      <c r="N1482" t="s">
        <v>2279</v>
      </c>
      <c r="O1482" s="190" t="str">
        <f>"["&amp;$C1482&amp;"]["&amp;$D1482&amp;"]["&amp;$F1482&amp;"]"</f>
        <v>[S06_InstallationsVerificationReportsIssueDetail][54][NumberOfIssues]</v>
      </c>
    </row>
    <row r="1483" spans="1:15" x14ac:dyDescent="0.3">
      <c r="A1483" t="s">
        <v>2277</v>
      </c>
      <c r="B1483" t="s">
        <v>1985</v>
      </c>
      <c r="C1483" t="s">
        <v>1987</v>
      </c>
      <c r="D1483">
        <v>55</v>
      </c>
      <c r="E1483" t="s">
        <v>1447</v>
      </c>
      <c r="F1483" t="s">
        <v>1972</v>
      </c>
      <c r="G1483" t="s">
        <v>1748</v>
      </c>
      <c r="H1483" t="s">
        <v>2279</v>
      </c>
      <c r="I1483">
        <v>1</v>
      </c>
      <c r="J1483" t="s">
        <v>2279</v>
      </c>
      <c r="K1483" t="s">
        <v>2279</v>
      </c>
      <c r="L1483" t="s">
        <v>2279</v>
      </c>
      <c r="M1483" t="s">
        <v>2279</v>
      </c>
      <c r="N1483" t="s">
        <v>2279</v>
      </c>
      <c r="O1483" s="190" t="str">
        <f>"["&amp;$C1483&amp;"]["&amp;$D1483&amp;"]["&amp;$F1483&amp;"]"</f>
        <v>[S06_InstallationsVerificationReportsIssueDetail][55][NumberOfIssues]</v>
      </c>
    </row>
    <row r="1484" spans="1:15" x14ac:dyDescent="0.3">
      <c r="A1484" t="s">
        <v>2277</v>
      </c>
      <c r="B1484" t="s">
        <v>1985</v>
      </c>
      <c r="C1484" t="s">
        <v>1987</v>
      </c>
      <c r="D1484">
        <v>56</v>
      </c>
      <c r="E1484" t="s">
        <v>1447</v>
      </c>
      <c r="F1484" t="s">
        <v>1972</v>
      </c>
      <c r="G1484" t="s">
        <v>1748</v>
      </c>
      <c r="H1484" t="s">
        <v>2279</v>
      </c>
      <c r="I1484">
        <v>1</v>
      </c>
      <c r="J1484" t="s">
        <v>2279</v>
      </c>
      <c r="K1484" t="s">
        <v>2279</v>
      </c>
      <c r="L1484" t="s">
        <v>2279</v>
      </c>
      <c r="M1484" t="s">
        <v>2279</v>
      </c>
      <c r="N1484" t="s">
        <v>2279</v>
      </c>
      <c r="O1484" s="190" t="str">
        <f>"["&amp;$C1484&amp;"]["&amp;$D1484&amp;"]["&amp;$F1484&amp;"]"</f>
        <v>[S06_InstallationsVerificationReportsIssueDetail][56][NumberOfIssues]</v>
      </c>
    </row>
    <row r="1485" spans="1:15" x14ac:dyDescent="0.3">
      <c r="A1485" t="s">
        <v>2277</v>
      </c>
      <c r="B1485" t="s">
        <v>1985</v>
      </c>
      <c r="C1485" t="s">
        <v>1987</v>
      </c>
      <c r="D1485">
        <v>57</v>
      </c>
      <c r="E1485" t="s">
        <v>1447</v>
      </c>
      <c r="F1485" t="s">
        <v>1972</v>
      </c>
      <c r="G1485" t="s">
        <v>1748</v>
      </c>
      <c r="H1485" t="s">
        <v>2279</v>
      </c>
      <c r="I1485">
        <v>2</v>
      </c>
      <c r="J1485" t="s">
        <v>2279</v>
      </c>
      <c r="K1485" t="s">
        <v>2279</v>
      </c>
      <c r="L1485" t="s">
        <v>2279</v>
      </c>
      <c r="M1485" t="s">
        <v>2279</v>
      </c>
      <c r="N1485" t="s">
        <v>2279</v>
      </c>
      <c r="O1485" s="190" t="str">
        <f>"["&amp;$C1485&amp;"]["&amp;$D1485&amp;"]["&amp;$F1485&amp;"]"</f>
        <v>[S06_InstallationsVerificationReportsIssueDetail][57][NumberOfIssues]</v>
      </c>
    </row>
    <row r="1486" spans="1:15" x14ac:dyDescent="0.3">
      <c r="A1486" t="s">
        <v>2277</v>
      </c>
      <c r="B1486" t="s">
        <v>1985</v>
      </c>
      <c r="C1486" t="s">
        <v>1987</v>
      </c>
      <c r="D1486">
        <v>58</v>
      </c>
      <c r="E1486" t="s">
        <v>1447</v>
      </c>
      <c r="F1486" t="s">
        <v>1972</v>
      </c>
      <c r="G1486" t="s">
        <v>1748</v>
      </c>
      <c r="H1486" t="s">
        <v>2279</v>
      </c>
      <c r="I1486">
        <v>364</v>
      </c>
      <c r="J1486" t="s">
        <v>2279</v>
      </c>
      <c r="K1486" t="s">
        <v>2279</v>
      </c>
      <c r="L1486" t="s">
        <v>2279</v>
      </c>
      <c r="M1486" t="s">
        <v>2279</v>
      </c>
      <c r="N1486" t="s">
        <v>2279</v>
      </c>
      <c r="O1486" s="190" t="str">
        <f>"["&amp;$C1486&amp;"]["&amp;$D1486&amp;"]["&amp;$F1486&amp;"]"</f>
        <v>[S06_InstallationsVerificationReportsIssueDetail][58][NumberOfIssues]</v>
      </c>
    </row>
    <row r="1487" spans="1:15" x14ac:dyDescent="0.3">
      <c r="A1487" t="s">
        <v>2277</v>
      </c>
      <c r="B1487" t="s">
        <v>1985</v>
      </c>
      <c r="C1487" t="s">
        <v>1987</v>
      </c>
      <c r="D1487">
        <v>59</v>
      </c>
      <c r="E1487" t="s">
        <v>1447</v>
      </c>
      <c r="F1487" t="s">
        <v>1972</v>
      </c>
      <c r="G1487" t="s">
        <v>1748</v>
      </c>
      <c r="H1487" t="s">
        <v>2279</v>
      </c>
      <c r="I1487">
        <v>4</v>
      </c>
      <c r="J1487" t="s">
        <v>2279</v>
      </c>
      <c r="K1487" t="s">
        <v>2279</v>
      </c>
      <c r="L1487" t="s">
        <v>2279</v>
      </c>
      <c r="M1487" t="s">
        <v>2279</v>
      </c>
      <c r="N1487" t="s">
        <v>2279</v>
      </c>
      <c r="O1487" s="190" t="str">
        <f>"["&amp;$C1487&amp;"]["&amp;$D1487&amp;"]["&amp;$F1487&amp;"]"</f>
        <v>[S06_InstallationsVerificationReportsIssueDetail][59][NumberOfIssues]</v>
      </c>
    </row>
    <row r="1488" spans="1:15" x14ac:dyDescent="0.3">
      <c r="A1488" t="s">
        <v>2277</v>
      </c>
      <c r="B1488" t="s">
        <v>1985</v>
      </c>
      <c r="C1488" t="s">
        <v>1987</v>
      </c>
      <c r="D1488">
        <v>60</v>
      </c>
      <c r="E1488" t="s">
        <v>1447</v>
      </c>
      <c r="F1488" t="s">
        <v>1972</v>
      </c>
      <c r="G1488" t="s">
        <v>1748</v>
      </c>
      <c r="H1488" t="s">
        <v>2279</v>
      </c>
      <c r="I1488">
        <v>19</v>
      </c>
      <c r="J1488" t="s">
        <v>2279</v>
      </c>
      <c r="K1488" t="s">
        <v>2279</v>
      </c>
      <c r="L1488" t="s">
        <v>2279</v>
      </c>
      <c r="M1488" t="s">
        <v>2279</v>
      </c>
      <c r="N1488" t="s">
        <v>2279</v>
      </c>
      <c r="O1488" s="190" t="str">
        <f>"["&amp;$C1488&amp;"]["&amp;$D1488&amp;"]["&amp;$F1488&amp;"]"</f>
        <v>[S06_InstallationsVerificationReportsIssueDetail][60][NumberOfIssues]</v>
      </c>
    </row>
    <row r="1489" spans="1:15" x14ac:dyDescent="0.3">
      <c r="A1489" t="s">
        <v>2277</v>
      </c>
      <c r="B1489" t="s">
        <v>1985</v>
      </c>
      <c r="C1489" t="s">
        <v>1987</v>
      </c>
      <c r="D1489">
        <v>61</v>
      </c>
      <c r="E1489" t="s">
        <v>1447</v>
      </c>
      <c r="F1489" t="s">
        <v>1972</v>
      </c>
      <c r="G1489" t="s">
        <v>1748</v>
      </c>
      <c r="H1489" t="s">
        <v>2279</v>
      </c>
      <c r="I1489">
        <v>19</v>
      </c>
      <c r="J1489" t="s">
        <v>2279</v>
      </c>
      <c r="K1489" t="s">
        <v>2279</v>
      </c>
      <c r="L1489" t="s">
        <v>2279</v>
      </c>
      <c r="M1489" t="s">
        <v>2279</v>
      </c>
      <c r="N1489" t="s">
        <v>2279</v>
      </c>
      <c r="O1489" s="190" t="str">
        <f>"["&amp;$C1489&amp;"]["&amp;$D1489&amp;"]["&amp;$F1489&amp;"]"</f>
        <v>[S06_InstallationsVerificationReportsIssueDetail][61][NumberOfIssues]</v>
      </c>
    </row>
    <row r="1490" spans="1:15" x14ac:dyDescent="0.3">
      <c r="A1490" t="s">
        <v>2277</v>
      </c>
      <c r="B1490" t="s">
        <v>1985</v>
      </c>
      <c r="C1490" t="s">
        <v>1987</v>
      </c>
      <c r="D1490">
        <v>62</v>
      </c>
      <c r="E1490" t="s">
        <v>1447</v>
      </c>
      <c r="F1490" t="s">
        <v>1972</v>
      </c>
      <c r="G1490" t="s">
        <v>1748</v>
      </c>
      <c r="H1490" t="s">
        <v>2279</v>
      </c>
      <c r="I1490">
        <v>53</v>
      </c>
      <c r="J1490" t="s">
        <v>2279</v>
      </c>
      <c r="K1490" t="s">
        <v>2279</v>
      </c>
      <c r="L1490" t="s">
        <v>2279</v>
      </c>
      <c r="M1490" t="s">
        <v>2279</v>
      </c>
      <c r="N1490" t="s">
        <v>2279</v>
      </c>
      <c r="O1490" s="190" t="str">
        <f>"["&amp;$C1490&amp;"]["&amp;$D1490&amp;"]["&amp;$F1490&amp;"]"</f>
        <v>[S06_InstallationsVerificationReportsIssueDetail][62][NumberOfIssues]</v>
      </c>
    </row>
    <row r="1491" spans="1:15" x14ac:dyDescent="0.3">
      <c r="A1491" t="s">
        <v>2277</v>
      </c>
      <c r="B1491" t="s">
        <v>1985</v>
      </c>
      <c r="C1491" t="s">
        <v>1987</v>
      </c>
      <c r="D1491">
        <v>63</v>
      </c>
      <c r="E1491" t="s">
        <v>1447</v>
      </c>
      <c r="F1491" t="s">
        <v>1972</v>
      </c>
      <c r="G1491" t="s">
        <v>1748</v>
      </c>
      <c r="H1491" t="s">
        <v>2279</v>
      </c>
      <c r="I1491">
        <v>6</v>
      </c>
      <c r="J1491" t="s">
        <v>2279</v>
      </c>
      <c r="K1491" t="s">
        <v>2279</v>
      </c>
      <c r="L1491" t="s">
        <v>2279</v>
      </c>
      <c r="M1491" t="s">
        <v>2279</v>
      </c>
      <c r="N1491" t="s">
        <v>2279</v>
      </c>
      <c r="O1491" s="190" t="str">
        <f>"["&amp;$C1491&amp;"]["&amp;$D1491&amp;"]["&amp;$F1491&amp;"]"</f>
        <v>[S06_InstallationsVerificationReportsIssueDetail][63][NumberOfIssues]</v>
      </c>
    </row>
    <row r="1492" spans="1:15" x14ac:dyDescent="0.3">
      <c r="A1492" t="s">
        <v>2277</v>
      </c>
      <c r="B1492" t="s">
        <v>1985</v>
      </c>
      <c r="C1492" t="s">
        <v>1987</v>
      </c>
      <c r="D1492">
        <v>64</v>
      </c>
      <c r="E1492" t="s">
        <v>1447</v>
      </c>
      <c r="F1492" t="s">
        <v>1972</v>
      </c>
      <c r="G1492" t="s">
        <v>1748</v>
      </c>
      <c r="H1492" t="s">
        <v>2279</v>
      </c>
      <c r="I1492">
        <v>1</v>
      </c>
      <c r="J1492" t="s">
        <v>2279</v>
      </c>
      <c r="K1492" t="s">
        <v>2279</v>
      </c>
      <c r="L1492" t="s">
        <v>2279</v>
      </c>
      <c r="M1492" t="s">
        <v>2279</v>
      </c>
      <c r="N1492" t="s">
        <v>2279</v>
      </c>
      <c r="O1492" s="190" t="str">
        <f>"["&amp;$C1492&amp;"]["&amp;$D1492&amp;"]["&amp;$F1492&amp;"]"</f>
        <v>[S06_InstallationsVerificationReportsIssueDetail][64][NumberOfIssues]</v>
      </c>
    </row>
    <row r="1493" spans="1:15" x14ac:dyDescent="0.3">
      <c r="A1493" t="s">
        <v>2277</v>
      </c>
      <c r="B1493" t="s">
        <v>1985</v>
      </c>
      <c r="C1493" t="s">
        <v>1987</v>
      </c>
      <c r="D1493">
        <v>65</v>
      </c>
      <c r="E1493" t="s">
        <v>1447</v>
      </c>
      <c r="F1493" t="s">
        <v>1972</v>
      </c>
      <c r="G1493" t="s">
        <v>1748</v>
      </c>
      <c r="H1493" t="s">
        <v>2279</v>
      </c>
      <c r="I1493">
        <v>24</v>
      </c>
      <c r="J1493" t="s">
        <v>2279</v>
      </c>
      <c r="K1493" t="s">
        <v>2279</v>
      </c>
      <c r="L1493" t="s">
        <v>2279</v>
      </c>
      <c r="M1493" t="s">
        <v>2279</v>
      </c>
      <c r="N1493" t="s">
        <v>2279</v>
      </c>
      <c r="O1493" s="190" t="str">
        <f>"["&amp;$C1493&amp;"]["&amp;$D1493&amp;"]["&amp;$F1493&amp;"]"</f>
        <v>[S06_InstallationsVerificationReportsIssueDetail][65][NumberOfIssues]</v>
      </c>
    </row>
    <row r="1494" spans="1:15" x14ac:dyDescent="0.3">
      <c r="A1494" t="s">
        <v>2277</v>
      </c>
      <c r="B1494" t="s">
        <v>1985</v>
      </c>
      <c r="C1494" t="s">
        <v>1987</v>
      </c>
      <c r="D1494">
        <v>66</v>
      </c>
      <c r="E1494" t="s">
        <v>1447</v>
      </c>
      <c r="F1494" t="s">
        <v>1972</v>
      </c>
      <c r="G1494" t="s">
        <v>1748</v>
      </c>
      <c r="H1494" t="s">
        <v>2279</v>
      </c>
      <c r="I1494">
        <v>19</v>
      </c>
      <c r="J1494" t="s">
        <v>2279</v>
      </c>
      <c r="K1494" t="s">
        <v>2279</v>
      </c>
      <c r="L1494" t="s">
        <v>2279</v>
      </c>
      <c r="M1494" t="s">
        <v>2279</v>
      </c>
      <c r="N1494" t="s">
        <v>2279</v>
      </c>
      <c r="O1494" s="190" t="str">
        <f>"["&amp;$C1494&amp;"]["&amp;$D1494&amp;"]["&amp;$F1494&amp;"]"</f>
        <v>[S06_InstallationsVerificationReportsIssueDetail][66][NumberOfIssues]</v>
      </c>
    </row>
    <row r="1495" spans="1:15" x14ac:dyDescent="0.3">
      <c r="A1495" t="s">
        <v>2277</v>
      </c>
      <c r="B1495" t="s">
        <v>1985</v>
      </c>
      <c r="C1495" t="s">
        <v>1987</v>
      </c>
      <c r="D1495">
        <v>67</v>
      </c>
      <c r="E1495" t="s">
        <v>1447</v>
      </c>
      <c r="F1495" t="s">
        <v>1972</v>
      </c>
      <c r="G1495" t="s">
        <v>1748</v>
      </c>
      <c r="H1495" t="s">
        <v>2279</v>
      </c>
      <c r="I1495">
        <v>23</v>
      </c>
      <c r="J1495" t="s">
        <v>2279</v>
      </c>
      <c r="K1495" t="s">
        <v>2279</v>
      </c>
      <c r="L1495" t="s">
        <v>2279</v>
      </c>
      <c r="M1495" t="s">
        <v>2279</v>
      </c>
      <c r="N1495" t="s">
        <v>2279</v>
      </c>
      <c r="O1495" s="190" t="str">
        <f>"["&amp;$C1495&amp;"]["&amp;$D1495&amp;"]["&amp;$F1495&amp;"]"</f>
        <v>[S06_InstallationsVerificationReportsIssueDetail][67][NumberOfIssues]</v>
      </c>
    </row>
    <row r="1496" spans="1:15" x14ac:dyDescent="0.3">
      <c r="A1496" t="s">
        <v>2277</v>
      </c>
      <c r="B1496" t="s">
        <v>1985</v>
      </c>
      <c r="C1496" t="s">
        <v>1987</v>
      </c>
      <c r="D1496">
        <v>68</v>
      </c>
      <c r="E1496" t="s">
        <v>1447</v>
      </c>
      <c r="F1496" t="s">
        <v>1972</v>
      </c>
      <c r="G1496" t="s">
        <v>1748</v>
      </c>
      <c r="H1496" t="s">
        <v>2279</v>
      </c>
      <c r="I1496">
        <v>4</v>
      </c>
      <c r="J1496" t="s">
        <v>2279</v>
      </c>
      <c r="K1496" t="s">
        <v>2279</v>
      </c>
      <c r="L1496" t="s">
        <v>2279</v>
      </c>
      <c r="M1496" t="s">
        <v>2279</v>
      </c>
      <c r="N1496" t="s">
        <v>2279</v>
      </c>
      <c r="O1496" s="190" t="str">
        <f>"["&amp;$C1496&amp;"]["&amp;$D1496&amp;"]["&amp;$F1496&amp;"]"</f>
        <v>[S06_InstallationsVerificationReportsIssueDetail][68][NumberOfIssues]</v>
      </c>
    </row>
    <row r="1497" spans="1:15" x14ac:dyDescent="0.3">
      <c r="A1497" t="s">
        <v>2277</v>
      </c>
      <c r="B1497" t="s">
        <v>1985</v>
      </c>
      <c r="C1497" t="s">
        <v>1987</v>
      </c>
      <c r="D1497">
        <v>69</v>
      </c>
      <c r="E1497" t="s">
        <v>1447</v>
      </c>
      <c r="F1497" t="s">
        <v>1972</v>
      </c>
      <c r="G1497" t="s">
        <v>1748</v>
      </c>
      <c r="H1497" t="s">
        <v>2279</v>
      </c>
      <c r="I1497">
        <v>15</v>
      </c>
      <c r="J1497" t="s">
        <v>2279</v>
      </c>
      <c r="K1497" t="s">
        <v>2279</v>
      </c>
      <c r="L1497" t="s">
        <v>2279</v>
      </c>
      <c r="M1497" t="s">
        <v>2279</v>
      </c>
      <c r="N1497" t="s">
        <v>2279</v>
      </c>
      <c r="O1497" s="190" t="str">
        <f>"["&amp;$C1497&amp;"]["&amp;$D1497&amp;"]["&amp;$F1497&amp;"]"</f>
        <v>[S06_InstallationsVerificationReportsIssueDetail][69][NumberOfIssues]</v>
      </c>
    </row>
    <row r="1498" spans="1:15" x14ac:dyDescent="0.3">
      <c r="A1498" t="s">
        <v>2277</v>
      </c>
      <c r="B1498" t="s">
        <v>1985</v>
      </c>
      <c r="C1498" t="s">
        <v>1987</v>
      </c>
      <c r="D1498">
        <v>70</v>
      </c>
      <c r="E1498" t="s">
        <v>1447</v>
      </c>
      <c r="F1498" t="s">
        <v>1972</v>
      </c>
      <c r="G1498" t="s">
        <v>1748</v>
      </c>
      <c r="H1498" t="s">
        <v>2279</v>
      </c>
      <c r="I1498">
        <v>6</v>
      </c>
      <c r="J1498" t="s">
        <v>2279</v>
      </c>
      <c r="K1498" t="s">
        <v>2279</v>
      </c>
      <c r="L1498" t="s">
        <v>2279</v>
      </c>
      <c r="M1498" t="s">
        <v>2279</v>
      </c>
      <c r="N1498" t="s">
        <v>2279</v>
      </c>
      <c r="O1498" s="190" t="str">
        <f>"["&amp;$C1498&amp;"]["&amp;$D1498&amp;"]["&amp;$F1498&amp;"]"</f>
        <v>[S06_InstallationsVerificationReportsIssueDetail][70][NumberOfIssues]</v>
      </c>
    </row>
    <row r="1499" spans="1:15" x14ac:dyDescent="0.3">
      <c r="A1499" t="s">
        <v>2277</v>
      </c>
      <c r="B1499" t="s">
        <v>1985</v>
      </c>
      <c r="C1499" t="s">
        <v>1987</v>
      </c>
      <c r="D1499">
        <v>71</v>
      </c>
      <c r="E1499" t="s">
        <v>1447</v>
      </c>
      <c r="F1499" t="s">
        <v>1972</v>
      </c>
      <c r="G1499" t="s">
        <v>1748</v>
      </c>
      <c r="H1499" t="s">
        <v>2279</v>
      </c>
      <c r="I1499">
        <v>11</v>
      </c>
      <c r="J1499" t="s">
        <v>2279</v>
      </c>
      <c r="K1499" t="s">
        <v>2279</v>
      </c>
      <c r="L1499" t="s">
        <v>2279</v>
      </c>
      <c r="M1499" t="s">
        <v>2279</v>
      </c>
      <c r="N1499" t="s">
        <v>2279</v>
      </c>
      <c r="O1499" s="190" t="str">
        <f>"["&amp;$C1499&amp;"]["&amp;$D1499&amp;"]["&amp;$F1499&amp;"]"</f>
        <v>[S06_InstallationsVerificationReportsIssueDetail][71][NumberOfIssues]</v>
      </c>
    </row>
    <row r="1500" spans="1:15" x14ac:dyDescent="0.3">
      <c r="A1500" t="s">
        <v>2277</v>
      </c>
      <c r="B1500" t="s">
        <v>1985</v>
      </c>
      <c r="C1500" t="s">
        <v>1987</v>
      </c>
      <c r="D1500">
        <v>72</v>
      </c>
      <c r="E1500" t="s">
        <v>1447</v>
      </c>
      <c r="F1500" t="s">
        <v>1972</v>
      </c>
      <c r="G1500" t="s">
        <v>1748</v>
      </c>
      <c r="H1500" t="s">
        <v>2279</v>
      </c>
      <c r="I1500">
        <v>2</v>
      </c>
      <c r="J1500" t="s">
        <v>2279</v>
      </c>
      <c r="K1500" t="s">
        <v>2279</v>
      </c>
      <c r="L1500" t="s">
        <v>2279</v>
      </c>
      <c r="M1500" t="s">
        <v>2279</v>
      </c>
      <c r="N1500" t="s">
        <v>2279</v>
      </c>
      <c r="O1500" s="190" t="str">
        <f>"["&amp;$C1500&amp;"]["&amp;$D1500&amp;"]["&amp;$F1500&amp;"]"</f>
        <v>[S06_InstallationsVerificationReportsIssueDetail][72][NumberOfIssues]</v>
      </c>
    </row>
    <row r="1501" spans="1:15" x14ac:dyDescent="0.3">
      <c r="A1501" t="s">
        <v>2277</v>
      </c>
      <c r="B1501" t="s">
        <v>1985</v>
      </c>
      <c r="C1501" t="s">
        <v>1987</v>
      </c>
      <c r="D1501">
        <v>73</v>
      </c>
      <c r="E1501" t="s">
        <v>1447</v>
      </c>
      <c r="F1501" t="s">
        <v>1972</v>
      </c>
      <c r="G1501" t="s">
        <v>1748</v>
      </c>
      <c r="H1501" t="s">
        <v>2279</v>
      </c>
      <c r="I1501">
        <v>2</v>
      </c>
      <c r="J1501" t="s">
        <v>2279</v>
      </c>
      <c r="K1501" t="s">
        <v>2279</v>
      </c>
      <c r="L1501" t="s">
        <v>2279</v>
      </c>
      <c r="M1501" t="s">
        <v>2279</v>
      </c>
      <c r="N1501" t="s">
        <v>2279</v>
      </c>
      <c r="O1501" s="190" t="str">
        <f>"["&amp;$C1501&amp;"]["&amp;$D1501&amp;"]["&amp;$F1501&amp;"]"</f>
        <v>[S06_InstallationsVerificationReportsIssueDetail][73][NumberOfIssues]</v>
      </c>
    </row>
    <row r="1502" spans="1:15" x14ac:dyDescent="0.3">
      <c r="A1502" t="s">
        <v>2277</v>
      </c>
      <c r="B1502" t="s">
        <v>1985</v>
      </c>
      <c r="C1502" t="s">
        <v>1987</v>
      </c>
      <c r="D1502">
        <v>74</v>
      </c>
      <c r="E1502" t="s">
        <v>1447</v>
      </c>
      <c r="F1502" t="s">
        <v>1972</v>
      </c>
      <c r="G1502" t="s">
        <v>1748</v>
      </c>
      <c r="H1502" t="s">
        <v>2279</v>
      </c>
      <c r="I1502">
        <v>2</v>
      </c>
      <c r="J1502" t="s">
        <v>2279</v>
      </c>
      <c r="K1502" t="s">
        <v>2279</v>
      </c>
      <c r="L1502" t="s">
        <v>2279</v>
      </c>
      <c r="M1502" t="s">
        <v>2279</v>
      </c>
      <c r="N1502" t="s">
        <v>2279</v>
      </c>
      <c r="O1502" s="190" t="str">
        <f>"["&amp;$C1502&amp;"]["&amp;$D1502&amp;"]["&amp;$F1502&amp;"]"</f>
        <v>[S06_InstallationsVerificationReportsIssueDetail][74][NumberOfIssues]</v>
      </c>
    </row>
    <row r="1503" spans="1:15" x14ac:dyDescent="0.3">
      <c r="A1503" t="s">
        <v>2277</v>
      </c>
      <c r="B1503" t="s">
        <v>1985</v>
      </c>
      <c r="C1503" t="s">
        <v>1987</v>
      </c>
      <c r="D1503">
        <v>75</v>
      </c>
      <c r="E1503" t="s">
        <v>1447</v>
      </c>
      <c r="F1503" t="s">
        <v>1972</v>
      </c>
      <c r="G1503" t="s">
        <v>1748</v>
      </c>
      <c r="H1503" t="s">
        <v>2279</v>
      </c>
      <c r="I1503">
        <v>1</v>
      </c>
      <c r="J1503" t="s">
        <v>2279</v>
      </c>
      <c r="K1503" t="s">
        <v>2279</v>
      </c>
      <c r="L1503" t="s">
        <v>2279</v>
      </c>
      <c r="M1503" t="s">
        <v>2279</v>
      </c>
      <c r="N1503" t="s">
        <v>2279</v>
      </c>
      <c r="O1503" s="190" t="str">
        <f>"["&amp;$C1503&amp;"]["&amp;$D1503&amp;"]["&amp;$F1503&amp;"]"</f>
        <v>[S06_InstallationsVerificationReportsIssueDetail][75][NumberOfIssues]</v>
      </c>
    </row>
    <row r="1504" spans="1:15" x14ac:dyDescent="0.3">
      <c r="A1504" t="s">
        <v>2277</v>
      </c>
      <c r="B1504" t="s">
        <v>1985</v>
      </c>
      <c r="C1504" t="s">
        <v>1987</v>
      </c>
      <c r="D1504">
        <v>76</v>
      </c>
      <c r="E1504" t="s">
        <v>1447</v>
      </c>
      <c r="F1504" t="s">
        <v>1972</v>
      </c>
      <c r="G1504" t="s">
        <v>1748</v>
      </c>
      <c r="H1504" t="s">
        <v>2279</v>
      </c>
      <c r="I1504">
        <v>1</v>
      </c>
      <c r="J1504" t="s">
        <v>2279</v>
      </c>
      <c r="K1504" t="s">
        <v>2279</v>
      </c>
      <c r="L1504" t="s">
        <v>2279</v>
      </c>
      <c r="M1504" t="s">
        <v>2279</v>
      </c>
      <c r="N1504" t="s">
        <v>2279</v>
      </c>
      <c r="O1504" s="190" t="str">
        <f>"["&amp;$C1504&amp;"]["&amp;$D1504&amp;"]["&amp;$F1504&amp;"]"</f>
        <v>[S06_InstallationsVerificationReportsIssueDetail][76][NumberOfIssues]</v>
      </c>
    </row>
    <row r="1505" spans="1:15" x14ac:dyDescent="0.3">
      <c r="A1505" t="s">
        <v>2277</v>
      </c>
      <c r="B1505" t="s">
        <v>1985</v>
      </c>
      <c r="C1505" t="s">
        <v>1987</v>
      </c>
      <c r="D1505">
        <v>77</v>
      </c>
      <c r="E1505" t="s">
        <v>1447</v>
      </c>
      <c r="F1505" t="s">
        <v>1972</v>
      </c>
      <c r="G1505" t="s">
        <v>1748</v>
      </c>
      <c r="H1505" t="s">
        <v>2279</v>
      </c>
      <c r="I1505">
        <v>1</v>
      </c>
      <c r="J1505" t="s">
        <v>2279</v>
      </c>
      <c r="K1505" t="s">
        <v>2279</v>
      </c>
      <c r="L1505" t="s">
        <v>2279</v>
      </c>
      <c r="M1505" t="s">
        <v>2279</v>
      </c>
      <c r="N1505" t="s">
        <v>2279</v>
      </c>
      <c r="O1505" s="190" t="str">
        <f>"["&amp;$C1505&amp;"]["&amp;$D1505&amp;"]["&amp;$F1505&amp;"]"</f>
        <v>[S06_InstallationsVerificationReportsIssueDetail][77][NumberOfIssues]</v>
      </c>
    </row>
    <row r="1506" spans="1:15" x14ac:dyDescent="0.3">
      <c r="A1506" t="s">
        <v>2277</v>
      </c>
      <c r="B1506" t="s">
        <v>1985</v>
      </c>
      <c r="C1506" t="s">
        <v>1987</v>
      </c>
      <c r="D1506">
        <v>78</v>
      </c>
      <c r="E1506" t="s">
        <v>1447</v>
      </c>
      <c r="F1506" t="s">
        <v>1972</v>
      </c>
      <c r="G1506" t="s">
        <v>1748</v>
      </c>
      <c r="H1506" t="s">
        <v>2279</v>
      </c>
      <c r="I1506">
        <v>1</v>
      </c>
      <c r="J1506" t="s">
        <v>2279</v>
      </c>
      <c r="K1506" t="s">
        <v>2279</v>
      </c>
      <c r="L1506" t="s">
        <v>2279</v>
      </c>
      <c r="M1506" t="s">
        <v>2279</v>
      </c>
      <c r="N1506" t="s">
        <v>2279</v>
      </c>
      <c r="O1506" s="190" t="str">
        <f>"["&amp;$C1506&amp;"]["&amp;$D1506&amp;"]["&amp;$F1506&amp;"]"</f>
        <v>[S06_InstallationsVerificationReportsIssueDetail][78][NumberOfIssues]</v>
      </c>
    </row>
    <row r="1507" spans="1:15" x14ac:dyDescent="0.3">
      <c r="A1507" t="s">
        <v>2277</v>
      </c>
      <c r="B1507" t="s">
        <v>1985</v>
      </c>
      <c r="C1507" t="s">
        <v>1987</v>
      </c>
      <c r="D1507">
        <v>1</v>
      </c>
      <c r="E1507" t="s">
        <v>1447</v>
      </c>
      <c r="F1507" t="s">
        <v>1990</v>
      </c>
      <c r="G1507" t="s">
        <v>1806</v>
      </c>
      <c r="H1507" t="s">
        <v>2279</v>
      </c>
      <c r="I1507" t="s">
        <v>2279</v>
      </c>
      <c r="J1507">
        <v>0</v>
      </c>
      <c r="K1507" t="s">
        <v>2279</v>
      </c>
      <c r="L1507" t="s">
        <v>2279</v>
      </c>
      <c r="M1507" t="s">
        <v>2279</v>
      </c>
      <c r="N1507" t="s">
        <v>2279</v>
      </c>
      <c r="O1507" s="190" t="str">
        <f>"["&amp;$C1507&amp;"]["&amp;$D1507&amp;"]["&amp;$F1507&amp;"]"</f>
        <v>[S06_InstallationsVerificationReportsIssueDetail][1][ShareOfReportsConservativeEstimate]</v>
      </c>
    </row>
    <row r="1508" spans="1:15" x14ac:dyDescent="0.3">
      <c r="A1508" t="s">
        <v>2277</v>
      </c>
      <c r="B1508" t="s">
        <v>1985</v>
      </c>
      <c r="C1508" t="s">
        <v>1987</v>
      </c>
      <c r="D1508">
        <v>2</v>
      </c>
      <c r="E1508" t="s">
        <v>1447</v>
      </c>
      <c r="F1508" t="s">
        <v>1990</v>
      </c>
      <c r="G1508" t="s">
        <v>1806</v>
      </c>
      <c r="H1508" t="s">
        <v>2279</v>
      </c>
      <c r="I1508" t="s">
        <v>2279</v>
      </c>
      <c r="J1508">
        <v>0</v>
      </c>
      <c r="K1508" t="s">
        <v>2279</v>
      </c>
      <c r="L1508" t="s">
        <v>2279</v>
      </c>
      <c r="M1508" t="s">
        <v>2279</v>
      </c>
      <c r="N1508" t="s">
        <v>2279</v>
      </c>
      <c r="O1508" s="190" t="str">
        <f>"["&amp;$C1508&amp;"]["&amp;$D1508&amp;"]["&amp;$F1508&amp;"]"</f>
        <v>[S06_InstallationsVerificationReportsIssueDetail][2][ShareOfReportsConservativeEstimate]</v>
      </c>
    </row>
    <row r="1509" spans="1:15" x14ac:dyDescent="0.3">
      <c r="A1509" t="s">
        <v>2277</v>
      </c>
      <c r="B1509" t="s">
        <v>1985</v>
      </c>
      <c r="C1509" t="s">
        <v>1987</v>
      </c>
      <c r="D1509">
        <v>3</v>
      </c>
      <c r="E1509" t="s">
        <v>1447</v>
      </c>
      <c r="F1509" t="s">
        <v>1990</v>
      </c>
      <c r="G1509" t="s">
        <v>1806</v>
      </c>
      <c r="H1509" t="s">
        <v>2279</v>
      </c>
      <c r="I1509" t="s">
        <v>2279</v>
      </c>
      <c r="J1509">
        <v>0</v>
      </c>
      <c r="K1509" t="s">
        <v>2279</v>
      </c>
      <c r="L1509" t="s">
        <v>2279</v>
      </c>
      <c r="M1509" t="s">
        <v>2279</v>
      </c>
      <c r="N1509" t="s">
        <v>2279</v>
      </c>
      <c r="O1509" s="190" t="str">
        <f>"["&amp;$C1509&amp;"]["&amp;$D1509&amp;"]["&amp;$F1509&amp;"]"</f>
        <v>[S06_InstallationsVerificationReportsIssueDetail][3][ShareOfReportsConservativeEstimate]</v>
      </c>
    </row>
    <row r="1510" spans="1:15" x14ac:dyDescent="0.3">
      <c r="A1510" t="s">
        <v>2277</v>
      </c>
      <c r="B1510" t="s">
        <v>1985</v>
      </c>
      <c r="C1510" t="s">
        <v>1987</v>
      </c>
      <c r="D1510">
        <v>4</v>
      </c>
      <c r="E1510" t="s">
        <v>1447</v>
      </c>
      <c r="F1510" t="s">
        <v>1990</v>
      </c>
      <c r="G1510" t="s">
        <v>1806</v>
      </c>
      <c r="H1510" t="s">
        <v>2279</v>
      </c>
      <c r="I1510" t="s">
        <v>2279</v>
      </c>
      <c r="J1510">
        <v>0</v>
      </c>
      <c r="K1510" t="s">
        <v>2279</v>
      </c>
      <c r="L1510" t="s">
        <v>2279</v>
      </c>
      <c r="M1510" t="s">
        <v>2279</v>
      </c>
      <c r="N1510" t="s">
        <v>2279</v>
      </c>
      <c r="O1510" s="190" t="str">
        <f>"["&amp;$C1510&amp;"]["&amp;$D1510&amp;"]["&amp;$F1510&amp;"]"</f>
        <v>[S06_InstallationsVerificationReportsIssueDetail][4][ShareOfReportsConservativeEstimate]</v>
      </c>
    </row>
    <row r="1511" spans="1:15" x14ac:dyDescent="0.3">
      <c r="A1511" t="s">
        <v>2277</v>
      </c>
      <c r="B1511" t="s">
        <v>1985</v>
      </c>
      <c r="C1511" t="s">
        <v>1987</v>
      </c>
      <c r="D1511">
        <v>5</v>
      </c>
      <c r="E1511" t="s">
        <v>1447</v>
      </c>
      <c r="F1511" t="s">
        <v>1990</v>
      </c>
      <c r="G1511" t="s">
        <v>1806</v>
      </c>
      <c r="H1511" t="s">
        <v>2279</v>
      </c>
      <c r="I1511" t="s">
        <v>2279</v>
      </c>
      <c r="J1511">
        <v>0</v>
      </c>
      <c r="K1511" t="s">
        <v>2279</v>
      </c>
      <c r="L1511" t="s">
        <v>2279</v>
      </c>
      <c r="M1511" t="s">
        <v>2279</v>
      </c>
      <c r="N1511" t="s">
        <v>2279</v>
      </c>
      <c r="O1511" s="190" t="str">
        <f>"["&amp;$C1511&amp;"]["&amp;$D1511&amp;"]["&amp;$F1511&amp;"]"</f>
        <v>[S06_InstallationsVerificationReportsIssueDetail][5][ShareOfReportsConservativeEstimate]</v>
      </c>
    </row>
    <row r="1512" spans="1:15" x14ac:dyDescent="0.3">
      <c r="A1512" t="s">
        <v>2277</v>
      </c>
      <c r="B1512" t="s">
        <v>1985</v>
      </c>
      <c r="C1512" t="s">
        <v>1987</v>
      </c>
      <c r="D1512">
        <v>6</v>
      </c>
      <c r="E1512" t="s">
        <v>1447</v>
      </c>
      <c r="F1512" t="s">
        <v>1990</v>
      </c>
      <c r="G1512" t="s">
        <v>1806</v>
      </c>
      <c r="H1512" t="s">
        <v>2279</v>
      </c>
      <c r="I1512" t="s">
        <v>2279</v>
      </c>
      <c r="J1512">
        <v>0</v>
      </c>
      <c r="K1512" t="s">
        <v>2279</v>
      </c>
      <c r="L1512" t="s">
        <v>2279</v>
      </c>
      <c r="M1512" t="s">
        <v>2279</v>
      </c>
      <c r="N1512" t="s">
        <v>2279</v>
      </c>
      <c r="O1512" s="190" t="str">
        <f>"["&amp;$C1512&amp;"]["&amp;$D1512&amp;"]["&amp;$F1512&amp;"]"</f>
        <v>[S06_InstallationsVerificationReportsIssueDetail][6][ShareOfReportsConservativeEstimate]</v>
      </c>
    </row>
    <row r="1513" spans="1:15" x14ac:dyDescent="0.3">
      <c r="A1513" t="s">
        <v>2277</v>
      </c>
      <c r="B1513" t="s">
        <v>1985</v>
      </c>
      <c r="C1513" t="s">
        <v>1987</v>
      </c>
      <c r="D1513">
        <v>7</v>
      </c>
      <c r="E1513" t="s">
        <v>1447</v>
      </c>
      <c r="F1513" t="s">
        <v>1990</v>
      </c>
      <c r="G1513" t="s">
        <v>1806</v>
      </c>
      <c r="H1513" t="s">
        <v>2279</v>
      </c>
      <c r="I1513" t="s">
        <v>2279</v>
      </c>
      <c r="J1513">
        <v>0</v>
      </c>
      <c r="K1513" t="s">
        <v>2279</v>
      </c>
      <c r="L1513" t="s">
        <v>2279</v>
      </c>
      <c r="M1513" t="s">
        <v>2279</v>
      </c>
      <c r="N1513" t="s">
        <v>2279</v>
      </c>
      <c r="O1513" s="190" t="str">
        <f>"["&amp;$C1513&amp;"]["&amp;$D1513&amp;"]["&amp;$F1513&amp;"]"</f>
        <v>[S06_InstallationsVerificationReportsIssueDetail][7][ShareOfReportsConservativeEstimate]</v>
      </c>
    </row>
    <row r="1514" spans="1:15" x14ac:dyDescent="0.3">
      <c r="A1514" t="s">
        <v>2277</v>
      </c>
      <c r="B1514" t="s">
        <v>1985</v>
      </c>
      <c r="C1514" t="s">
        <v>1987</v>
      </c>
      <c r="D1514">
        <v>8</v>
      </c>
      <c r="E1514" t="s">
        <v>1447</v>
      </c>
      <c r="F1514" t="s">
        <v>1990</v>
      </c>
      <c r="G1514" t="s">
        <v>1806</v>
      </c>
      <c r="H1514" t="s">
        <v>2279</v>
      </c>
      <c r="I1514" t="s">
        <v>2279</v>
      </c>
      <c r="J1514">
        <v>0</v>
      </c>
      <c r="K1514" t="s">
        <v>2279</v>
      </c>
      <c r="L1514" t="s">
        <v>2279</v>
      </c>
      <c r="M1514" t="s">
        <v>2279</v>
      </c>
      <c r="N1514" t="s">
        <v>2279</v>
      </c>
      <c r="O1514" s="190" t="str">
        <f>"["&amp;$C1514&amp;"]["&amp;$D1514&amp;"]["&amp;$F1514&amp;"]"</f>
        <v>[S06_InstallationsVerificationReportsIssueDetail][8][ShareOfReportsConservativeEstimate]</v>
      </c>
    </row>
    <row r="1515" spans="1:15" x14ac:dyDescent="0.3">
      <c r="A1515" t="s">
        <v>2277</v>
      </c>
      <c r="B1515" t="s">
        <v>1985</v>
      </c>
      <c r="C1515" t="s">
        <v>1987</v>
      </c>
      <c r="D1515">
        <v>9</v>
      </c>
      <c r="E1515" t="s">
        <v>1447</v>
      </c>
      <c r="F1515" t="s">
        <v>1990</v>
      </c>
      <c r="G1515" t="s">
        <v>1806</v>
      </c>
      <c r="H1515" t="s">
        <v>2279</v>
      </c>
      <c r="I1515" t="s">
        <v>2279</v>
      </c>
      <c r="J1515">
        <v>0</v>
      </c>
      <c r="K1515" t="s">
        <v>2279</v>
      </c>
      <c r="L1515" t="s">
        <v>2279</v>
      </c>
      <c r="M1515" t="s">
        <v>2279</v>
      </c>
      <c r="N1515" t="s">
        <v>2279</v>
      </c>
      <c r="O1515" s="190" t="str">
        <f>"["&amp;$C1515&amp;"]["&amp;$D1515&amp;"]["&amp;$F1515&amp;"]"</f>
        <v>[S06_InstallationsVerificationReportsIssueDetail][9][ShareOfReportsConservativeEstimate]</v>
      </c>
    </row>
    <row r="1516" spans="1:15" x14ac:dyDescent="0.3">
      <c r="A1516" t="s">
        <v>2277</v>
      </c>
      <c r="B1516" t="s">
        <v>1985</v>
      </c>
      <c r="C1516" t="s">
        <v>1987</v>
      </c>
      <c r="D1516">
        <v>10</v>
      </c>
      <c r="E1516" t="s">
        <v>1447</v>
      </c>
      <c r="F1516" t="s">
        <v>1990</v>
      </c>
      <c r="G1516" t="s">
        <v>1806</v>
      </c>
      <c r="H1516" t="s">
        <v>2279</v>
      </c>
      <c r="I1516" t="s">
        <v>2279</v>
      </c>
      <c r="J1516">
        <v>0</v>
      </c>
      <c r="K1516" t="s">
        <v>2279</v>
      </c>
      <c r="L1516" t="s">
        <v>2279</v>
      </c>
      <c r="M1516" t="s">
        <v>2279</v>
      </c>
      <c r="N1516" t="s">
        <v>2279</v>
      </c>
      <c r="O1516" s="190" t="str">
        <f>"["&amp;$C1516&amp;"]["&amp;$D1516&amp;"]["&amp;$F1516&amp;"]"</f>
        <v>[S06_InstallationsVerificationReportsIssueDetail][10][ShareOfReportsConservativeEstimate]</v>
      </c>
    </row>
    <row r="1517" spans="1:15" x14ac:dyDescent="0.3">
      <c r="A1517" t="s">
        <v>2277</v>
      </c>
      <c r="B1517" t="s">
        <v>1985</v>
      </c>
      <c r="C1517" t="s">
        <v>1987</v>
      </c>
      <c r="D1517">
        <v>11</v>
      </c>
      <c r="E1517" t="s">
        <v>1447</v>
      </c>
      <c r="F1517" t="s">
        <v>1990</v>
      </c>
      <c r="G1517" t="s">
        <v>1806</v>
      </c>
      <c r="H1517" t="s">
        <v>2279</v>
      </c>
      <c r="I1517" t="s">
        <v>2279</v>
      </c>
      <c r="J1517">
        <v>0</v>
      </c>
      <c r="K1517" t="s">
        <v>2279</v>
      </c>
      <c r="L1517" t="s">
        <v>2279</v>
      </c>
      <c r="M1517" t="s">
        <v>2279</v>
      </c>
      <c r="N1517" t="s">
        <v>2279</v>
      </c>
      <c r="O1517" s="190" t="str">
        <f>"["&amp;$C1517&amp;"]["&amp;$D1517&amp;"]["&amp;$F1517&amp;"]"</f>
        <v>[S06_InstallationsVerificationReportsIssueDetail][11][ShareOfReportsConservativeEstimate]</v>
      </c>
    </row>
    <row r="1518" spans="1:15" x14ac:dyDescent="0.3">
      <c r="A1518" t="s">
        <v>2277</v>
      </c>
      <c r="B1518" t="s">
        <v>1985</v>
      </c>
      <c r="C1518" t="s">
        <v>1987</v>
      </c>
      <c r="D1518">
        <v>12</v>
      </c>
      <c r="E1518" t="s">
        <v>1447</v>
      </c>
      <c r="F1518" t="s">
        <v>1990</v>
      </c>
      <c r="G1518" t="s">
        <v>1806</v>
      </c>
      <c r="H1518" t="s">
        <v>2279</v>
      </c>
      <c r="I1518" t="s">
        <v>2279</v>
      </c>
      <c r="J1518">
        <v>0</v>
      </c>
      <c r="K1518" t="s">
        <v>2279</v>
      </c>
      <c r="L1518" t="s">
        <v>2279</v>
      </c>
      <c r="M1518" t="s">
        <v>2279</v>
      </c>
      <c r="N1518" t="s">
        <v>2279</v>
      </c>
      <c r="O1518" s="190" t="str">
        <f>"["&amp;$C1518&amp;"]["&amp;$D1518&amp;"]["&amp;$F1518&amp;"]"</f>
        <v>[S06_InstallationsVerificationReportsIssueDetail][12][ShareOfReportsConservativeEstimate]</v>
      </c>
    </row>
    <row r="1519" spans="1:15" x14ac:dyDescent="0.3">
      <c r="A1519" t="s">
        <v>2277</v>
      </c>
      <c r="B1519" t="s">
        <v>1985</v>
      </c>
      <c r="C1519" t="s">
        <v>1987</v>
      </c>
      <c r="D1519">
        <v>13</v>
      </c>
      <c r="E1519" t="s">
        <v>1447</v>
      </c>
      <c r="F1519" t="s">
        <v>1990</v>
      </c>
      <c r="G1519" t="s">
        <v>1806</v>
      </c>
      <c r="H1519" t="s">
        <v>2279</v>
      </c>
      <c r="I1519" t="s">
        <v>2279</v>
      </c>
      <c r="J1519">
        <v>0</v>
      </c>
      <c r="K1519" t="s">
        <v>2279</v>
      </c>
      <c r="L1519" t="s">
        <v>2279</v>
      </c>
      <c r="M1519" t="s">
        <v>2279</v>
      </c>
      <c r="N1519" t="s">
        <v>2279</v>
      </c>
      <c r="O1519" s="190" t="str">
        <f>"["&amp;$C1519&amp;"]["&amp;$D1519&amp;"]["&amp;$F1519&amp;"]"</f>
        <v>[S06_InstallationsVerificationReportsIssueDetail][13][ShareOfReportsConservativeEstimate]</v>
      </c>
    </row>
    <row r="1520" spans="1:15" x14ac:dyDescent="0.3">
      <c r="A1520" t="s">
        <v>2277</v>
      </c>
      <c r="B1520" t="s">
        <v>1985</v>
      </c>
      <c r="C1520" t="s">
        <v>1987</v>
      </c>
      <c r="D1520">
        <v>14</v>
      </c>
      <c r="E1520" t="s">
        <v>1447</v>
      </c>
      <c r="F1520" t="s">
        <v>1990</v>
      </c>
      <c r="G1520" t="s">
        <v>1806</v>
      </c>
      <c r="H1520" t="s">
        <v>2279</v>
      </c>
      <c r="I1520" t="s">
        <v>2279</v>
      </c>
      <c r="J1520">
        <v>0</v>
      </c>
      <c r="K1520" t="s">
        <v>2279</v>
      </c>
      <c r="L1520" t="s">
        <v>2279</v>
      </c>
      <c r="M1520" t="s">
        <v>2279</v>
      </c>
      <c r="N1520" t="s">
        <v>2279</v>
      </c>
      <c r="O1520" s="190" t="str">
        <f>"["&amp;$C1520&amp;"]["&amp;$D1520&amp;"]["&amp;$F1520&amp;"]"</f>
        <v>[S06_InstallationsVerificationReportsIssueDetail][14][ShareOfReportsConservativeEstimate]</v>
      </c>
    </row>
    <row r="1521" spans="1:15" x14ac:dyDescent="0.3">
      <c r="A1521" t="s">
        <v>2277</v>
      </c>
      <c r="B1521" t="s">
        <v>1985</v>
      </c>
      <c r="C1521" t="s">
        <v>1987</v>
      </c>
      <c r="D1521">
        <v>15</v>
      </c>
      <c r="E1521" t="s">
        <v>1447</v>
      </c>
      <c r="F1521" t="s">
        <v>1990</v>
      </c>
      <c r="G1521" t="s">
        <v>1806</v>
      </c>
      <c r="H1521" t="s">
        <v>2279</v>
      </c>
      <c r="I1521" t="s">
        <v>2279</v>
      </c>
      <c r="J1521">
        <v>0</v>
      </c>
      <c r="K1521" t="s">
        <v>2279</v>
      </c>
      <c r="L1521" t="s">
        <v>2279</v>
      </c>
      <c r="M1521" t="s">
        <v>2279</v>
      </c>
      <c r="N1521" t="s">
        <v>2279</v>
      </c>
      <c r="O1521" s="190" t="str">
        <f>"["&amp;$C1521&amp;"]["&amp;$D1521&amp;"]["&amp;$F1521&amp;"]"</f>
        <v>[S06_InstallationsVerificationReportsIssueDetail][15][ShareOfReportsConservativeEstimate]</v>
      </c>
    </row>
    <row r="1522" spans="1:15" x14ac:dyDescent="0.3">
      <c r="A1522" t="s">
        <v>2277</v>
      </c>
      <c r="B1522" t="s">
        <v>1985</v>
      </c>
      <c r="C1522" t="s">
        <v>1987</v>
      </c>
      <c r="D1522">
        <v>16</v>
      </c>
      <c r="E1522" t="s">
        <v>1447</v>
      </c>
      <c r="F1522" t="s">
        <v>1990</v>
      </c>
      <c r="G1522" t="s">
        <v>1806</v>
      </c>
      <c r="H1522" t="s">
        <v>2279</v>
      </c>
      <c r="I1522" t="s">
        <v>2279</v>
      </c>
      <c r="J1522">
        <v>0</v>
      </c>
      <c r="K1522" t="s">
        <v>2279</v>
      </c>
      <c r="L1522" t="s">
        <v>2279</v>
      </c>
      <c r="M1522" t="s">
        <v>2279</v>
      </c>
      <c r="N1522" t="s">
        <v>2279</v>
      </c>
      <c r="O1522" s="190" t="str">
        <f>"["&amp;$C1522&amp;"]["&amp;$D1522&amp;"]["&amp;$F1522&amp;"]"</f>
        <v>[S06_InstallationsVerificationReportsIssueDetail][16][ShareOfReportsConservativeEstimate]</v>
      </c>
    </row>
    <row r="1523" spans="1:15" x14ac:dyDescent="0.3">
      <c r="A1523" t="s">
        <v>2277</v>
      </c>
      <c r="B1523" t="s">
        <v>1985</v>
      </c>
      <c r="C1523" t="s">
        <v>1987</v>
      </c>
      <c r="D1523">
        <v>17</v>
      </c>
      <c r="E1523" t="s">
        <v>1447</v>
      </c>
      <c r="F1523" t="s">
        <v>1990</v>
      </c>
      <c r="G1523" t="s">
        <v>1806</v>
      </c>
      <c r="H1523" t="s">
        <v>2279</v>
      </c>
      <c r="I1523" t="s">
        <v>2279</v>
      </c>
      <c r="J1523">
        <v>0</v>
      </c>
      <c r="K1523" t="s">
        <v>2279</v>
      </c>
      <c r="L1523" t="s">
        <v>2279</v>
      </c>
      <c r="M1523" t="s">
        <v>2279</v>
      </c>
      <c r="N1523" t="s">
        <v>2279</v>
      </c>
      <c r="O1523" s="190" t="str">
        <f>"["&amp;$C1523&amp;"]["&amp;$D1523&amp;"]["&amp;$F1523&amp;"]"</f>
        <v>[S06_InstallationsVerificationReportsIssueDetail][17][ShareOfReportsConservativeEstimate]</v>
      </c>
    </row>
    <row r="1524" spans="1:15" x14ac:dyDescent="0.3">
      <c r="A1524" t="s">
        <v>2277</v>
      </c>
      <c r="B1524" t="s">
        <v>1985</v>
      </c>
      <c r="C1524" t="s">
        <v>1987</v>
      </c>
      <c r="D1524">
        <v>18</v>
      </c>
      <c r="E1524" t="s">
        <v>1447</v>
      </c>
      <c r="F1524" t="s">
        <v>1990</v>
      </c>
      <c r="G1524" t="s">
        <v>1806</v>
      </c>
      <c r="H1524" t="s">
        <v>2279</v>
      </c>
      <c r="I1524" t="s">
        <v>2279</v>
      </c>
      <c r="J1524">
        <v>0</v>
      </c>
      <c r="K1524" t="s">
        <v>2279</v>
      </c>
      <c r="L1524" t="s">
        <v>2279</v>
      </c>
      <c r="M1524" t="s">
        <v>2279</v>
      </c>
      <c r="N1524" t="s">
        <v>2279</v>
      </c>
      <c r="O1524" s="190" t="str">
        <f>"["&amp;$C1524&amp;"]["&amp;$D1524&amp;"]["&amp;$F1524&amp;"]"</f>
        <v>[S06_InstallationsVerificationReportsIssueDetail][18][ShareOfReportsConservativeEstimate]</v>
      </c>
    </row>
    <row r="1525" spans="1:15" x14ac:dyDescent="0.3">
      <c r="A1525" t="s">
        <v>2277</v>
      </c>
      <c r="B1525" t="s">
        <v>1985</v>
      </c>
      <c r="C1525" t="s">
        <v>1987</v>
      </c>
      <c r="D1525">
        <v>19</v>
      </c>
      <c r="E1525" t="s">
        <v>1447</v>
      </c>
      <c r="F1525" t="s">
        <v>1990</v>
      </c>
      <c r="G1525" t="s">
        <v>1806</v>
      </c>
      <c r="H1525" t="s">
        <v>2279</v>
      </c>
      <c r="I1525" t="s">
        <v>2279</v>
      </c>
      <c r="J1525">
        <v>0</v>
      </c>
      <c r="K1525" t="s">
        <v>2279</v>
      </c>
      <c r="L1525" t="s">
        <v>2279</v>
      </c>
      <c r="M1525" t="s">
        <v>2279</v>
      </c>
      <c r="N1525" t="s">
        <v>2279</v>
      </c>
      <c r="O1525" s="190" t="str">
        <f>"["&amp;$C1525&amp;"]["&amp;$D1525&amp;"]["&amp;$F1525&amp;"]"</f>
        <v>[S06_InstallationsVerificationReportsIssueDetail][19][ShareOfReportsConservativeEstimate]</v>
      </c>
    </row>
    <row r="1526" spans="1:15" x14ac:dyDescent="0.3">
      <c r="A1526" t="s">
        <v>2277</v>
      </c>
      <c r="B1526" t="s">
        <v>1985</v>
      </c>
      <c r="C1526" t="s">
        <v>1987</v>
      </c>
      <c r="D1526">
        <v>20</v>
      </c>
      <c r="E1526" t="s">
        <v>1447</v>
      </c>
      <c r="F1526" t="s">
        <v>1990</v>
      </c>
      <c r="G1526" t="s">
        <v>1806</v>
      </c>
      <c r="H1526" t="s">
        <v>2279</v>
      </c>
      <c r="I1526" t="s">
        <v>2279</v>
      </c>
      <c r="J1526">
        <v>0</v>
      </c>
      <c r="K1526" t="s">
        <v>2279</v>
      </c>
      <c r="L1526" t="s">
        <v>2279</v>
      </c>
      <c r="M1526" t="s">
        <v>2279</v>
      </c>
      <c r="N1526" t="s">
        <v>2279</v>
      </c>
      <c r="O1526" s="190" t="str">
        <f>"["&amp;$C1526&amp;"]["&amp;$D1526&amp;"]["&amp;$F1526&amp;"]"</f>
        <v>[S06_InstallationsVerificationReportsIssueDetail][20][ShareOfReportsConservativeEstimate]</v>
      </c>
    </row>
    <row r="1527" spans="1:15" x14ac:dyDescent="0.3">
      <c r="A1527" t="s">
        <v>2277</v>
      </c>
      <c r="B1527" t="s">
        <v>1985</v>
      </c>
      <c r="C1527" t="s">
        <v>1987</v>
      </c>
      <c r="D1527">
        <v>21</v>
      </c>
      <c r="E1527" t="s">
        <v>1447</v>
      </c>
      <c r="F1527" t="s">
        <v>1990</v>
      </c>
      <c r="G1527" t="s">
        <v>1806</v>
      </c>
      <c r="H1527" t="s">
        <v>2279</v>
      </c>
      <c r="I1527" t="s">
        <v>2279</v>
      </c>
      <c r="J1527">
        <v>0</v>
      </c>
      <c r="K1527" t="s">
        <v>2279</v>
      </c>
      <c r="L1527" t="s">
        <v>2279</v>
      </c>
      <c r="M1527" t="s">
        <v>2279</v>
      </c>
      <c r="N1527" t="s">
        <v>2279</v>
      </c>
      <c r="O1527" s="190" t="str">
        <f>"["&amp;$C1527&amp;"]["&amp;$D1527&amp;"]["&amp;$F1527&amp;"]"</f>
        <v>[S06_InstallationsVerificationReportsIssueDetail][21][ShareOfReportsConservativeEstimate]</v>
      </c>
    </row>
    <row r="1528" spans="1:15" x14ac:dyDescent="0.3">
      <c r="A1528" t="s">
        <v>2277</v>
      </c>
      <c r="B1528" t="s">
        <v>1985</v>
      </c>
      <c r="C1528" t="s">
        <v>1987</v>
      </c>
      <c r="D1528">
        <v>22</v>
      </c>
      <c r="E1528" t="s">
        <v>1447</v>
      </c>
      <c r="F1528" t="s">
        <v>1990</v>
      </c>
      <c r="G1528" t="s">
        <v>1806</v>
      </c>
      <c r="H1528" t="s">
        <v>2279</v>
      </c>
      <c r="I1528" t="s">
        <v>2279</v>
      </c>
      <c r="J1528">
        <v>0</v>
      </c>
      <c r="K1528" t="s">
        <v>2279</v>
      </c>
      <c r="L1528" t="s">
        <v>2279</v>
      </c>
      <c r="M1528" t="s">
        <v>2279</v>
      </c>
      <c r="N1528" t="s">
        <v>2279</v>
      </c>
      <c r="O1528" s="190" t="str">
        <f>"["&amp;$C1528&amp;"]["&amp;$D1528&amp;"]["&amp;$F1528&amp;"]"</f>
        <v>[S06_InstallationsVerificationReportsIssueDetail][22][ShareOfReportsConservativeEstimate]</v>
      </c>
    </row>
    <row r="1529" spans="1:15" x14ac:dyDescent="0.3">
      <c r="A1529" t="s">
        <v>2277</v>
      </c>
      <c r="B1529" t="s">
        <v>1985</v>
      </c>
      <c r="C1529" t="s">
        <v>1987</v>
      </c>
      <c r="D1529">
        <v>23</v>
      </c>
      <c r="E1529" t="s">
        <v>1447</v>
      </c>
      <c r="F1529" t="s">
        <v>1990</v>
      </c>
      <c r="G1529" t="s">
        <v>1806</v>
      </c>
      <c r="H1529" t="s">
        <v>2279</v>
      </c>
      <c r="I1529" t="s">
        <v>2279</v>
      </c>
      <c r="J1529">
        <v>0</v>
      </c>
      <c r="K1529" t="s">
        <v>2279</v>
      </c>
      <c r="L1529" t="s">
        <v>2279</v>
      </c>
      <c r="M1529" t="s">
        <v>2279</v>
      </c>
      <c r="N1529" t="s">
        <v>2279</v>
      </c>
      <c r="O1529" s="190" t="str">
        <f>"["&amp;$C1529&amp;"]["&amp;$D1529&amp;"]["&amp;$F1529&amp;"]"</f>
        <v>[S06_InstallationsVerificationReportsIssueDetail][23][ShareOfReportsConservativeEstimate]</v>
      </c>
    </row>
    <row r="1530" spans="1:15" x14ac:dyDescent="0.3">
      <c r="A1530" t="s">
        <v>2277</v>
      </c>
      <c r="B1530" t="s">
        <v>1985</v>
      </c>
      <c r="C1530" t="s">
        <v>1987</v>
      </c>
      <c r="D1530">
        <v>24</v>
      </c>
      <c r="E1530" t="s">
        <v>1447</v>
      </c>
      <c r="F1530" t="s">
        <v>1990</v>
      </c>
      <c r="G1530" t="s">
        <v>1806</v>
      </c>
      <c r="H1530" t="s">
        <v>2279</v>
      </c>
      <c r="I1530" t="s">
        <v>2279</v>
      </c>
      <c r="J1530">
        <v>0</v>
      </c>
      <c r="K1530" t="s">
        <v>2279</v>
      </c>
      <c r="L1530" t="s">
        <v>2279</v>
      </c>
      <c r="M1530" t="s">
        <v>2279</v>
      </c>
      <c r="N1530" t="s">
        <v>2279</v>
      </c>
      <c r="O1530" s="190" t="str">
        <f>"["&amp;$C1530&amp;"]["&amp;$D1530&amp;"]["&amp;$F1530&amp;"]"</f>
        <v>[S06_InstallationsVerificationReportsIssueDetail][24][ShareOfReportsConservativeEstimate]</v>
      </c>
    </row>
    <row r="1531" spans="1:15" x14ac:dyDescent="0.3">
      <c r="A1531" t="s">
        <v>2277</v>
      </c>
      <c r="B1531" t="s">
        <v>1985</v>
      </c>
      <c r="C1531" t="s">
        <v>1987</v>
      </c>
      <c r="D1531">
        <v>25</v>
      </c>
      <c r="E1531" t="s">
        <v>1447</v>
      </c>
      <c r="F1531" t="s">
        <v>1990</v>
      </c>
      <c r="G1531" t="s">
        <v>1806</v>
      </c>
      <c r="H1531" t="s">
        <v>2279</v>
      </c>
      <c r="I1531" t="s">
        <v>2279</v>
      </c>
      <c r="J1531">
        <v>0</v>
      </c>
      <c r="K1531" t="s">
        <v>2279</v>
      </c>
      <c r="L1531" t="s">
        <v>2279</v>
      </c>
      <c r="M1531" t="s">
        <v>2279</v>
      </c>
      <c r="N1531" t="s">
        <v>2279</v>
      </c>
      <c r="O1531" s="190" t="str">
        <f>"["&amp;$C1531&amp;"]["&amp;$D1531&amp;"]["&amp;$F1531&amp;"]"</f>
        <v>[S06_InstallationsVerificationReportsIssueDetail][25][ShareOfReportsConservativeEstimate]</v>
      </c>
    </row>
    <row r="1532" spans="1:15" x14ac:dyDescent="0.3">
      <c r="A1532" t="s">
        <v>2277</v>
      </c>
      <c r="B1532" t="s">
        <v>1985</v>
      </c>
      <c r="C1532" t="s">
        <v>1987</v>
      </c>
      <c r="D1532">
        <v>26</v>
      </c>
      <c r="E1532" t="s">
        <v>1447</v>
      </c>
      <c r="F1532" t="s">
        <v>1990</v>
      </c>
      <c r="G1532" t="s">
        <v>1806</v>
      </c>
      <c r="H1532" t="s">
        <v>2279</v>
      </c>
      <c r="I1532" t="s">
        <v>2279</v>
      </c>
      <c r="J1532">
        <v>0</v>
      </c>
      <c r="K1532" t="s">
        <v>2279</v>
      </c>
      <c r="L1532" t="s">
        <v>2279</v>
      </c>
      <c r="M1532" t="s">
        <v>2279</v>
      </c>
      <c r="N1532" t="s">
        <v>2279</v>
      </c>
      <c r="O1532" s="190" t="str">
        <f>"["&amp;$C1532&amp;"]["&amp;$D1532&amp;"]["&amp;$F1532&amp;"]"</f>
        <v>[S06_InstallationsVerificationReportsIssueDetail][26][ShareOfReportsConservativeEstimate]</v>
      </c>
    </row>
    <row r="1533" spans="1:15" x14ac:dyDescent="0.3">
      <c r="A1533" t="s">
        <v>2277</v>
      </c>
      <c r="B1533" t="s">
        <v>1985</v>
      </c>
      <c r="C1533" t="s">
        <v>1987</v>
      </c>
      <c r="D1533">
        <v>27</v>
      </c>
      <c r="E1533" t="s">
        <v>1447</v>
      </c>
      <c r="F1533" t="s">
        <v>1990</v>
      </c>
      <c r="G1533" t="s">
        <v>1806</v>
      </c>
      <c r="H1533" t="s">
        <v>2279</v>
      </c>
      <c r="I1533" t="s">
        <v>2279</v>
      </c>
      <c r="J1533">
        <v>0</v>
      </c>
      <c r="K1533" t="s">
        <v>2279</v>
      </c>
      <c r="L1533" t="s">
        <v>2279</v>
      </c>
      <c r="M1533" t="s">
        <v>2279</v>
      </c>
      <c r="N1533" t="s">
        <v>2279</v>
      </c>
      <c r="O1533" s="190" t="str">
        <f>"["&amp;$C1533&amp;"]["&amp;$D1533&amp;"]["&amp;$F1533&amp;"]"</f>
        <v>[S06_InstallationsVerificationReportsIssueDetail][27][ShareOfReportsConservativeEstimate]</v>
      </c>
    </row>
    <row r="1534" spans="1:15" x14ac:dyDescent="0.3">
      <c r="A1534" t="s">
        <v>2277</v>
      </c>
      <c r="B1534" t="s">
        <v>1985</v>
      </c>
      <c r="C1534" t="s">
        <v>1987</v>
      </c>
      <c r="D1534">
        <v>28</v>
      </c>
      <c r="E1534" t="s">
        <v>1447</v>
      </c>
      <c r="F1534" t="s">
        <v>1990</v>
      </c>
      <c r="G1534" t="s">
        <v>1806</v>
      </c>
      <c r="H1534" t="s">
        <v>2279</v>
      </c>
      <c r="I1534" t="s">
        <v>2279</v>
      </c>
      <c r="J1534">
        <v>0</v>
      </c>
      <c r="K1534" t="s">
        <v>2279</v>
      </c>
      <c r="L1534" t="s">
        <v>2279</v>
      </c>
      <c r="M1534" t="s">
        <v>2279</v>
      </c>
      <c r="N1534" t="s">
        <v>2279</v>
      </c>
      <c r="O1534" s="190" t="str">
        <f>"["&amp;$C1534&amp;"]["&amp;$D1534&amp;"]["&amp;$F1534&amp;"]"</f>
        <v>[S06_InstallationsVerificationReportsIssueDetail][28][ShareOfReportsConservativeEstimate]</v>
      </c>
    </row>
    <row r="1535" spans="1:15" x14ac:dyDescent="0.3">
      <c r="A1535" t="s">
        <v>2277</v>
      </c>
      <c r="B1535" t="s">
        <v>1985</v>
      </c>
      <c r="C1535" t="s">
        <v>1987</v>
      </c>
      <c r="D1535">
        <v>29</v>
      </c>
      <c r="E1535" t="s">
        <v>1447</v>
      </c>
      <c r="F1535" t="s">
        <v>1990</v>
      </c>
      <c r="G1535" t="s">
        <v>1806</v>
      </c>
      <c r="H1535" t="s">
        <v>2279</v>
      </c>
      <c r="I1535" t="s">
        <v>2279</v>
      </c>
      <c r="J1535">
        <v>0</v>
      </c>
      <c r="K1535" t="s">
        <v>2279</v>
      </c>
      <c r="L1535" t="s">
        <v>2279</v>
      </c>
      <c r="M1535" t="s">
        <v>2279</v>
      </c>
      <c r="N1535" t="s">
        <v>2279</v>
      </c>
      <c r="O1535" s="190" t="str">
        <f>"["&amp;$C1535&amp;"]["&amp;$D1535&amp;"]["&amp;$F1535&amp;"]"</f>
        <v>[S06_InstallationsVerificationReportsIssueDetail][29][ShareOfReportsConservativeEstimate]</v>
      </c>
    </row>
    <row r="1536" spans="1:15" x14ac:dyDescent="0.3">
      <c r="A1536" t="s">
        <v>2277</v>
      </c>
      <c r="B1536" t="s">
        <v>1985</v>
      </c>
      <c r="C1536" t="s">
        <v>1987</v>
      </c>
      <c r="D1536">
        <v>30</v>
      </c>
      <c r="E1536" t="s">
        <v>1447</v>
      </c>
      <c r="F1536" t="s">
        <v>1990</v>
      </c>
      <c r="G1536" t="s">
        <v>1806</v>
      </c>
      <c r="H1536" t="s">
        <v>2279</v>
      </c>
      <c r="I1536" t="s">
        <v>2279</v>
      </c>
      <c r="J1536">
        <v>0</v>
      </c>
      <c r="K1536" t="s">
        <v>2279</v>
      </c>
      <c r="L1536" t="s">
        <v>2279</v>
      </c>
      <c r="M1536" t="s">
        <v>2279</v>
      </c>
      <c r="N1536" t="s">
        <v>2279</v>
      </c>
      <c r="O1536" s="190" t="str">
        <f>"["&amp;$C1536&amp;"]["&amp;$D1536&amp;"]["&amp;$F1536&amp;"]"</f>
        <v>[S06_InstallationsVerificationReportsIssueDetail][30][ShareOfReportsConservativeEstimate]</v>
      </c>
    </row>
    <row r="1537" spans="1:15" x14ac:dyDescent="0.3">
      <c r="A1537" t="s">
        <v>2277</v>
      </c>
      <c r="B1537" t="s">
        <v>1985</v>
      </c>
      <c r="C1537" t="s">
        <v>1987</v>
      </c>
      <c r="D1537">
        <v>31</v>
      </c>
      <c r="E1537" t="s">
        <v>1447</v>
      </c>
      <c r="F1537" t="s">
        <v>1990</v>
      </c>
      <c r="G1537" t="s">
        <v>1806</v>
      </c>
      <c r="H1537" t="s">
        <v>2279</v>
      </c>
      <c r="I1537" t="s">
        <v>2279</v>
      </c>
      <c r="J1537">
        <v>0</v>
      </c>
      <c r="K1537" t="s">
        <v>2279</v>
      </c>
      <c r="L1537" t="s">
        <v>2279</v>
      </c>
      <c r="M1537" t="s">
        <v>2279</v>
      </c>
      <c r="N1537" t="s">
        <v>2279</v>
      </c>
      <c r="O1537" s="190" t="str">
        <f>"["&amp;$C1537&amp;"]["&amp;$D1537&amp;"]["&amp;$F1537&amp;"]"</f>
        <v>[S06_InstallationsVerificationReportsIssueDetail][31][ShareOfReportsConservativeEstimate]</v>
      </c>
    </row>
    <row r="1538" spans="1:15" x14ac:dyDescent="0.3">
      <c r="A1538" t="s">
        <v>2277</v>
      </c>
      <c r="B1538" t="s">
        <v>1985</v>
      </c>
      <c r="C1538" t="s">
        <v>1987</v>
      </c>
      <c r="D1538">
        <v>32</v>
      </c>
      <c r="E1538" t="s">
        <v>1447</v>
      </c>
      <c r="F1538" t="s">
        <v>1990</v>
      </c>
      <c r="G1538" t="s">
        <v>1806</v>
      </c>
      <c r="H1538" t="s">
        <v>2279</v>
      </c>
      <c r="I1538" t="s">
        <v>2279</v>
      </c>
      <c r="J1538">
        <v>0</v>
      </c>
      <c r="K1538" t="s">
        <v>2279</v>
      </c>
      <c r="L1538" t="s">
        <v>2279</v>
      </c>
      <c r="M1538" t="s">
        <v>2279</v>
      </c>
      <c r="N1538" t="s">
        <v>2279</v>
      </c>
      <c r="O1538" s="190" t="str">
        <f>"["&amp;$C1538&amp;"]["&amp;$D1538&amp;"]["&amp;$F1538&amp;"]"</f>
        <v>[S06_InstallationsVerificationReportsIssueDetail][32][ShareOfReportsConservativeEstimate]</v>
      </c>
    </row>
    <row r="1539" spans="1:15" x14ac:dyDescent="0.3">
      <c r="A1539" t="s">
        <v>2277</v>
      </c>
      <c r="B1539" t="s">
        <v>1985</v>
      </c>
      <c r="C1539" t="s">
        <v>1987</v>
      </c>
      <c r="D1539">
        <v>33</v>
      </c>
      <c r="E1539" t="s">
        <v>1447</v>
      </c>
      <c r="F1539" t="s">
        <v>1990</v>
      </c>
      <c r="G1539" t="s">
        <v>1806</v>
      </c>
      <c r="H1539" t="s">
        <v>2279</v>
      </c>
      <c r="I1539" t="s">
        <v>2279</v>
      </c>
      <c r="J1539">
        <v>0</v>
      </c>
      <c r="K1539" t="s">
        <v>2279</v>
      </c>
      <c r="L1539" t="s">
        <v>2279</v>
      </c>
      <c r="M1539" t="s">
        <v>2279</v>
      </c>
      <c r="N1539" t="s">
        <v>2279</v>
      </c>
      <c r="O1539" s="190" t="str">
        <f>"["&amp;$C1539&amp;"]["&amp;$D1539&amp;"]["&amp;$F1539&amp;"]"</f>
        <v>[S06_InstallationsVerificationReportsIssueDetail][33][ShareOfReportsConservativeEstimate]</v>
      </c>
    </row>
    <row r="1540" spans="1:15" x14ac:dyDescent="0.3">
      <c r="A1540" t="s">
        <v>2277</v>
      </c>
      <c r="B1540" t="s">
        <v>1985</v>
      </c>
      <c r="C1540" t="s">
        <v>1987</v>
      </c>
      <c r="D1540">
        <v>34</v>
      </c>
      <c r="E1540" t="s">
        <v>1447</v>
      </c>
      <c r="F1540" t="s">
        <v>1990</v>
      </c>
      <c r="G1540" t="s">
        <v>1806</v>
      </c>
      <c r="H1540" t="s">
        <v>2279</v>
      </c>
      <c r="I1540" t="s">
        <v>2279</v>
      </c>
      <c r="J1540">
        <v>0</v>
      </c>
      <c r="K1540" t="s">
        <v>2279</v>
      </c>
      <c r="L1540" t="s">
        <v>2279</v>
      </c>
      <c r="M1540" t="s">
        <v>2279</v>
      </c>
      <c r="N1540" t="s">
        <v>2279</v>
      </c>
      <c r="O1540" s="190" t="str">
        <f>"["&amp;$C1540&amp;"]["&amp;$D1540&amp;"]["&amp;$F1540&amp;"]"</f>
        <v>[S06_InstallationsVerificationReportsIssueDetail][34][ShareOfReportsConservativeEstimate]</v>
      </c>
    </row>
    <row r="1541" spans="1:15" x14ac:dyDescent="0.3">
      <c r="A1541" t="s">
        <v>2277</v>
      </c>
      <c r="B1541" t="s">
        <v>1985</v>
      </c>
      <c r="C1541" t="s">
        <v>1987</v>
      </c>
      <c r="D1541">
        <v>35</v>
      </c>
      <c r="E1541" t="s">
        <v>1447</v>
      </c>
      <c r="F1541" t="s">
        <v>1990</v>
      </c>
      <c r="G1541" t="s">
        <v>1806</v>
      </c>
      <c r="H1541" t="s">
        <v>2279</v>
      </c>
      <c r="I1541" t="s">
        <v>2279</v>
      </c>
      <c r="J1541">
        <v>0</v>
      </c>
      <c r="K1541" t="s">
        <v>2279</v>
      </c>
      <c r="L1541" t="s">
        <v>2279</v>
      </c>
      <c r="M1541" t="s">
        <v>2279</v>
      </c>
      <c r="N1541" t="s">
        <v>2279</v>
      </c>
      <c r="O1541" s="190" t="str">
        <f>"["&amp;$C1541&amp;"]["&amp;$D1541&amp;"]["&amp;$F1541&amp;"]"</f>
        <v>[S06_InstallationsVerificationReportsIssueDetail][35][ShareOfReportsConservativeEstimate]</v>
      </c>
    </row>
    <row r="1542" spans="1:15" x14ac:dyDescent="0.3">
      <c r="A1542" t="s">
        <v>2277</v>
      </c>
      <c r="B1542" t="s">
        <v>1985</v>
      </c>
      <c r="C1542" t="s">
        <v>1987</v>
      </c>
      <c r="D1542">
        <v>36</v>
      </c>
      <c r="E1542" t="s">
        <v>1447</v>
      </c>
      <c r="F1542" t="s">
        <v>1990</v>
      </c>
      <c r="G1542" t="s">
        <v>1806</v>
      </c>
      <c r="H1542" t="s">
        <v>2279</v>
      </c>
      <c r="I1542" t="s">
        <v>2279</v>
      </c>
      <c r="J1542">
        <v>0</v>
      </c>
      <c r="K1542" t="s">
        <v>2279</v>
      </c>
      <c r="L1542" t="s">
        <v>2279</v>
      </c>
      <c r="M1542" t="s">
        <v>2279</v>
      </c>
      <c r="N1542" t="s">
        <v>2279</v>
      </c>
      <c r="O1542" s="190" t="str">
        <f>"["&amp;$C1542&amp;"]["&amp;$D1542&amp;"]["&amp;$F1542&amp;"]"</f>
        <v>[S06_InstallationsVerificationReportsIssueDetail][36][ShareOfReportsConservativeEstimate]</v>
      </c>
    </row>
    <row r="1543" spans="1:15" x14ac:dyDescent="0.3">
      <c r="A1543" t="s">
        <v>2277</v>
      </c>
      <c r="B1543" t="s">
        <v>1985</v>
      </c>
      <c r="C1543" t="s">
        <v>1987</v>
      </c>
      <c r="D1543">
        <v>37</v>
      </c>
      <c r="E1543" t="s">
        <v>1447</v>
      </c>
      <c r="F1543" t="s">
        <v>1990</v>
      </c>
      <c r="G1543" t="s">
        <v>1806</v>
      </c>
      <c r="H1543" t="s">
        <v>2279</v>
      </c>
      <c r="I1543" t="s">
        <v>2279</v>
      </c>
      <c r="J1543">
        <v>0</v>
      </c>
      <c r="K1543" t="s">
        <v>2279</v>
      </c>
      <c r="L1543" t="s">
        <v>2279</v>
      </c>
      <c r="M1543" t="s">
        <v>2279</v>
      </c>
      <c r="N1543" t="s">
        <v>2279</v>
      </c>
      <c r="O1543" s="190" t="str">
        <f>"["&amp;$C1543&amp;"]["&amp;$D1543&amp;"]["&amp;$F1543&amp;"]"</f>
        <v>[S06_InstallationsVerificationReportsIssueDetail][37][ShareOfReportsConservativeEstimate]</v>
      </c>
    </row>
    <row r="1544" spans="1:15" x14ac:dyDescent="0.3">
      <c r="A1544" t="s">
        <v>2277</v>
      </c>
      <c r="B1544" t="s">
        <v>1985</v>
      </c>
      <c r="C1544" t="s">
        <v>1987</v>
      </c>
      <c r="D1544">
        <v>38</v>
      </c>
      <c r="E1544" t="s">
        <v>1447</v>
      </c>
      <c r="F1544" t="s">
        <v>1990</v>
      </c>
      <c r="G1544" t="s">
        <v>1806</v>
      </c>
      <c r="H1544" t="s">
        <v>2279</v>
      </c>
      <c r="I1544" t="s">
        <v>2279</v>
      </c>
      <c r="J1544">
        <v>0</v>
      </c>
      <c r="K1544" t="s">
        <v>2279</v>
      </c>
      <c r="L1544" t="s">
        <v>2279</v>
      </c>
      <c r="M1544" t="s">
        <v>2279</v>
      </c>
      <c r="N1544" t="s">
        <v>2279</v>
      </c>
      <c r="O1544" s="190" t="str">
        <f>"["&amp;$C1544&amp;"]["&amp;$D1544&amp;"]["&amp;$F1544&amp;"]"</f>
        <v>[S06_InstallationsVerificationReportsIssueDetail][38][ShareOfReportsConservativeEstimate]</v>
      </c>
    </row>
    <row r="1545" spans="1:15" x14ac:dyDescent="0.3">
      <c r="A1545" t="s">
        <v>2277</v>
      </c>
      <c r="B1545" t="s">
        <v>1985</v>
      </c>
      <c r="C1545" t="s">
        <v>1987</v>
      </c>
      <c r="D1545">
        <v>39</v>
      </c>
      <c r="E1545" t="s">
        <v>1447</v>
      </c>
      <c r="F1545" t="s">
        <v>1990</v>
      </c>
      <c r="G1545" t="s">
        <v>1806</v>
      </c>
      <c r="H1545" t="s">
        <v>2279</v>
      </c>
      <c r="I1545" t="s">
        <v>2279</v>
      </c>
      <c r="J1545">
        <v>0</v>
      </c>
      <c r="K1545" t="s">
        <v>2279</v>
      </c>
      <c r="L1545" t="s">
        <v>2279</v>
      </c>
      <c r="M1545" t="s">
        <v>2279</v>
      </c>
      <c r="N1545" t="s">
        <v>2279</v>
      </c>
      <c r="O1545" s="190" t="str">
        <f>"["&amp;$C1545&amp;"]["&amp;$D1545&amp;"]["&amp;$F1545&amp;"]"</f>
        <v>[S06_InstallationsVerificationReportsIssueDetail][39][ShareOfReportsConservativeEstimate]</v>
      </c>
    </row>
    <row r="1546" spans="1:15" x14ac:dyDescent="0.3">
      <c r="A1546" t="s">
        <v>2277</v>
      </c>
      <c r="B1546" t="s">
        <v>1985</v>
      </c>
      <c r="C1546" t="s">
        <v>1987</v>
      </c>
      <c r="D1546">
        <v>40</v>
      </c>
      <c r="E1546" t="s">
        <v>1447</v>
      </c>
      <c r="F1546" t="s">
        <v>1990</v>
      </c>
      <c r="G1546" t="s">
        <v>1806</v>
      </c>
      <c r="H1546" t="s">
        <v>2279</v>
      </c>
      <c r="I1546" t="s">
        <v>2279</v>
      </c>
      <c r="J1546">
        <v>0</v>
      </c>
      <c r="K1546" t="s">
        <v>2279</v>
      </c>
      <c r="L1546" t="s">
        <v>2279</v>
      </c>
      <c r="M1546" t="s">
        <v>2279</v>
      </c>
      <c r="N1546" t="s">
        <v>2279</v>
      </c>
      <c r="O1546" s="190" t="str">
        <f>"["&amp;$C1546&amp;"]["&amp;$D1546&amp;"]["&amp;$F1546&amp;"]"</f>
        <v>[S06_InstallationsVerificationReportsIssueDetail][40][ShareOfReportsConservativeEstimate]</v>
      </c>
    </row>
    <row r="1547" spans="1:15" x14ac:dyDescent="0.3">
      <c r="A1547" t="s">
        <v>2277</v>
      </c>
      <c r="B1547" t="s">
        <v>1985</v>
      </c>
      <c r="C1547" t="s">
        <v>1987</v>
      </c>
      <c r="D1547">
        <v>41</v>
      </c>
      <c r="E1547" t="s">
        <v>1447</v>
      </c>
      <c r="F1547" t="s">
        <v>1990</v>
      </c>
      <c r="G1547" t="s">
        <v>1806</v>
      </c>
      <c r="H1547" t="s">
        <v>2279</v>
      </c>
      <c r="I1547" t="s">
        <v>2279</v>
      </c>
      <c r="J1547">
        <v>0</v>
      </c>
      <c r="K1547" t="s">
        <v>2279</v>
      </c>
      <c r="L1547" t="s">
        <v>2279</v>
      </c>
      <c r="M1547" t="s">
        <v>2279</v>
      </c>
      <c r="N1547" t="s">
        <v>2279</v>
      </c>
      <c r="O1547" s="190" t="str">
        <f>"["&amp;$C1547&amp;"]["&amp;$D1547&amp;"]["&amp;$F1547&amp;"]"</f>
        <v>[S06_InstallationsVerificationReportsIssueDetail][41][ShareOfReportsConservativeEstimate]</v>
      </c>
    </row>
    <row r="1548" spans="1:15" x14ac:dyDescent="0.3">
      <c r="A1548" t="s">
        <v>2277</v>
      </c>
      <c r="B1548" t="s">
        <v>1985</v>
      </c>
      <c r="C1548" t="s">
        <v>1987</v>
      </c>
      <c r="D1548">
        <v>42</v>
      </c>
      <c r="E1548" t="s">
        <v>1447</v>
      </c>
      <c r="F1548" t="s">
        <v>1990</v>
      </c>
      <c r="G1548" t="s">
        <v>1806</v>
      </c>
      <c r="H1548" t="s">
        <v>2279</v>
      </c>
      <c r="I1548" t="s">
        <v>2279</v>
      </c>
      <c r="J1548">
        <v>0</v>
      </c>
      <c r="K1548" t="s">
        <v>2279</v>
      </c>
      <c r="L1548" t="s">
        <v>2279</v>
      </c>
      <c r="M1548" t="s">
        <v>2279</v>
      </c>
      <c r="N1548" t="s">
        <v>2279</v>
      </c>
      <c r="O1548" s="190" t="str">
        <f>"["&amp;$C1548&amp;"]["&amp;$D1548&amp;"]["&amp;$F1548&amp;"]"</f>
        <v>[S06_InstallationsVerificationReportsIssueDetail][42][ShareOfReportsConservativeEstimate]</v>
      </c>
    </row>
    <row r="1549" spans="1:15" x14ac:dyDescent="0.3">
      <c r="A1549" t="s">
        <v>2277</v>
      </c>
      <c r="B1549" t="s">
        <v>1985</v>
      </c>
      <c r="C1549" t="s">
        <v>1987</v>
      </c>
      <c r="D1549">
        <v>43</v>
      </c>
      <c r="E1549" t="s">
        <v>1447</v>
      </c>
      <c r="F1549" t="s">
        <v>1990</v>
      </c>
      <c r="G1549" t="s">
        <v>1806</v>
      </c>
      <c r="H1549" t="s">
        <v>2279</v>
      </c>
      <c r="I1549" t="s">
        <v>2279</v>
      </c>
      <c r="J1549">
        <v>0</v>
      </c>
      <c r="K1549" t="s">
        <v>2279</v>
      </c>
      <c r="L1549" t="s">
        <v>2279</v>
      </c>
      <c r="M1549" t="s">
        <v>2279</v>
      </c>
      <c r="N1549" t="s">
        <v>2279</v>
      </c>
      <c r="O1549" s="190" t="str">
        <f>"["&amp;$C1549&amp;"]["&amp;$D1549&amp;"]["&amp;$F1549&amp;"]"</f>
        <v>[S06_InstallationsVerificationReportsIssueDetail][43][ShareOfReportsConservativeEstimate]</v>
      </c>
    </row>
    <row r="1550" spans="1:15" x14ac:dyDescent="0.3">
      <c r="A1550" t="s">
        <v>2277</v>
      </c>
      <c r="B1550" t="s">
        <v>1985</v>
      </c>
      <c r="C1550" t="s">
        <v>1987</v>
      </c>
      <c r="D1550">
        <v>44</v>
      </c>
      <c r="E1550" t="s">
        <v>1447</v>
      </c>
      <c r="F1550" t="s">
        <v>1990</v>
      </c>
      <c r="G1550" t="s">
        <v>1806</v>
      </c>
      <c r="H1550" t="s">
        <v>2279</v>
      </c>
      <c r="I1550" t="s">
        <v>2279</v>
      </c>
      <c r="J1550">
        <v>0</v>
      </c>
      <c r="K1550" t="s">
        <v>2279</v>
      </c>
      <c r="L1550" t="s">
        <v>2279</v>
      </c>
      <c r="M1550" t="s">
        <v>2279</v>
      </c>
      <c r="N1550" t="s">
        <v>2279</v>
      </c>
      <c r="O1550" s="190" t="str">
        <f>"["&amp;$C1550&amp;"]["&amp;$D1550&amp;"]["&amp;$F1550&amp;"]"</f>
        <v>[S06_InstallationsVerificationReportsIssueDetail][44][ShareOfReportsConservativeEstimate]</v>
      </c>
    </row>
    <row r="1551" spans="1:15" x14ac:dyDescent="0.3">
      <c r="A1551" t="s">
        <v>2277</v>
      </c>
      <c r="B1551" t="s">
        <v>1985</v>
      </c>
      <c r="C1551" t="s">
        <v>1987</v>
      </c>
      <c r="D1551">
        <v>45</v>
      </c>
      <c r="E1551" t="s">
        <v>1447</v>
      </c>
      <c r="F1551" t="s">
        <v>1990</v>
      </c>
      <c r="G1551" t="s">
        <v>1806</v>
      </c>
      <c r="H1551" t="s">
        <v>2279</v>
      </c>
      <c r="I1551" t="s">
        <v>2279</v>
      </c>
      <c r="J1551">
        <v>0</v>
      </c>
      <c r="K1551" t="s">
        <v>2279</v>
      </c>
      <c r="L1551" t="s">
        <v>2279</v>
      </c>
      <c r="M1551" t="s">
        <v>2279</v>
      </c>
      <c r="N1551" t="s">
        <v>2279</v>
      </c>
      <c r="O1551" s="190" t="str">
        <f>"["&amp;$C1551&amp;"]["&amp;$D1551&amp;"]["&amp;$F1551&amp;"]"</f>
        <v>[S06_InstallationsVerificationReportsIssueDetail][45][ShareOfReportsConservativeEstimate]</v>
      </c>
    </row>
    <row r="1552" spans="1:15" x14ac:dyDescent="0.3">
      <c r="A1552" t="s">
        <v>2277</v>
      </c>
      <c r="B1552" t="s">
        <v>1985</v>
      </c>
      <c r="C1552" t="s">
        <v>1987</v>
      </c>
      <c r="D1552">
        <v>46</v>
      </c>
      <c r="E1552" t="s">
        <v>1447</v>
      </c>
      <c r="F1552" t="s">
        <v>1990</v>
      </c>
      <c r="G1552" t="s">
        <v>1806</v>
      </c>
      <c r="H1552" t="s">
        <v>2279</v>
      </c>
      <c r="I1552" t="s">
        <v>2279</v>
      </c>
      <c r="J1552">
        <v>0</v>
      </c>
      <c r="K1552" t="s">
        <v>2279</v>
      </c>
      <c r="L1552" t="s">
        <v>2279</v>
      </c>
      <c r="M1552" t="s">
        <v>2279</v>
      </c>
      <c r="N1552" t="s">
        <v>2279</v>
      </c>
      <c r="O1552" s="190" t="str">
        <f>"["&amp;$C1552&amp;"]["&amp;$D1552&amp;"]["&amp;$F1552&amp;"]"</f>
        <v>[S06_InstallationsVerificationReportsIssueDetail][46][ShareOfReportsConservativeEstimate]</v>
      </c>
    </row>
    <row r="1553" spans="1:15" x14ac:dyDescent="0.3">
      <c r="A1553" t="s">
        <v>2277</v>
      </c>
      <c r="B1553" t="s">
        <v>1985</v>
      </c>
      <c r="C1553" t="s">
        <v>1987</v>
      </c>
      <c r="D1553">
        <v>47</v>
      </c>
      <c r="E1553" t="s">
        <v>1447</v>
      </c>
      <c r="F1553" t="s">
        <v>1990</v>
      </c>
      <c r="G1553" t="s">
        <v>1806</v>
      </c>
      <c r="H1553" t="s">
        <v>2279</v>
      </c>
      <c r="I1553" t="s">
        <v>2279</v>
      </c>
      <c r="J1553">
        <v>0</v>
      </c>
      <c r="K1553" t="s">
        <v>2279</v>
      </c>
      <c r="L1553" t="s">
        <v>2279</v>
      </c>
      <c r="M1553" t="s">
        <v>2279</v>
      </c>
      <c r="N1553" t="s">
        <v>2279</v>
      </c>
      <c r="O1553" s="190" t="str">
        <f>"["&amp;$C1553&amp;"]["&amp;$D1553&amp;"]["&amp;$F1553&amp;"]"</f>
        <v>[S06_InstallationsVerificationReportsIssueDetail][47][ShareOfReportsConservativeEstimate]</v>
      </c>
    </row>
    <row r="1554" spans="1:15" x14ac:dyDescent="0.3">
      <c r="A1554" t="s">
        <v>2277</v>
      </c>
      <c r="B1554" t="s">
        <v>1985</v>
      </c>
      <c r="C1554" t="s">
        <v>1987</v>
      </c>
      <c r="D1554">
        <v>48</v>
      </c>
      <c r="E1554" t="s">
        <v>1447</v>
      </c>
      <c r="F1554" t="s">
        <v>1990</v>
      </c>
      <c r="G1554" t="s">
        <v>1806</v>
      </c>
      <c r="H1554" t="s">
        <v>2279</v>
      </c>
      <c r="I1554" t="s">
        <v>2279</v>
      </c>
      <c r="J1554">
        <v>0</v>
      </c>
      <c r="K1554" t="s">
        <v>2279</v>
      </c>
      <c r="L1554" t="s">
        <v>2279</v>
      </c>
      <c r="M1554" t="s">
        <v>2279</v>
      </c>
      <c r="N1554" t="s">
        <v>2279</v>
      </c>
      <c r="O1554" s="190" t="str">
        <f>"["&amp;$C1554&amp;"]["&amp;$D1554&amp;"]["&amp;$F1554&amp;"]"</f>
        <v>[S06_InstallationsVerificationReportsIssueDetail][48][ShareOfReportsConservativeEstimate]</v>
      </c>
    </row>
    <row r="1555" spans="1:15" x14ac:dyDescent="0.3">
      <c r="A1555" t="s">
        <v>2277</v>
      </c>
      <c r="B1555" t="s">
        <v>1985</v>
      </c>
      <c r="C1555" t="s">
        <v>1987</v>
      </c>
      <c r="D1555">
        <v>49</v>
      </c>
      <c r="E1555" t="s">
        <v>1447</v>
      </c>
      <c r="F1555" t="s">
        <v>1990</v>
      </c>
      <c r="G1555" t="s">
        <v>1806</v>
      </c>
      <c r="H1555" t="s">
        <v>2279</v>
      </c>
      <c r="I1555" t="s">
        <v>2279</v>
      </c>
      <c r="J1555">
        <v>0</v>
      </c>
      <c r="K1555" t="s">
        <v>2279</v>
      </c>
      <c r="L1555" t="s">
        <v>2279</v>
      </c>
      <c r="M1555" t="s">
        <v>2279</v>
      </c>
      <c r="N1555" t="s">
        <v>2279</v>
      </c>
      <c r="O1555" s="190" t="str">
        <f>"["&amp;$C1555&amp;"]["&amp;$D1555&amp;"]["&amp;$F1555&amp;"]"</f>
        <v>[S06_InstallationsVerificationReportsIssueDetail][49][ShareOfReportsConservativeEstimate]</v>
      </c>
    </row>
    <row r="1556" spans="1:15" x14ac:dyDescent="0.3">
      <c r="A1556" t="s">
        <v>2277</v>
      </c>
      <c r="B1556" t="s">
        <v>1985</v>
      </c>
      <c r="C1556" t="s">
        <v>1987</v>
      </c>
      <c r="D1556">
        <v>50</v>
      </c>
      <c r="E1556" t="s">
        <v>1447</v>
      </c>
      <c r="F1556" t="s">
        <v>1990</v>
      </c>
      <c r="G1556" t="s">
        <v>1806</v>
      </c>
      <c r="H1556" t="s">
        <v>2279</v>
      </c>
      <c r="I1556" t="s">
        <v>2279</v>
      </c>
      <c r="J1556">
        <v>0</v>
      </c>
      <c r="K1556" t="s">
        <v>2279</v>
      </c>
      <c r="L1556" t="s">
        <v>2279</v>
      </c>
      <c r="M1556" t="s">
        <v>2279</v>
      </c>
      <c r="N1556" t="s">
        <v>2279</v>
      </c>
      <c r="O1556" s="190" t="str">
        <f>"["&amp;$C1556&amp;"]["&amp;$D1556&amp;"]["&amp;$F1556&amp;"]"</f>
        <v>[S06_InstallationsVerificationReportsIssueDetail][50][ShareOfReportsConservativeEstimate]</v>
      </c>
    </row>
    <row r="1557" spans="1:15" x14ac:dyDescent="0.3">
      <c r="A1557" t="s">
        <v>2277</v>
      </c>
      <c r="B1557" t="s">
        <v>1985</v>
      </c>
      <c r="C1557" t="s">
        <v>1987</v>
      </c>
      <c r="D1557">
        <v>51</v>
      </c>
      <c r="E1557" t="s">
        <v>1447</v>
      </c>
      <c r="F1557" t="s">
        <v>1990</v>
      </c>
      <c r="G1557" t="s">
        <v>1806</v>
      </c>
      <c r="H1557" t="s">
        <v>2279</v>
      </c>
      <c r="I1557" t="s">
        <v>2279</v>
      </c>
      <c r="J1557">
        <v>0</v>
      </c>
      <c r="K1557" t="s">
        <v>2279</v>
      </c>
      <c r="L1557" t="s">
        <v>2279</v>
      </c>
      <c r="M1557" t="s">
        <v>2279</v>
      </c>
      <c r="N1557" t="s">
        <v>2279</v>
      </c>
      <c r="O1557" s="190" t="str">
        <f>"["&amp;$C1557&amp;"]["&amp;$D1557&amp;"]["&amp;$F1557&amp;"]"</f>
        <v>[S06_InstallationsVerificationReportsIssueDetail][51][ShareOfReportsConservativeEstimate]</v>
      </c>
    </row>
    <row r="1558" spans="1:15" x14ac:dyDescent="0.3">
      <c r="A1558" t="s">
        <v>2277</v>
      </c>
      <c r="B1558" t="s">
        <v>1985</v>
      </c>
      <c r="C1558" t="s">
        <v>1987</v>
      </c>
      <c r="D1558">
        <v>52</v>
      </c>
      <c r="E1558" t="s">
        <v>1447</v>
      </c>
      <c r="F1558" t="s">
        <v>1990</v>
      </c>
      <c r="G1558" t="s">
        <v>1806</v>
      </c>
      <c r="H1558" t="s">
        <v>2279</v>
      </c>
      <c r="I1558" t="s">
        <v>2279</v>
      </c>
      <c r="J1558">
        <v>0</v>
      </c>
      <c r="K1558" t="s">
        <v>2279</v>
      </c>
      <c r="L1558" t="s">
        <v>2279</v>
      </c>
      <c r="M1558" t="s">
        <v>2279</v>
      </c>
      <c r="N1558" t="s">
        <v>2279</v>
      </c>
      <c r="O1558" s="190" t="str">
        <f>"["&amp;$C1558&amp;"]["&amp;$D1558&amp;"]["&amp;$F1558&amp;"]"</f>
        <v>[S06_InstallationsVerificationReportsIssueDetail][52][ShareOfReportsConservativeEstimate]</v>
      </c>
    </row>
    <row r="1559" spans="1:15" x14ac:dyDescent="0.3">
      <c r="A1559" t="s">
        <v>2277</v>
      </c>
      <c r="B1559" t="s">
        <v>1985</v>
      </c>
      <c r="C1559" t="s">
        <v>1987</v>
      </c>
      <c r="D1559">
        <v>53</v>
      </c>
      <c r="E1559" t="s">
        <v>1447</v>
      </c>
      <c r="F1559" t="s">
        <v>1990</v>
      </c>
      <c r="G1559" t="s">
        <v>1806</v>
      </c>
      <c r="H1559" t="s">
        <v>2279</v>
      </c>
      <c r="I1559" t="s">
        <v>2279</v>
      </c>
      <c r="J1559">
        <v>0</v>
      </c>
      <c r="K1559" t="s">
        <v>2279</v>
      </c>
      <c r="L1559" t="s">
        <v>2279</v>
      </c>
      <c r="M1559" t="s">
        <v>2279</v>
      </c>
      <c r="N1559" t="s">
        <v>2279</v>
      </c>
      <c r="O1559" s="190" t="str">
        <f>"["&amp;$C1559&amp;"]["&amp;$D1559&amp;"]["&amp;$F1559&amp;"]"</f>
        <v>[S06_InstallationsVerificationReportsIssueDetail][53][ShareOfReportsConservativeEstimate]</v>
      </c>
    </row>
    <row r="1560" spans="1:15" x14ac:dyDescent="0.3">
      <c r="A1560" t="s">
        <v>2277</v>
      </c>
      <c r="B1560" t="s">
        <v>1985</v>
      </c>
      <c r="C1560" t="s">
        <v>1987</v>
      </c>
      <c r="D1560">
        <v>54</v>
      </c>
      <c r="E1560" t="s">
        <v>1447</v>
      </c>
      <c r="F1560" t="s">
        <v>1990</v>
      </c>
      <c r="G1560" t="s">
        <v>1806</v>
      </c>
      <c r="H1560" t="s">
        <v>2279</v>
      </c>
      <c r="I1560" t="s">
        <v>2279</v>
      </c>
      <c r="J1560">
        <v>0</v>
      </c>
      <c r="K1560" t="s">
        <v>2279</v>
      </c>
      <c r="L1560" t="s">
        <v>2279</v>
      </c>
      <c r="M1560" t="s">
        <v>2279</v>
      </c>
      <c r="N1560" t="s">
        <v>2279</v>
      </c>
      <c r="O1560" s="190" t="str">
        <f>"["&amp;$C1560&amp;"]["&amp;$D1560&amp;"]["&amp;$F1560&amp;"]"</f>
        <v>[S06_InstallationsVerificationReportsIssueDetail][54][ShareOfReportsConservativeEstimate]</v>
      </c>
    </row>
    <row r="1561" spans="1:15" x14ac:dyDescent="0.3">
      <c r="A1561" t="s">
        <v>2277</v>
      </c>
      <c r="B1561" t="s">
        <v>1985</v>
      </c>
      <c r="C1561" t="s">
        <v>1987</v>
      </c>
      <c r="D1561">
        <v>55</v>
      </c>
      <c r="E1561" t="s">
        <v>1447</v>
      </c>
      <c r="F1561" t="s">
        <v>1990</v>
      </c>
      <c r="G1561" t="s">
        <v>1806</v>
      </c>
      <c r="H1561" t="s">
        <v>2279</v>
      </c>
      <c r="I1561" t="s">
        <v>2279</v>
      </c>
      <c r="J1561">
        <v>0</v>
      </c>
      <c r="K1561" t="s">
        <v>2279</v>
      </c>
      <c r="L1561" t="s">
        <v>2279</v>
      </c>
      <c r="M1561" t="s">
        <v>2279</v>
      </c>
      <c r="N1561" t="s">
        <v>2279</v>
      </c>
      <c r="O1561" s="190" t="str">
        <f>"["&amp;$C1561&amp;"]["&amp;$D1561&amp;"]["&amp;$F1561&amp;"]"</f>
        <v>[S06_InstallationsVerificationReportsIssueDetail][55][ShareOfReportsConservativeEstimate]</v>
      </c>
    </row>
    <row r="1562" spans="1:15" x14ac:dyDescent="0.3">
      <c r="A1562" t="s">
        <v>2277</v>
      </c>
      <c r="B1562" t="s">
        <v>1985</v>
      </c>
      <c r="C1562" t="s">
        <v>1987</v>
      </c>
      <c r="D1562">
        <v>56</v>
      </c>
      <c r="E1562" t="s">
        <v>1447</v>
      </c>
      <c r="F1562" t="s">
        <v>1990</v>
      </c>
      <c r="G1562" t="s">
        <v>1806</v>
      </c>
      <c r="H1562" t="s">
        <v>2279</v>
      </c>
      <c r="I1562" t="s">
        <v>2279</v>
      </c>
      <c r="J1562">
        <v>0</v>
      </c>
      <c r="K1562" t="s">
        <v>2279</v>
      </c>
      <c r="L1562" t="s">
        <v>2279</v>
      </c>
      <c r="M1562" t="s">
        <v>2279</v>
      </c>
      <c r="N1562" t="s">
        <v>2279</v>
      </c>
      <c r="O1562" s="190" t="str">
        <f>"["&amp;$C1562&amp;"]["&amp;$D1562&amp;"]["&amp;$F1562&amp;"]"</f>
        <v>[S06_InstallationsVerificationReportsIssueDetail][56][ShareOfReportsConservativeEstimate]</v>
      </c>
    </row>
    <row r="1563" spans="1:15" x14ac:dyDescent="0.3">
      <c r="A1563" t="s">
        <v>2277</v>
      </c>
      <c r="B1563" t="s">
        <v>1985</v>
      </c>
      <c r="C1563" t="s">
        <v>1987</v>
      </c>
      <c r="D1563">
        <v>57</v>
      </c>
      <c r="E1563" t="s">
        <v>1447</v>
      </c>
      <c r="F1563" t="s">
        <v>1990</v>
      </c>
      <c r="G1563" t="s">
        <v>1806</v>
      </c>
      <c r="H1563" t="s">
        <v>2279</v>
      </c>
      <c r="I1563" t="s">
        <v>2279</v>
      </c>
      <c r="J1563">
        <v>0</v>
      </c>
      <c r="K1563" t="s">
        <v>2279</v>
      </c>
      <c r="L1563" t="s">
        <v>2279</v>
      </c>
      <c r="M1563" t="s">
        <v>2279</v>
      </c>
      <c r="N1563" t="s">
        <v>2279</v>
      </c>
      <c r="O1563" s="190" t="str">
        <f>"["&amp;$C1563&amp;"]["&amp;$D1563&amp;"]["&amp;$F1563&amp;"]"</f>
        <v>[S06_InstallationsVerificationReportsIssueDetail][57][ShareOfReportsConservativeEstimate]</v>
      </c>
    </row>
    <row r="1564" spans="1:15" x14ac:dyDescent="0.3">
      <c r="A1564" t="s">
        <v>2277</v>
      </c>
      <c r="B1564" t="s">
        <v>1985</v>
      </c>
      <c r="C1564" t="s">
        <v>1987</v>
      </c>
      <c r="D1564">
        <v>58</v>
      </c>
      <c r="E1564" t="s">
        <v>1447</v>
      </c>
      <c r="F1564" t="s">
        <v>1990</v>
      </c>
      <c r="G1564" t="s">
        <v>1806</v>
      </c>
      <c r="H1564" t="s">
        <v>2279</v>
      </c>
      <c r="I1564" t="s">
        <v>2279</v>
      </c>
      <c r="J1564">
        <v>0</v>
      </c>
      <c r="K1564" t="s">
        <v>2279</v>
      </c>
      <c r="L1564" t="s">
        <v>2279</v>
      </c>
      <c r="M1564" t="s">
        <v>2279</v>
      </c>
      <c r="N1564" t="s">
        <v>2279</v>
      </c>
      <c r="O1564" s="190" t="str">
        <f>"["&amp;$C1564&amp;"]["&amp;$D1564&amp;"]["&amp;$F1564&amp;"]"</f>
        <v>[S06_InstallationsVerificationReportsIssueDetail][58][ShareOfReportsConservativeEstimate]</v>
      </c>
    </row>
    <row r="1565" spans="1:15" x14ac:dyDescent="0.3">
      <c r="A1565" t="s">
        <v>2277</v>
      </c>
      <c r="B1565" t="s">
        <v>1985</v>
      </c>
      <c r="C1565" t="s">
        <v>1987</v>
      </c>
      <c r="D1565">
        <v>59</v>
      </c>
      <c r="E1565" t="s">
        <v>1447</v>
      </c>
      <c r="F1565" t="s">
        <v>1990</v>
      </c>
      <c r="G1565" t="s">
        <v>1806</v>
      </c>
      <c r="H1565" t="s">
        <v>2279</v>
      </c>
      <c r="I1565" t="s">
        <v>2279</v>
      </c>
      <c r="J1565">
        <v>0</v>
      </c>
      <c r="K1565" t="s">
        <v>2279</v>
      </c>
      <c r="L1565" t="s">
        <v>2279</v>
      </c>
      <c r="M1565" t="s">
        <v>2279</v>
      </c>
      <c r="N1565" t="s">
        <v>2279</v>
      </c>
      <c r="O1565" s="190" t="str">
        <f>"["&amp;$C1565&amp;"]["&amp;$D1565&amp;"]["&amp;$F1565&amp;"]"</f>
        <v>[S06_InstallationsVerificationReportsIssueDetail][59][ShareOfReportsConservativeEstimate]</v>
      </c>
    </row>
    <row r="1566" spans="1:15" x14ac:dyDescent="0.3">
      <c r="A1566" t="s">
        <v>2277</v>
      </c>
      <c r="B1566" t="s">
        <v>1985</v>
      </c>
      <c r="C1566" t="s">
        <v>1987</v>
      </c>
      <c r="D1566">
        <v>60</v>
      </c>
      <c r="E1566" t="s">
        <v>1447</v>
      </c>
      <c r="F1566" t="s">
        <v>1990</v>
      </c>
      <c r="G1566" t="s">
        <v>1806</v>
      </c>
      <c r="H1566" t="s">
        <v>2279</v>
      </c>
      <c r="I1566" t="s">
        <v>2279</v>
      </c>
      <c r="J1566">
        <v>0</v>
      </c>
      <c r="K1566" t="s">
        <v>2279</v>
      </c>
      <c r="L1566" t="s">
        <v>2279</v>
      </c>
      <c r="M1566" t="s">
        <v>2279</v>
      </c>
      <c r="N1566" t="s">
        <v>2279</v>
      </c>
      <c r="O1566" s="190" t="str">
        <f>"["&amp;$C1566&amp;"]["&amp;$D1566&amp;"]["&amp;$F1566&amp;"]"</f>
        <v>[S06_InstallationsVerificationReportsIssueDetail][60][ShareOfReportsConservativeEstimate]</v>
      </c>
    </row>
    <row r="1567" spans="1:15" x14ac:dyDescent="0.3">
      <c r="A1567" t="s">
        <v>2277</v>
      </c>
      <c r="B1567" t="s">
        <v>1985</v>
      </c>
      <c r="C1567" t="s">
        <v>1987</v>
      </c>
      <c r="D1567">
        <v>61</v>
      </c>
      <c r="E1567" t="s">
        <v>1447</v>
      </c>
      <c r="F1567" t="s">
        <v>1990</v>
      </c>
      <c r="G1567" t="s">
        <v>1806</v>
      </c>
      <c r="H1567" t="s">
        <v>2279</v>
      </c>
      <c r="I1567" t="s">
        <v>2279</v>
      </c>
      <c r="J1567">
        <v>0</v>
      </c>
      <c r="K1567" t="s">
        <v>2279</v>
      </c>
      <c r="L1567" t="s">
        <v>2279</v>
      </c>
      <c r="M1567" t="s">
        <v>2279</v>
      </c>
      <c r="N1567" t="s">
        <v>2279</v>
      </c>
      <c r="O1567" s="190" t="str">
        <f>"["&amp;$C1567&amp;"]["&amp;$D1567&amp;"]["&amp;$F1567&amp;"]"</f>
        <v>[S06_InstallationsVerificationReportsIssueDetail][61][ShareOfReportsConservativeEstimate]</v>
      </c>
    </row>
    <row r="1568" spans="1:15" x14ac:dyDescent="0.3">
      <c r="A1568" t="s">
        <v>2277</v>
      </c>
      <c r="B1568" t="s">
        <v>1985</v>
      </c>
      <c r="C1568" t="s">
        <v>1987</v>
      </c>
      <c r="D1568">
        <v>62</v>
      </c>
      <c r="E1568" t="s">
        <v>1447</v>
      </c>
      <c r="F1568" t="s">
        <v>1990</v>
      </c>
      <c r="G1568" t="s">
        <v>1806</v>
      </c>
      <c r="H1568" t="s">
        <v>2279</v>
      </c>
      <c r="I1568" t="s">
        <v>2279</v>
      </c>
      <c r="J1568">
        <v>0</v>
      </c>
      <c r="K1568" t="s">
        <v>2279</v>
      </c>
      <c r="L1568" t="s">
        <v>2279</v>
      </c>
      <c r="M1568" t="s">
        <v>2279</v>
      </c>
      <c r="N1568" t="s">
        <v>2279</v>
      </c>
      <c r="O1568" s="190" t="str">
        <f>"["&amp;$C1568&amp;"]["&amp;$D1568&amp;"]["&amp;$F1568&amp;"]"</f>
        <v>[S06_InstallationsVerificationReportsIssueDetail][62][ShareOfReportsConservativeEstimate]</v>
      </c>
    </row>
    <row r="1569" spans="1:15" x14ac:dyDescent="0.3">
      <c r="A1569" t="s">
        <v>2277</v>
      </c>
      <c r="B1569" t="s">
        <v>1985</v>
      </c>
      <c r="C1569" t="s">
        <v>1987</v>
      </c>
      <c r="D1569">
        <v>63</v>
      </c>
      <c r="E1569" t="s">
        <v>1447</v>
      </c>
      <c r="F1569" t="s">
        <v>1990</v>
      </c>
      <c r="G1569" t="s">
        <v>1806</v>
      </c>
      <c r="H1569" t="s">
        <v>2279</v>
      </c>
      <c r="I1569" t="s">
        <v>2279</v>
      </c>
      <c r="J1569">
        <v>0</v>
      </c>
      <c r="K1569" t="s">
        <v>2279</v>
      </c>
      <c r="L1569" t="s">
        <v>2279</v>
      </c>
      <c r="M1569" t="s">
        <v>2279</v>
      </c>
      <c r="N1569" t="s">
        <v>2279</v>
      </c>
      <c r="O1569" s="190" t="str">
        <f>"["&amp;$C1569&amp;"]["&amp;$D1569&amp;"]["&amp;$F1569&amp;"]"</f>
        <v>[S06_InstallationsVerificationReportsIssueDetail][63][ShareOfReportsConservativeEstimate]</v>
      </c>
    </row>
    <row r="1570" spans="1:15" x14ac:dyDescent="0.3">
      <c r="A1570" t="s">
        <v>2277</v>
      </c>
      <c r="B1570" t="s">
        <v>1985</v>
      </c>
      <c r="C1570" t="s">
        <v>1987</v>
      </c>
      <c r="D1570">
        <v>64</v>
      </c>
      <c r="E1570" t="s">
        <v>1447</v>
      </c>
      <c r="F1570" t="s">
        <v>1990</v>
      </c>
      <c r="G1570" t="s">
        <v>1806</v>
      </c>
      <c r="H1570" t="s">
        <v>2279</v>
      </c>
      <c r="I1570" t="s">
        <v>2279</v>
      </c>
      <c r="J1570">
        <v>0</v>
      </c>
      <c r="K1570" t="s">
        <v>2279</v>
      </c>
      <c r="L1570" t="s">
        <v>2279</v>
      </c>
      <c r="M1570" t="s">
        <v>2279</v>
      </c>
      <c r="N1570" t="s">
        <v>2279</v>
      </c>
      <c r="O1570" s="190" t="str">
        <f>"["&amp;$C1570&amp;"]["&amp;$D1570&amp;"]["&amp;$F1570&amp;"]"</f>
        <v>[S06_InstallationsVerificationReportsIssueDetail][64][ShareOfReportsConservativeEstimate]</v>
      </c>
    </row>
    <row r="1571" spans="1:15" x14ac:dyDescent="0.3">
      <c r="A1571" t="s">
        <v>2277</v>
      </c>
      <c r="B1571" t="s">
        <v>1985</v>
      </c>
      <c r="C1571" t="s">
        <v>1987</v>
      </c>
      <c r="D1571">
        <v>65</v>
      </c>
      <c r="E1571" t="s">
        <v>1447</v>
      </c>
      <c r="F1571" t="s">
        <v>1990</v>
      </c>
      <c r="G1571" t="s">
        <v>1806</v>
      </c>
      <c r="H1571" t="s">
        <v>2279</v>
      </c>
      <c r="I1571" t="s">
        <v>2279</v>
      </c>
      <c r="J1571">
        <v>0</v>
      </c>
      <c r="K1571" t="s">
        <v>2279</v>
      </c>
      <c r="L1571" t="s">
        <v>2279</v>
      </c>
      <c r="M1571" t="s">
        <v>2279</v>
      </c>
      <c r="N1571" t="s">
        <v>2279</v>
      </c>
      <c r="O1571" s="190" t="str">
        <f>"["&amp;$C1571&amp;"]["&amp;$D1571&amp;"]["&amp;$F1571&amp;"]"</f>
        <v>[S06_InstallationsVerificationReportsIssueDetail][65][ShareOfReportsConservativeEstimate]</v>
      </c>
    </row>
    <row r="1572" spans="1:15" x14ac:dyDescent="0.3">
      <c r="A1572" t="s">
        <v>2277</v>
      </c>
      <c r="B1572" t="s">
        <v>1985</v>
      </c>
      <c r="C1572" t="s">
        <v>1987</v>
      </c>
      <c r="D1572">
        <v>66</v>
      </c>
      <c r="E1572" t="s">
        <v>1447</v>
      </c>
      <c r="F1572" t="s">
        <v>1990</v>
      </c>
      <c r="G1572" t="s">
        <v>1806</v>
      </c>
      <c r="H1572" t="s">
        <v>2279</v>
      </c>
      <c r="I1572" t="s">
        <v>2279</v>
      </c>
      <c r="J1572">
        <v>0</v>
      </c>
      <c r="K1572" t="s">
        <v>2279</v>
      </c>
      <c r="L1572" t="s">
        <v>2279</v>
      </c>
      <c r="M1572" t="s">
        <v>2279</v>
      </c>
      <c r="N1572" t="s">
        <v>2279</v>
      </c>
      <c r="O1572" s="190" t="str">
        <f>"["&amp;$C1572&amp;"]["&amp;$D1572&amp;"]["&amp;$F1572&amp;"]"</f>
        <v>[S06_InstallationsVerificationReportsIssueDetail][66][ShareOfReportsConservativeEstimate]</v>
      </c>
    </row>
    <row r="1573" spans="1:15" x14ac:dyDescent="0.3">
      <c r="A1573" t="s">
        <v>2277</v>
      </c>
      <c r="B1573" t="s">
        <v>1985</v>
      </c>
      <c r="C1573" t="s">
        <v>1987</v>
      </c>
      <c r="D1573">
        <v>67</v>
      </c>
      <c r="E1573" t="s">
        <v>1447</v>
      </c>
      <c r="F1573" t="s">
        <v>1990</v>
      </c>
      <c r="G1573" t="s">
        <v>1806</v>
      </c>
      <c r="H1573" t="s">
        <v>2279</v>
      </c>
      <c r="I1573" t="s">
        <v>2279</v>
      </c>
      <c r="J1573">
        <v>0</v>
      </c>
      <c r="K1573" t="s">
        <v>2279</v>
      </c>
      <c r="L1573" t="s">
        <v>2279</v>
      </c>
      <c r="M1573" t="s">
        <v>2279</v>
      </c>
      <c r="N1573" t="s">
        <v>2279</v>
      </c>
      <c r="O1573" s="190" t="str">
        <f>"["&amp;$C1573&amp;"]["&amp;$D1573&amp;"]["&amp;$F1573&amp;"]"</f>
        <v>[S06_InstallationsVerificationReportsIssueDetail][67][ShareOfReportsConservativeEstimate]</v>
      </c>
    </row>
    <row r="1574" spans="1:15" x14ac:dyDescent="0.3">
      <c r="A1574" t="s">
        <v>2277</v>
      </c>
      <c r="B1574" t="s">
        <v>1985</v>
      </c>
      <c r="C1574" t="s">
        <v>1987</v>
      </c>
      <c r="D1574">
        <v>68</v>
      </c>
      <c r="E1574" t="s">
        <v>1447</v>
      </c>
      <c r="F1574" t="s">
        <v>1990</v>
      </c>
      <c r="G1574" t="s">
        <v>1806</v>
      </c>
      <c r="H1574" t="s">
        <v>2279</v>
      </c>
      <c r="I1574" t="s">
        <v>2279</v>
      </c>
      <c r="J1574">
        <v>0</v>
      </c>
      <c r="K1574" t="s">
        <v>2279</v>
      </c>
      <c r="L1574" t="s">
        <v>2279</v>
      </c>
      <c r="M1574" t="s">
        <v>2279</v>
      </c>
      <c r="N1574" t="s">
        <v>2279</v>
      </c>
      <c r="O1574" s="190" t="str">
        <f>"["&amp;$C1574&amp;"]["&amp;$D1574&amp;"]["&amp;$F1574&amp;"]"</f>
        <v>[S06_InstallationsVerificationReportsIssueDetail][68][ShareOfReportsConservativeEstimate]</v>
      </c>
    </row>
    <row r="1575" spans="1:15" x14ac:dyDescent="0.3">
      <c r="A1575" t="s">
        <v>2277</v>
      </c>
      <c r="B1575" t="s">
        <v>1985</v>
      </c>
      <c r="C1575" t="s">
        <v>1987</v>
      </c>
      <c r="D1575">
        <v>69</v>
      </c>
      <c r="E1575" t="s">
        <v>1447</v>
      </c>
      <c r="F1575" t="s">
        <v>1990</v>
      </c>
      <c r="G1575" t="s">
        <v>1806</v>
      </c>
      <c r="H1575" t="s">
        <v>2279</v>
      </c>
      <c r="I1575" t="s">
        <v>2279</v>
      </c>
      <c r="J1575">
        <v>0</v>
      </c>
      <c r="K1575" t="s">
        <v>2279</v>
      </c>
      <c r="L1575" t="s">
        <v>2279</v>
      </c>
      <c r="M1575" t="s">
        <v>2279</v>
      </c>
      <c r="N1575" t="s">
        <v>2279</v>
      </c>
      <c r="O1575" s="190" t="str">
        <f>"["&amp;$C1575&amp;"]["&amp;$D1575&amp;"]["&amp;$F1575&amp;"]"</f>
        <v>[S06_InstallationsVerificationReportsIssueDetail][69][ShareOfReportsConservativeEstimate]</v>
      </c>
    </row>
    <row r="1576" spans="1:15" x14ac:dyDescent="0.3">
      <c r="A1576" t="s">
        <v>2277</v>
      </c>
      <c r="B1576" t="s">
        <v>1985</v>
      </c>
      <c r="C1576" t="s">
        <v>1987</v>
      </c>
      <c r="D1576">
        <v>70</v>
      </c>
      <c r="E1576" t="s">
        <v>1447</v>
      </c>
      <c r="F1576" t="s">
        <v>1990</v>
      </c>
      <c r="G1576" t="s">
        <v>1806</v>
      </c>
      <c r="H1576" t="s">
        <v>2279</v>
      </c>
      <c r="I1576" t="s">
        <v>2279</v>
      </c>
      <c r="J1576">
        <v>0</v>
      </c>
      <c r="K1576" t="s">
        <v>2279</v>
      </c>
      <c r="L1576" t="s">
        <v>2279</v>
      </c>
      <c r="M1576" t="s">
        <v>2279</v>
      </c>
      <c r="N1576" t="s">
        <v>2279</v>
      </c>
      <c r="O1576" s="190" t="str">
        <f>"["&amp;$C1576&amp;"]["&amp;$D1576&amp;"]["&amp;$F1576&amp;"]"</f>
        <v>[S06_InstallationsVerificationReportsIssueDetail][70][ShareOfReportsConservativeEstimate]</v>
      </c>
    </row>
    <row r="1577" spans="1:15" x14ac:dyDescent="0.3">
      <c r="A1577" t="s">
        <v>2277</v>
      </c>
      <c r="B1577" t="s">
        <v>1985</v>
      </c>
      <c r="C1577" t="s">
        <v>1987</v>
      </c>
      <c r="D1577">
        <v>71</v>
      </c>
      <c r="E1577" t="s">
        <v>1447</v>
      </c>
      <c r="F1577" t="s">
        <v>1990</v>
      </c>
      <c r="G1577" t="s">
        <v>1806</v>
      </c>
      <c r="H1577" t="s">
        <v>2279</v>
      </c>
      <c r="I1577" t="s">
        <v>2279</v>
      </c>
      <c r="J1577">
        <v>0</v>
      </c>
      <c r="K1577" t="s">
        <v>2279</v>
      </c>
      <c r="L1577" t="s">
        <v>2279</v>
      </c>
      <c r="M1577" t="s">
        <v>2279</v>
      </c>
      <c r="N1577" t="s">
        <v>2279</v>
      </c>
      <c r="O1577" s="190" t="str">
        <f>"["&amp;$C1577&amp;"]["&amp;$D1577&amp;"]["&amp;$F1577&amp;"]"</f>
        <v>[S06_InstallationsVerificationReportsIssueDetail][71][ShareOfReportsConservativeEstimate]</v>
      </c>
    </row>
    <row r="1578" spans="1:15" x14ac:dyDescent="0.3">
      <c r="A1578" t="s">
        <v>2277</v>
      </c>
      <c r="B1578" t="s">
        <v>1985</v>
      </c>
      <c r="C1578" t="s">
        <v>1987</v>
      </c>
      <c r="D1578">
        <v>72</v>
      </c>
      <c r="E1578" t="s">
        <v>1447</v>
      </c>
      <c r="F1578" t="s">
        <v>1990</v>
      </c>
      <c r="G1578" t="s">
        <v>1806</v>
      </c>
      <c r="H1578" t="s">
        <v>2279</v>
      </c>
      <c r="I1578" t="s">
        <v>2279</v>
      </c>
      <c r="J1578">
        <v>0</v>
      </c>
      <c r="K1578" t="s">
        <v>2279</v>
      </c>
      <c r="L1578" t="s">
        <v>2279</v>
      </c>
      <c r="M1578" t="s">
        <v>2279</v>
      </c>
      <c r="N1578" t="s">
        <v>2279</v>
      </c>
      <c r="O1578" s="190" t="str">
        <f>"["&amp;$C1578&amp;"]["&amp;$D1578&amp;"]["&amp;$F1578&amp;"]"</f>
        <v>[S06_InstallationsVerificationReportsIssueDetail][72][ShareOfReportsConservativeEstimate]</v>
      </c>
    </row>
    <row r="1579" spans="1:15" x14ac:dyDescent="0.3">
      <c r="A1579" t="s">
        <v>2277</v>
      </c>
      <c r="B1579" t="s">
        <v>1985</v>
      </c>
      <c r="C1579" t="s">
        <v>1987</v>
      </c>
      <c r="D1579">
        <v>73</v>
      </c>
      <c r="E1579" t="s">
        <v>1447</v>
      </c>
      <c r="F1579" t="s">
        <v>1990</v>
      </c>
      <c r="G1579" t="s">
        <v>1806</v>
      </c>
      <c r="H1579" t="s">
        <v>2279</v>
      </c>
      <c r="I1579" t="s">
        <v>2279</v>
      </c>
      <c r="J1579">
        <v>0</v>
      </c>
      <c r="K1579" t="s">
        <v>2279</v>
      </c>
      <c r="L1579" t="s">
        <v>2279</v>
      </c>
      <c r="M1579" t="s">
        <v>2279</v>
      </c>
      <c r="N1579" t="s">
        <v>2279</v>
      </c>
      <c r="O1579" s="190" t="str">
        <f>"["&amp;$C1579&amp;"]["&amp;$D1579&amp;"]["&amp;$F1579&amp;"]"</f>
        <v>[S06_InstallationsVerificationReportsIssueDetail][73][ShareOfReportsConservativeEstimate]</v>
      </c>
    </row>
    <row r="1580" spans="1:15" x14ac:dyDescent="0.3">
      <c r="A1580" t="s">
        <v>2277</v>
      </c>
      <c r="B1580" t="s">
        <v>1985</v>
      </c>
      <c r="C1580" t="s">
        <v>1987</v>
      </c>
      <c r="D1580">
        <v>74</v>
      </c>
      <c r="E1580" t="s">
        <v>1447</v>
      </c>
      <c r="F1580" t="s">
        <v>1990</v>
      </c>
      <c r="G1580" t="s">
        <v>1806</v>
      </c>
      <c r="H1580" t="s">
        <v>2279</v>
      </c>
      <c r="I1580" t="s">
        <v>2279</v>
      </c>
      <c r="J1580">
        <v>0</v>
      </c>
      <c r="K1580" t="s">
        <v>2279</v>
      </c>
      <c r="L1580" t="s">
        <v>2279</v>
      </c>
      <c r="M1580" t="s">
        <v>2279</v>
      </c>
      <c r="N1580" t="s">
        <v>2279</v>
      </c>
      <c r="O1580" s="190" t="str">
        <f>"["&amp;$C1580&amp;"]["&amp;$D1580&amp;"]["&amp;$F1580&amp;"]"</f>
        <v>[S06_InstallationsVerificationReportsIssueDetail][74][ShareOfReportsConservativeEstimate]</v>
      </c>
    </row>
    <row r="1581" spans="1:15" x14ac:dyDescent="0.3">
      <c r="A1581" t="s">
        <v>2277</v>
      </c>
      <c r="B1581" t="s">
        <v>1985</v>
      </c>
      <c r="C1581" t="s">
        <v>1987</v>
      </c>
      <c r="D1581">
        <v>75</v>
      </c>
      <c r="E1581" t="s">
        <v>1447</v>
      </c>
      <c r="F1581" t="s">
        <v>1990</v>
      </c>
      <c r="G1581" t="s">
        <v>1806</v>
      </c>
      <c r="H1581" t="s">
        <v>2279</v>
      </c>
      <c r="I1581" t="s">
        <v>2279</v>
      </c>
      <c r="J1581">
        <v>0</v>
      </c>
      <c r="K1581" t="s">
        <v>2279</v>
      </c>
      <c r="L1581" t="s">
        <v>2279</v>
      </c>
      <c r="M1581" t="s">
        <v>2279</v>
      </c>
      <c r="N1581" t="s">
        <v>2279</v>
      </c>
      <c r="O1581" s="190" t="str">
        <f>"["&amp;$C1581&amp;"]["&amp;$D1581&amp;"]["&amp;$F1581&amp;"]"</f>
        <v>[S06_InstallationsVerificationReportsIssueDetail][75][ShareOfReportsConservativeEstimate]</v>
      </c>
    </row>
    <row r="1582" spans="1:15" x14ac:dyDescent="0.3">
      <c r="A1582" t="s">
        <v>2277</v>
      </c>
      <c r="B1582" t="s">
        <v>1985</v>
      </c>
      <c r="C1582" t="s">
        <v>1987</v>
      </c>
      <c r="D1582">
        <v>76</v>
      </c>
      <c r="E1582" t="s">
        <v>1447</v>
      </c>
      <c r="F1582" t="s">
        <v>1990</v>
      </c>
      <c r="G1582" t="s">
        <v>1806</v>
      </c>
      <c r="H1582" t="s">
        <v>2279</v>
      </c>
      <c r="I1582" t="s">
        <v>2279</v>
      </c>
      <c r="J1582">
        <v>0</v>
      </c>
      <c r="K1582" t="s">
        <v>2279</v>
      </c>
      <c r="L1582" t="s">
        <v>2279</v>
      </c>
      <c r="M1582" t="s">
        <v>2279</v>
      </c>
      <c r="N1582" t="s">
        <v>2279</v>
      </c>
      <c r="O1582" s="190" t="str">
        <f>"["&amp;$C1582&amp;"]["&amp;$D1582&amp;"]["&amp;$F1582&amp;"]"</f>
        <v>[S06_InstallationsVerificationReportsIssueDetail][76][ShareOfReportsConservativeEstimate]</v>
      </c>
    </row>
    <row r="1583" spans="1:15" x14ac:dyDescent="0.3">
      <c r="A1583" t="s">
        <v>2277</v>
      </c>
      <c r="B1583" t="s">
        <v>1985</v>
      </c>
      <c r="C1583" t="s">
        <v>1987</v>
      </c>
      <c r="D1583">
        <v>77</v>
      </c>
      <c r="E1583" t="s">
        <v>1447</v>
      </c>
      <c r="F1583" t="s">
        <v>1990</v>
      </c>
      <c r="G1583" t="s">
        <v>1806</v>
      </c>
      <c r="H1583" t="s">
        <v>2279</v>
      </c>
      <c r="I1583" t="s">
        <v>2279</v>
      </c>
      <c r="J1583">
        <v>0</v>
      </c>
      <c r="K1583" t="s">
        <v>2279</v>
      </c>
      <c r="L1583" t="s">
        <v>2279</v>
      </c>
      <c r="M1583" t="s">
        <v>2279</v>
      </c>
      <c r="N1583" t="s">
        <v>2279</v>
      </c>
      <c r="O1583" s="190" t="str">
        <f>"["&amp;$C1583&amp;"]["&amp;$D1583&amp;"]["&amp;$F1583&amp;"]"</f>
        <v>[S06_InstallationsVerificationReportsIssueDetail][77][ShareOfReportsConservativeEstimate]</v>
      </c>
    </row>
    <row r="1584" spans="1:15" x14ac:dyDescent="0.3">
      <c r="A1584" t="s">
        <v>2277</v>
      </c>
      <c r="B1584" t="s">
        <v>1985</v>
      </c>
      <c r="C1584" t="s">
        <v>1987</v>
      </c>
      <c r="D1584">
        <v>78</v>
      </c>
      <c r="E1584" t="s">
        <v>1447</v>
      </c>
      <c r="F1584" t="s">
        <v>1990</v>
      </c>
      <c r="G1584" t="s">
        <v>1806</v>
      </c>
      <c r="H1584" t="s">
        <v>2279</v>
      </c>
      <c r="I1584" t="s">
        <v>2279</v>
      </c>
      <c r="J1584">
        <v>0</v>
      </c>
      <c r="K1584" t="s">
        <v>2279</v>
      </c>
      <c r="L1584" t="s">
        <v>2279</v>
      </c>
      <c r="M1584" t="s">
        <v>2279</v>
      </c>
      <c r="N1584" t="s">
        <v>2279</v>
      </c>
      <c r="O1584" s="190" t="str">
        <f>"["&amp;$C1584&amp;"]["&amp;$D1584&amp;"]["&amp;$F1584&amp;"]"</f>
        <v>[S06_InstallationsVerificationReportsIssueDetail][78][ShareOfReportsConservativeEstimate]</v>
      </c>
    </row>
    <row r="1585" spans="1:15" x14ac:dyDescent="0.3">
      <c r="A1585" t="s">
        <v>2277</v>
      </c>
      <c r="B1585" t="s">
        <v>1991</v>
      </c>
      <c r="C1585" t="s">
        <v>1992</v>
      </c>
      <c r="D1585">
        <v>0</v>
      </c>
      <c r="E1585" t="s">
        <v>1447</v>
      </c>
      <c r="F1585" t="s">
        <v>1992</v>
      </c>
      <c r="G1585" t="s">
        <v>1759</v>
      </c>
      <c r="H1585" t="s">
        <v>2279</v>
      </c>
      <c r="I1585" t="s">
        <v>2279</v>
      </c>
      <c r="J1585" t="s">
        <v>2279</v>
      </c>
      <c r="K1585" t="s">
        <v>2279</v>
      </c>
      <c r="L1585" t="s">
        <v>1419</v>
      </c>
      <c r="M1585" t="s">
        <v>2279</v>
      </c>
      <c r="N1585" t="s">
        <v>2279</v>
      </c>
      <c r="O1585" s="190" t="str">
        <f>"["&amp;$C1585&amp;"]["&amp;$D1585&amp;"]["&amp;$F1585&amp;"]"</f>
        <v>[InstallationsVerificationReportChecks][0][InstallationsVerificationReportChecks]</v>
      </c>
    </row>
    <row r="1586" spans="1:15" x14ac:dyDescent="0.3">
      <c r="A1586" t="s">
        <v>2277</v>
      </c>
      <c r="B1586" t="s">
        <v>1991</v>
      </c>
      <c r="C1586" t="s">
        <v>1993</v>
      </c>
      <c r="D1586">
        <v>1</v>
      </c>
      <c r="E1586" t="s">
        <v>1447</v>
      </c>
      <c r="F1586" t="s">
        <v>1994</v>
      </c>
      <c r="G1586" t="s">
        <v>1806</v>
      </c>
      <c r="H1586" t="s">
        <v>2279</v>
      </c>
      <c r="I1586" t="s">
        <v>2279</v>
      </c>
      <c r="J1586">
        <v>1</v>
      </c>
      <c r="K1586" t="s">
        <v>2279</v>
      </c>
      <c r="L1586" t="s">
        <v>2279</v>
      </c>
      <c r="M1586" t="s">
        <v>2279</v>
      </c>
      <c r="N1586" t="s">
        <v>2279</v>
      </c>
      <c r="O1586" s="190" t="str">
        <f>"["&amp;$C1586&amp;"]["&amp;$D1586&amp;"]["&amp;$F1586&amp;"]"</f>
        <v>[S06_InstallationsVerificationReportChecksDetail1][1][PercentageShare]</v>
      </c>
    </row>
    <row r="1587" spans="1:15" x14ac:dyDescent="0.3">
      <c r="A1587" t="s">
        <v>2277</v>
      </c>
      <c r="B1587" t="s">
        <v>1991</v>
      </c>
      <c r="C1587" t="s">
        <v>1993</v>
      </c>
      <c r="D1587">
        <v>2</v>
      </c>
      <c r="E1587" t="s">
        <v>1447</v>
      </c>
      <c r="F1587" t="s">
        <v>1994</v>
      </c>
      <c r="G1587" t="s">
        <v>1806</v>
      </c>
      <c r="H1587" t="s">
        <v>2279</v>
      </c>
      <c r="I1587" t="s">
        <v>2279</v>
      </c>
      <c r="J1587">
        <v>0.7</v>
      </c>
      <c r="K1587" t="s">
        <v>2279</v>
      </c>
      <c r="L1587" t="s">
        <v>2279</v>
      </c>
      <c r="M1587" t="s">
        <v>2279</v>
      </c>
      <c r="N1587" t="s">
        <v>2279</v>
      </c>
      <c r="O1587" s="190" t="str">
        <f>"["&amp;$C1587&amp;"]["&amp;$D1587&amp;"]["&amp;$F1587&amp;"]"</f>
        <v>[S06_InstallationsVerificationReportChecksDetail1][2][PercentageShare]</v>
      </c>
    </row>
    <row r="1588" spans="1:15" x14ac:dyDescent="0.3">
      <c r="A1588" t="s">
        <v>2277</v>
      </c>
      <c r="B1588" t="s">
        <v>1991</v>
      </c>
      <c r="C1588" t="s">
        <v>1993</v>
      </c>
      <c r="D1588">
        <v>3</v>
      </c>
      <c r="E1588" t="s">
        <v>1447</v>
      </c>
      <c r="F1588" t="s">
        <v>1994</v>
      </c>
      <c r="G1588" t="s">
        <v>1806</v>
      </c>
      <c r="H1588" t="s">
        <v>2279</v>
      </c>
      <c r="I1588" t="s">
        <v>2279</v>
      </c>
      <c r="J1588">
        <v>1</v>
      </c>
      <c r="K1588" t="s">
        <v>2279</v>
      </c>
      <c r="L1588" t="s">
        <v>2279</v>
      </c>
      <c r="M1588" t="s">
        <v>2279</v>
      </c>
      <c r="N1588" t="s">
        <v>2279</v>
      </c>
      <c r="O1588" s="190" t="str">
        <f>"["&amp;$C1588&amp;"]["&amp;$D1588&amp;"]["&amp;$F1588&amp;"]"</f>
        <v>[S06_InstallationsVerificationReportChecksDetail1][3][PercentageShare]</v>
      </c>
    </row>
    <row r="1589" spans="1:15" x14ac:dyDescent="0.3">
      <c r="A1589" t="s">
        <v>2277</v>
      </c>
      <c r="B1589" t="s">
        <v>1991</v>
      </c>
      <c r="C1589" t="s">
        <v>1993</v>
      </c>
      <c r="D1589">
        <v>4</v>
      </c>
      <c r="E1589" t="s">
        <v>1447</v>
      </c>
      <c r="F1589" t="s">
        <v>1994</v>
      </c>
      <c r="G1589" t="s">
        <v>1806</v>
      </c>
      <c r="H1589" t="s">
        <v>2279</v>
      </c>
      <c r="I1589" t="s">
        <v>2279</v>
      </c>
      <c r="J1589">
        <v>1</v>
      </c>
      <c r="K1589" t="s">
        <v>2279</v>
      </c>
      <c r="L1589" t="s">
        <v>2279</v>
      </c>
      <c r="M1589" t="s">
        <v>2279</v>
      </c>
      <c r="N1589" t="s">
        <v>2279</v>
      </c>
      <c r="O1589" s="190" t="str">
        <f>"["&amp;$C1589&amp;"]["&amp;$D1589&amp;"]["&amp;$F1589&amp;"]"</f>
        <v>[S06_InstallationsVerificationReportChecksDetail1][4][PercentageShare]</v>
      </c>
    </row>
    <row r="1590" spans="1:15" x14ac:dyDescent="0.3">
      <c r="A1590" t="s">
        <v>2277</v>
      </c>
      <c r="B1590" t="s">
        <v>1991</v>
      </c>
      <c r="C1590" t="s">
        <v>1993</v>
      </c>
      <c r="D1590">
        <v>5</v>
      </c>
      <c r="E1590" t="s">
        <v>1447</v>
      </c>
      <c r="F1590" t="s">
        <v>1994</v>
      </c>
      <c r="G1590" t="s">
        <v>1806</v>
      </c>
      <c r="H1590" t="s">
        <v>2279</v>
      </c>
      <c r="I1590" t="s">
        <v>2279</v>
      </c>
      <c r="J1590">
        <v>0.3</v>
      </c>
      <c r="K1590" t="s">
        <v>2279</v>
      </c>
      <c r="L1590" t="s">
        <v>2279</v>
      </c>
      <c r="M1590" t="s">
        <v>2279</v>
      </c>
      <c r="N1590" t="s">
        <v>2279</v>
      </c>
      <c r="O1590" s="190" t="str">
        <f>"["&amp;$C1590&amp;"]["&amp;$D1590&amp;"]["&amp;$F1590&amp;"]"</f>
        <v>[S06_InstallationsVerificationReportChecksDetail1][5][PercentageShare]</v>
      </c>
    </row>
    <row r="1591" spans="1:15" x14ac:dyDescent="0.3">
      <c r="A1591" t="s">
        <v>2277</v>
      </c>
      <c r="B1591" t="s">
        <v>1991</v>
      </c>
      <c r="C1591" t="s">
        <v>1993</v>
      </c>
      <c r="D1591">
        <v>4</v>
      </c>
      <c r="E1591" t="s">
        <v>1447</v>
      </c>
      <c r="F1591" t="s">
        <v>1995</v>
      </c>
      <c r="G1591" t="s">
        <v>1791</v>
      </c>
      <c r="H1591" t="s">
        <v>2279</v>
      </c>
      <c r="I1591" t="s">
        <v>2279</v>
      </c>
      <c r="J1591" t="s">
        <v>2279</v>
      </c>
      <c r="K1591" t="s">
        <v>2426</v>
      </c>
      <c r="L1591" t="s">
        <v>2279</v>
      </c>
      <c r="M1591" t="s">
        <v>2279</v>
      </c>
      <c r="N1591" t="s">
        <v>2279</v>
      </c>
      <c r="O1591" s="190" t="str">
        <f>"["&amp;$C1591&amp;"]["&amp;$D1591&amp;"]["&amp;$F1591&amp;"]"</f>
        <v>[S06_InstallationsVerificationReportChecksDetail1][4][FurtherInformation]</v>
      </c>
    </row>
    <row r="1592" spans="1:15" x14ac:dyDescent="0.3">
      <c r="A1592" t="s">
        <v>2277</v>
      </c>
      <c r="B1592" t="s">
        <v>1991</v>
      </c>
      <c r="C1592" t="s">
        <v>1993</v>
      </c>
      <c r="D1592">
        <v>5</v>
      </c>
      <c r="E1592" t="s">
        <v>1447</v>
      </c>
      <c r="F1592" t="s">
        <v>1995</v>
      </c>
      <c r="G1592" t="s">
        <v>1791</v>
      </c>
      <c r="H1592" t="s">
        <v>2279</v>
      </c>
      <c r="I1592" t="s">
        <v>2279</v>
      </c>
      <c r="J1592" t="s">
        <v>2279</v>
      </c>
      <c r="K1592" t="s">
        <v>2427</v>
      </c>
      <c r="L1592" t="s">
        <v>2279</v>
      </c>
      <c r="M1592" t="s">
        <v>2279</v>
      </c>
      <c r="N1592" t="s">
        <v>2279</v>
      </c>
      <c r="O1592" s="190" t="str">
        <f>"["&amp;$C1592&amp;"]["&amp;$D1592&amp;"]["&amp;$F1592&amp;"]"</f>
        <v>[S06_InstallationsVerificationReportChecksDetail1][5][FurtherInformation]</v>
      </c>
    </row>
    <row r="1593" spans="1:15" x14ac:dyDescent="0.3">
      <c r="A1593" t="s">
        <v>2277</v>
      </c>
      <c r="B1593" t="s">
        <v>1991</v>
      </c>
      <c r="C1593" t="s">
        <v>1993</v>
      </c>
      <c r="D1593">
        <v>5</v>
      </c>
      <c r="E1593" t="s">
        <v>1447</v>
      </c>
      <c r="F1593" t="s">
        <v>1996</v>
      </c>
      <c r="G1593" t="s">
        <v>1737</v>
      </c>
      <c r="H1593" t="s">
        <v>2279</v>
      </c>
      <c r="I1593" t="s">
        <v>2279</v>
      </c>
      <c r="J1593" t="s">
        <v>2279</v>
      </c>
      <c r="K1593" t="s">
        <v>2279</v>
      </c>
      <c r="L1593" t="s">
        <v>1234</v>
      </c>
      <c r="M1593" t="s">
        <v>2279</v>
      </c>
      <c r="N1593" t="s">
        <v>2279</v>
      </c>
      <c r="O1593" s="190" t="str">
        <f>"["&amp;$C1593&amp;"]["&amp;$D1593&amp;"]["&amp;$F1593&amp;"]"</f>
        <v>[S06_InstallationsVerificationReportChecksDetail1][5][SelectingCriteria]</v>
      </c>
    </row>
    <row r="1594" spans="1:15" x14ac:dyDescent="0.3">
      <c r="A1594" t="s">
        <v>2277</v>
      </c>
      <c r="B1594" t="s">
        <v>1991</v>
      </c>
      <c r="C1594" t="s">
        <v>1997</v>
      </c>
      <c r="D1594">
        <v>1</v>
      </c>
      <c r="E1594" t="s">
        <v>1447</v>
      </c>
      <c r="F1594" t="s">
        <v>1998</v>
      </c>
      <c r="G1594" t="s">
        <v>1748</v>
      </c>
      <c r="H1594" t="s">
        <v>2279</v>
      </c>
      <c r="I1594">
        <v>1</v>
      </c>
      <c r="J1594" t="s">
        <v>2279</v>
      </c>
      <c r="K1594" t="s">
        <v>2279</v>
      </c>
      <c r="L1594" t="s">
        <v>2279</v>
      </c>
      <c r="M1594" t="s">
        <v>2279</v>
      </c>
      <c r="N1594" t="s">
        <v>2279</v>
      </c>
      <c r="O1594" s="190" t="str">
        <f>"["&amp;$C1594&amp;"]["&amp;$D1594&amp;"]["&amp;$F1594&amp;"]"</f>
        <v>[S06_InstallationsVerificationReportChecksDetail2][1][NumberOfReports]</v>
      </c>
    </row>
    <row r="1595" spans="1:15" x14ac:dyDescent="0.3">
      <c r="A1595" t="s">
        <v>2277</v>
      </c>
      <c r="B1595" t="s">
        <v>1991</v>
      </c>
      <c r="C1595" t="s">
        <v>1997</v>
      </c>
      <c r="D1595">
        <v>2</v>
      </c>
      <c r="E1595" t="s">
        <v>1447</v>
      </c>
      <c r="F1595" t="s">
        <v>1998</v>
      </c>
      <c r="G1595" t="s">
        <v>1748</v>
      </c>
      <c r="H1595" t="s">
        <v>2279</v>
      </c>
      <c r="I1595">
        <v>4</v>
      </c>
      <c r="J1595" t="s">
        <v>2279</v>
      </c>
      <c r="K1595" t="s">
        <v>2279</v>
      </c>
      <c r="L1595" t="s">
        <v>2279</v>
      </c>
      <c r="M1595" t="s">
        <v>2279</v>
      </c>
      <c r="N1595" t="s">
        <v>2279</v>
      </c>
      <c r="O1595" s="190" t="str">
        <f>"["&amp;$C1595&amp;"]["&amp;$D1595&amp;"]["&amp;$F1595&amp;"]"</f>
        <v>[S06_InstallationsVerificationReportChecksDetail2][2][NumberOfReports]</v>
      </c>
    </row>
    <row r="1596" spans="1:15" x14ac:dyDescent="0.3">
      <c r="A1596" t="s">
        <v>2277</v>
      </c>
      <c r="B1596" t="s">
        <v>1991</v>
      </c>
      <c r="C1596" t="s">
        <v>1997</v>
      </c>
      <c r="D1596">
        <v>2</v>
      </c>
      <c r="E1596" t="s">
        <v>1447</v>
      </c>
      <c r="F1596" t="s">
        <v>1995</v>
      </c>
      <c r="G1596" t="s">
        <v>1791</v>
      </c>
      <c r="H1596" t="s">
        <v>2279</v>
      </c>
      <c r="I1596" t="s">
        <v>2279</v>
      </c>
      <c r="J1596" t="s">
        <v>2279</v>
      </c>
      <c r="K1596" t="s">
        <v>2428</v>
      </c>
      <c r="L1596" t="s">
        <v>2279</v>
      </c>
      <c r="M1596" t="s">
        <v>2279</v>
      </c>
      <c r="N1596" t="s">
        <v>2279</v>
      </c>
      <c r="O1596" s="190" t="str">
        <f>"["&amp;$C1596&amp;"]["&amp;$D1596&amp;"]["&amp;$F1596&amp;"]"</f>
        <v>[S06_InstallationsVerificationReportChecksDetail2][2][FurtherInformation]</v>
      </c>
    </row>
    <row r="1597" spans="1:15" x14ac:dyDescent="0.3">
      <c r="A1597" t="s">
        <v>2277</v>
      </c>
      <c r="B1597" t="s">
        <v>1991</v>
      </c>
      <c r="C1597" t="s">
        <v>1999</v>
      </c>
      <c r="D1597">
        <v>1</v>
      </c>
      <c r="E1597" t="s">
        <v>1447</v>
      </c>
      <c r="F1597" t="s">
        <v>2000</v>
      </c>
      <c r="G1597" t="s">
        <v>1741</v>
      </c>
      <c r="H1597" t="s">
        <v>2429</v>
      </c>
      <c r="I1597" t="s">
        <v>2279</v>
      </c>
      <c r="J1597" t="s">
        <v>2279</v>
      </c>
      <c r="K1597" t="s">
        <v>2279</v>
      </c>
      <c r="L1597" t="s">
        <v>2279</v>
      </c>
      <c r="M1597" t="s">
        <v>2279</v>
      </c>
      <c r="N1597" t="s">
        <v>2279</v>
      </c>
      <c r="O1597" s="190" t="str">
        <f>"["&amp;$C1597&amp;"]["&amp;$D1597&amp;"]["&amp;$F1597&amp;"]"</f>
        <v>[S06_InstallationsVerificationReportChecksDetail3][1][ActionsTaken]</v>
      </c>
    </row>
    <row r="1598" spans="1:15" x14ac:dyDescent="0.3">
      <c r="A1598" t="s">
        <v>2277</v>
      </c>
      <c r="B1598" t="s">
        <v>1991</v>
      </c>
      <c r="C1598" t="s">
        <v>1999</v>
      </c>
      <c r="D1598">
        <v>2</v>
      </c>
      <c r="E1598" t="s">
        <v>1419</v>
      </c>
      <c r="F1598" t="s">
        <v>2000</v>
      </c>
      <c r="G1598" t="s">
        <v>1791</v>
      </c>
      <c r="H1598" t="s">
        <v>2279</v>
      </c>
      <c r="I1598" t="s">
        <v>2279</v>
      </c>
      <c r="J1598" t="s">
        <v>2279</v>
      </c>
      <c r="K1598" t="s">
        <v>2430</v>
      </c>
      <c r="L1598" t="s">
        <v>2279</v>
      </c>
      <c r="M1598" t="s">
        <v>2279</v>
      </c>
      <c r="N1598" t="s">
        <v>2279</v>
      </c>
      <c r="O1598" s="190" t="str">
        <f>"["&amp;$C1598&amp;"]["&amp;$D1598&amp;"]["&amp;$F1598&amp;"]"</f>
        <v>[S06_InstallationsVerificationReportChecksDetail3][2][ActionsTaken]</v>
      </c>
    </row>
    <row r="1599" spans="1:15" x14ac:dyDescent="0.3">
      <c r="A1599" t="s">
        <v>2277</v>
      </c>
      <c r="B1599" t="s">
        <v>2001</v>
      </c>
      <c r="C1599" t="s">
        <v>2002</v>
      </c>
      <c r="D1599">
        <v>0</v>
      </c>
      <c r="E1599" t="s">
        <v>1447</v>
      </c>
      <c r="F1599" t="s">
        <v>2002</v>
      </c>
      <c r="G1599" t="s">
        <v>1759</v>
      </c>
      <c r="H1599" t="s">
        <v>2279</v>
      </c>
      <c r="I1599" t="s">
        <v>2279</v>
      </c>
      <c r="J1599" t="s">
        <v>2279</v>
      </c>
      <c r="K1599" t="s">
        <v>2279</v>
      </c>
      <c r="L1599" t="s">
        <v>1419</v>
      </c>
      <c r="M1599" t="s">
        <v>2279</v>
      </c>
      <c r="N1599" t="s">
        <v>2279</v>
      </c>
      <c r="O1599" s="190" t="str">
        <f>"["&amp;$C1599&amp;"]["&amp;$D1599&amp;"]["&amp;$F1599&amp;"]"</f>
        <v>[InstallationVisitsWaivedHighEmitters][0][InstallationVisitsWaivedHighEmitters]</v>
      </c>
    </row>
    <row r="1600" spans="1:15" x14ac:dyDescent="0.3">
      <c r="A1600" t="s">
        <v>2277</v>
      </c>
      <c r="B1600" t="s">
        <v>2001</v>
      </c>
      <c r="C1600" t="s">
        <v>2003</v>
      </c>
      <c r="D1600">
        <v>1</v>
      </c>
      <c r="E1600" t="s">
        <v>1447</v>
      </c>
      <c r="F1600" t="s">
        <v>2004</v>
      </c>
      <c r="G1600" t="s">
        <v>1737</v>
      </c>
      <c r="H1600" t="s">
        <v>2279</v>
      </c>
      <c r="I1600" t="s">
        <v>2279</v>
      </c>
      <c r="J1600" t="s">
        <v>2279</v>
      </c>
      <c r="K1600" t="s">
        <v>2279</v>
      </c>
      <c r="L1600" t="s">
        <v>1441</v>
      </c>
      <c r="M1600" t="s">
        <v>2279</v>
      </c>
      <c r="N1600" t="s">
        <v>2279</v>
      </c>
      <c r="O1600" s="190" t="str">
        <f>"["&amp;$C1600&amp;"]["&amp;$D1600&amp;"]["&amp;$F1600&amp;"]"</f>
        <v>[S06_InstallationsVisitsWaivedHighEmittersDetail][1][ConditionForWaiving]</v>
      </c>
    </row>
    <row r="1601" spans="1:15" x14ac:dyDescent="0.3">
      <c r="A1601" t="s">
        <v>2277</v>
      </c>
      <c r="B1601" t="s">
        <v>2001</v>
      </c>
      <c r="C1601" t="s">
        <v>2003</v>
      </c>
      <c r="D1601">
        <v>2</v>
      </c>
      <c r="E1601" t="s">
        <v>1447</v>
      </c>
      <c r="F1601" t="s">
        <v>2004</v>
      </c>
      <c r="G1601" t="s">
        <v>1737</v>
      </c>
      <c r="H1601" t="s">
        <v>2279</v>
      </c>
      <c r="I1601" t="s">
        <v>2279</v>
      </c>
      <c r="J1601" t="s">
        <v>2279</v>
      </c>
      <c r="K1601" t="s">
        <v>2279</v>
      </c>
      <c r="L1601" t="s">
        <v>1469</v>
      </c>
      <c r="M1601" t="s">
        <v>2279</v>
      </c>
      <c r="N1601" t="s">
        <v>2279</v>
      </c>
      <c r="O1601" s="190" t="str">
        <f>"["&amp;$C1601&amp;"]["&amp;$D1601&amp;"]["&amp;$F1601&amp;"]"</f>
        <v>[S06_InstallationsVisitsWaivedHighEmittersDetail][2][ConditionForWaiving]</v>
      </c>
    </row>
    <row r="1602" spans="1:15" x14ac:dyDescent="0.3">
      <c r="A1602" t="s">
        <v>2277</v>
      </c>
      <c r="B1602" t="s">
        <v>2001</v>
      </c>
      <c r="C1602" t="s">
        <v>2003</v>
      </c>
      <c r="D1602">
        <v>3</v>
      </c>
      <c r="E1602" t="s">
        <v>1447</v>
      </c>
      <c r="F1602" t="s">
        <v>2004</v>
      </c>
      <c r="G1602" t="s">
        <v>1737</v>
      </c>
      <c r="H1602" t="s">
        <v>2279</v>
      </c>
      <c r="I1602" t="s">
        <v>2279</v>
      </c>
      <c r="J1602" t="s">
        <v>2279</v>
      </c>
      <c r="K1602" t="s">
        <v>2279</v>
      </c>
      <c r="L1602" t="s">
        <v>1494</v>
      </c>
      <c r="M1602" t="s">
        <v>2279</v>
      </c>
      <c r="N1602" t="s">
        <v>2279</v>
      </c>
      <c r="O1602" s="190" t="str">
        <f>"["&amp;$C1602&amp;"]["&amp;$D1602&amp;"]["&amp;$F1602&amp;"]"</f>
        <v>[S06_InstallationsVisitsWaivedHighEmittersDetail][3][ConditionForWaiving]</v>
      </c>
    </row>
    <row r="1603" spans="1:15" x14ac:dyDescent="0.3">
      <c r="A1603" t="s">
        <v>2277</v>
      </c>
      <c r="B1603" t="s">
        <v>2001</v>
      </c>
      <c r="C1603" t="s">
        <v>2003</v>
      </c>
      <c r="D1603">
        <v>4</v>
      </c>
      <c r="E1603" t="s">
        <v>1447</v>
      </c>
      <c r="F1603" t="s">
        <v>2004</v>
      </c>
      <c r="G1603" t="s">
        <v>1737</v>
      </c>
      <c r="H1603" t="s">
        <v>2279</v>
      </c>
      <c r="I1603" t="s">
        <v>2279</v>
      </c>
      <c r="J1603" t="s">
        <v>2279</v>
      </c>
      <c r="K1603" t="s">
        <v>2279</v>
      </c>
      <c r="L1603" t="s">
        <v>1441</v>
      </c>
      <c r="M1603" t="s">
        <v>2279</v>
      </c>
      <c r="N1603" t="s">
        <v>2279</v>
      </c>
      <c r="O1603" s="190" t="str">
        <f>"["&amp;$C1603&amp;"]["&amp;$D1603&amp;"]["&amp;$F1603&amp;"]"</f>
        <v>[S06_InstallationsVisitsWaivedHighEmittersDetail][4][ConditionForWaiving]</v>
      </c>
    </row>
    <row r="1604" spans="1:15" x14ac:dyDescent="0.3">
      <c r="A1604" t="s">
        <v>2277</v>
      </c>
      <c r="B1604" t="s">
        <v>2001</v>
      </c>
      <c r="C1604" t="s">
        <v>2003</v>
      </c>
      <c r="D1604">
        <v>1</v>
      </c>
      <c r="E1604" t="s">
        <v>1447</v>
      </c>
      <c r="F1604" t="s">
        <v>1988</v>
      </c>
      <c r="G1604" t="s">
        <v>1737</v>
      </c>
      <c r="H1604" t="s">
        <v>2279</v>
      </c>
      <c r="I1604" t="s">
        <v>2279</v>
      </c>
      <c r="J1604" t="s">
        <v>2279</v>
      </c>
      <c r="K1604" t="s">
        <v>2279</v>
      </c>
      <c r="L1604" t="s">
        <v>1420</v>
      </c>
      <c r="M1604" t="s">
        <v>2279</v>
      </c>
      <c r="N1604" t="s">
        <v>2279</v>
      </c>
      <c r="O1604" s="190" t="str">
        <f>"["&amp;$C1604&amp;"]["&amp;$D1604&amp;"]["&amp;$F1604&amp;"]"</f>
        <v>[S06_InstallationsVisitsWaivedHighEmittersDetail][1][AnnexIActivity]</v>
      </c>
    </row>
    <row r="1605" spans="1:15" x14ac:dyDescent="0.3">
      <c r="A1605" t="s">
        <v>2277</v>
      </c>
      <c r="B1605" t="s">
        <v>2001</v>
      </c>
      <c r="C1605" t="s">
        <v>2003</v>
      </c>
      <c r="D1605">
        <v>2</v>
      </c>
      <c r="E1605" t="s">
        <v>1447</v>
      </c>
      <c r="F1605" t="s">
        <v>1988</v>
      </c>
      <c r="G1605" t="s">
        <v>1737</v>
      </c>
      <c r="H1605" t="s">
        <v>2279</v>
      </c>
      <c r="I1605" t="s">
        <v>2279</v>
      </c>
      <c r="J1605" t="s">
        <v>2279</v>
      </c>
      <c r="K1605" t="s">
        <v>2279</v>
      </c>
      <c r="L1605" t="s">
        <v>1420</v>
      </c>
      <c r="M1605" t="s">
        <v>2279</v>
      </c>
      <c r="N1605" t="s">
        <v>2279</v>
      </c>
      <c r="O1605" s="190" t="str">
        <f>"["&amp;$C1605&amp;"]["&amp;$D1605&amp;"]["&amp;$F1605&amp;"]"</f>
        <v>[S06_InstallationsVisitsWaivedHighEmittersDetail][2][AnnexIActivity]</v>
      </c>
    </row>
    <row r="1606" spans="1:15" x14ac:dyDescent="0.3">
      <c r="A1606" t="s">
        <v>2277</v>
      </c>
      <c r="B1606" t="s">
        <v>2001</v>
      </c>
      <c r="C1606" t="s">
        <v>2003</v>
      </c>
      <c r="D1606">
        <v>3</v>
      </c>
      <c r="E1606" t="s">
        <v>1447</v>
      </c>
      <c r="F1606" t="s">
        <v>1988</v>
      </c>
      <c r="G1606" t="s">
        <v>1737</v>
      </c>
      <c r="H1606" t="s">
        <v>2279</v>
      </c>
      <c r="I1606" t="s">
        <v>2279</v>
      </c>
      <c r="J1606" t="s">
        <v>2279</v>
      </c>
      <c r="K1606" t="s">
        <v>2279</v>
      </c>
      <c r="L1606" t="s">
        <v>1420</v>
      </c>
      <c r="M1606" t="s">
        <v>2279</v>
      </c>
      <c r="N1606" t="s">
        <v>2279</v>
      </c>
      <c r="O1606" s="190" t="str">
        <f>"["&amp;$C1606&amp;"]["&amp;$D1606&amp;"]["&amp;$F1606&amp;"]"</f>
        <v>[S06_InstallationsVisitsWaivedHighEmittersDetail][3][AnnexIActivity]</v>
      </c>
    </row>
    <row r="1607" spans="1:15" x14ac:dyDescent="0.3">
      <c r="A1607" t="s">
        <v>2277</v>
      </c>
      <c r="B1607" t="s">
        <v>2001</v>
      </c>
      <c r="C1607" t="s">
        <v>2003</v>
      </c>
      <c r="D1607">
        <v>4</v>
      </c>
      <c r="E1607" t="s">
        <v>1447</v>
      </c>
      <c r="F1607" t="s">
        <v>1988</v>
      </c>
      <c r="G1607" t="s">
        <v>1737</v>
      </c>
      <c r="H1607" t="s">
        <v>2279</v>
      </c>
      <c r="I1607" t="s">
        <v>2279</v>
      </c>
      <c r="J1607" t="s">
        <v>2279</v>
      </c>
      <c r="K1607" t="s">
        <v>2279</v>
      </c>
      <c r="L1607" t="s">
        <v>1597</v>
      </c>
      <c r="M1607" t="s">
        <v>2279</v>
      </c>
      <c r="N1607" t="s">
        <v>2279</v>
      </c>
      <c r="O1607" s="190" t="str">
        <f>"["&amp;$C1607&amp;"]["&amp;$D1607&amp;"]["&amp;$F1607&amp;"]"</f>
        <v>[S06_InstallationsVisitsWaivedHighEmittersDetail][4][AnnexIActivity]</v>
      </c>
    </row>
    <row r="1608" spans="1:15" x14ac:dyDescent="0.3">
      <c r="A1608" t="s">
        <v>2277</v>
      </c>
      <c r="B1608" t="s">
        <v>2001</v>
      </c>
      <c r="C1608" t="s">
        <v>2003</v>
      </c>
      <c r="D1608">
        <v>1</v>
      </c>
      <c r="E1608" t="s">
        <v>1447</v>
      </c>
      <c r="F1608" t="s">
        <v>1798</v>
      </c>
      <c r="G1608" t="s">
        <v>1748</v>
      </c>
      <c r="H1608" t="s">
        <v>2279</v>
      </c>
      <c r="I1608">
        <v>24</v>
      </c>
      <c r="J1608" t="s">
        <v>2279</v>
      </c>
      <c r="K1608" t="s">
        <v>2279</v>
      </c>
      <c r="L1608" t="s">
        <v>2279</v>
      </c>
      <c r="M1608" t="s">
        <v>2279</v>
      </c>
      <c r="N1608" t="s">
        <v>2279</v>
      </c>
      <c r="O1608" s="190" t="str">
        <f>"["&amp;$C1608&amp;"]["&amp;$D1608&amp;"]["&amp;$F1608&amp;"]"</f>
        <v>[S06_InstallationsVisitsWaivedHighEmittersDetail][1][NumberOfInstallations]</v>
      </c>
    </row>
    <row r="1609" spans="1:15" x14ac:dyDescent="0.3">
      <c r="A1609" t="s">
        <v>2277</v>
      </c>
      <c r="B1609" t="s">
        <v>2001</v>
      </c>
      <c r="C1609" t="s">
        <v>2003</v>
      </c>
      <c r="D1609">
        <v>2</v>
      </c>
      <c r="E1609" t="s">
        <v>1447</v>
      </c>
      <c r="F1609" t="s">
        <v>1798</v>
      </c>
      <c r="G1609" t="s">
        <v>1748</v>
      </c>
      <c r="H1609" t="s">
        <v>2279</v>
      </c>
      <c r="I1609">
        <v>2</v>
      </c>
      <c r="J1609" t="s">
        <v>2279</v>
      </c>
      <c r="K1609" t="s">
        <v>2279</v>
      </c>
      <c r="L1609" t="s">
        <v>2279</v>
      </c>
      <c r="M1609" t="s">
        <v>2279</v>
      </c>
      <c r="N1609" t="s">
        <v>2279</v>
      </c>
      <c r="O1609" s="190" t="str">
        <f>"["&amp;$C1609&amp;"]["&amp;$D1609&amp;"]["&amp;$F1609&amp;"]"</f>
        <v>[S06_InstallationsVisitsWaivedHighEmittersDetail][2][NumberOfInstallations]</v>
      </c>
    </row>
    <row r="1610" spans="1:15" x14ac:dyDescent="0.3">
      <c r="A1610" t="s">
        <v>2277</v>
      </c>
      <c r="B1610" t="s">
        <v>2001</v>
      </c>
      <c r="C1610" t="s">
        <v>2003</v>
      </c>
      <c r="D1610">
        <v>3</v>
      </c>
      <c r="E1610" t="s">
        <v>1447</v>
      </c>
      <c r="F1610" t="s">
        <v>1798</v>
      </c>
      <c r="G1610" t="s">
        <v>1748</v>
      </c>
      <c r="H1610" t="s">
        <v>2279</v>
      </c>
      <c r="I1610">
        <v>6</v>
      </c>
      <c r="J1610" t="s">
        <v>2279</v>
      </c>
      <c r="K1610" t="s">
        <v>2279</v>
      </c>
      <c r="L1610" t="s">
        <v>2279</v>
      </c>
      <c r="M1610" t="s">
        <v>2279</v>
      </c>
      <c r="N1610" t="s">
        <v>2279</v>
      </c>
      <c r="O1610" s="190" t="str">
        <f>"["&amp;$C1610&amp;"]["&amp;$D1610&amp;"]["&amp;$F1610&amp;"]"</f>
        <v>[S06_InstallationsVisitsWaivedHighEmittersDetail][3][NumberOfInstallations]</v>
      </c>
    </row>
    <row r="1611" spans="1:15" x14ac:dyDescent="0.3">
      <c r="A1611" t="s">
        <v>2277</v>
      </c>
      <c r="B1611" t="s">
        <v>2001</v>
      </c>
      <c r="C1611" t="s">
        <v>2003</v>
      </c>
      <c r="D1611">
        <v>4</v>
      </c>
      <c r="E1611" t="s">
        <v>1447</v>
      </c>
      <c r="F1611" t="s">
        <v>1798</v>
      </c>
      <c r="G1611" t="s">
        <v>1748</v>
      </c>
      <c r="H1611" t="s">
        <v>2279</v>
      </c>
      <c r="I1611">
        <v>1</v>
      </c>
      <c r="J1611" t="s">
        <v>2279</v>
      </c>
      <c r="K1611" t="s">
        <v>2279</v>
      </c>
      <c r="L1611" t="s">
        <v>2279</v>
      </c>
      <c r="M1611" t="s">
        <v>2279</v>
      </c>
      <c r="N1611" t="s">
        <v>2279</v>
      </c>
      <c r="O1611" s="190" t="str">
        <f>"["&amp;$C1611&amp;"]["&amp;$D1611&amp;"]["&amp;$F1611&amp;"]"</f>
        <v>[S06_InstallationsVisitsWaivedHighEmittersDetail][4][NumberOfInstallations]</v>
      </c>
    </row>
    <row r="1612" spans="1:15" x14ac:dyDescent="0.3">
      <c r="A1612" t="s">
        <v>2277</v>
      </c>
      <c r="B1612" t="s">
        <v>2001</v>
      </c>
      <c r="C1612" t="s">
        <v>2005</v>
      </c>
      <c r="D1612">
        <v>0</v>
      </c>
      <c r="E1612" t="s">
        <v>1447</v>
      </c>
      <c r="F1612" t="s">
        <v>2005</v>
      </c>
      <c r="G1612" t="s">
        <v>1759</v>
      </c>
      <c r="H1612" t="s">
        <v>2279</v>
      </c>
      <c r="I1612" t="s">
        <v>2279</v>
      </c>
      <c r="J1612" t="s">
        <v>2279</v>
      </c>
      <c r="K1612" t="s">
        <v>2279</v>
      </c>
      <c r="L1612" t="s">
        <v>1419</v>
      </c>
      <c r="M1612" t="s">
        <v>2279</v>
      </c>
      <c r="N1612" t="s">
        <v>2279</v>
      </c>
      <c r="O1612" s="190" t="str">
        <f>"["&amp;$C1612&amp;"]["&amp;$D1612&amp;"]["&amp;$F1612&amp;"]"</f>
        <v>[InstallationsVisitsWaivedLowEmitters][0][InstallationsVisitsWaivedLowEmitters]</v>
      </c>
    </row>
    <row r="1613" spans="1:15" x14ac:dyDescent="0.3">
      <c r="A1613" t="s">
        <v>2277</v>
      </c>
      <c r="B1613" t="s">
        <v>2001</v>
      </c>
      <c r="C1613" t="s">
        <v>2006</v>
      </c>
      <c r="D1613">
        <v>0</v>
      </c>
      <c r="E1613" t="s">
        <v>1447</v>
      </c>
      <c r="F1613" t="s">
        <v>2006</v>
      </c>
      <c r="G1613" t="s">
        <v>1748</v>
      </c>
      <c r="H1613" t="s">
        <v>2279</v>
      </c>
      <c r="I1613">
        <v>193</v>
      </c>
      <c r="J1613" t="s">
        <v>2279</v>
      </c>
      <c r="K1613" t="s">
        <v>2279</v>
      </c>
      <c r="L1613" t="s">
        <v>2279</v>
      </c>
      <c r="M1613" t="s">
        <v>2279</v>
      </c>
      <c r="N1613" t="s">
        <v>2279</v>
      </c>
      <c r="O1613" s="190" t="str">
        <f>"["&amp;$C1613&amp;"]["&amp;$D1613&amp;"]["&amp;$F1613&amp;"]"</f>
        <v>[InstallationsVisitsWaivedLowEmittersDetail][0][InstallationsVisitsWaivedLowEmittersDetail]</v>
      </c>
    </row>
    <row r="1614" spans="1:15" x14ac:dyDescent="0.3">
      <c r="A1614" t="s">
        <v>2277</v>
      </c>
      <c r="B1614" t="s">
        <v>2007</v>
      </c>
      <c r="C1614" t="s">
        <v>2008</v>
      </c>
      <c r="D1614">
        <v>0</v>
      </c>
      <c r="E1614" t="s">
        <v>1447</v>
      </c>
      <c r="F1614" t="s">
        <v>2008</v>
      </c>
      <c r="G1614" t="s">
        <v>1759</v>
      </c>
      <c r="H1614" t="s">
        <v>2279</v>
      </c>
      <c r="I1614" t="s">
        <v>2279</v>
      </c>
      <c r="J1614" t="s">
        <v>2279</v>
      </c>
      <c r="K1614" t="s">
        <v>2279</v>
      </c>
      <c r="L1614" t="s">
        <v>1419</v>
      </c>
      <c r="M1614" t="s">
        <v>2279</v>
      </c>
      <c r="N1614" t="s">
        <v>2279</v>
      </c>
      <c r="O1614" s="190" t="str">
        <f>"["&amp;$C1614&amp;"]["&amp;$D1614&amp;"]["&amp;$F1614&amp;"]"</f>
        <v>[VirtualVisitsInstallations][0][VirtualVisitsInstallations]</v>
      </c>
    </row>
    <row r="1615" spans="1:15" x14ac:dyDescent="0.3">
      <c r="A1615" t="s">
        <v>2277</v>
      </c>
      <c r="B1615" t="s">
        <v>2007</v>
      </c>
      <c r="C1615" t="s">
        <v>2009</v>
      </c>
      <c r="D1615">
        <v>1</v>
      </c>
      <c r="E1615" t="s">
        <v>1447</v>
      </c>
      <c r="F1615" t="s">
        <v>2010</v>
      </c>
      <c r="G1615" t="s">
        <v>1741</v>
      </c>
      <c r="H1615" t="s">
        <v>2431</v>
      </c>
      <c r="I1615" t="s">
        <v>2279</v>
      </c>
      <c r="J1615" t="s">
        <v>2279</v>
      </c>
      <c r="K1615" t="s">
        <v>2279</v>
      </c>
      <c r="L1615" t="s">
        <v>2279</v>
      </c>
      <c r="M1615" t="s">
        <v>2279</v>
      </c>
      <c r="N1615" t="s">
        <v>2279</v>
      </c>
      <c r="O1615" s="190" t="str">
        <f>"["&amp;$C1615&amp;"]["&amp;$D1615&amp;"]["&amp;$F1615&amp;"]"</f>
        <v>[S06_VirtualVisitsInstallationsDetails][1][TypeForceMajeur]</v>
      </c>
    </row>
    <row r="1616" spans="1:15" x14ac:dyDescent="0.3">
      <c r="A1616" t="s">
        <v>2277</v>
      </c>
      <c r="B1616" t="s">
        <v>2007</v>
      </c>
      <c r="C1616" t="s">
        <v>2009</v>
      </c>
      <c r="D1616">
        <v>2</v>
      </c>
      <c r="E1616" t="s">
        <v>1447</v>
      </c>
      <c r="F1616" t="s">
        <v>2010</v>
      </c>
      <c r="G1616" t="s">
        <v>1741</v>
      </c>
      <c r="H1616" t="s">
        <v>2432</v>
      </c>
      <c r="I1616" t="s">
        <v>2279</v>
      </c>
      <c r="J1616" t="s">
        <v>2279</v>
      </c>
      <c r="K1616" t="s">
        <v>2279</v>
      </c>
      <c r="L1616" t="s">
        <v>2279</v>
      </c>
      <c r="M1616" t="s">
        <v>2279</v>
      </c>
      <c r="N1616" t="s">
        <v>2279</v>
      </c>
      <c r="O1616" s="190" t="str">
        <f>"["&amp;$C1616&amp;"]["&amp;$D1616&amp;"]["&amp;$F1616&amp;"]"</f>
        <v>[S06_VirtualVisitsInstallationsDetails][2][TypeForceMajeur]</v>
      </c>
    </row>
    <row r="1617" spans="1:15" x14ac:dyDescent="0.3">
      <c r="A1617" t="s">
        <v>2277</v>
      </c>
      <c r="B1617" t="s">
        <v>2007</v>
      </c>
      <c r="C1617" t="s">
        <v>2009</v>
      </c>
      <c r="D1617">
        <v>1</v>
      </c>
      <c r="E1617" t="s">
        <v>1447</v>
      </c>
      <c r="F1617" t="s">
        <v>2011</v>
      </c>
      <c r="G1617" t="s">
        <v>1748</v>
      </c>
      <c r="H1617" t="s">
        <v>2279</v>
      </c>
      <c r="I1617">
        <v>21</v>
      </c>
      <c r="J1617" t="s">
        <v>2279</v>
      </c>
      <c r="K1617" t="s">
        <v>2279</v>
      </c>
      <c r="L1617" t="s">
        <v>2279</v>
      </c>
      <c r="M1617" t="s">
        <v>2279</v>
      </c>
      <c r="N1617" t="s">
        <v>2279</v>
      </c>
      <c r="O1617" s="190" t="str">
        <f>"["&amp;$C1617&amp;"]["&amp;$D1617&amp;"]["&amp;$F1617&amp;"]"</f>
        <v>[S06_VirtualVisitsInstallationsDetails][1][NumberOfInstallationsVV]</v>
      </c>
    </row>
    <row r="1618" spans="1:15" x14ac:dyDescent="0.3">
      <c r="A1618" t="s">
        <v>2277</v>
      </c>
      <c r="B1618" t="s">
        <v>2007</v>
      </c>
      <c r="C1618" t="s">
        <v>2009</v>
      </c>
      <c r="D1618">
        <v>2</v>
      </c>
      <c r="E1618" t="s">
        <v>1447</v>
      </c>
      <c r="F1618" t="s">
        <v>2011</v>
      </c>
      <c r="G1618" t="s">
        <v>1748</v>
      </c>
      <c r="H1618" t="s">
        <v>2279</v>
      </c>
      <c r="I1618">
        <v>1</v>
      </c>
      <c r="J1618" t="s">
        <v>2279</v>
      </c>
      <c r="K1618" t="s">
        <v>2279</v>
      </c>
      <c r="L1618" t="s">
        <v>2279</v>
      </c>
      <c r="M1618" t="s">
        <v>2279</v>
      </c>
      <c r="N1618" t="s">
        <v>2279</v>
      </c>
      <c r="O1618" s="190" t="str">
        <f>"["&amp;$C1618&amp;"]["&amp;$D1618&amp;"]["&amp;$F1618&amp;"]"</f>
        <v>[S06_VirtualVisitsInstallationsDetails][2][NumberOfInstallationsVV]</v>
      </c>
    </row>
    <row r="1619" spans="1:15" x14ac:dyDescent="0.3">
      <c r="A1619" t="s">
        <v>2277</v>
      </c>
      <c r="B1619" t="s">
        <v>2007</v>
      </c>
      <c r="C1619" t="s">
        <v>2009</v>
      </c>
      <c r="D1619">
        <v>1</v>
      </c>
      <c r="E1619" t="s">
        <v>1447</v>
      </c>
      <c r="F1619" t="s">
        <v>2012</v>
      </c>
      <c r="G1619" t="s">
        <v>1737</v>
      </c>
      <c r="H1619" t="s">
        <v>2279</v>
      </c>
      <c r="I1619" t="s">
        <v>2279</v>
      </c>
      <c r="J1619" t="s">
        <v>2279</v>
      </c>
      <c r="K1619" t="s">
        <v>2279</v>
      </c>
      <c r="L1619" t="s">
        <v>1470</v>
      </c>
      <c r="M1619" t="s">
        <v>2279</v>
      </c>
      <c r="N1619" t="s">
        <v>2279</v>
      </c>
      <c r="O1619" s="190" t="str">
        <f>"["&amp;$C1619&amp;"]["&amp;$D1619&amp;"]["&amp;$F1619&amp;"]"</f>
        <v>[S06_VirtualVisitsInstallationsDetails][1][AuthorityApproval]</v>
      </c>
    </row>
    <row r="1620" spans="1:15" x14ac:dyDescent="0.3">
      <c r="A1620" t="s">
        <v>2277</v>
      </c>
      <c r="B1620" t="s">
        <v>2007</v>
      </c>
      <c r="C1620" t="s">
        <v>2009</v>
      </c>
      <c r="D1620">
        <v>2</v>
      </c>
      <c r="E1620" t="s">
        <v>1447</v>
      </c>
      <c r="F1620" t="s">
        <v>2012</v>
      </c>
      <c r="G1620" t="s">
        <v>1737</v>
      </c>
      <c r="H1620" t="s">
        <v>2279</v>
      </c>
      <c r="I1620" t="s">
        <v>2279</v>
      </c>
      <c r="J1620" t="s">
        <v>2279</v>
      </c>
      <c r="K1620" t="s">
        <v>2279</v>
      </c>
      <c r="L1620" t="s">
        <v>1442</v>
      </c>
      <c r="M1620" t="s">
        <v>2279</v>
      </c>
      <c r="N1620" t="s">
        <v>2279</v>
      </c>
      <c r="O1620" s="190" t="str">
        <f>"["&amp;$C1620&amp;"]["&amp;$D1620&amp;"]["&amp;$F1620&amp;"]"</f>
        <v>[S06_VirtualVisitsInstallationsDetails][2][AuthorityApproval]</v>
      </c>
    </row>
    <row r="1621" spans="1:15" x14ac:dyDescent="0.3">
      <c r="A1621" t="s">
        <v>2277</v>
      </c>
      <c r="B1621" t="s">
        <v>2007</v>
      </c>
      <c r="C1621" t="s">
        <v>2009</v>
      </c>
      <c r="D1621">
        <v>1</v>
      </c>
      <c r="E1621" t="s">
        <v>1447</v>
      </c>
      <c r="F1621" t="s">
        <v>2013</v>
      </c>
      <c r="G1621" t="s">
        <v>1741</v>
      </c>
      <c r="H1621" t="s">
        <v>1419</v>
      </c>
      <c r="I1621" t="s">
        <v>2279</v>
      </c>
      <c r="J1621" t="s">
        <v>2279</v>
      </c>
      <c r="K1621" t="s">
        <v>2279</v>
      </c>
      <c r="L1621" t="s">
        <v>2279</v>
      </c>
      <c r="M1621" t="s">
        <v>2279</v>
      </c>
      <c r="N1621" t="s">
        <v>2279</v>
      </c>
      <c r="O1621" s="190" t="str">
        <f>"["&amp;$C1621&amp;"]["&amp;$D1621&amp;"]["&amp;$F1621&amp;"]"</f>
        <v>[S06_VirtualVisitsInstallationsDetails][1][ConfirmationConditionsMet]</v>
      </c>
    </row>
    <row r="1622" spans="1:15" x14ac:dyDescent="0.3">
      <c r="A1622" t="s">
        <v>2277</v>
      </c>
      <c r="B1622" t="s">
        <v>2007</v>
      </c>
      <c r="C1622" t="s">
        <v>2009</v>
      </c>
      <c r="D1622">
        <v>2</v>
      </c>
      <c r="E1622" t="s">
        <v>1447</v>
      </c>
      <c r="F1622" t="s">
        <v>2013</v>
      </c>
      <c r="G1622" t="s">
        <v>1741</v>
      </c>
      <c r="H1622" t="s">
        <v>1419</v>
      </c>
      <c r="I1622" t="s">
        <v>2279</v>
      </c>
      <c r="J1622" t="s">
        <v>2279</v>
      </c>
      <c r="K1622" t="s">
        <v>2279</v>
      </c>
      <c r="L1622" t="s">
        <v>2279</v>
      </c>
      <c r="M1622" t="s">
        <v>2279</v>
      </c>
      <c r="N1622" t="s">
        <v>2279</v>
      </c>
      <c r="O1622" s="190" t="str">
        <f>"["&amp;$C1622&amp;"]["&amp;$D1622&amp;"]["&amp;$F1622&amp;"]"</f>
        <v>[S06_VirtualVisitsInstallationsDetails][2][ConfirmationConditionsMet]</v>
      </c>
    </row>
    <row r="1623" spans="1:15" x14ac:dyDescent="0.3">
      <c r="A1623" t="s">
        <v>2277</v>
      </c>
      <c r="B1623" t="s">
        <v>2014</v>
      </c>
      <c r="C1623" t="s">
        <v>2015</v>
      </c>
      <c r="D1623">
        <v>1</v>
      </c>
      <c r="E1623" t="s">
        <v>1447</v>
      </c>
      <c r="F1623" t="s">
        <v>2016</v>
      </c>
      <c r="G1623" t="s">
        <v>1741</v>
      </c>
      <c r="H1623" t="s">
        <v>2433</v>
      </c>
      <c r="I1623" t="s">
        <v>2279</v>
      </c>
      <c r="J1623" t="s">
        <v>2279</v>
      </c>
      <c r="K1623" t="s">
        <v>2279</v>
      </c>
      <c r="L1623" t="s">
        <v>2279</v>
      </c>
      <c r="M1623" t="s">
        <v>2279</v>
      </c>
      <c r="N1623" t="s">
        <v>2279</v>
      </c>
      <c r="O1623" s="190" t="str">
        <f>"["&amp;$C1623&amp;"]["&amp;$D1623&amp;"]["&amp;$F1623&amp;"]"</f>
        <v>[S06_AircraftOperatorsConservativeEstimates][1][AircraftOperatorID]</v>
      </c>
    </row>
    <row r="1624" spans="1:15" x14ac:dyDescent="0.3">
      <c r="A1624" t="s">
        <v>2277</v>
      </c>
      <c r="B1624" t="s">
        <v>2014</v>
      </c>
      <c r="C1624" t="s">
        <v>2015</v>
      </c>
      <c r="D1624">
        <v>2</v>
      </c>
      <c r="E1624" t="s">
        <v>1447</v>
      </c>
      <c r="F1624" t="s">
        <v>2016</v>
      </c>
      <c r="G1624" t="s">
        <v>1741</v>
      </c>
      <c r="H1624" t="s">
        <v>2434</v>
      </c>
      <c r="I1624" t="s">
        <v>2279</v>
      </c>
      <c r="J1624" t="s">
        <v>2279</v>
      </c>
      <c r="K1624" t="s">
        <v>2279</v>
      </c>
      <c r="L1624" t="s">
        <v>2279</v>
      </c>
      <c r="M1624" t="s">
        <v>2279</v>
      </c>
      <c r="N1624" t="s">
        <v>2279</v>
      </c>
      <c r="O1624" s="190" t="str">
        <f>"["&amp;$C1624&amp;"]["&amp;$D1624&amp;"]["&amp;$F1624&amp;"]"</f>
        <v>[S06_AircraftOperatorsConservativeEstimates][2][AircraftOperatorID]</v>
      </c>
    </row>
    <row r="1625" spans="1:15" x14ac:dyDescent="0.3">
      <c r="A1625" t="s">
        <v>2277</v>
      </c>
      <c r="B1625" t="s">
        <v>2014</v>
      </c>
      <c r="C1625" t="s">
        <v>2015</v>
      </c>
      <c r="D1625">
        <v>3</v>
      </c>
      <c r="E1625" t="s">
        <v>1447</v>
      </c>
      <c r="F1625" t="s">
        <v>2016</v>
      </c>
      <c r="G1625" t="s">
        <v>1741</v>
      </c>
      <c r="H1625" t="s">
        <v>2435</v>
      </c>
      <c r="I1625" t="s">
        <v>2279</v>
      </c>
      <c r="J1625" t="s">
        <v>2279</v>
      </c>
      <c r="K1625" t="s">
        <v>2279</v>
      </c>
      <c r="L1625" t="s">
        <v>2279</v>
      </c>
      <c r="M1625" t="s">
        <v>2279</v>
      </c>
      <c r="N1625" t="s">
        <v>2279</v>
      </c>
      <c r="O1625" s="190" t="str">
        <f>"["&amp;$C1625&amp;"]["&amp;$D1625&amp;"]["&amp;$F1625&amp;"]"</f>
        <v>[S06_AircraftOperatorsConservativeEstimates][3][AircraftOperatorID]</v>
      </c>
    </row>
    <row r="1626" spans="1:15" x14ac:dyDescent="0.3">
      <c r="A1626" t="s">
        <v>2277</v>
      </c>
      <c r="B1626" t="s">
        <v>2014</v>
      </c>
      <c r="C1626" t="s">
        <v>2015</v>
      </c>
      <c r="D1626">
        <v>4</v>
      </c>
      <c r="E1626" t="s">
        <v>1447</v>
      </c>
      <c r="F1626" t="s">
        <v>2016</v>
      </c>
      <c r="G1626" t="s">
        <v>1741</v>
      </c>
      <c r="H1626" t="s">
        <v>2436</v>
      </c>
      <c r="I1626" t="s">
        <v>2279</v>
      </c>
      <c r="J1626" t="s">
        <v>2279</v>
      </c>
      <c r="K1626" t="s">
        <v>2279</v>
      </c>
      <c r="L1626" t="s">
        <v>2279</v>
      </c>
      <c r="M1626" t="s">
        <v>2279</v>
      </c>
      <c r="N1626" t="s">
        <v>2279</v>
      </c>
      <c r="O1626" s="190" t="str">
        <f>"["&amp;$C1626&amp;"]["&amp;$D1626&amp;"]["&amp;$F1626&amp;"]"</f>
        <v>[S06_AircraftOperatorsConservativeEstimates][4][AircraftOperatorID]</v>
      </c>
    </row>
    <row r="1627" spans="1:15" x14ac:dyDescent="0.3">
      <c r="A1627" t="s">
        <v>2277</v>
      </c>
      <c r="B1627" t="s">
        <v>2014</v>
      </c>
      <c r="C1627" t="s">
        <v>2015</v>
      </c>
      <c r="D1627">
        <v>5</v>
      </c>
      <c r="E1627" t="s">
        <v>1447</v>
      </c>
      <c r="F1627" t="s">
        <v>2016</v>
      </c>
      <c r="G1627" t="s">
        <v>1741</v>
      </c>
      <c r="H1627" t="s">
        <v>2437</v>
      </c>
      <c r="I1627" t="s">
        <v>2279</v>
      </c>
      <c r="J1627" t="s">
        <v>2279</v>
      </c>
      <c r="K1627" t="s">
        <v>2279</v>
      </c>
      <c r="L1627" t="s">
        <v>2279</v>
      </c>
      <c r="M1627" t="s">
        <v>2279</v>
      </c>
      <c r="N1627" t="s">
        <v>2279</v>
      </c>
      <c r="O1627" s="190" t="str">
        <f>"["&amp;$C1627&amp;"]["&amp;$D1627&amp;"]["&amp;$F1627&amp;"]"</f>
        <v>[S06_AircraftOperatorsConservativeEstimates][5][AircraftOperatorID]</v>
      </c>
    </row>
    <row r="1628" spans="1:15" x14ac:dyDescent="0.3">
      <c r="A1628" t="s">
        <v>2277</v>
      </c>
      <c r="B1628" t="s">
        <v>2014</v>
      </c>
      <c r="C1628" t="s">
        <v>2015</v>
      </c>
      <c r="D1628">
        <v>6</v>
      </c>
      <c r="E1628" t="s">
        <v>1447</v>
      </c>
      <c r="F1628" t="s">
        <v>2016</v>
      </c>
      <c r="G1628" t="s">
        <v>1741</v>
      </c>
      <c r="H1628" t="s">
        <v>2438</v>
      </c>
      <c r="I1628" t="s">
        <v>2279</v>
      </c>
      <c r="J1628" t="s">
        <v>2279</v>
      </c>
      <c r="K1628" t="s">
        <v>2279</v>
      </c>
      <c r="L1628" t="s">
        <v>2279</v>
      </c>
      <c r="M1628" t="s">
        <v>2279</v>
      </c>
      <c r="N1628" t="s">
        <v>2279</v>
      </c>
      <c r="O1628" s="190" t="str">
        <f>"["&amp;$C1628&amp;"]["&amp;$D1628&amp;"]["&amp;$F1628&amp;"]"</f>
        <v>[S06_AircraftOperatorsConservativeEstimates][6][AircraftOperatorID]</v>
      </c>
    </row>
    <row r="1629" spans="1:15" x14ac:dyDescent="0.3">
      <c r="A1629" t="s">
        <v>2277</v>
      </c>
      <c r="B1629" t="s">
        <v>2014</v>
      </c>
      <c r="C1629" t="s">
        <v>2015</v>
      </c>
      <c r="D1629">
        <v>7</v>
      </c>
      <c r="E1629" t="s">
        <v>1447</v>
      </c>
      <c r="F1629" t="s">
        <v>2016</v>
      </c>
      <c r="G1629" t="s">
        <v>1741</v>
      </c>
      <c r="H1629" t="s">
        <v>2439</v>
      </c>
      <c r="I1629" t="s">
        <v>2279</v>
      </c>
      <c r="J1629" t="s">
        <v>2279</v>
      </c>
      <c r="K1629" t="s">
        <v>2279</v>
      </c>
      <c r="L1629" t="s">
        <v>2279</v>
      </c>
      <c r="M1629" t="s">
        <v>2279</v>
      </c>
      <c r="N1629" t="s">
        <v>2279</v>
      </c>
      <c r="O1629" s="190" t="str">
        <f>"["&amp;$C1629&amp;"]["&amp;$D1629&amp;"]["&amp;$F1629&amp;"]"</f>
        <v>[S06_AircraftOperatorsConservativeEstimates][7][AircraftOperatorID]</v>
      </c>
    </row>
    <row r="1630" spans="1:15" x14ac:dyDescent="0.3">
      <c r="A1630" t="s">
        <v>2277</v>
      </c>
      <c r="B1630" t="s">
        <v>2014</v>
      </c>
      <c r="C1630" t="s">
        <v>2015</v>
      </c>
      <c r="D1630">
        <v>8</v>
      </c>
      <c r="E1630" t="s">
        <v>1447</v>
      </c>
      <c r="F1630" t="s">
        <v>2016</v>
      </c>
      <c r="G1630" t="s">
        <v>1741</v>
      </c>
      <c r="H1630" t="s">
        <v>2440</v>
      </c>
      <c r="I1630" t="s">
        <v>2279</v>
      </c>
      <c r="J1630" t="s">
        <v>2279</v>
      </c>
      <c r="K1630" t="s">
        <v>2279</v>
      </c>
      <c r="L1630" t="s">
        <v>2279</v>
      </c>
      <c r="M1630" t="s">
        <v>2279</v>
      </c>
      <c r="N1630" t="s">
        <v>2279</v>
      </c>
      <c r="O1630" s="190" t="str">
        <f>"["&amp;$C1630&amp;"]["&amp;$D1630&amp;"]["&amp;$F1630&amp;"]"</f>
        <v>[S06_AircraftOperatorsConservativeEstimates][8][AircraftOperatorID]</v>
      </c>
    </row>
    <row r="1631" spans="1:15" x14ac:dyDescent="0.3">
      <c r="A1631" t="s">
        <v>2277</v>
      </c>
      <c r="B1631" t="s">
        <v>2014</v>
      </c>
      <c r="C1631" t="s">
        <v>2015</v>
      </c>
      <c r="D1631">
        <v>9</v>
      </c>
      <c r="E1631" t="s">
        <v>1447</v>
      </c>
      <c r="F1631" t="s">
        <v>2016</v>
      </c>
      <c r="G1631" t="s">
        <v>1741</v>
      </c>
      <c r="H1631" t="s">
        <v>2441</v>
      </c>
      <c r="I1631" t="s">
        <v>2279</v>
      </c>
      <c r="J1631" t="s">
        <v>2279</v>
      </c>
      <c r="K1631" t="s">
        <v>2279</v>
      </c>
      <c r="L1631" t="s">
        <v>2279</v>
      </c>
      <c r="M1631" t="s">
        <v>2279</v>
      </c>
      <c r="N1631" t="s">
        <v>2279</v>
      </c>
      <c r="O1631" s="190" t="str">
        <f>"["&amp;$C1631&amp;"]["&amp;$D1631&amp;"]["&amp;$F1631&amp;"]"</f>
        <v>[S06_AircraftOperatorsConservativeEstimates][9][AircraftOperatorID]</v>
      </c>
    </row>
    <row r="1632" spans="1:15" x14ac:dyDescent="0.3">
      <c r="A1632" t="s">
        <v>2277</v>
      </c>
      <c r="B1632" t="s">
        <v>2014</v>
      </c>
      <c r="C1632" t="s">
        <v>2015</v>
      </c>
      <c r="D1632">
        <v>10</v>
      </c>
      <c r="E1632" t="s">
        <v>1447</v>
      </c>
      <c r="F1632" t="s">
        <v>2016</v>
      </c>
      <c r="G1632" t="s">
        <v>1741</v>
      </c>
      <c r="H1632" t="s">
        <v>2442</v>
      </c>
      <c r="I1632" t="s">
        <v>2279</v>
      </c>
      <c r="J1632" t="s">
        <v>2279</v>
      </c>
      <c r="K1632" t="s">
        <v>2279</v>
      </c>
      <c r="L1632" t="s">
        <v>2279</v>
      </c>
      <c r="M1632" t="s">
        <v>2279</v>
      </c>
      <c r="N1632" t="s">
        <v>2279</v>
      </c>
      <c r="O1632" s="190" t="str">
        <f>"["&amp;$C1632&amp;"]["&amp;$D1632&amp;"]["&amp;$F1632&amp;"]"</f>
        <v>[S06_AircraftOperatorsConservativeEstimates][10][AircraftOperatorID]</v>
      </c>
    </row>
    <row r="1633" spans="1:15" x14ac:dyDescent="0.3">
      <c r="A1633" t="s">
        <v>2277</v>
      </c>
      <c r="B1633" t="s">
        <v>2014</v>
      </c>
      <c r="C1633" t="s">
        <v>2015</v>
      </c>
      <c r="D1633">
        <v>11</v>
      </c>
      <c r="E1633" t="s">
        <v>1447</v>
      </c>
      <c r="F1633" t="s">
        <v>2016</v>
      </c>
      <c r="G1633" t="s">
        <v>1741</v>
      </c>
      <c r="H1633" t="s">
        <v>2443</v>
      </c>
      <c r="I1633" t="s">
        <v>2279</v>
      </c>
      <c r="J1633" t="s">
        <v>2279</v>
      </c>
      <c r="K1633" t="s">
        <v>2279</v>
      </c>
      <c r="L1633" t="s">
        <v>2279</v>
      </c>
      <c r="M1633" t="s">
        <v>2279</v>
      </c>
      <c r="N1633" t="s">
        <v>2279</v>
      </c>
      <c r="O1633" s="190" t="str">
        <f>"["&amp;$C1633&amp;"]["&amp;$D1633&amp;"]["&amp;$F1633&amp;"]"</f>
        <v>[S06_AircraftOperatorsConservativeEstimates][11][AircraftOperatorID]</v>
      </c>
    </row>
    <row r="1634" spans="1:15" x14ac:dyDescent="0.3">
      <c r="A1634" t="s">
        <v>2277</v>
      </c>
      <c r="B1634" t="s">
        <v>2014</v>
      </c>
      <c r="C1634" t="s">
        <v>2015</v>
      </c>
      <c r="D1634">
        <v>1</v>
      </c>
      <c r="E1634" t="s">
        <v>1447</v>
      </c>
      <c r="F1634" t="s">
        <v>2017</v>
      </c>
      <c r="G1634" t="s">
        <v>1806</v>
      </c>
      <c r="H1634" t="s">
        <v>2279</v>
      </c>
      <c r="I1634" t="s">
        <v>2279</v>
      </c>
      <c r="J1634">
        <v>369</v>
      </c>
      <c r="K1634" t="s">
        <v>2279</v>
      </c>
      <c r="L1634" t="s">
        <v>2279</v>
      </c>
      <c r="M1634" t="s">
        <v>2279</v>
      </c>
      <c r="N1634" t="s">
        <v>2279</v>
      </c>
      <c r="O1634" s="190" t="str">
        <f>"["&amp;$C1634&amp;"]["&amp;$D1634&amp;"]["&amp;$F1634&amp;"]"</f>
        <v>[S06_AircraftOperatorsConservativeEstimates][1][AircraftOperatorsAnnualEmissionsCO2e]</v>
      </c>
    </row>
    <row r="1635" spans="1:15" x14ac:dyDescent="0.3">
      <c r="A1635" t="s">
        <v>2277</v>
      </c>
      <c r="B1635" t="s">
        <v>2014</v>
      </c>
      <c r="C1635" t="s">
        <v>2015</v>
      </c>
      <c r="D1635">
        <v>2</v>
      </c>
      <c r="E1635" t="s">
        <v>1447</v>
      </c>
      <c r="F1635" t="s">
        <v>2017</v>
      </c>
      <c r="G1635" t="s">
        <v>1806</v>
      </c>
      <c r="H1635" t="s">
        <v>2279</v>
      </c>
      <c r="I1635" t="s">
        <v>2279</v>
      </c>
      <c r="J1635">
        <v>231</v>
      </c>
      <c r="K1635" t="s">
        <v>2279</v>
      </c>
      <c r="L1635" t="s">
        <v>2279</v>
      </c>
      <c r="M1635" t="s">
        <v>2279</v>
      </c>
      <c r="N1635" t="s">
        <v>2279</v>
      </c>
      <c r="O1635" s="190" t="str">
        <f>"["&amp;$C1635&amp;"]["&amp;$D1635&amp;"]["&amp;$F1635&amp;"]"</f>
        <v>[S06_AircraftOperatorsConservativeEstimates][2][AircraftOperatorsAnnualEmissionsCO2e]</v>
      </c>
    </row>
    <row r="1636" spans="1:15" x14ac:dyDescent="0.3">
      <c r="A1636" t="s">
        <v>2277</v>
      </c>
      <c r="B1636" t="s">
        <v>2014</v>
      </c>
      <c r="C1636" t="s">
        <v>2015</v>
      </c>
      <c r="D1636">
        <v>3</v>
      </c>
      <c r="E1636" t="s">
        <v>1447</v>
      </c>
      <c r="F1636" t="s">
        <v>2017</v>
      </c>
      <c r="G1636" t="s">
        <v>1806</v>
      </c>
      <c r="H1636" t="s">
        <v>2279</v>
      </c>
      <c r="I1636" t="s">
        <v>2279</v>
      </c>
      <c r="J1636">
        <v>13</v>
      </c>
      <c r="K1636" t="s">
        <v>2279</v>
      </c>
      <c r="L1636" t="s">
        <v>2279</v>
      </c>
      <c r="M1636" t="s">
        <v>2279</v>
      </c>
      <c r="N1636" t="s">
        <v>2279</v>
      </c>
      <c r="O1636" s="190" t="str">
        <f>"["&amp;$C1636&amp;"]["&amp;$D1636&amp;"]["&amp;$F1636&amp;"]"</f>
        <v>[S06_AircraftOperatorsConservativeEstimates][3][AircraftOperatorsAnnualEmissionsCO2e]</v>
      </c>
    </row>
    <row r="1637" spans="1:15" x14ac:dyDescent="0.3">
      <c r="A1637" t="s">
        <v>2277</v>
      </c>
      <c r="B1637" t="s">
        <v>2014</v>
      </c>
      <c r="C1637" t="s">
        <v>2015</v>
      </c>
      <c r="D1637">
        <v>4</v>
      </c>
      <c r="E1637" t="s">
        <v>1447</v>
      </c>
      <c r="F1637" t="s">
        <v>2017</v>
      </c>
      <c r="G1637" t="s">
        <v>1806</v>
      </c>
      <c r="H1637" t="s">
        <v>2279</v>
      </c>
      <c r="I1637" t="s">
        <v>2279</v>
      </c>
      <c r="J1637">
        <v>1365</v>
      </c>
      <c r="K1637" t="s">
        <v>2279</v>
      </c>
      <c r="L1637" t="s">
        <v>2279</v>
      </c>
      <c r="M1637" t="s">
        <v>2279</v>
      </c>
      <c r="N1637" t="s">
        <v>2279</v>
      </c>
      <c r="O1637" s="190" t="str">
        <f>"["&amp;$C1637&amp;"]["&amp;$D1637&amp;"]["&amp;$F1637&amp;"]"</f>
        <v>[S06_AircraftOperatorsConservativeEstimates][4][AircraftOperatorsAnnualEmissionsCO2e]</v>
      </c>
    </row>
    <row r="1638" spans="1:15" x14ac:dyDescent="0.3">
      <c r="A1638" t="s">
        <v>2277</v>
      </c>
      <c r="B1638" t="s">
        <v>2014</v>
      </c>
      <c r="C1638" t="s">
        <v>2015</v>
      </c>
      <c r="D1638">
        <v>5</v>
      </c>
      <c r="E1638" t="s">
        <v>1447</v>
      </c>
      <c r="F1638" t="s">
        <v>2017</v>
      </c>
      <c r="G1638" t="s">
        <v>1806</v>
      </c>
      <c r="H1638" t="s">
        <v>2279</v>
      </c>
      <c r="I1638" t="s">
        <v>2279</v>
      </c>
      <c r="J1638">
        <v>13301</v>
      </c>
      <c r="K1638" t="s">
        <v>2279</v>
      </c>
      <c r="L1638" t="s">
        <v>2279</v>
      </c>
      <c r="M1638" t="s">
        <v>2279</v>
      </c>
      <c r="N1638" t="s">
        <v>2279</v>
      </c>
      <c r="O1638" s="190" t="str">
        <f>"["&amp;$C1638&amp;"]["&amp;$D1638&amp;"]["&amp;$F1638&amp;"]"</f>
        <v>[S06_AircraftOperatorsConservativeEstimates][5][AircraftOperatorsAnnualEmissionsCO2e]</v>
      </c>
    </row>
    <row r="1639" spans="1:15" x14ac:dyDescent="0.3">
      <c r="A1639" t="s">
        <v>2277</v>
      </c>
      <c r="B1639" t="s">
        <v>2014</v>
      </c>
      <c r="C1639" t="s">
        <v>2015</v>
      </c>
      <c r="D1639">
        <v>6</v>
      </c>
      <c r="E1639" t="s">
        <v>1447</v>
      </c>
      <c r="F1639" t="s">
        <v>2017</v>
      </c>
      <c r="G1639" t="s">
        <v>1806</v>
      </c>
      <c r="H1639" t="s">
        <v>2279</v>
      </c>
      <c r="I1639" t="s">
        <v>2279</v>
      </c>
      <c r="J1639">
        <v>3048</v>
      </c>
      <c r="K1639" t="s">
        <v>2279</v>
      </c>
      <c r="L1639" t="s">
        <v>2279</v>
      </c>
      <c r="M1639" t="s">
        <v>2279</v>
      </c>
      <c r="N1639" t="s">
        <v>2279</v>
      </c>
      <c r="O1639" s="190" t="str">
        <f>"["&amp;$C1639&amp;"]["&amp;$D1639&amp;"]["&amp;$F1639&amp;"]"</f>
        <v>[S06_AircraftOperatorsConservativeEstimates][6][AircraftOperatorsAnnualEmissionsCO2e]</v>
      </c>
    </row>
    <row r="1640" spans="1:15" x14ac:dyDescent="0.3">
      <c r="A1640" t="s">
        <v>2277</v>
      </c>
      <c r="B1640" t="s">
        <v>2014</v>
      </c>
      <c r="C1640" t="s">
        <v>2015</v>
      </c>
      <c r="D1640">
        <v>7</v>
      </c>
      <c r="E1640" t="s">
        <v>1447</v>
      </c>
      <c r="F1640" t="s">
        <v>2017</v>
      </c>
      <c r="G1640" t="s">
        <v>1806</v>
      </c>
      <c r="H1640" t="s">
        <v>2279</v>
      </c>
      <c r="I1640" t="s">
        <v>2279</v>
      </c>
      <c r="J1640">
        <v>15</v>
      </c>
      <c r="K1640" t="s">
        <v>2279</v>
      </c>
      <c r="L1640" t="s">
        <v>2279</v>
      </c>
      <c r="M1640" t="s">
        <v>2279</v>
      </c>
      <c r="N1640" t="s">
        <v>2279</v>
      </c>
      <c r="O1640" s="190" t="str">
        <f>"["&amp;$C1640&amp;"]["&amp;$D1640&amp;"]["&amp;$F1640&amp;"]"</f>
        <v>[S06_AircraftOperatorsConservativeEstimates][7][AircraftOperatorsAnnualEmissionsCO2e]</v>
      </c>
    </row>
    <row r="1641" spans="1:15" x14ac:dyDescent="0.3">
      <c r="A1641" t="s">
        <v>2277</v>
      </c>
      <c r="B1641" t="s">
        <v>2014</v>
      </c>
      <c r="C1641" t="s">
        <v>2015</v>
      </c>
      <c r="D1641">
        <v>8</v>
      </c>
      <c r="E1641" t="s">
        <v>1447</v>
      </c>
      <c r="F1641" t="s">
        <v>2017</v>
      </c>
      <c r="G1641" t="s">
        <v>1806</v>
      </c>
      <c r="H1641" t="s">
        <v>2279</v>
      </c>
      <c r="I1641" t="s">
        <v>2279</v>
      </c>
      <c r="J1641">
        <v>72</v>
      </c>
      <c r="K1641" t="s">
        <v>2279</v>
      </c>
      <c r="L1641" t="s">
        <v>2279</v>
      </c>
      <c r="M1641" t="s">
        <v>2279</v>
      </c>
      <c r="N1641" t="s">
        <v>2279</v>
      </c>
      <c r="O1641" s="190" t="str">
        <f>"["&amp;$C1641&amp;"]["&amp;$D1641&amp;"]["&amp;$F1641&amp;"]"</f>
        <v>[S06_AircraftOperatorsConservativeEstimates][8][AircraftOperatorsAnnualEmissionsCO2e]</v>
      </c>
    </row>
    <row r="1642" spans="1:15" x14ac:dyDescent="0.3">
      <c r="A1642" t="s">
        <v>2277</v>
      </c>
      <c r="B1642" t="s">
        <v>2014</v>
      </c>
      <c r="C1642" t="s">
        <v>2015</v>
      </c>
      <c r="D1642">
        <v>9</v>
      </c>
      <c r="E1642" t="s">
        <v>1447</v>
      </c>
      <c r="F1642" t="s">
        <v>2017</v>
      </c>
      <c r="G1642" t="s">
        <v>1806</v>
      </c>
      <c r="H1642" t="s">
        <v>2279</v>
      </c>
      <c r="I1642" t="s">
        <v>2279</v>
      </c>
      <c r="J1642">
        <v>346</v>
      </c>
      <c r="K1642" t="s">
        <v>2279</v>
      </c>
      <c r="L1642" t="s">
        <v>2279</v>
      </c>
      <c r="M1642" t="s">
        <v>2279</v>
      </c>
      <c r="N1642" t="s">
        <v>2279</v>
      </c>
      <c r="O1642" s="190" t="str">
        <f>"["&amp;$C1642&amp;"]["&amp;$D1642&amp;"]["&amp;$F1642&amp;"]"</f>
        <v>[S06_AircraftOperatorsConservativeEstimates][9][AircraftOperatorsAnnualEmissionsCO2e]</v>
      </c>
    </row>
    <row r="1643" spans="1:15" x14ac:dyDescent="0.3">
      <c r="A1643" t="s">
        <v>2277</v>
      </c>
      <c r="B1643" t="s">
        <v>2014</v>
      </c>
      <c r="C1643" t="s">
        <v>2015</v>
      </c>
      <c r="D1643">
        <v>10</v>
      </c>
      <c r="E1643" t="s">
        <v>1447</v>
      </c>
      <c r="F1643" t="s">
        <v>2017</v>
      </c>
      <c r="G1643" t="s">
        <v>1806</v>
      </c>
      <c r="H1643" t="s">
        <v>2279</v>
      </c>
      <c r="I1643" t="s">
        <v>2279</v>
      </c>
      <c r="J1643">
        <v>65</v>
      </c>
      <c r="K1643" t="s">
        <v>2279</v>
      </c>
      <c r="L1643" t="s">
        <v>2279</v>
      </c>
      <c r="M1643" t="s">
        <v>2279</v>
      </c>
      <c r="N1643" t="s">
        <v>2279</v>
      </c>
      <c r="O1643" s="190" t="str">
        <f>"["&amp;$C1643&amp;"]["&amp;$D1643&amp;"]["&amp;$F1643&amp;"]"</f>
        <v>[S06_AircraftOperatorsConservativeEstimates][10][AircraftOperatorsAnnualEmissionsCO2e]</v>
      </c>
    </row>
    <row r="1644" spans="1:15" x14ac:dyDescent="0.3">
      <c r="A1644" t="s">
        <v>2277</v>
      </c>
      <c r="B1644" t="s">
        <v>2014</v>
      </c>
      <c r="C1644" t="s">
        <v>2015</v>
      </c>
      <c r="D1644">
        <v>11</v>
      </c>
      <c r="E1644" t="s">
        <v>1447</v>
      </c>
      <c r="F1644" t="s">
        <v>2017</v>
      </c>
      <c r="G1644" t="s">
        <v>1806</v>
      </c>
      <c r="H1644" t="s">
        <v>2279</v>
      </c>
      <c r="I1644" t="s">
        <v>2279</v>
      </c>
      <c r="J1644">
        <v>153</v>
      </c>
      <c r="K1644" t="s">
        <v>2279</v>
      </c>
      <c r="L1644" t="s">
        <v>2279</v>
      </c>
      <c r="M1644" t="s">
        <v>2279</v>
      </c>
      <c r="N1644" t="s">
        <v>2279</v>
      </c>
      <c r="O1644" s="190" t="str">
        <f>"["&amp;$C1644&amp;"]["&amp;$D1644&amp;"]["&amp;$F1644&amp;"]"</f>
        <v>[S06_AircraftOperatorsConservativeEstimates][11][AircraftOperatorsAnnualEmissionsCO2e]</v>
      </c>
    </row>
    <row r="1645" spans="1:15" x14ac:dyDescent="0.3">
      <c r="A1645" t="s">
        <v>2277</v>
      </c>
      <c r="B1645" t="s">
        <v>2014</v>
      </c>
      <c r="C1645" t="s">
        <v>2015</v>
      </c>
      <c r="D1645">
        <v>1</v>
      </c>
      <c r="E1645" t="s">
        <v>1447</v>
      </c>
      <c r="F1645" t="s">
        <v>1978</v>
      </c>
      <c r="G1645" t="s">
        <v>1737</v>
      </c>
      <c r="H1645" t="s">
        <v>2279</v>
      </c>
      <c r="I1645" t="s">
        <v>2279</v>
      </c>
      <c r="J1645" t="s">
        <v>2279</v>
      </c>
      <c r="K1645" t="s">
        <v>2279</v>
      </c>
      <c r="L1645" t="s">
        <v>1437</v>
      </c>
      <c r="M1645" t="s">
        <v>2279</v>
      </c>
      <c r="N1645" t="s">
        <v>2279</v>
      </c>
      <c r="O1645" s="190" t="str">
        <f>"["&amp;$C1645&amp;"]["&amp;$D1645&amp;"]["&amp;$F1645&amp;"]"</f>
        <v>[S06_AircraftOperatorsConservativeEstimates][1][ReasonConservativeEstimate]</v>
      </c>
    </row>
    <row r="1646" spans="1:15" x14ac:dyDescent="0.3">
      <c r="A1646" t="s">
        <v>2277</v>
      </c>
      <c r="B1646" t="s">
        <v>2014</v>
      </c>
      <c r="C1646" t="s">
        <v>2015</v>
      </c>
      <c r="D1646">
        <v>2</v>
      </c>
      <c r="E1646" t="s">
        <v>1447</v>
      </c>
      <c r="F1646" t="s">
        <v>1978</v>
      </c>
      <c r="G1646" t="s">
        <v>1737</v>
      </c>
      <c r="H1646" t="s">
        <v>2279</v>
      </c>
      <c r="I1646" t="s">
        <v>2279</v>
      </c>
      <c r="J1646" t="s">
        <v>2279</v>
      </c>
      <c r="K1646" t="s">
        <v>2279</v>
      </c>
      <c r="L1646" t="s">
        <v>1437</v>
      </c>
      <c r="M1646" t="s">
        <v>2279</v>
      </c>
      <c r="N1646" t="s">
        <v>2279</v>
      </c>
      <c r="O1646" s="190" t="str">
        <f>"["&amp;$C1646&amp;"]["&amp;$D1646&amp;"]["&amp;$F1646&amp;"]"</f>
        <v>[S06_AircraftOperatorsConservativeEstimates][2][ReasonConservativeEstimate]</v>
      </c>
    </row>
    <row r="1647" spans="1:15" x14ac:dyDescent="0.3">
      <c r="A1647" t="s">
        <v>2277</v>
      </c>
      <c r="B1647" t="s">
        <v>2014</v>
      </c>
      <c r="C1647" t="s">
        <v>2015</v>
      </c>
      <c r="D1647">
        <v>3</v>
      </c>
      <c r="E1647" t="s">
        <v>1447</v>
      </c>
      <c r="F1647" t="s">
        <v>1978</v>
      </c>
      <c r="G1647" t="s">
        <v>1737</v>
      </c>
      <c r="H1647" t="s">
        <v>2279</v>
      </c>
      <c r="I1647" t="s">
        <v>2279</v>
      </c>
      <c r="J1647" t="s">
        <v>2279</v>
      </c>
      <c r="K1647" t="s">
        <v>2279</v>
      </c>
      <c r="L1647" t="s">
        <v>1437</v>
      </c>
      <c r="M1647" t="s">
        <v>2279</v>
      </c>
      <c r="N1647" t="s">
        <v>2279</v>
      </c>
      <c r="O1647" s="190" t="str">
        <f>"["&amp;$C1647&amp;"]["&amp;$D1647&amp;"]["&amp;$F1647&amp;"]"</f>
        <v>[S06_AircraftOperatorsConservativeEstimates][3][ReasonConservativeEstimate]</v>
      </c>
    </row>
    <row r="1648" spans="1:15" x14ac:dyDescent="0.3">
      <c r="A1648" t="s">
        <v>2277</v>
      </c>
      <c r="B1648" t="s">
        <v>2014</v>
      </c>
      <c r="C1648" t="s">
        <v>2015</v>
      </c>
      <c r="D1648">
        <v>4</v>
      </c>
      <c r="E1648" t="s">
        <v>1447</v>
      </c>
      <c r="F1648" t="s">
        <v>1978</v>
      </c>
      <c r="G1648" t="s">
        <v>1737</v>
      </c>
      <c r="H1648" t="s">
        <v>2279</v>
      </c>
      <c r="I1648" t="s">
        <v>2279</v>
      </c>
      <c r="J1648" t="s">
        <v>2279</v>
      </c>
      <c r="K1648" t="s">
        <v>2279</v>
      </c>
      <c r="L1648" t="s">
        <v>1437</v>
      </c>
      <c r="M1648" t="s">
        <v>2279</v>
      </c>
      <c r="N1648" t="s">
        <v>2279</v>
      </c>
      <c r="O1648" s="190" t="str">
        <f>"["&amp;$C1648&amp;"]["&amp;$D1648&amp;"]["&amp;$F1648&amp;"]"</f>
        <v>[S06_AircraftOperatorsConservativeEstimates][4][ReasonConservativeEstimate]</v>
      </c>
    </row>
    <row r="1649" spans="1:15" x14ac:dyDescent="0.3">
      <c r="A1649" t="s">
        <v>2277</v>
      </c>
      <c r="B1649" t="s">
        <v>2014</v>
      </c>
      <c r="C1649" t="s">
        <v>2015</v>
      </c>
      <c r="D1649">
        <v>5</v>
      </c>
      <c r="E1649" t="s">
        <v>1447</v>
      </c>
      <c r="F1649" t="s">
        <v>1978</v>
      </c>
      <c r="G1649" t="s">
        <v>1737</v>
      </c>
      <c r="H1649" t="s">
        <v>2279</v>
      </c>
      <c r="I1649" t="s">
        <v>2279</v>
      </c>
      <c r="J1649" t="s">
        <v>2279</v>
      </c>
      <c r="K1649" t="s">
        <v>2279</v>
      </c>
      <c r="L1649" t="s">
        <v>1437</v>
      </c>
      <c r="M1649" t="s">
        <v>2279</v>
      </c>
      <c r="N1649" t="s">
        <v>2279</v>
      </c>
      <c r="O1649" s="190" t="str">
        <f>"["&amp;$C1649&amp;"]["&amp;$D1649&amp;"]["&amp;$F1649&amp;"]"</f>
        <v>[S06_AircraftOperatorsConservativeEstimates][5][ReasonConservativeEstimate]</v>
      </c>
    </row>
    <row r="1650" spans="1:15" x14ac:dyDescent="0.3">
      <c r="A1650" t="s">
        <v>2277</v>
      </c>
      <c r="B1650" t="s">
        <v>2014</v>
      </c>
      <c r="C1650" t="s">
        <v>2015</v>
      </c>
      <c r="D1650">
        <v>6</v>
      </c>
      <c r="E1650" t="s">
        <v>1447</v>
      </c>
      <c r="F1650" t="s">
        <v>1978</v>
      </c>
      <c r="G1650" t="s">
        <v>1737</v>
      </c>
      <c r="H1650" t="s">
        <v>2279</v>
      </c>
      <c r="I1650" t="s">
        <v>2279</v>
      </c>
      <c r="J1650" t="s">
        <v>2279</v>
      </c>
      <c r="K1650" t="s">
        <v>2279</v>
      </c>
      <c r="L1650" t="s">
        <v>1437</v>
      </c>
      <c r="M1650" t="s">
        <v>2279</v>
      </c>
      <c r="N1650" t="s">
        <v>2279</v>
      </c>
      <c r="O1650" s="190" t="str">
        <f>"["&amp;$C1650&amp;"]["&amp;$D1650&amp;"]["&amp;$F1650&amp;"]"</f>
        <v>[S06_AircraftOperatorsConservativeEstimates][6][ReasonConservativeEstimate]</v>
      </c>
    </row>
    <row r="1651" spans="1:15" x14ac:dyDescent="0.3">
      <c r="A1651" t="s">
        <v>2277</v>
      </c>
      <c r="B1651" t="s">
        <v>2014</v>
      </c>
      <c r="C1651" t="s">
        <v>2015</v>
      </c>
      <c r="D1651">
        <v>7</v>
      </c>
      <c r="E1651" t="s">
        <v>1447</v>
      </c>
      <c r="F1651" t="s">
        <v>1978</v>
      </c>
      <c r="G1651" t="s">
        <v>1737</v>
      </c>
      <c r="H1651" t="s">
        <v>2279</v>
      </c>
      <c r="I1651" t="s">
        <v>2279</v>
      </c>
      <c r="J1651" t="s">
        <v>2279</v>
      </c>
      <c r="K1651" t="s">
        <v>2279</v>
      </c>
      <c r="L1651" t="s">
        <v>1437</v>
      </c>
      <c r="M1651" t="s">
        <v>2279</v>
      </c>
      <c r="N1651" t="s">
        <v>2279</v>
      </c>
      <c r="O1651" s="190" t="str">
        <f>"["&amp;$C1651&amp;"]["&amp;$D1651&amp;"]["&amp;$F1651&amp;"]"</f>
        <v>[S06_AircraftOperatorsConservativeEstimates][7][ReasonConservativeEstimate]</v>
      </c>
    </row>
    <row r="1652" spans="1:15" x14ac:dyDescent="0.3">
      <c r="A1652" t="s">
        <v>2277</v>
      </c>
      <c r="B1652" t="s">
        <v>2014</v>
      </c>
      <c r="C1652" t="s">
        <v>2015</v>
      </c>
      <c r="D1652">
        <v>8</v>
      </c>
      <c r="E1652" t="s">
        <v>1447</v>
      </c>
      <c r="F1652" t="s">
        <v>1978</v>
      </c>
      <c r="G1652" t="s">
        <v>1737</v>
      </c>
      <c r="H1652" t="s">
        <v>2279</v>
      </c>
      <c r="I1652" t="s">
        <v>2279</v>
      </c>
      <c r="J1652" t="s">
        <v>2279</v>
      </c>
      <c r="K1652" t="s">
        <v>2279</v>
      </c>
      <c r="L1652" t="s">
        <v>1437</v>
      </c>
      <c r="M1652" t="s">
        <v>2279</v>
      </c>
      <c r="N1652" t="s">
        <v>2279</v>
      </c>
      <c r="O1652" s="190" t="str">
        <f>"["&amp;$C1652&amp;"]["&amp;$D1652&amp;"]["&amp;$F1652&amp;"]"</f>
        <v>[S06_AircraftOperatorsConservativeEstimates][8][ReasonConservativeEstimate]</v>
      </c>
    </row>
    <row r="1653" spans="1:15" x14ac:dyDescent="0.3">
      <c r="A1653" t="s">
        <v>2277</v>
      </c>
      <c r="B1653" t="s">
        <v>2014</v>
      </c>
      <c r="C1653" t="s">
        <v>2015</v>
      </c>
      <c r="D1653">
        <v>9</v>
      </c>
      <c r="E1653" t="s">
        <v>1447</v>
      </c>
      <c r="F1653" t="s">
        <v>1978</v>
      </c>
      <c r="G1653" t="s">
        <v>1737</v>
      </c>
      <c r="H1653" t="s">
        <v>2279</v>
      </c>
      <c r="I1653" t="s">
        <v>2279</v>
      </c>
      <c r="J1653" t="s">
        <v>2279</v>
      </c>
      <c r="K1653" t="s">
        <v>2279</v>
      </c>
      <c r="L1653" t="s">
        <v>1437</v>
      </c>
      <c r="M1653" t="s">
        <v>2279</v>
      </c>
      <c r="N1653" t="s">
        <v>2279</v>
      </c>
      <c r="O1653" s="190" t="str">
        <f>"["&amp;$C1653&amp;"]["&amp;$D1653&amp;"]["&amp;$F1653&amp;"]"</f>
        <v>[S06_AircraftOperatorsConservativeEstimates][9][ReasonConservativeEstimate]</v>
      </c>
    </row>
    <row r="1654" spans="1:15" x14ac:dyDescent="0.3">
      <c r="A1654" t="s">
        <v>2277</v>
      </c>
      <c r="B1654" t="s">
        <v>2014</v>
      </c>
      <c r="C1654" t="s">
        <v>2015</v>
      </c>
      <c r="D1654">
        <v>10</v>
      </c>
      <c r="E1654" t="s">
        <v>1447</v>
      </c>
      <c r="F1654" t="s">
        <v>1978</v>
      </c>
      <c r="G1654" t="s">
        <v>1737</v>
      </c>
      <c r="H1654" t="s">
        <v>2279</v>
      </c>
      <c r="I1654" t="s">
        <v>2279</v>
      </c>
      <c r="J1654" t="s">
        <v>2279</v>
      </c>
      <c r="K1654" t="s">
        <v>2279</v>
      </c>
      <c r="L1654" t="s">
        <v>1437</v>
      </c>
      <c r="M1654" t="s">
        <v>2279</v>
      </c>
      <c r="N1654" t="s">
        <v>2279</v>
      </c>
      <c r="O1654" s="190" t="str">
        <f>"["&amp;$C1654&amp;"]["&amp;$D1654&amp;"]["&amp;$F1654&amp;"]"</f>
        <v>[S06_AircraftOperatorsConservativeEstimates][10][ReasonConservativeEstimate]</v>
      </c>
    </row>
    <row r="1655" spans="1:15" x14ac:dyDescent="0.3">
      <c r="A1655" t="s">
        <v>2277</v>
      </c>
      <c r="B1655" t="s">
        <v>2014</v>
      </c>
      <c r="C1655" t="s">
        <v>2015</v>
      </c>
      <c r="D1655">
        <v>11</v>
      </c>
      <c r="E1655" t="s">
        <v>1447</v>
      </c>
      <c r="F1655" t="s">
        <v>1978</v>
      </c>
      <c r="G1655" t="s">
        <v>1737</v>
      </c>
      <c r="H1655" t="s">
        <v>2279</v>
      </c>
      <c r="I1655" t="s">
        <v>2279</v>
      </c>
      <c r="J1655" t="s">
        <v>2279</v>
      </c>
      <c r="K1655" t="s">
        <v>2279</v>
      </c>
      <c r="L1655" t="s">
        <v>1437</v>
      </c>
      <c r="M1655" t="s">
        <v>2279</v>
      </c>
      <c r="N1655" t="s">
        <v>2279</v>
      </c>
      <c r="O1655" s="190" t="str">
        <f>"["&amp;$C1655&amp;"]["&amp;$D1655&amp;"]["&amp;$F1655&amp;"]"</f>
        <v>[S06_AircraftOperatorsConservativeEstimates][11][ReasonConservativeEstimate]</v>
      </c>
    </row>
    <row r="1656" spans="1:15" x14ac:dyDescent="0.3">
      <c r="A1656" t="s">
        <v>2277</v>
      </c>
      <c r="B1656" t="s">
        <v>2014</v>
      </c>
      <c r="C1656" t="s">
        <v>2015</v>
      </c>
      <c r="D1656">
        <v>1</v>
      </c>
      <c r="E1656" t="s">
        <v>1447</v>
      </c>
      <c r="F1656" t="s">
        <v>2018</v>
      </c>
      <c r="G1656" t="s">
        <v>1806</v>
      </c>
      <c r="H1656" t="s">
        <v>2279</v>
      </c>
      <c r="I1656" t="s">
        <v>2279</v>
      </c>
      <c r="J1656">
        <v>1</v>
      </c>
      <c r="K1656" t="s">
        <v>2279</v>
      </c>
      <c r="L1656" t="s">
        <v>2279</v>
      </c>
      <c r="M1656" t="s">
        <v>2279</v>
      </c>
      <c r="N1656" t="s">
        <v>2279</v>
      </c>
      <c r="O1656" s="190" t="str">
        <f>"["&amp;$C1656&amp;"]["&amp;$D1656&amp;"]["&amp;$F1656&amp;"]"</f>
        <v>[S06_AircraftOperatorsConservativeEstimates][1][AircraftOperatorsConservativeShare]</v>
      </c>
    </row>
    <row r="1657" spans="1:15" x14ac:dyDescent="0.3">
      <c r="A1657" t="s">
        <v>2277</v>
      </c>
      <c r="B1657" t="s">
        <v>2014</v>
      </c>
      <c r="C1657" t="s">
        <v>2015</v>
      </c>
      <c r="D1657">
        <v>2</v>
      </c>
      <c r="E1657" t="s">
        <v>1447</v>
      </c>
      <c r="F1657" t="s">
        <v>2018</v>
      </c>
      <c r="G1657" t="s">
        <v>1806</v>
      </c>
      <c r="H1657" t="s">
        <v>2279</v>
      </c>
      <c r="I1657" t="s">
        <v>2279</v>
      </c>
      <c r="J1657">
        <v>1</v>
      </c>
      <c r="K1657" t="s">
        <v>2279</v>
      </c>
      <c r="L1657" t="s">
        <v>2279</v>
      </c>
      <c r="M1657" t="s">
        <v>2279</v>
      </c>
      <c r="N1657" t="s">
        <v>2279</v>
      </c>
      <c r="O1657" s="190" t="str">
        <f>"["&amp;$C1657&amp;"]["&amp;$D1657&amp;"]["&amp;$F1657&amp;"]"</f>
        <v>[S06_AircraftOperatorsConservativeEstimates][2][AircraftOperatorsConservativeShare]</v>
      </c>
    </row>
    <row r="1658" spans="1:15" x14ac:dyDescent="0.3">
      <c r="A1658" t="s">
        <v>2277</v>
      </c>
      <c r="B1658" t="s">
        <v>2014</v>
      </c>
      <c r="C1658" t="s">
        <v>2015</v>
      </c>
      <c r="D1658">
        <v>3</v>
      </c>
      <c r="E1658" t="s">
        <v>1447</v>
      </c>
      <c r="F1658" t="s">
        <v>2018</v>
      </c>
      <c r="G1658" t="s">
        <v>1806</v>
      </c>
      <c r="H1658" t="s">
        <v>2279</v>
      </c>
      <c r="I1658" t="s">
        <v>2279</v>
      </c>
      <c r="J1658">
        <v>1</v>
      </c>
      <c r="K1658" t="s">
        <v>2279</v>
      </c>
      <c r="L1658" t="s">
        <v>2279</v>
      </c>
      <c r="M1658" t="s">
        <v>2279</v>
      </c>
      <c r="N1658" t="s">
        <v>2279</v>
      </c>
      <c r="O1658" s="190" t="str">
        <f>"["&amp;$C1658&amp;"]["&amp;$D1658&amp;"]["&amp;$F1658&amp;"]"</f>
        <v>[S06_AircraftOperatorsConservativeEstimates][3][AircraftOperatorsConservativeShare]</v>
      </c>
    </row>
    <row r="1659" spans="1:15" x14ac:dyDescent="0.3">
      <c r="A1659" t="s">
        <v>2277</v>
      </c>
      <c r="B1659" t="s">
        <v>2014</v>
      </c>
      <c r="C1659" t="s">
        <v>2015</v>
      </c>
      <c r="D1659">
        <v>4</v>
      </c>
      <c r="E1659" t="s">
        <v>1447</v>
      </c>
      <c r="F1659" t="s">
        <v>2018</v>
      </c>
      <c r="G1659" t="s">
        <v>1806</v>
      </c>
      <c r="H1659" t="s">
        <v>2279</v>
      </c>
      <c r="I1659" t="s">
        <v>2279</v>
      </c>
      <c r="J1659">
        <v>1</v>
      </c>
      <c r="K1659" t="s">
        <v>2279</v>
      </c>
      <c r="L1659" t="s">
        <v>2279</v>
      </c>
      <c r="M1659" t="s">
        <v>2279</v>
      </c>
      <c r="N1659" t="s">
        <v>2279</v>
      </c>
      <c r="O1659" s="190" t="str">
        <f>"["&amp;$C1659&amp;"]["&amp;$D1659&amp;"]["&amp;$F1659&amp;"]"</f>
        <v>[S06_AircraftOperatorsConservativeEstimates][4][AircraftOperatorsConservativeShare]</v>
      </c>
    </row>
    <row r="1660" spans="1:15" x14ac:dyDescent="0.3">
      <c r="A1660" t="s">
        <v>2277</v>
      </c>
      <c r="B1660" t="s">
        <v>2014</v>
      </c>
      <c r="C1660" t="s">
        <v>2015</v>
      </c>
      <c r="D1660">
        <v>5</v>
      </c>
      <c r="E1660" t="s">
        <v>1447</v>
      </c>
      <c r="F1660" t="s">
        <v>2018</v>
      </c>
      <c r="G1660" t="s">
        <v>1806</v>
      </c>
      <c r="H1660" t="s">
        <v>2279</v>
      </c>
      <c r="I1660" t="s">
        <v>2279</v>
      </c>
      <c r="J1660">
        <v>1</v>
      </c>
      <c r="K1660" t="s">
        <v>2279</v>
      </c>
      <c r="L1660" t="s">
        <v>2279</v>
      </c>
      <c r="M1660" t="s">
        <v>2279</v>
      </c>
      <c r="N1660" t="s">
        <v>2279</v>
      </c>
      <c r="O1660" s="190" t="str">
        <f>"["&amp;$C1660&amp;"]["&amp;$D1660&amp;"]["&amp;$F1660&amp;"]"</f>
        <v>[S06_AircraftOperatorsConservativeEstimates][5][AircraftOperatorsConservativeShare]</v>
      </c>
    </row>
    <row r="1661" spans="1:15" x14ac:dyDescent="0.3">
      <c r="A1661" t="s">
        <v>2277</v>
      </c>
      <c r="B1661" t="s">
        <v>2014</v>
      </c>
      <c r="C1661" t="s">
        <v>2015</v>
      </c>
      <c r="D1661">
        <v>6</v>
      </c>
      <c r="E1661" t="s">
        <v>1447</v>
      </c>
      <c r="F1661" t="s">
        <v>2018</v>
      </c>
      <c r="G1661" t="s">
        <v>1806</v>
      </c>
      <c r="H1661" t="s">
        <v>2279</v>
      </c>
      <c r="I1661" t="s">
        <v>2279</v>
      </c>
      <c r="J1661">
        <v>1</v>
      </c>
      <c r="K1661" t="s">
        <v>2279</v>
      </c>
      <c r="L1661" t="s">
        <v>2279</v>
      </c>
      <c r="M1661" t="s">
        <v>2279</v>
      </c>
      <c r="N1661" t="s">
        <v>2279</v>
      </c>
      <c r="O1661" s="190" t="str">
        <f>"["&amp;$C1661&amp;"]["&amp;$D1661&amp;"]["&amp;$F1661&amp;"]"</f>
        <v>[S06_AircraftOperatorsConservativeEstimates][6][AircraftOperatorsConservativeShare]</v>
      </c>
    </row>
    <row r="1662" spans="1:15" x14ac:dyDescent="0.3">
      <c r="A1662" t="s">
        <v>2277</v>
      </c>
      <c r="B1662" t="s">
        <v>2014</v>
      </c>
      <c r="C1662" t="s">
        <v>2015</v>
      </c>
      <c r="D1662">
        <v>7</v>
      </c>
      <c r="E1662" t="s">
        <v>1447</v>
      </c>
      <c r="F1662" t="s">
        <v>2018</v>
      </c>
      <c r="G1662" t="s">
        <v>1806</v>
      </c>
      <c r="H1662" t="s">
        <v>2279</v>
      </c>
      <c r="I1662" t="s">
        <v>2279</v>
      </c>
      <c r="J1662">
        <v>1</v>
      </c>
      <c r="K1662" t="s">
        <v>2279</v>
      </c>
      <c r="L1662" t="s">
        <v>2279</v>
      </c>
      <c r="M1662" t="s">
        <v>2279</v>
      </c>
      <c r="N1662" t="s">
        <v>2279</v>
      </c>
      <c r="O1662" s="190" t="str">
        <f>"["&amp;$C1662&amp;"]["&amp;$D1662&amp;"]["&amp;$F1662&amp;"]"</f>
        <v>[S06_AircraftOperatorsConservativeEstimates][7][AircraftOperatorsConservativeShare]</v>
      </c>
    </row>
    <row r="1663" spans="1:15" x14ac:dyDescent="0.3">
      <c r="A1663" t="s">
        <v>2277</v>
      </c>
      <c r="B1663" t="s">
        <v>2014</v>
      </c>
      <c r="C1663" t="s">
        <v>2015</v>
      </c>
      <c r="D1663">
        <v>8</v>
      </c>
      <c r="E1663" t="s">
        <v>1447</v>
      </c>
      <c r="F1663" t="s">
        <v>2018</v>
      </c>
      <c r="G1663" t="s">
        <v>1806</v>
      </c>
      <c r="H1663" t="s">
        <v>2279</v>
      </c>
      <c r="I1663" t="s">
        <v>2279</v>
      </c>
      <c r="J1663">
        <v>1</v>
      </c>
      <c r="K1663" t="s">
        <v>2279</v>
      </c>
      <c r="L1663" t="s">
        <v>2279</v>
      </c>
      <c r="M1663" t="s">
        <v>2279</v>
      </c>
      <c r="N1663" t="s">
        <v>2279</v>
      </c>
      <c r="O1663" s="190" t="str">
        <f>"["&amp;$C1663&amp;"]["&amp;$D1663&amp;"]["&amp;$F1663&amp;"]"</f>
        <v>[S06_AircraftOperatorsConservativeEstimates][8][AircraftOperatorsConservativeShare]</v>
      </c>
    </row>
    <row r="1664" spans="1:15" x14ac:dyDescent="0.3">
      <c r="A1664" t="s">
        <v>2277</v>
      </c>
      <c r="B1664" t="s">
        <v>2014</v>
      </c>
      <c r="C1664" t="s">
        <v>2015</v>
      </c>
      <c r="D1664">
        <v>9</v>
      </c>
      <c r="E1664" t="s">
        <v>1447</v>
      </c>
      <c r="F1664" t="s">
        <v>2018</v>
      </c>
      <c r="G1664" t="s">
        <v>1806</v>
      </c>
      <c r="H1664" t="s">
        <v>2279</v>
      </c>
      <c r="I1664" t="s">
        <v>2279</v>
      </c>
      <c r="J1664">
        <v>1</v>
      </c>
      <c r="K1664" t="s">
        <v>2279</v>
      </c>
      <c r="L1664" t="s">
        <v>2279</v>
      </c>
      <c r="M1664" t="s">
        <v>2279</v>
      </c>
      <c r="N1664" t="s">
        <v>2279</v>
      </c>
      <c r="O1664" s="190" t="str">
        <f>"["&amp;$C1664&amp;"]["&amp;$D1664&amp;"]["&amp;$F1664&amp;"]"</f>
        <v>[S06_AircraftOperatorsConservativeEstimates][9][AircraftOperatorsConservativeShare]</v>
      </c>
    </row>
    <row r="1665" spans="1:15" x14ac:dyDescent="0.3">
      <c r="A1665" t="s">
        <v>2277</v>
      </c>
      <c r="B1665" t="s">
        <v>2014</v>
      </c>
      <c r="C1665" t="s">
        <v>2015</v>
      </c>
      <c r="D1665">
        <v>10</v>
      </c>
      <c r="E1665" t="s">
        <v>1447</v>
      </c>
      <c r="F1665" t="s">
        <v>2018</v>
      </c>
      <c r="G1665" t="s">
        <v>1806</v>
      </c>
      <c r="H1665" t="s">
        <v>2279</v>
      </c>
      <c r="I1665" t="s">
        <v>2279</v>
      </c>
      <c r="J1665">
        <v>1</v>
      </c>
      <c r="K1665" t="s">
        <v>2279</v>
      </c>
      <c r="L1665" t="s">
        <v>2279</v>
      </c>
      <c r="M1665" t="s">
        <v>2279</v>
      </c>
      <c r="N1665" t="s">
        <v>2279</v>
      </c>
      <c r="O1665" s="190" t="str">
        <f>"["&amp;$C1665&amp;"]["&amp;$D1665&amp;"]["&amp;$F1665&amp;"]"</f>
        <v>[S06_AircraftOperatorsConservativeEstimates][10][AircraftOperatorsConservativeShare]</v>
      </c>
    </row>
    <row r="1666" spans="1:15" x14ac:dyDescent="0.3">
      <c r="A1666" t="s">
        <v>2277</v>
      </c>
      <c r="B1666" t="s">
        <v>2014</v>
      </c>
      <c r="C1666" t="s">
        <v>2015</v>
      </c>
      <c r="D1666">
        <v>11</v>
      </c>
      <c r="E1666" t="s">
        <v>1447</v>
      </c>
      <c r="F1666" t="s">
        <v>2018</v>
      </c>
      <c r="G1666" t="s">
        <v>1806</v>
      </c>
      <c r="H1666" t="s">
        <v>2279</v>
      </c>
      <c r="I1666" t="s">
        <v>2279</v>
      </c>
      <c r="J1666">
        <v>1</v>
      </c>
      <c r="K1666" t="s">
        <v>2279</v>
      </c>
      <c r="L1666" t="s">
        <v>2279</v>
      </c>
      <c r="M1666" t="s">
        <v>2279</v>
      </c>
      <c r="N1666" t="s">
        <v>2279</v>
      </c>
      <c r="O1666" s="190" t="str">
        <f>"["&amp;$C1666&amp;"]["&amp;$D1666&amp;"]["&amp;$F1666&amp;"]"</f>
        <v>[S06_AircraftOperatorsConservativeEstimates][11][AircraftOperatorsConservativeShare]</v>
      </c>
    </row>
    <row r="1667" spans="1:15" x14ac:dyDescent="0.3">
      <c r="A1667" t="s">
        <v>2277</v>
      </c>
      <c r="B1667" t="s">
        <v>2014</v>
      </c>
      <c r="C1667" t="s">
        <v>2015</v>
      </c>
      <c r="D1667">
        <v>1</v>
      </c>
      <c r="E1667" t="s">
        <v>1447</v>
      </c>
      <c r="F1667" t="s">
        <v>1980</v>
      </c>
      <c r="G1667" t="s">
        <v>1741</v>
      </c>
      <c r="H1667" t="s">
        <v>2444</v>
      </c>
      <c r="I1667" t="s">
        <v>2279</v>
      </c>
      <c r="J1667" t="s">
        <v>2279</v>
      </c>
      <c r="K1667" t="s">
        <v>2279</v>
      </c>
      <c r="L1667" t="s">
        <v>2279</v>
      </c>
      <c r="M1667" t="s">
        <v>2279</v>
      </c>
      <c r="N1667" t="s">
        <v>2279</v>
      </c>
      <c r="O1667" s="190" t="str">
        <f>"["&amp;$C1667&amp;"]["&amp;$D1667&amp;"]["&amp;$F1667&amp;"]"</f>
        <v>[S06_AircraftOperatorsConservativeEstimates][1][ConservativeMethod]</v>
      </c>
    </row>
    <row r="1668" spans="1:15" x14ac:dyDescent="0.3">
      <c r="A1668" t="s">
        <v>2277</v>
      </c>
      <c r="B1668" t="s">
        <v>2014</v>
      </c>
      <c r="C1668" t="s">
        <v>2015</v>
      </c>
      <c r="D1668">
        <v>2</v>
      </c>
      <c r="E1668" t="s">
        <v>1447</v>
      </c>
      <c r="F1668" t="s">
        <v>1980</v>
      </c>
      <c r="G1668" t="s">
        <v>1741</v>
      </c>
      <c r="H1668" t="s">
        <v>2444</v>
      </c>
      <c r="I1668" t="s">
        <v>2279</v>
      </c>
      <c r="J1668" t="s">
        <v>2279</v>
      </c>
      <c r="K1668" t="s">
        <v>2279</v>
      </c>
      <c r="L1668" t="s">
        <v>2279</v>
      </c>
      <c r="M1668" t="s">
        <v>2279</v>
      </c>
      <c r="N1668" t="s">
        <v>2279</v>
      </c>
      <c r="O1668" s="190" t="str">
        <f>"["&amp;$C1668&amp;"]["&amp;$D1668&amp;"]["&amp;$F1668&amp;"]"</f>
        <v>[S06_AircraftOperatorsConservativeEstimates][2][ConservativeMethod]</v>
      </c>
    </row>
    <row r="1669" spans="1:15" x14ac:dyDescent="0.3">
      <c r="A1669" t="s">
        <v>2277</v>
      </c>
      <c r="B1669" t="s">
        <v>2014</v>
      </c>
      <c r="C1669" t="s">
        <v>2015</v>
      </c>
      <c r="D1669">
        <v>3</v>
      </c>
      <c r="E1669" t="s">
        <v>1447</v>
      </c>
      <c r="F1669" t="s">
        <v>1980</v>
      </c>
      <c r="G1669" t="s">
        <v>1741</v>
      </c>
      <c r="H1669" t="s">
        <v>2444</v>
      </c>
      <c r="I1669" t="s">
        <v>2279</v>
      </c>
      <c r="J1669" t="s">
        <v>2279</v>
      </c>
      <c r="K1669" t="s">
        <v>2279</v>
      </c>
      <c r="L1669" t="s">
        <v>2279</v>
      </c>
      <c r="M1669" t="s">
        <v>2279</v>
      </c>
      <c r="N1669" t="s">
        <v>2279</v>
      </c>
      <c r="O1669" s="190" t="str">
        <f>"["&amp;$C1669&amp;"]["&amp;$D1669&amp;"]["&amp;$F1669&amp;"]"</f>
        <v>[S06_AircraftOperatorsConservativeEstimates][3][ConservativeMethod]</v>
      </c>
    </row>
    <row r="1670" spans="1:15" x14ac:dyDescent="0.3">
      <c r="A1670" t="s">
        <v>2277</v>
      </c>
      <c r="B1670" t="s">
        <v>2014</v>
      </c>
      <c r="C1670" t="s">
        <v>2015</v>
      </c>
      <c r="D1670">
        <v>4</v>
      </c>
      <c r="E1670" t="s">
        <v>1447</v>
      </c>
      <c r="F1670" t="s">
        <v>1980</v>
      </c>
      <c r="G1670" t="s">
        <v>1741</v>
      </c>
      <c r="H1670" t="s">
        <v>2444</v>
      </c>
      <c r="I1670" t="s">
        <v>2279</v>
      </c>
      <c r="J1670" t="s">
        <v>2279</v>
      </c>
      <c r="K1670" t="s">
        <v>2279</v>
      </c>
      <c r="L1670" t="s">
        <v>2279</v>
      </c>
      <c r="M1670" t="s">
        <v>2279</v>
      </c>
      <c r="N1670" t="s">
        <v>2279</v>
      </c>
      <c r="O1670" s="190" t="str">
        <f>"["&amp;$C1670&amp;"]["&amp;$D1670&amp;"]["&amp;$F1670&amp;"]"</f>
        <v>[S06_AircraftOperatorsConservativeEstimates][4][ConservativeMethod]</v>
      </c>
    </row>
    <row r="1671" spans="1:15" x14ac:dyDescent="0.3">
      <c r="A1671" t="s">
        <v>2277</v>
      </c>
      <c r="B1671" t="s">
        <v>2014</v>
      </c>
      <c r="C1671" t="s">
        <v>2015</v>
      </c>
      <c r="D1671">
        <v>5</v>
      </c>
      <c r="E1671" t="s">
        <v>1447</v>
      </c>
      <c r="F1671" t="s">
        <v>1980</v>
      </c>
      <c r="G1671" t="s">
        <v>1741</v>
      </c>
      <c r="H1671" t="s">
        <v>2444</v>
      </c>
      <c r="I1671" t="s">
        <v>2279</v>
      </c>
      <c r="J1671" t="s">
        <v>2279</v>
      </c>
      <c r="K1671" t="s">
        <v>2279</v>
      </c>
      <c r="L1671" t="s">
        <v>2279</v>
      </c>
      <c r="M1671" t="s">
        <v>2279</v>
      </c>
      <c r="N1671" t="s">
        <v>2279</v>
      </c>
      <c r="O1671" s="190" t="str">
        <f>"["&amp;$C1671&amp;"]["&amp;$D1671&amp;"]["&amp;$F1671&amp;"]"</f>
        <v>[S06_AircraftOperatorsConservativeEstimates][5][ConservativeMethod]</v>
      </c>
    </row>
    <row r="1672" spans="1:15" x14ac:dyDescent="0.3">
      <c r="A1672" t="s">
        <v>2277</v>
      </c>
      <c r="B1672" t="s">
        <v>2014</v>
      </c>
      <c r="C1672" t="s">
        <v>2015</v>
      </c>
      <c r="D1672">
        <v>6</v>
      </c>
      <c r="E1672" t="s">
        <v>1447</v>
      </c>
      <c r="F1672" t="s">
        <v>1980</v>
      </c>
      <c r="G1672" t="s">
        <v>1741</v>
      </c>
      <c r="H1672" t="s">
        <v>2444</v>
      </c>
      <c r="I1672" t="s">
        <v>2279</v>
      </c>
      <c r="J1672" t="s">
        <v>2279</v>
      </c>
      <c r="K1672" t="s">
        <v>2279</v>
      </c>
      <c r="L1672" t="s">
        <v>2279</v>
      </c>
      <c r="M1672" t="s">
        <v>2279</v>
      </c>
      <c r="N1672" t="s">
        <v>2279</v>
      </c>
      <c r="O1672" s="190" t="str">
        <f>"["&amp;$C1672&amp;"]["&amp;$D1672&amp;"]["&amp;$F1672&amp;"]"</f>
        <v>[S06_AircraftOperatorsConservativeEstimates][6][ConservativeMethod]</v>
      </c>
    </row>
    <row r="1673" spans="1:15" x14ac:dyDescent="0.3">
      <c r="A1673" t="s">
        <v>2277</v>
      </c>
      <c r="B1673" t="s">
        <v>2014</v>
      </c>
      <c r="C1673" t="s">
        <v>2015</v>
      </c>
      <c r="D1673">
        <v>7</v>
      </c>
      <c r="E1673" t="s">
        <v>1447</v>
      </c>
      <c r="F1673" t="s">
        <v>1980</v>
      </c>
      <c r="G1673" t="s">
        <v>1741</v>
      </c>
      <c r="H1673" t="s">
        <v>2444</v>
      </c>
      <c r="I1673" t="s">
        <v>2279</v>
      </c>
      <c r="J1673" t="s">
        <v>2279</v>
      </c>
      <c r="K1673" t="s">
        <v>2279</v>
      </c>
      <c r="L1673" t="s">
        <v>2279</v>
      </c>
      <c r="M1673" t="s">
        <v>2279</v>
      </c>
      <c r="N1673" t="s">
        <v>2279</v>
      </c>
      <c r="O1673" s="190" t="str">
        <f>"["&amp;$C1673&amp;"]["&amp;$D1673&amp;"]["&amp;$F1673&amp;"]"</f>
        <v>[S06_AircraftOperatorsConservativeEstimates][7][ConservativeMethod]</v>
      </c>
    </row>
    <row r="1674" spans="1:15" x14ac:dyDescent="0.3">
      <c r="A1674" t="s">
        <v>2277</v>
      </c>
      <c r="B1674" t="s">
        <v>2014</v>
      </c>
      <c r="C1674" t="s">
        <v>2015</v>
      </c>
      <c r="D1674">
        <v>8</v>
      </c>
      <c r="E1674" t="s">
        <v>1447</v>
      </c>
      <c r="F1674" t="s">
        <v>1980</v>
      </c>
      <c r="G1674" t="s">
        <v>1741</v>
      </c>
      <c r="H1674" t="s">
        <v>2444</v>
      </c>
      <c r="I1674" t="s">
        <v>2279</v>
      </c>
      <c r="J1674" t="s">
        <v>2279</v>
      </c>
      <c r="K1674" t="s">
        <v>2279</v>
      </c>
      <c r="L1674" t="s">
        <v>2279</v>
      </c>
      <c r="M1674" t="s">
        <v>2279</v>
      </c>
      <c r="N1674" t="s">
        <v>2279</v>
      </c>
      <c r="O1674" s="190" t="str">
        <f>"["&amp;$C1674&amp;"]["&amp;$D1674&amp;"]["&amp;$F1674&amp;"]"</f>
        <v>[S06_AircraftOperatorsConservativeEstimates][8][ConservativeMethod]</v>
      </c>
    </row>
    <row r="1675" spans="1:15" x14ac:dyDescent="0.3">
      <c r="A1675" t="s">
        <v>2277</v>
      </c>
      <c r="B1675" t="s">
        <v>2014</v>
      </c>
      <c r="C1675" t="s">
        <v>2015</v>
      </c>
      <c r="D1675">
        <v>9</v>
      </c>
      <c r="E1675" t="s">
        <v>1447</v>
      </c>
      <c r="F1675" t="s">
        <v>1980</v>
      </c>
      <c r="G1675" t="s">
        <v>1741</v>
      </c>
      <c r="H1675" t="s">
        <v>2444</v>
      </c>
      <c r="I1675" t="s">
        <v>2279</v>
      </c>
      <c r="J1675" t="s">
        <v>2279</v>
      </c>
      <c r="K1675" t="s">
        <v>2279</v>
      </c>
      <c r="L1675" t="s">
        <v>2279</v>
      </c>
      <c r="M1675" t="s">
        <v>2279</v>
      </c>
      <c r="N1675" t="s">
        <v>2279</v>
      </c>
      <c r="O1675" s="190" t="str">
        <f>"["&amp;$C1675&amp;"]["&amp;$D1675&amp;"]["&amp;$F1675&amp;"]"</f>
        <v>[S06_AircraftOperatorsConservativeEstimates][9][ConservativeMethod]</v>
      </c>
    </row>
    <row r="1676" spans="1:15" x14ac:dyDescent="0.3">
      <c r="A1676" t="s">
        <v>2277</v>
      </c>
      <c r="B1676" t="s">
        <v>2014</v>
      </c>
      <c r="C1676" t="s">
        <v>2015</v>
      </c>
      <c r="D1676">
        <v>10</v>
      </c>
      <c r="E1676" t="s">
        <v>1447</v>
      </c>
      <c r="F1676" t="s">
        <v>1980</v>
      </c>
      <c r="G1676" t="s">
        <v>1741</v>
      </c>
      <c r="H1676" t="s">
        <v>2444</v>
      </c>
      <c r="I1676" t="s">
        <v>2279</v>
      </c>
      <c r="J1676" t="s">
        <v>2279</v>
      </c>
      <c r="K1676" t="s">
        <v>2279</v>
      </c>
      <c r="L1676" t="s">
        <v>2279</v>
      </c>
      <c r="M1676" t="s">
        <v>2279</v>
      </c>
      <c r="N1676" t="s">
        <v>2279</v>
      </c>
      <c r="O1676" s="190" t="str">
        <f>"["&amp;$C1676&amp;"]["&amp;$D1676&amp;"]["&amp;$F1676&amp;"]"</f>
        <v>[S06_AircraftOperatorsConservativeEstimates][10][ConservativeMethod]</v>
      </c>
    </row>
    <row r="1677" spans="1:15" x14ac:dyDescent="0.3">
      <c r="A1677" t="s">
        <v>2277</v>
      </c>
      <c r="B1677" t="s">
        <v>2014</v>
      </c>
      <c r="C1677" t="s">
        <v>2015</v>
      </c>
      <c r="D1677">
        <v>11</v>
      </c>
      <c r="E1677" t="s">
        <v>1447</v>
      </c>
      <c r="F1677" t="s">
        <v>1980</v>
      </c>
      <c r="G1677" t="s">
        <v>1741</v>
      </c>
      <c r="H1677" t="s">
        <v>2444</v>
      </c>
      <c r="I1677" t="s">
        <v>2279</v>
      </c>
      <c r="J1677" t="s">
        <v>2279</v>
      </c>
      <c r="K1677" t="s">
        <v>2279</v>
      </c>
      <c r="L1677" t="s">
        <v>2279</v>
      </c>
      <c r="M1677" t="s">
        <v>2279</v>
      </c>
      <c r="N1677" t="s">
        <v>2279</v>
      </c>
      <c r="O1677" s="190" t="str">
        <f>"["&amp;$C1677&amp;"]["&amp;$D1677&amp;"]["&amp;$F1677&amp;"]"</f>
        <v>[S06_AircraftOperatorsConservativeEstimates][11][ConservativeMethod]</v>
      </c>
    </row>
    <row r="1678" spans="1:15" x14ac:dyDescent="0.3">
      <c r="A1678" t="s">
        <v>2277</v>
      </c>
      <c r="B1678" t="s">
        <v>2014</v>
      </c>
      <c r="C1678" t="s">
        <v>2015</v>
      </c>
      <c r="D1678">
        <v>1</v>
      </c>
      <c r="E1678" t="s">
        <v>1447</v>
      </c>
      <c r="F1678" t="s">
        <v>1981</v>
      </c>
      <c r="G1678" t="s">
        <v>1737</v>
      </c>
      <c r="H1678" t="s">
        <v>2279</v>
      </c>
      <c r="I1678" t="s">
        <v>2279</v>
      </c>
      <c r="J1678" t="s">
        <v>2279</v>
      </c>
      <c r="K1678" t="s">
        <v>2279</v>
      </c>
      <c r="L1678" t="s">
        <v>1443</v>
      </c>
      <c r="M1678" t="s">
        <v>2279</v>
      </c>
      <c r="N1678" t="s">
        <v>2279</v>
      </c>
      <c r="O1678" s="190" t="str">
        <f>"["&amp;$C1678&amp;"]["&amp;$D1678&amp;"]["&amp;$F1678&amp;"]"</f>
        <v>[S06_AircraftOperatorsConservativeEstimates][1][FurtherAction]</v>
      </c>
    </row>
    <row r="1679" spans="1:15" x14ac:dyDescent="0.3">
      <c r="A1679" t="s">
        <v>2277</v>
      </c>
      <c r="B1679" t="s">
        <v>2014</v>
      </c>
      <c r="C1679" t="s">
        <v>2015</v>
      </c>
      <c r="D1679">
        <v>2</v>
      </c>
      <c r="E1679" t="s">
        <v>1447</v>
      </c>
      <c r="F1679" t="s">
        <v>1981</v>
      </c>
      <c r="G1679" t="s">
        <v>1737</v>
      </c>
      <c r="H1679" t="s">
        <v>2279</v>
      </c>
      <c r="I1679" t="s">
        <v>2279</v>
      </c>
      <c r="J1679" t="s">
        <v>2279</v>
      </c>
      <c r="K1679" t="s">
        <v>2279</v>
      </c>
      <c r="L1679" t="s">
        <v>1443</v>
      </c>
      <c r="M1679" t="s">
        <v>2279</v>
      </c>
      <c r="N1679" t="s">
        <v>2279</v>
      </c>
      <c r="O1679" s="190" t="str">
        <f>"["&amp;$C1679&amp;"]["&amp;$D1679&amp;"]["&amp;$F1679&amp;"]"</f>
        <v>[S06_AircraftOperatorsConservativeEstimates][2][FurtherAction]</v>
      </c>
    </row>
    <row r="1680" spans="1:15" x14ac:dyDescent="0.3">
      <c r="A1680" t="s">
        <v>2277</v>
      </c>
      <c r="B1680" t="s">
        <v>2014</v>
      </c>
      <c r="C1680" t="s">
        <v>2015</v>
      </c>
      <c r="D1680">
        <v>3</v>
      </c>
      <c r="E1680" t="s">
        <v>1447</v>
      </c>
      <c r="F1680" t="s">
        <v>1981</v>
      </c>
      <c r="G1680" t="s">
        <v>1737</v>
      </c>
      <c r="H1680" t="s">
        <v>2279</v>
      </c>
      <c r="I1680" t="s">
        <v>2279</v>
      </c>
      <c r="J1680" t="s">
        <v>2279</v>
      </c>
      <c r="K1680" t="s">
        <v>2279</v>
      </c>
      <c r="L1680" t="s">
        <v>1443</v>
      </c>
      <c r="M1680" t="s">
        <v>2279</v>
      </c>
      <c r="N1680" t="s">
        <v>2279</v>
      </c>
      <c r="O1680" s="190" t="str">
        <f>"["&amp;$C1680&amp;"]["&amp;$D1680&amp;"]["&amp;$F1680&amp;"]"</f>
        <v>[S06_AircraftOperatorsConservativeEstimates][3][FurtherAction]</v>
      </c>
    </row>
    <row r="1681" spans="1:15" x14ac:dyDescent="0.3">
      <c r="A1681" t="s">
        <v>2277</v>
      </c>
      <c r="B1681" t="s">
        <v>2014</v>
      </c>
      <c r="C1681" t="s">
        <v>2015</v>
      </c>
      <c r="D1681">
        <v>4</v>
      </c>
      <c r="E1681" t="s">
        <v>1447</v>
      </c>
      <c r="F1681" t="s">
        <v>1981</v>
      </c>
      <c r="G1681" t="s">
        <v>1737</v>
      </c>
      <c r="H1681" t="s">
        <v>2279</v>
      </c>
      <c r="I1681" t="s">
        <v>2279</v>
      </c>
      <c r="J1681" t="s">
        <v>2279</v>
      </c>
      <c r="K1681" t="s">
        <v>2279</v>
      </c>
      <c r="L1681" t="s">
        <v>1443</v>
      </c>
      <c r="M1681" t="s">
        <v>2279</v>
      </c>
      <c r="N1681" t="s">
        <v>2279</v>
      </c>
      <c r="O1681" s="190" t="str">
        <f>"["&amp;$C1681&amp;"]["&amp;$D1681&amp;"]["&amp;$F1681&amp;"]"</f>
        <v>[S06_AircraftOperatorsConservativeEstimates][4][FurtherAction]</v>
      </c>
    </row>
    <row r="1682" spans="1:15" x14ac:dyDescent="0.3">
      <c r="A1682" t="s">
        <v>2277</v>
      </c>
      <c r="B1682" t="s">
        <v>2014</v>
      </c>
      <c r="C1682" t="s">
        <v>2015</v>
      </c>
      <c r="D1682">
        <v>5</v>
      </c>
      <c r="E1682" t="s">
        <v>1447</v>
      </c>
      <c r="F1682" t="s">
        <v>1981</v>
      </c>
      <c r="G1682" t="s">
        <v>1737</v>
      </c>
      <c r="H1682" t="s">
        <v>2279</v>
      </c>
      <c r="I1682" t="s">
        <v>2279</v>
      </c>
      <c r="J1682" t="s">
        <v>2279</v>
      </c>
      <c r="K1682" t="s">
        <v>2279</v>
      </c>
      <c r="L1682" t="s">
        <v>1443</v>
      </c>
      <c r="M1682" t="s">
        <v>2279</v>
      </c>
      <c r="N1682" t="s">
        <v>2279</v>
      </c>
      <c r="O1682" s="190" t="str">
        <f>"["&amp;$C1682&amp;"]["&amp;$D1682&amp;"]["&amp;$F1682&amp;"]"</f>
        <v>[S06_AircraftOperatorsConservativeEstimates][5][FurtherAction]</v>
      </c>
    </row>
    <row r="1683" spans="1:15" x14ac:dyDescent="0.3">
      <c r="A1683" t="s">
        <v>2277</v>
      </c>
      <c r="B1683" t="s">
        <v>2014</v>
      </c>
      <c r="C1683" t="s">
        <v>2015</v>
      </c>
      <c r="D1683">
        <v>6</v>
      </c>
      <c r="E1683" t="s">
        <v>1447</v>
      </c>
      <c r="F1683" t="s">
        <v>1981</v>
      </c>
      <c r="G1683" t="s">
        <v>1737</v>
      </c>
      <c r="H1683" t="s">
        <v>2279</v>
      </c>
      <c r="I1683" t="s">
        <v>2279</v>
      </c>
      <c r="J1683" t="s">
        <v>2279</v>
      </c>
      <c r="K1683" t="s">
        <v>2279</v>
      </c>
      <c r="L1683" t="s">
        <v>1443</v>
      </c>
      <c r="M1683" t="s">
        <v>2279</v>
      </c>
      <c r="N1683" t="s">
        <v>2279</v>
      </c>
      <c r="O1683" s="190" t="str">
        <f>"["&amp;$C1683&amp;"]["&amp;$D1683&amp;"]["&amp;$F1683&amp;"]"</f>
        <v>[S06_AircraftOperatorsConservativeEstimates][6][FurtherAction]</v>
      </c>
    </row>
    <row r="1684" spans="1:15" x14ac:dyDescent="0.3">
      <c r="A1684" t="s">
        <v>2277</v>
      </c>
      <c r="B1684" t="s">
        <v>2014</v>
      </c>
      <c r="C1684" t="s">
        <v>2015</v>
      </c>
      <c r="D1684">
        <v>7</v>
      </c>
      <c r="E1684" t="s">
        <v>1447</v>
      </c>
      <c r="F1684" t="s">
        <v>1981</v>
      </c>
      <c r="G1684" t="s">
        <v>1737</v>
      </c>
      <c r="H1684" t="s">
        <v>2279</v>
      </c>
      <c r="I1684" t="s">
        <v>2279</v>
      </c>
      <c r="J1684" t="s">
        <v>2279</v>
      </c>
      <c r="K1684" t="s">
        <v>2279</v>
      </c>
      <c r="L1684" t="s">
        <v>1443</v>
      </c>
      <c r="M1684" t="s">
        <v>2279</v>
      </c>
      <c r="N1684" t="s">
        <v>2279</v>
      </c>
      <c r="O1684" s="190" t="str">
        <f>"["&amp;$C1684&amp;"]["&amp;$D1684&amp;"]["&amp;$F1684&amp;"]"</f>
        <v>[S06_AircraftOperatorsConservativeEstimates][7][FurtherAction]</v>
      </c>
    </row>
    <row r="1685" spans="1:15" x14ac:dyDescent="0.3">
      <c r="A1685" t="s">
        <v>2277</v>
      </c>
      <c r="B1685" t="s">
        <v>2014</v>
      </c>
      <c r="C1685" t="s">
        <v>2015</v>
      </c>
      <c r="D1685">
        <v>8</v>
      </c>
      <c r="E1685" t="s">
        <v>1447</v>
      </c>
      <c r="F1685" t="s">
        <v>1981</v>
      </c>
      <c r="G1685" t="s">
        <v>1737</v>
      </c>
      <c r="H1685" t="s">
        <v>2279</v>
      </c>
      <c r="I1685" t="s">
        <v>2279</v>
      </c>
      <c r="J1685" t="s">
        <v>2279</v>
      </c>
      <c r="K1685" t="s">
        <v>2279</v>
      </c>
      <c r="L1685" t="s">
        <v>1443</v>
      </c>
      <c r="M1685" t="s">
        <v>2279</v>
      </c>
      <c r="N1685" t="s">
        <v>2279</v>
      </c>
      <c r="O1685" s="190" t="str">
        <f>"["&amp;$C1685&amp;"]["&amp;$D1685&amp;"]["&amp;$F1685&amp;"]"</f>
        <v>[S06_AircraftOperatorsConservativeEstimates][8][FurtherAction]</v>
      </c>
    </row>
    <row r="1686" spans="1:15" x14ac:dyDescent="0.3">
      <c r="A1686" t="s">
        <v>2277</v>
      </c>
      <c r="B1686" t="s">
        <v>2014</v>
      </c>
      <c r="C1686" t="s">
        <v>2015</v>
      </c>
      <c r="D1686">
        <v>9</v>
      </c>
      <c r="E1686" t="s">
        <v>1447</v>
      </c>
      <c r="F1686" t="s">
        <v>1981</v>
      </c>
      <c r="G1686" t="s">
        <v>1737</v>
      </c>
      <c r="H1686" t="s">
        <v>2279</v>
      </c>
      <c r="I1686" t="s">
        <v>2279</v>
      </c>
      <c r="J1686" t="s">
        <v>2279</v>
      </c>
      <c r="K1686" t="s">
        <v>2279</v>
      </c>
      <c r="L1686" t="s">
        <v>1443</v>
      </c>
      <c r="M1686" t="s">
        <v>2279</v>
      </c>
      <c r="N1686" t="s">
        <v>2279</v>
      </c>
      <c r="O1686" s="190" t="str">
        <f>"["&amp;$C1686&amp;"]["&amp;$D1686&amp;"]["&amp;$F1686&amp;"]"</f>
        <v>[S06_AircraftOperatorsConservativeEstimates][9][FurtherAction]</v>
      </c>
    </row>
    <row r="1687" spans="1:15" x14ac:dyDescent="0.3">
      <c r="A1687" t="s">
        <v>2277</v>
      </c>
      <c r="B1687" t="s">
        <v>2014</v>
      </c>
      <c r="C1687" t="s">
        <v>2015</v>
      </c>
      <c r="D1687">
        <v>10</v>
      </c>
      <c r="E1687" t="s">
        <v>1447</v>
      </c>
      <c r="F1687" t="s">
        <v>1981</v>
      </c>
      <c r="G1687" t="s">
        <v>1737</v>
      </c>
      <c r="H1687" t="s">
        <v>2279</v>
      </c>
      <c r="I1687" t="s">
        <v>2279</v>
      </c>
      <c r="J1687" t="s">
        <v>2279</v>
      </c>
      <c r="K1687" t="s">
        <v>2279</v>
      </c>
      <c r="L1687" t="s">
        <v>1443</v>
      </c>
      <c r="M1687" t="s">
        <v>2279</v>
      </c>
      <c r="N1687" t="s">
        <v>2279</v>
      </c>
      <c r="O1687" s="190" t="str">
        <f>"["&amp;$C1687&amp;"]["&amp;$D1687&amp;"]["&amp;$F1687&amp;"]"</f>
        <v>[S06_AircraftOperatorsConservativeEstimates][10][FurtherAction]</v>
      </c>
    </row>
    <row r="1688" spans="1:15" x14ac:dyDescent="0.3">
      <c r="A1688" t="s">
        <v>2277</v>
      </c>
      <c r="B1688" t="s">
        <v>2014</v>
      </c>
      <c r="C1688" t="s">
        <v>2015</v>
      </c>
      <c r="D1688">
        <v>11</v>
      </c>
      <c r="E1688" t="s">
        <v>1447</v>
      </c>
      <c r="F1688" t="s">
        <v>1981</v>
      </c>
      <c r="G1688" t="s">
        <v>1737</v>
      </c>
      <c r="H1688" t="s">
        <v>2279</v>
      </c>
      <c r="I1688" t="s">
        <v>2279</v>
      </c>
      <c r="J1688" t="s">
        <v>2279</v>
      </c>
      <c r="K1688" t="s">
        <v>2279</v>
      </c>
      <c r="L1688" t="s">
        <v>1443</v>
      </c>
      <c r="M1688" t="s">
        <v>2279</v>
      </c>
      <c r="N1688" t="s">
        <v>2279</v>
      </c>
      <c r="O1688" s="190" t="str">
        <f>"["&amp;$C1688&amp;"]["&amp;$D1688&amp;"]["&amp;$F1688&amp;"]"</f>
        <v>[S06_AircraftOperatorsConservativeEstimates][11][FurtherAction]</v>
      </c>
    </row>
    <row r="1689" spans="1:15" x14ac:dyDescent="0.3">
      <c r="A1689" t="s">
        <v>2277</v>
      </c>
      <c r="B1689" t="s">
        <v>2014</v>
      </c>
      <c r="C1689" t="s">
        <v>2020</v>
      </c>
      <c r="D1689">
        <v>1</v>
      </c>
      <c r="E1689" t="s">
        <v>1447</v>
      </c>
      <c r="F1689" t="s">
        <v>1984</v>
      </c>
      <c r="G1689" t="s">
        <v>1748</v>
      </c>
      <c r="H1689" t="s">
        <v>2279</v>
      </c>
      <c r="I1689">
        <v>11</v>
      </c>
      <c r="J1689" t="s">
        <v>2279</v>
      </c>
      <c r="K1689" t="s">
        <v>2279</v>
      </c>
      <c r="L1689" t="s">
        <v>2279</v>
      </c>
      <c r="M1689" t="s">
        <v>2279</v>
      </c>
      <c r="N1689" t="s">
        <v>2279</v>
      </c>
      <c r="O1689" s="190" t="str">
        <f>"["&amp;$C1689&amp;"]["&amp;$D1689&amp;"]["&amp;$F1689&amp;"]"</f>
        <v>[S06_NegativeOpinionAircraft][1][CountNegativeOpinions]</v>
      </c>
    </row>
    <row r="1690" spans="1:15" x14ac:dyDescent="0.3">
      <c r="A1690" t="s">
        <v>2277</v>
      </c>
      <c r="B1690" t="s">
        <v>2014</v>
      </c>
      <c r="C1690" t="s">
        <v>2020</v>
      </c>
      <c r="D1690">
        <v>2</v>
      </c>
      <c r="E1690" t="s">
        <v>1447</v>
      </c>
      <c r="F1690" t="s">
        <v>1984</v>
      </c>
      <c r="G1690" t="s">
        <v>1748</v>
      </c>
      <c r="H1690" t="s">
        <v>2279</v>
      </c>
      <c r="I1690">
        <v>0</v>
      </c>
      <c r="J1690" t="s">
        <v>2279</v>
      </c>
      <c r="K1690" t="s">
        <v>2279</v>
      </c>
      <c r="L1690" t="s">
        <v>2279</v>
      </c>
      <c r="M1690" t="s">
        <v>2279</v>
      </c>
      <c r="N1690" t="s">
        <v>2279</v>
      </c>
      <c r="O1690" s="190" t="str">
        <f>"["&amp;$C1690&amp;"]["&amp;$D1690&amp;"]["&amp;$F1690&amp;"]"</f>
        <v>[S06_NegativeOpinionAircraft][2][CountNegativeOpinions]</v>
      </c>
    </row>
    <row r="1691" spans="1:15" x14ac:dyDescent="0.3">
      <c r="A1691" t="s">
        <v>2277</v>
      </c>
      <c r="B1691" t="s">
        <v>2014</v>
      </c>
      <c r="C1691" t="s">
        <v>2020</v>
      </c>
      <c r="D1691">
        <v>3</v>
      </c>
      <c r="E1691" t="s">
        <v>1447</v>
      </c>
      <c r="F1691" t="s">
        <v>1984</v>
      </c>
      <c r="G1691" t="s">
        <v>1748</v>
      </c>
      <c r="H1691" t="s">
        <v>2279</v>
      </c>
      <c r="I1691">
        <v>0</v>
      </c>
      <c r="J1691" t="s">
        <v>2279</v>
      </c>
      <c r="K1691" t="s">
        <v>2279</v>
      </c>
      <c r="L1691" t="s">
        <v>2279</v>
      </c>
      <c r="M1691" t="s">
        <v>2279</v>
      </c>
      <c r="N1691" t="s">
        <v>2279</v>
      </c>
      <c r="O1691" s="190" t="str">
        <f>"["&amp;$C1691&amp;"]["&amp;$D1691&amp;"]["&amp;$F1691&amp;"]"</f>
        <v>[S06_NegativeOpinionAircraft][3][CountNegativeOpinions]</v>
      </c>
    </row>
    <row r="1692" spans="1:15" x14ac:dyDescent="0.3">
      <c r="A1692" t="s">
        <v>2277</v>
      </c>
      <c r="B1692" t="s">
        <v>2014</v>
      </c>
      <c r="C1692" t="s">
        <v>2020</v>
      </c>
      <c r="D1692">
        <v>4</v>
      </c>
      <c r="E1692" t="s">
        <v>1447</v>
      </c>
      <c r="F1692" t="s">
        <v>1984</v>
      </c>
      <c r="G1692" t="s">
        <v>1748</v>
      </c>
      <c r="H1692" t="s">
        <v>2279</v>
      </c>
      <c r="I1692">
        <v>0</v>
      </c>
      <c r="J1692" t="s">
        <v>2279</v>
      </c>
      <c r="K1692" t="s">
        <v>2279</v>
      </c>
      <c r="L1692" t="s">
        <v>2279</v>
      </c>
      <c r="M1692" t="s">
        <v>2279</v>
      </c>
      <c r="N1692" t="s">
        <v>2279</v>
      </c>
      <c r="O1692" s="190" t="str">
        <f>"["&amp;$C1692&amp;"]["&amp;$D1692&amp;"]["&amp;$F1692&amp;"]"</f>
        <v>[S06_NegativeOpinionAircraft][4][CountNegativeOpinions]</v>
      </c>
    </row>
    <row r="1693" spans="1:15" x14ac:dyDescent="0.3">
      <c r="A1693" t="s">
        <v>2277</v>
      </c>
      <c r="B1693" t="s">
        <v>2021</v>
      </c>
      <c r="C1693" t="s">
        <v>2022</v>
      </c>
      <c r="D1693">
        <v>0</v>
      </c>
      <c r="E1693" t="s">
        <v>1447</v>
      </c>
      <c r="F1693" t="s">
        <v>2022</v>
      </c>
      <c r="G1693" t="s">
        <v>1759</v>
      </c>
      <c r="H1693" t="s">
        <v>2279</v>
      </c>
      <c r="I1693" t="s">
        <v>2279</v>
      </c>
      <c r="J1693" t="s">
        <v>2279</v>
      </c>
      <c r="K1693" t="s">
        <v>2279</v>
      </c>
      <c r="L1693" t="s">
        <v>1447</v>
      </c>
      <c r="M1693" t="s">
        <v>2279</v>
      </c>
      <c r="N1693" t="s">
        <v>2279</v>
      </c>
      <c r="O1693" s="190" t="str">
        <f>"["&amp;$C1693&amp;"]["&amp;$D1693&amp;"]["&amp;$F1693&amp;"]"</f>
        <v>[AircraftOperatorsVerificationReportIssues][0][AircraftOperatorsVerificationReportIssues]</v>
      </c>
    </row>
    <row r="1694" spans="1:15" x14ac:dyDescent="0.3">
      <c r="A1694" t="s">
        <v>2277</v>
      </c>
      <c r="B1694" t="s">
        <v>2026</v>
      </c>
      <c r="C1694" t="s">
        <v>2027</v>
      </c>
      <c r="D1694">
        <v>0</v>
      </c>
      <c r="E1694" t="s">
        <v>1447</v>
      </c>
      <c r="F1694" t="s">
        <v>2027</v>
      </c>
      <c r="G1694" t="s">
        <v>1759</v>
      </c>
      <c r="H1694" t="s">
        <v>2279</v>
      </c>
      <c r="I1694" t="s">
        <v>2279</v>
      </c>
      <c r="J1694" t="s">
        <v>2279</v>
      </c>
      <c r="K1694" t="s">
        <v>2279</v>
      </c>
      <c r="L1694" t="s">
        <v>1419</v>
      </c>
      <c r="M1694" t="s">
        <v>2279</v>
      </c>
      <c r="N1694" t="s">
        <v>2279</v>
      </c>
      <c r="O1694" s="190" t="str">
        <f>"["&amp;$C1694&amp;"]["&amp;$D1694&amp;"]["&amp;$F1694&amp;"]"</f>
        <v>[AircraftOperatorsVerificationReportChecks][0][AircraftOperatorsVerificationReportChecks]</v>
      </c>
    </row>
    <row r="1695" spans="1:15" x14ac:dyDescent="0.3">
      <c r="A1695" t="s">
        <v>2277</v>
      </c>
      <c r="B1695" t="s">
        <v>2026</v>
      </c>
      <c r="C1695" t="s">
        <v>2028</v>
      </c>
      <c r="D1695">
        <v>1</v>
      </c>
      <c r="E1695" t="s">
        <v>1447</v>
      </c>
      <c r="F1695" t="s">
        <v>1994</v>
      </c>
      <c r="G1695" t="s">
        <v>1806</v>
      </c>
      <c r="H1695" t="s">
        <v>2279</v>
      </c>
      <c r="I1695" t="s">
        <v>2279</v>
      </c>
      <c r="J1695">
        <v>1</v>
      </c>
      <c r="K1695" t="s">
        <v>2279</v>
      </c>
      <c r="L1695" t="s">
        <v>2279</v>
      </c>
      <c r="M1695" t="s">
        <v>2279</v>
      </c>
      <c r="N1695" t="s">
        <v>2279</v>
      </c>
      <c r="O1695" s="190" t="str">
        <f>"["&amp;$C1695&amp;"]["&amp;$D1695&amp;"]["&amp;$F1695&amp;"]"</f>
        <v>[S06_AircraftOperatorsVerificationEmissionReportChecks1][1][PercentageShare]</v>
      </c>
    </row>
    <row r="1696" spans="1:15" x14ac:dyDescent="0.3">
      <c r="A1696" t="s">
        <v>2277</v>
      </c>
      <c r="B1696" t="s">
        <v>2026</v>
      </c>
      <c r="C1696" t="s">
        <v>2028</v>
      </c>
      <c r="D1696">
        <v>2</v>
      </c>
      <c r="E1696" t="s">
        <v>1447</v>
      </c>
      <c r="F1696" t="s">
        <v>1994</v>
      </c>
      <c r="G1696" t="s">
        <v>1806</v>
      </c>
      <c r="H1696" t="s">
        <v>2279</v>
      </c>
      <c r="I1696" t="s">
        <v>2279</v>
      </c>
      <c r="J1696">
        <v>0</v>
      </c>
      <c r="K1696" t="s">
        <v>2279</v>
      </c>
      <c r="L1696" t="s">
        <v>2279</v>
      </c>
      <c r="M1696" t="s">
        <v>2279</v>
      </c>
      <c r="N1696" t="s">
        <v>2279</v>
      </c>
      <c r="O1696" s="190" t="str">
        <f>"["&amp;$C1696&amp;"]["&amp;$D1696&amp;"]["&amp;$F1696&amp;"]"</f>
        <v>[S06_AircraftOperatorsVerificationEmissionReportChecks1][2][PercentageShare]</v>
      </c>
    </row>
    <row r="1697" spans="1:15" x14ac:dyDescent="0.3">
      <c r="A1697" t="s">
        <v>2277</v>
      </c>
      <c r="B1697" t="s">
        <v>2026</v>
      </c>
      <c r="C1697" t="s">
        <v>2028</v>
      </c>
      <c r="D1697">
        <v>3</v>
      </c>
      <c r="E1697" t="s">
        <v>1447</v>
      </c>
      <c r="F1697" t="s">
        <v>1994</v>
      </c>
      <c r="G1697" t="s">
        <v>1806</v>
      </c>
      <c r="H1697" t="s">
        <v>2279</v>
      </c>
      <c r="I1697" t="s">
        <v>2279</v>
      </c>
      <c r="J1697">
        <v>1</v>
      </c>
      <c r="K1697" t="s">
        <v>2279</v>
      </c>
      <c r="L1697" t="s">
        <v>2279</v>
      </c>
      <c r="M1697" t="s">
        <v>2279</v>
      </c>
      <c r="N1697" t="s">
        <v>2279</v>
      </c>
      <c r="O1697" s="190" t="str">
        <f>"["&amp;$C1697&amp;"]["&amp;$D1697&amp;"]["&amp;$F1697&amp;"]"</f>
        <v>[S06_AircraftOperatorsVerificationEmissionReportChecks1][3][PercentageShare]</v>
      </c>
    </row>
    <row r="1698" spans="1:15" x14ac:dyDescent="0.3">
      <c r="A1698" t="s">
        <v>2277</v>
      </c>
      <c r="B1698" t="s">
        <v>2026</v>
      </c>
      <c r="C1698" t="s">
        <v>2028</v>
      </c>
      <c r="D1698">
        <v>4</v>
      </c>
      <c r="E1698" t="s">
        <v>1447</v>
      </c>
      <c r="F1698" t="s">
        <v>1994</v>
      </c>
      <c r="G1698" t="s">
        <v>1806</v>
      </c>
      <c r="H1698" t="s">
        <v>2279</v>
      </c>
      <c r="I1698" t="s">
        <v>2279</v>
      </c>
      <c r="J1698">
        <v>0.8</v>
      </c>
      <c r="K1698" t="s">
        <v>2279</v>
      </c>
      <c r="L1698" t="s">
        <v>2279</v>
      </c>
      <c r="M1698" t="s">
        <v>2279</v>
      </c>
      <c r="N1698" t="s">
        <v>2279</v>
      </c>
      <c r="O1698" s="190" t="str">
        <f>"["&amp;$C1698&amp;"]["&amp;$D1698&amp;"]["&amp;$F1698&amp;"]"</f>
        <v>[S06_AircraftOperatorsVerificationEmissionReportChecks1][4][PercentageShare]</v>
      </c>
    </row>
    <row r="1699" spans="1:15" x14ac:dyDescent="0.3">
      <c r="A1699" t="s">
        <v>2277</v>
      </c>
      <c r="B1699" t="s">
        <v>2026</v>
      </c>
      <c r="C1699" t="s">
        <v>2028</v>
      </c>
      <c r="D1699">
        <v>3</v>
      </c>
      <c r="E1699" t="s">
        <v>1447</v>
      </c>
      <c r="F1699" t="s">
        <v>1995</v>
      </c>
      <c r="G1699" t="s">
        <v>1791</v>
      </c>
      <c r="H1699" t="s">
        <v>2279</v>
      </c>
      <c r="I1699" t="s">
        <v>2279</v>
      </c>
      <c r="J1699" t="s">
        <v>2279</v>
      </c>
      <c r="K1699" t="s">
        <v>2445</v>
      </c>
      <c r="L1699" t="s">
        <v>2279</v>
      </c>
      <c r="M1699" t="s">
        <v>2279</v>
      </c>
      <c r="N1699" t="s">
        <v>2279</v>
      </c>
      <c r="O1699" s="190" t="str">
        <f>"["&amp;$C1699&amp;"]["&amp;$D1699&amp;"]["&amp;$F1699&amp;"]"</f>
        <v>[S06_AircraftOperatorsVerificationEmissionReportChecks1][3][FurtherInformation]</v>
      </c>
    </row>
    <row r="1700" spans="1:15" x14ac:dyDescent="0.3">
      <c r="A1700" t="s">
        <v>2277</v>
      </c>
      <c r="B1700" t="s">
        <v>2026</v>
      </c>
      <c r="C1700" t="s">
        <v>2028</v>
      </c>
      <c r="D1700">
        <v>4</v>
      </c>
      <c r="E1700" t="s">
        <v>1447</v>
      </c>
      <c r="F1700" t="s">
        <v>1996</v>
      </c>
      <c r="G1700" t="s">
        <v>1737</v>
      </c>
      <c r="H1700" t="s">
        <v>2279</v>
      </c>
      <c r="I1700" t="s">
        <v>2279</v>
      </c>
      <c r="J1700" t="s">
        <v>2279</v>
      </c>
      <c r="K1700" t="s">
        <v>2279</v>
      </c>
      <c r="L1700" t="s">
        <v>1495</v>
      </c>
      <c r="M1700" t="s">
        <v>2279</v>
      </c>
      <c r="N1700" t="s">
        <v>2279</v>
      </c>
      <c r="O1700" s="190" t="str">
        <f>"["&amp;$C1700&amp;"]["&amp;$D1700&amp;"]["&amp;$F1700&amp;"]"</f>
        <v>[S06_AircraftOperatorsVerificationEmissionReportChecks1][4][SelectingCriteria]</v>
      </c>
    </row>
    <row r="1701" spans="1:15" x14ac:dyDescent="0.3">
      <c r="A1701" t="s">
        <v>2277</v>
      </c>
      <c r="B1701" t="s">
        <v>2026</v>
      </c>
      <c r="C1701" t="s">
        <v>2029</v>
      </c>
      <c r="D1701">
        <v>1</v>
      </c>
      <c r="E1701" t="s">
        <v>1447</v>
      </c>
      <c r="F1701" t="s">
        <v>1998</v>
      </c>
      <c r="G1701" t="s">
        <v>1748</v>
      </c>
      <c r="H1701" t="s">
        <v>2279</v>
      </c>
      <c r="I1701">
        <v>0</v>
      </c>
      <c r="J1701" t="s">
        <v>2279</v>
      </c>
      <c r="K1701" t="s">
        <v>2279</v>
      </c>
      <c r="L1701" t="s">
        <v>2279</v>
      </c>
      <c r="M1701" t="s">
        <v>2279</v>
      </c>
      <c r="N1701" t="s">
        <v>2279</v>
      </c>
      <c r="O1701" s="190" t="str">
        <f>"["&amp;$C1701&amp;"]["&amp;$D1701&amp;"]["&amp;$F1701&amp;"]"</f>
        <v>[S06_AircraftOperatorsVerificationEmissionReportChecks2][1][NumberOfReports]</v>
      </c>
    </row>
    <row r="1702" spans="1:15" x14ac:dyDescent="0.3">
      <c r="A1702" t="s">
        <v>2277</v>
      </c>
      <c r="B1702" t="s">
        <v>2026</v>
      </c>
      <c r="C1702" t="s">
        <v>2029</v>
      </c>
      <c r="D1702">
        <v>2</v>
      </c>
      <c r="E1702" t="s">
        <v>1447</v>
      </c>
      <c r="F1702" t="s">
        <v>1998</v>
      </c>
      <c r="G1702" t="s">
        <v>1748</v>
      </c>
      <c r="H1702" t="s">
        <v>2279</v>
      </c>
      <c r="I1702">
        <v>0</v>
      </c>
      <c r="J1702" t="s">
        <v>2279</v>
      </c>
      <c r="K1702" t="s">
        <v>2279</v>
      </c>
      <c r="L1702" t="s">
        <v>2279</v>
      </c>
      <c r="M1702" t="s">
        <v>2279</v>
      </c>
      <c r="N1702" t="s">
        <v>2279</v>
      </c>
      <c r="O1702" s="190" t="str">
        <f>"["&amp;$C1702&amp;"]["&amp;$D1702&amp;"]["&amp;$F1702&amp;"]"</f>
        <v>[S06_AircraftOperatorsVerificationEmissionReportChecks2][2][NumberOfReports]</v>
      </c>
    </row>
    <row r="1703" spans="1:15" x14ac:dyDescent="0.3">
      <c r="A1703" t="s">
        <v>2277</v>
      </c>
      <c r="B1703" t="s">
        <v>2026</v>
      </c>
      <c r="C1703" t="s">
        <v>2030</v>
      </c>
      <c r="D1703">
        <v>1</v>
      </c>
      <c r="E1703" t="s">
        <v>1447</v>
      </c>
      <c r="F1703" t="s">
        <v>2000</v>
      </c>
      <c r="G1703" t="s">
        <v>1741</v>
      </c>
      <c r="H1703" t="s">
        <v>2446</v>
      </c>
      <c r="I1703" t="s">
        <v>2279</v>
      </c>
      <c r="J1703" t="s">
        <v>2279</v>
      </c>
      <c r="K1703" t="s">
        <v>2279</v>
      </c>
      <c r="L1703" t="s">
        <v>2279</v>
      </c>
      <c r="M1703" t="s">
        <v>2279</v>
      </c>
      <c r="N1703" t="s">
        <v>2279</v>
      </c>
      <c r="O1703" s="190" t="str">
        <f>"["&amp;$C1703&amp;"]["&amp;$D1703&amp;"]["&amp;$F1703&amp;"]"</f>
        <v>[S06_AircraftOperatorsVerificationEmissionReportChecks3][1][ActionsTaken]</v>
      </c>
    </row>
    <row r="1704" spans="1:15" x14ac:dyDescent="0.3">
      <c r="A1704" t="s">
        <v>2277</v>
      </c>
      <c r="B1704" t="s">
        <v>2026</v>
      </c>
      <c r="C1704" t="s">
        <v>2033</v>
      </c>
      <c r="D1704">
        <v>1</v>
      </c>
      <c r="E1704" t="s">
        <v>1447</v>
      </c>
      <c r="F1704" t="s">
        <v>2000</v>
      </c>
      <c r="G1704" t="s">
        <v>1741</v>
      </c>
      <c r="H1704" t="s">
        <v>2447</v>
      </c>
      <c r="I1704" t="s">
        <v>2279</v>
      </c>
      <c r="J1704" t="s">
        <v>2279</v>
      </c>
      <c r="K1704" t="s">
        <v>2279</v>
      </c>
      <c r="L1704" t="s">
        <v>2279</v>
      </c>
      <c r="M1704" t="s">
        <v>2279</v>
      </c>
      <c r="N1704" t="s">
        <v>2279</v>
      </c>
      <c r="O1704" s="190" t="str">
        <f>"["&amp;$C1704&amp;"]["&amp;$D1704&amp;"]["&amp;$F1704&amp;"]"</f>
        <v>[S06_AircraftOperatorsVerificationTKMReportChecks3][1][ActionsTaken]</v>
      </c>
    </row>
    <row r="1705" spans="1:15" x14ac:dyDescent="0.3">
      <c r="A1705" t="s">
        <v>2277</v>
      </c>
      <c r="B1705" t="s">
        <v>2034</v>
      </c>
      <c r="C1705" t="s">
        <v>2035</v>
      </c>
      <c r="D1705">
        <v>0</v>
      </c>
      <c r="E1705" t="s">
        <v>1447</v>
      </c>
      <c r="F1705" t="s">
        <v>2035</v>
      </c>
      <c r="G1705" t="s">
        <v>1759</v>
      </c>
      <c r="H1705" t="s">
        <v>2279</v>
      </c>
      <c r="I1705" t="s">
        <v>2279</v>
      </c>
      <c r="J1705" t="s">
        <v>2279</v>
      </c>
      <c r="K1705" t="s">
        <v>2279</v>
      </c>
      <c r="L1705" t="s">
        <v>1447</v>
      </c>
      <c r="M1705" t="s">
        <v>2279</v>
      </c>
      <c r="N1705" t="s">
        <v>2279</v>
      </c>
      <c r="O1705" s="190" t="str">
        <f>"["&amp;$C1705&amp;"]["&amp;$D1705&amp;"]["&amp;$F1705&amp;"]"</f>
        <v>[AircraftOperatorsVisitsWaivedLowEmitters][0][AircraftOperatorsVisitsWaivedLowEmitters]</v>
      </c>
    </row>
    <row r="1706" spans="1:15" x14ac:dyDescent="0.3">
      <c r="A1706" t="s">
        <v>2277</v>
      </c>
      <c r="B1706" t="s">
        <v>2037</v>
      </c>
      <c r="C1706" t="s">
        <v>2038</v>
      </c>
      <c r="D1706">
        <v>0</v>
      </c>
      <c r="E1706" t="s">
        <v>1447</v>
      </c>
      <c r="F1706" t="s">
        <v>2038</v>
      </c>
      <c r="G1706" t="s">
        <v>1759</v>
      </c>
      <c r="H1706" t="s">
        <v>2279</v>
      </c>
      <c r="I1706" t="s">
        <v>2279</v>
      </c>
      <c r="J1706" t="s">
        <v>2279</v>
      </c>
      <c r="K1706" t="s">
        <v>2279</v>
      </c>
      <c r="L1706" t="s">
        <v>1447</v>
      </c>
      <c r="M1706" t="s">
        <v>2279</v>
      </c>
      <c r="N1706" t="s">
        <v>2279</v>
      </c>
      <c r="O1706" s="190" t="str">
        <f>"["&amp;$C1706&amp;"]["&amp;$D1706&amp;"]["&amp;$F1706&amp;"]"</f>
        <v>[VirtualVisitsAircraft][0][VirtualVisitsAircraft]</v>
      </c>
    </row>
    <row r="1707" spans="1:15" x14ac:dyDescent="0.3">
      <c r="A1707" t="s">
        <v>2277</v>
      </c>
      <c r="B1707" t="s">
        <v>2048</v>
      </c>
      <c r="C1707" t="s">
        <v>2049</v>
      </c>
      <c r="D1707">
        <v>0</v>
      </c>
      <c r="E1707" t="s">
        <v>1447</v>
      </c>
      <c r="F1707" t="s">
        <v>2049</v>
      </c>
      <c r="G1707" t="s">
        <v>1748</v>
      </c>
      <c r="H1707" t="s">
        <v>2279</v>
      </c>
      <c r="I1707">
        <v>36</v>
      </c>
      <c r="J1707" t="s">
        <v>2279</v>
      </c>
      <c r="K1707" t="s">
        <v>2279</v>
      </c>
      <c r="L1707" t="s">
        <v>2279</v>
      </c>
      <c r="M1707" t="s">
        <v>2279</v>
      </c>
      <c r="N1707" t="s">
        <v>2279</v>
      </c>
      <c r="O1707" s="190" t="str">
        <f>"["&amp;$C1707&amp;"]["&amp;$D1707&amp;"]["&amp;$F1707&amp;"]"</f>
        <v>[AircraftOperatorsMandateArt15UseNumber][0][AircraftOperatorsMandateArt15UseNumber]</v>
      </c>
    </row>
    <row r="1708" spans="1:15" x14ac:dyDescent="0.3">
      <c r="A1708" t="s">
        <v>2277</v>
      </c>
      <c r="B1708" t="s">
        <v>2048</v>
      </c>
      <c r="C1708" t="s">
        <v>2050</v>
      </c>
      <c r="D1708">
        <v>1</v>
      </c>
      <c r="E1708" t="s">
        <v>1447</v>
      </c>
      <c r="F1708" t="s">
        <v>2016</v>
      </c>
      <c r="G1708" t="s">
        <v>1741</v>
      </c>
      <c r="H1708" t="s">
        <v>2448</v>
      </c>
      <c r="I1708" t="s">
        <v>2279</v>
      </c>
      <c r="J1708" t="s">
        <v>2279</v>
      </c>
      <c r="K1708" t="s">
        <v>2279</v>
      </c>
      <c r="L1708" t="s">
        <v>2279</v>
      </c>
      <c r="M1708" t="s">
        <v>2279</v>
      </c>
      <c r="N1708" t="s">
        <v>2279</v>
      </c>
      <c r="O1708" s="190" t="str">
        <f>"["&amp;$C1708&amp;"]["&amp;$D1708&amp;"]["&amp;$F1708&amp;"]"</f>
        <v>[S07_AircraftOperatorsUseArt15MandateDetail][1][AircraftOperatorID]</v>
      </c>
    </row>
    <row r="1709" spans="1:15" x14ac:dyDescent="0.3">
      <c r="A1709" t="s">
        <v>2277</v>
      </c>
      <c r="B1709" t="s">
        <v>2048</v>
      </c>
      <c r="C1709" t="s">
        <v>2050</v>
      </c>
      <c r="D1709">
        <v>2</v>
      </c>
      <c r="E1709" t="s">
        <v>1447</v>
      </c>
      <c r="F1709" t="s">
        <v>2016</v>
      </c>
      <c r="G1709" t="s">
        <v>1741</v>
      </c>
      <c r="H1709" t="s">
        <v>2449</v>
      </c>
      <c r="I1709" t="s">
        <v>2279</v>
      </c>
      <c r="J1709" t="s">
        <v>2279</v>
      </c>
      <c r="K1709" t="s">
        <v>2279</v>
      </c>
      <c r="L1709" t="s">
        <v>2279</v>
      </c>
      <c r="M1709" t="s">
        <v>2279</v>
      </c>
      <c r="N1709" t="s">
        <v>2279</v>
      </c>
      <c r="O1709" s="190" t="str">
        <f>"["&amp;$C1709&amp;"]["&amp;$D1709&amp;"]["&amp;$F1709&amp;"]"</f>
        <v>[S07_AircraftOperatorsUseArt15MandateDetail][2][AircraftOperatorID]</v>
      </c>
    </row>
    <row r="1710" spans="1:15" x14ac:dyDescent="0.3">
      <c r="A1710" t="s">
        <v>2277</v>
      </c>
      <c r="B1710" t="s">
        <v>2048</v>
      </c>
      <c r="C1710" t="s">
        <v>2050</v>
      </c>
      <c r="D1710">
        <v>3</v>
      </c>
      <c r="E1710" t="s">
        <v>1447</v>
      </c>
      <c r="F1710" t="s">
        <v>2016</v>
      </c>
      <c r="G1710" t="s">
        <v>1741</v>
      </c>
      <c r="H1710" t="s">
        <v>2450</v>
      </c>
      <c r="I1710" t="s">
        <v>2279</v>
      </c>
      <c r="J1710" t="s">
        <v>2279</v>
      </c>
      <c r="K1710" t="s">
        <v>2279</v>
      </c>
      <c r="L1710" t="s">
        <v>2279</v>
      </c>
      <c r="M1710" t="s">
        <v>2279</v>
      </c>
      <c r="N1710" t="s">
        <v>2279</v>
      </c>
      <c r="O1710" s="190" t="str">
        <f>"["&amp;$C1710&amp;"]["&amp;$D1710&amp;"]["&amp;$F1710&amp;"]"</f>
        <v>[S07_AircraftOperatorsUseArt15MandateDetail][3][AircraftOperatorID]</v>
      </c>
    </row>
    <row r="1711" spans="1:15" x14ac:dyDescent="0.3">
      <c r="A1711" t="s">
        <v>2277</v>
      </c>
      <c r="B1711" t="s">
        <v>2048</v>
      </c>
      <c r="C1711" t="s">
        <v>2050</v>
      </c>
      <c r="D1711">
        <v>4</v>
      </c>
      <c r="E1711" t="s">
        <v>1447</v>
      </c>
      <c r="F1711" t="s">
        <v>2016</v>
      </c>
      <c r="G1711" t="s">
        <v>1741</v>
      </c>
      <c r="H1711" t="s">
        <v>2451</v>
      </c>
      <c r="I1711" t="s">
        <v>2279</v>
      </c>
      <c r="J1711" t="s">
        <v>2279</v>
      </c>
      <c r="K1711" t="s">
        <v>2279</v>
      </c>
      <c r="L1711" t="s">
        <v>2279</v>
      </c>
      <c r="M1711" t="s">
        <v>2279</v>
      </c>
      <c r="N1711" t="s">
        <v>2279</v>
      </c>
      <c r="O1711" s="190" t="str">
        <f>"["&amp;$C1711&amp;"]["&amp;$D1711&amp;"]["&amp;$F1711&amp;"]"</f>
        <v>[S07_AircraftOperatorsUseArt15MandateDetail][4][AircraftOperatorID]</v>
      </c>
    </row>
    <row r="1712" spans="1:15" x14ac:dyDescent="0.3">
      <c r="A1712" t="s">
        <v>2277</v>
      </c>
      <c r="B1712" t="s">
        <v>2048</v>
      </c>
      <c r="C1712" t="s">
        <v>2050</v>
      </c>
      <c r="D1712">
        <v>5</v>
      </c>
      <c r="E1712" t="s">
        <v>1447</v>
      </c>
      <c r="F1712" t="s">
        <v>2016</v>
      </c>
      <c r="G1712" t="s">
        <v>1741</v>
      </c>
      <c r="H1712" t="s">
        <v>2452</v>
      </c>
      <c r="I1712" t="s">
        <v>2279</v>
      </c>
      <c r="J1712" t="s">
        <v>2279</v>
      </c>
      <c r="K1712" t="s">
        <v>2279</v>
      </c>
      <c r="L1712" t="s">
        <v>2279</v>
      </c>
      <c r="M1712" t="s">
        <v>2279</v>
      </c>
      <c r="N1712" t="s">
        <v>2279</v>
      </c>
      <c r="O1712" s="190" t="str">
        <f>"["&amp;$C1712&amp;"]["&amp;$D1712&amp;"]["&amp;$F1712&amp;"]"</f>
        <v>[S07_AircraftOperatorsUseArt15MandateDetail][5][AircraftOperatorID]</v>
      </c>
    </row>
    <row r="1713" spans="1:15" x14ac:dyDescent="0.3">
      <c r="A1713" t="s">
        <v>2277</v>
      </c>
      <c r="B1713" t="s">
        <v>2048</v>
      </c>
      <c r="C1713" t="s">
        <v>2050</v>
      </c>
      <c r="D1713">
        <v>6</v>
      </c>
      <c r="E1713" t="s">
        <v>1447</v>
      </c>
      <c r="F1713" t="s">
        <v>2016</v>
      </c>
      <c r="G1713" t="s">
        <v>1741</v>
      </c>
      <c r="H1713" t="s">
        <v>2453</v>
      </c>
      <c r="I1713" t="s">
        <v>2279</v>
      </c>
      <c r="J1713" t="s">
        <v>2279</v>
      </c>
      <c r="K1713" t="s">
        <v>2279</v>
      </c>
      <c r="L1713" t="s">
        <v>2279</v>
      </c>
      <c r="M1713" t="s">
        <v>2279</v>
      </c>
      <c r="N1713" t="s">
        <v>2279</v>
      </c>
      <c r="O1713" s="190" t="str">
        <f>"["&amp;$C1713&amp;"]["&amp;$D1713&amp;"]["&amp;$F1713&amp;"]"</f>
        <v>[S07_AircraftOperatorsUseArt15MandateDetail][6][AircraftOperatorID]</v>
      </c>
    </row>
    <row r="1714" spans="1:15" x14ac:dyDescent="0.3">
      <c r="A1714" t="s">
        <v>2277</v>
      </c>
      <c r="B1714" t="s">
        <v>2048</v>
      </c>
      <c r="C1714" t="s">
        <v>2050</v>
      </c>
      <c r="D1714">
        <v>7</v>
      </c>
      <c r="E1714" t="s">
        <v>1447</v>
      </c>
      <c r="F1714" t="s">
        <v>2016</v>
      </c>
      <c r="G1714" t="s">
        <v>1741</v>
      </c>
      <c r="H1714" t="s">
        <v>2454</v>
      </c>
      <c r="I1714" t="s">
        <v>2279</v>
      </c>
      <c r="J1714" t="s">
        <v>2279</v>
      </c>
      <c r="K1714" t="s">
        <v>2279</v>
      </c>
      <c r="L1714" t="s">
        <v>2279</v>
      </c>
      <c r="M1714" t="s">
        <v>2279</v>
      </c>
      <c r="N1714" t="s">
        <v>2279</v>
      </c>
      <c r="O1714" s="190" t="str">
        <f>"["&amp;$C1714&amp;"]["&amp;$D1714&amp;"]["&amp;$F1714&amp;"]"</f>
        <v>[S07_AircraftOperatorsUseArt15MandateDetail][7][AircraftOperatorID]</v>
      </c>
    </row>
    <row r="1715" spans="1:15" x14ac:dyDescent="0.3">
      <c r="A1715" t="s">
        <v>2277</v>
      </c>
      <c r="B1715" t="s">
        <v>2048</v>
      </c>
      <c r="C1715" t="s">
        <v>2050</v>
      </c>
      <c r="D1715">
        <v>8</v>
      </c>
      <c r="E1715" t="s">
        <v>1447</v>
      </c>
      <c r="F1715" t="s">
        <v>2016</v>
      </c>
      <c r="G1715" t="s">
        <v>1741</v>
      </c>
      <c r="H1715" t="s">
        <v>2455</v>
      </c>
      <c r="I1715" t="s">
        <v>2279</v>
      </c>
      <c r="J1715" t="s">
        <v>2279</v>
      </c>
      <c r="K1715" t="s">
        <v>2279</v>
      </c>
      <c r="L1715" t="s">
        <v>2279</v>
      </c>
      <c r="M1715" t="s">
        <v>2279</v>
      </c>
      <c r="N1715" t="s">
        <v>2279</v>
      </c>
      <c r="O1715" s="190" t="str">
        <f>"["&amp;$C1715&amp;"]["&amp;$D1715&amp;"]["&amp;$F1715&amp;"]"</f>
        <v>[S07_AircraftOperatorsUseArt15MandateDetail][8][AircraftOperatorID]</v>
      </c>
    </row>
    <row r="1716" spans="1:15" x14ac:dyDescent="0.3">
      <c r="A1716" t="s">
        <v>2277</v>
      </c>
      <c r="B1716" t="s">
        <v>2048</v>
      </c>
      <c r="C1716" t="s">
        <v>2050</v>
      </c>
      <c r="D1716">
        <v>9</v>
      </c>
      <c r="E1716" t="s">
        <v>1447</v>
      </c>
      <c r="F1716" t="s">
        <v>2016</v>
      </c>
      <c r="G1716" t="s">
        <v>1741</v>
      </c>
      <c r="H1716" t="s">
        <v>2456</v>
      </c>
      <c r="I1716" t="s">
        <v>2279</v>
      </c>
      <c r="J1716" t="s">
        <v>2279</v>
      </c>
      <c r="K1716" t="s">
        <v>2279</v>
      </c>
      <c r="L1716" t="s">
        <v>2279</v>
      </c>
      <c r="M1716" t="s">
        <v>2279</v>
      </c>
      <c r="N1716" t="s">
        <v>2279</v>
      </c>
      <c r="O1716" s="190" t="str">
        <f>"["&amp;$C1716&amp;"]["&amp;$D1716&amp;"]["&amp;$F1716&amp;"]"</f>
        <v>[S07_AircraftOperatorsUseArt15MandateDetail][9][AircraftOperatorID]</v>
      </c>
    </row>
    <row r="1717" spans="1:15" x14ac:dyDescent="0.3">
      <c r="A1717" t="s">
        <v>2277</v>
      </c>
      <c r="B1717" t="s">
        <v>2048</v>
      </c>
      <c r="C1717" t="s">
        <v>2050</v>
      </c>
      <c r="D1717">
        <v>10</v>
      </c>
      <c r="E1717" t="s">
        <v>1447</v>
      </c>
      <c r="F1717" t="s">
        <v>2016</v>
      </c>
      <c r="G1717" t="s">
        <v>1741</v>
      </c>
      <c r="H1717" t="s">
        <v>2457</v>
      </c>
      <c r="I1717" t="s">
        <v>2279</v>
      </c>
      <c r="J1717" t="s">
        <v>2279</v>
      </c>
      <c r="K1717" t="s">
        <v>2279</v>
      </c>
      <c r="L1717" t="s">
        <v>2279</v>
      </c>
      <c r="M1717" t="s">
        <v>2279</v>
      </c>
      <c r="N1717" t="s">
        <v>2279</v>
      </c>
      <c r="O1717" s="190" t="str">
        <f>"["&amp;$C1717&amp;"]["&amp;$D1717&amp;"]["&amp;$F1717&amp;"]"</f>
        <v>[S07_AircraftOperatorsUseArt15MandateDetail][10][AircraftOperatorID]</v>
      </c>
    </row>
    <row r="1718" spans="1:15" x14ac:dyDescent="0.3">
      <c r="A1718" t="s">
        <v>2277</v>
      </c>
      <c r="B1718" t="s">
        <v>2048</v>
      </c>
      <c r="C1718" t="s">
        <v>2050</v>
      </c>
      <c r="D1718">
        <v>11</v>
      </c>
      <c r="E1718" t="s">
        <v>1447</v>
      </c>
      <c r="F1718" t="s">
        <v>2016</v>
      </c>
      <c r="G1718" t="s">
        <v>1741</v>
      </c>
      <c r="H1718" t="s">
        <v>2458</v>
      </c>
      <c r="I1718" t="s">
        <v>2279</v>
      </c>
      <c r="J1718" t="s">
        <v>2279</v>
      </c>
      <c r="K1718" t="s">
        <v>2279</v>
      </c>
      <c r="L1718" t="s">
        <v>2279</v>
      </c>
      <c r="M1718" t="s">
        <v>2279</v>
      </c>
      <c r="N1718" t="s">
        <v>2279</v>
      </c>
      <c r="O1718" s="190" t="str">
        <f>"["&amp;$C1718&amp;"]["&amp;$D1718&amp;"]["&amp;$F1718&amp;"]"</f>
        <v>[S07_AircraftOperatorsUseArt15MandateDetail][11][AircraftOperatorID]</v>
      </c>
    </row>
    <row r="1719" spans="1:15" x14ac:dyDescent="0.3">
      <c r="A1719" t="s">
        <v>2277</v>
      </c>
      <c r="B1719" t="s">
        <v>2048</v>
      </c>
      <c r="C1719" t="s">
        <v>2050</v>
      </c>
      <c r="D1719">
        <v>12</v>
      </c>
      <c r="E1719" t="s">
        <v>1447</v>
      </c>
      <c r="F1719" t="s">
        <v>2016</v>
      </c>
      <c r="G1719" t="s">
        <v>1741</v>
      </c>
      <c r="H1719" t="s">
        <v>2459</v>
      </c>
      <c r="I1719" t="s">
        <v>2279</v>
      </c>
      <c r="J1719" t="s">
        <v>2279</v>
      </c>
      <c r="K1719" t="s">
        <v>2279</v>
      </c>
      <c r="L1719" t="s">
        <v>2279</v>
      </c>
      <c r="M1719" t="s">
        <v>2279</v>
      </c>
      <c r="N1719" t="s">
        <v>2279</v>
      </c>
      <c r="O1719" s="190" t="str">
        <f>"["&amp;$C1719&amp;"]["&amp;$D1719&amp;"]["&amp;$F1719&amp;"]"</f>
        <v>[S07_AircraftOperatorsUseArt15MandateDetail][12][AircraftOperatorID]</v>
      </c>
    </row>
    <row r="1720" spans="1:15" x14ac:dyDescent="0.3">
      <c r="A1720" t="s">
        <v>2277</v>
      </c>
      <c r="B1720" t="s">
        <v>2048</v>
      </c>
      <c r="C1720" t="s">
        <v>2050</v>
      </c>
      <c r="D1720">
        <v>13</v>
      </c>
      <c r="E1720" t="s">
        <v>1447</v>
      </c>
      <c r="F1720" t="s">
        <v>2016</v>
      </c>
      <c r="G1720" t="s">
        <v>1741</v>
      </c>
      <c r="H1720" t="s">
        <v>2460</v>
      </c>
      <c r="I1720" t="s">
        <v>2279</v>
      </c>
      <c r="J1720" t="s">
        <v>2279</v>
      </c>
      <c r="K1720" t="s">
        <v>2279</v>
      </c>
      <c r="L1720" t="s">
        <v>2279</v>
      </c>
      <c r="M1720" t="s">
        <v>2279</v>
      </c>
      <c r="N1720" t="s">
        <v>2279</v>
      </c>
      <c r="O1720" s="190" t="str">
        <f>"["&amp;$C1720&amp;"]["&amp;$D1720&amp;"]["&amp;$F1720&amp;"]"</f>
        <v>[S07_AircraftOperatorsUseArt15MandateDetail][13][AircraftOperatorID]</v>
      </c>
    </row>
    <row r="1721" spans="1:15" x14ac:dyDescent="0.3">
      <c r="A1721" t="s">
        <v>2277</v>
      </c>
      <c r="B1721" t="s">
        <v>2048</v>
      </c>
      <c r="C1721" t="s">
        <v>2050</v>
      </c>
      <c r="D1721">
        <v>14</v>
      </c>
      <c r="E1721" t="s">
        <v>1447</v>
      </c>
      <c r="F1721" t="s">
        <v>2016</v>
      </c>
      <c r="G1721" t="s">
        <v>1741</v>
      </c>
      <c r="H1721" t="s">
        <v>2461</v>
      </c>
      <c r="I1721" t="s">
        <v>2279</v>
      </c>
      <c r="J1721" t="s">
        <v>2279</v>
      </c>
      <c r="K1721" t="s">
        <v>2279</v>
      </c>
      <c r="L1721" t="s">
        <v>2279</v>
      </c>
      <c r="M1721" t="s">
        <v>2279</v>
      </c>
      <c r="N1721" t="s">
        <v>2279</v>
      </c>
      <c r="O1721" s="190" t="str">
        <f>"["&amp;$C1721&amp;"]["&amp;$D1721&amp;"]["&amp;$F1721&amp;"]"</f>
        <v>[S07_AircraftOperatorsUseArt15MandateDetail][14][AircraftOperatorID]</v>
      </c>
    </row>
    <row r="1722" spans="1:15" x14ac:dyDescent="0.3">
      <c r="A1722" t="s">
        <v>2277</v>
      </c>
      <c r="B1722" t="s">
        <v>2048</v>
      </c>
      <c r="C1722" t="s">
        <v>2050</v>
      </c>
      <c r="D1722">
        <v>15</v>
      </c>
      <c r="E1722" t="s">
        <v>1447</v>
      </c>
      <c r="F1722" t="s">
        <v>2016</v>
      </c>
      <c r="G1722" t="s">
        <v>1741</v>
      </c>
      <c r="H1722" t="s">
        <v>2462</v>
      </c>
      <c r="I1722" t="s">
        <v>2279</v>
      </c>
      <c r="J1722" t="s">
        <v>2279</v>
      </c>
      <c r="K1722" t="s">
        <v>2279</v>
      </c>
      <c r="L1722" t="s">
        <v>2279</v>
      </c>
      <c r="M1722" t="s">
        <v>2279</v>
      </c>
      <c r="N1722" t="s">
        <v>2279</v>
      </c>
      <c r="O1722" s="190" t="str">
        <f>"["&amp;$C1722&amp;"]["&amp;$D1722&amp;"]["&amp;$F1722&amp;"]"</f>
        <v>[S07_AircraftOperatorsUseArt15MandateDetail][15][AircraftOperatorID]</v>
      </c>
    </row>
    <row r="1723" spans="1:15" x14ac:dyDescent="0.3">
      <c r="A1723" t="s">
        <v>2277</v>
      </c>
      <c r="B1723" t="s">
        <v>2048</v>
      </c>
      <c r="C1723" t="s">
        <v>2050</v>
      </c>
      <c r="D1723">
        <v>16</v>
      </c>
      <c r="E1723" t="s">
        <v>1447</v>
      </c>
      <c r="F1723" t="s">
        <v>2016</v>
      </c>
      <c r="G1723" t="s">
        <v>1741</v>
      </c>
      <c r="H1723" t="s">
        <v>2463</v>
      </c>
      <c r="I1723" t="s">
        <v>2279</v>
      </c>
      <c r="J1723" t="s">
        <v>2279</v>
      </c>
      <c r="K1723" t="s">
        <v>2279</v>
      </c>
      <c r="L1723" t="s">
        <v>2279</v>
      </c>
      <c r="M1723" t="s">
        <v>2279</v>
      </c>
      <c r="N1723" t="s">
        <v>2279</v>
      </c>
      <c r="O1723" s="190" t="str">
        <f>"["&amp;$C1723&amp;"]["&amp;$D1723&amp;"]["&amp;$F1723&amp;"]"</f>
        <v>[S07_AircraftOperatorsUseArt15MandateDetail][16][AircraftOperatorID]</v>
      </c>
    </row>
    <row r="1724" spans="1:15" x14ac:dyDescent="0.3">
      <c r="A1724" t="s">
        <v>2277</v>
      </c>
      <c r="B1724" t="s">
        <v>2048</v>
      </c>
      <c r="C1724" t="s">
        <v>2050</v>
      </c>
      <c r="D1724">
        <v>17</v>
      </c>
      <c r="E1724" t="s">
        <v>1447</v>
      </c>
      <c r="F1724" t="s">
        <v>2016</v>
      </c>
      <c r="G1724" t="s">
        <v>1741</v>
      </c>
      <c r="H1724" t="s">
        <v>2464</v>
      </c>
      <c r="I1724" t="s">
        <v>2279</v>
      </c>
      <c r="J1724" t="s">
        <v>2279</v>
      </c>
      <c r="K1724" t="s">
        <v>2279</v>
      </c>
      <c r="L1724" t="s">
        <v>2279</v>
      </c>
      <c r="M1724" t="s">
        <v>2279</v>
      </c>
      <c r="N1724" t="s">
        <v>2279</v>
      </c>
      <c r="O1724" s="190" t="str">
        <f>"["&amp;$C1724&amp;"]["&amp;$D1724&amp;"]["&amp;$F1724&amp;"]"</f>
        <v>[S07_AircraftOperatorsUseArt15MandateDetail][17][AircraftOperatorID]</v>
      </c>
    </row>
    <row r="1725" spans="1:15" x14ac:dyDescent="0.3">
      <c r="A1725" t="s">
        <v>2277</v>
      </c>
      <c r="B1725" t="s">
        <v>2048</v>
      </c>
      <c r="C1725" t="s">
        <v>2050</v>
      </c>
      <c r="D1725">
        <v>18</v>
      </c>
      <c r="E1725" t="s">
        <v>1447</v>
      </c>
      <c r="F1725" t="s">
        <v>2016</v>
      </c>
      <c r="G1725" t="s">
        <v>1741</v>
      </c>
      <c r="H1725" t="s">
        <v>2443</v>
      </c>
      <c r="I1725" t="s">
        <v>2279</v>
      </c>
      <c r="J1725" t="s">
        <v>2279</v>
      </c>
      <c r="K1725" t="s">
        <v>2279</v>
      </c>
      <c r="L1725" t="s">
        <v>2279</v>
      </c>
      <c r="M1725" t="s">
        <v>2279</v>
      </c>
      <c r="N1725" t="s">
        <v>2279</v>
      </c>
      <c r="O1725" s="190" t="str">
        <f>"["&amp;$C1725&amp;"]["&amp;$D1725&amp;"]["&amp;$F1725&amp;"]"</f>
        <v>[S07_AircraftOperatorsUseArt15MandateDetail][18][AircraftOperatorID]</v>
      </c>
    </row>
    <row r="1726" spans="1:15" x14ac:dyDescent="0.3">
      <c r="A1726" t="s">
        <v>2277</v>
      </c>
      <c r="B1726" t="s">
        <v>2048</v>
      </c>
      <c r="C1726" t="s">
        <v>2050</v>
      </c>
      <c r="D1726">
        <v>19</v>
      </c>
      <c r="E1726" t="s">
        <v>1447</v>
      </c>
      <c r="F1726" t="s">
        <v>2016</v>
      </c>
      <c r="G1726" t="s">
        <v>1741</v>
      </c>
      <c r="H1726" t="s">
        <v>2465</v>
      </c>
      <c r="I1726" t="s">
        <v>2279</v>
      </c>
      <c r="J1726" t="s">
        <v>2279</v>
      </c>
      <c r="K1726" t="s">
        <v>2279</v>
      </c>
      <c r="L1726" t="s">
        <v>2279</v>
      </c>
      <c r="M1726" t="s">
        <v>2279</v>
      </c>
      <c r="N1726" t="s">
        <v>2279</v>
      </c>
      <c r="O1726" s="190" t="str">
        <f>"["&amp;$C1726&amp;"]["&amp;$D1726&amp;"]["&amp;$F1726&amp;"]"</f>
        <v>[S07_AircraftOperatorsUseArt15MandateDetail][19][AircraftOperatorID]</v>
      </c>
    </row>
    <row r="1727" spans="1:15" x14ac:dyDescent="0.3">
      <c r="A1727" t="s">
        <v>2277</v>
      </c>
      <c r="B1727" t="s">
        <v>2048</v>
      </c>
      <c r="C1727" t="s">
        <v>2050</v>
      </c>
      <c r="D1727">
        <v>20</v>
      </c>
      <c r="E1727" t="s">
        <v>1447</v>
      </c>
      <c r="F1727" t="s">
        <v>2016</v>
      </c>
      <c r="G1727" t="s">
        <v>1741</v>
      </c>
      <c r="H1727" t="s">
        <v>2466</v>
      </c>
      <c r="I1727" t="s">
        <v>2279</v>
      </c>
      <c r="J1727" t="s">
        <v>2279</v>
      </c>
      <c r="K1727" t="s">
        <v>2279</v>
      </c>
      <c r="L1727" t="s">
        <v>2279</v>
      </c>
      <c r="M1727" t="s">
        <v>2279</v>
      </c>
      <c r="N1727" t="s">
        <v>2279</v>
      </c>
      <c r="O1727" s="190" t="str">
        <f>"["&amp;$C1727&amp;"]["&amp;$D1727&amp;"]["&amp;$F1727&amp;"]"</f>
        <v>[S07_AircraftOperatorsUseArt15MandateDetail][20][AircraftOperatorID]</v>
      </c>
    </row>
    <row r="1728" spans="1:15" x14ac:dyDescent="0.3">
      <c r="A1728" t="s">
        <v>2277</v>
      </c>
      <c r="B1728" t="s">
        <v>2048</v>
      </c>
      <c r="C1728" t="s">
        <v>2050</v>
      </c>
      <c r="D1728">
        <v>21</v>
      </c>
      <c r="E1728" t="s">
        <v>1447</v>
      </c>
      <c r="F1728" t="s">
        <v>2016</v>
      </c>
      <c r="G1728" t="s">
        <v>1741</v>
      </c>
      <c r="H1728" t="s">
        <v>2467</v>
      </c>
      <c r="I1728" t="s">
        <v>2279</v>
      </c>
      <c r="J1728" t="s">
        <v>2279</v>
      </c>
      <c r="K1728" t="s">
        <v>2279</v>
      </c>
      <c r="L1728" t="s">
        <v>2279</v>
      </c>
      <c r="M1728" t="s">
        <v>2279</v>
      </c>
      <c r="N1728" t="s">
        <v>2279</v>
      </c>
      <c r="O1728" s="190" t="str">
        <f>"["&amp;$C1728&amp;"]["&amp;$D1728&amp;"]["&amp;$F1728&amp;"]"</f>
        <v>[S07_AircraftOperatorsUseArt15MandateDetail][21][AircraftOperatorID]</v>
      </c>
    </row>
    <row r="1729" spans="1:15" x14ac:dyDescent="0.3">
      <c r="A1729" t="s">
        <v>2277</v>
      </c>
      <c r="B1729" t="s">
        <v>2048</v>
      </c>
      <c r="C1729" t="s">
        <v>2050</v>
      </c>
      <c r="D1729">
        <v>22</v>
      </c>
      <c r="E1729" t="s">
        <v>1447</v>
      </c>
      <c r="F1729" t="s">
        <v>2016</v>
      </c>
      <c r="G1729" t="s">
        <v>1741</v>
      </c>
      <c r="H1729" t="s">
        <v>2468</v>
      </c>
      <c r="I1729" t="s">
        <v>2279</v>
      </c>
      <c r="J1729" t="s">
        <v>2279</v>
      </c>
      <c r="K1729" t="s">
        <v>2279</v>
      </c>
      <c r="L1729" t="s">
        <v>2279</v>
      </c>
      <c r="M1729" t="s">
        <v>2279</v>
      </c>
      <c r="N1729" t="s">
        <v>2279</v>
      </c>
      <c r="O1729" s="190" t="str">
        <f>"["&amp;$C1729&amp;"]["&amp;$D1729&amp;"]["&amp;$F1729&amp;"]"</f>
        <v>[S07_AircraftOperatorsUseArt15MandateDetail][22][AircraftOperatorID]</v>
      </c>
    </row>
    <row r="1730" spans="1:15" x14ac:dyDescent="0.3">
      <c r="A1730" t="s">
        <v>2277</v>
      </c>
      <c r="B1730" t="s">
        <v>2048</v>
      </c>
      <c r="C1730" t="s">
        <v>2050</v>
      </c>
      <c r="D1730">
        <v>23</v>
      </c>
      <c r="E1730" t="s">
        <v>1447</v>
      </c>
      <c r="F1730" t="s">
        <v>2016</v>
      </c>
      <c r="G1730" t="s">
        <v>1741</v>
      </c>
      <c r="H1730" t="s">
        <v>2469</v>
      </c>
      <c r="I1730" t="s">
        <v>2279</v>
      </c>
      <c r="J1730" t="s">
        <v>2279</v>
      </c>
      <c r="K1730" t="s">
        <v>2279</v>
      </c>
      <c r="L1730" t="s">
        <v>2279</v>
      </c>
      <c r="M1730" t="s">
        <v>2279</v>
      </c>
      <c r="N1730" t="s">
        <v>2279</v>
      </c>
      <c r="O1730" s="190" t="str">
        <f>"["&amp;$C1730&amp;"]["&amp;$D1730&amp;"]["&amp;$F1730&amp;"]"</f>
        <v>[S07_AircraftOperatorsUseArt15MandateDetail][23][AircraftOperatorID]</v>
      </c>
    </row>
    <row r="1731" spans="1:15" x14ac:dyDescent="0.3">
      <c r="A1731" t="s">
        <v>2277</v>
      </c>
      <c r="B1731" t="s">
        <v>2048</v>
      </c>
      <c r="C1731" t="s">
        <v>2050</v>
      </c>
      <c r="D1731">
        <v>24</v>
      </c>
      <c r="E1731" t="s">
        <v>1447</v>
      </c>
      <c r="F1731" t="s">
        <v>2016</v>
      </c>
      <c r="G1731" t="s">
        <v>1741</v>
      </c>
      <c r="H1731" t="s">
        <v>2470</v>
      </c>
      <c r="I1731" t="s">
        <v>2279</v>
      </c>
      <c r="J1731" t="s">
        <v>2279</v>
      </c>
      <c r="K1731" t="s">
        <v>2279</v>
      </c>
      <c r="L1731" t="s">
        <v>2279</v>
      </c>
      <c r="M1731" t="s">
        <v>2279</v>
      </c>
      <c r="N1731" t="s">
        <v>2279</v>
      </c>
      <c r="O1731" s="190" t="str">
        <f>"["&amp;$C1731&amp;"]["&amp;$D1731&amp;"]["&amp;$F1731&amp;"]"</f>
        <v>[S07_AircraftOperatorsUseArt15MandateDetail][24][AircraftOperatorID]</v>
      </c>
    </row>
    <row r="1732" spans="1:15" x14ac:dyDescent="0.3">
      <c r="A1732" t="s">
        <v>2277</v>
      </c>
      <c r="B1732" t="s">
        <v>2048</v>
      </c>
      <c r="C1732" t="s">
        <v>2050</v>
      </c>
      <c r="D1732">
        <v>25</v>
      </c>
      <c r="E1732" t="s">
        <v>1447</v>
      </c>
      <c r="F1732" t="s">
        <v>2016</v>
      </c>
      <c r="G1732" t="s">
        <v>1741</v>
      </c>
      <c r="H1732" t="s">
        <v>2471</v>
      </c>
      <c r="I1732" t="s">
        <v>2279</v>
      </c>
      <c r="J1732" t="s">
        <v>2279</v>
      </c>
      <c r="K1732" t="s">
        <v>2279</v>
      </c>
      <c r="L1732" t="s">
        <v>2279</v>
      </c>
      <c r="M1732" t="s">
        <v>2279</v>
      </c>
      <c r="N1732" t="s">
        <v>2279</v>
      </c>
      <c r="O1732" s="190" t="str">
        <f>"["&amp;$C1732&amp;"]["&amp;$D1732&amp;"]["&amp;$F1732&amp;"]"</f>
        <v>[S07_AircraftOperatorsUseArt15MandateDetail][25][AircraftOperatorID]</v>
      </c>
    </row>
    <row r="1733" spans="1:15" x14ac:dyDescent="0.3">
      <c r="A1733" t="s">
        <v>2277</v>
      </c>
      <c r="B1733" t="s">
        <v>2048</v>
      </c>
      <c r="C1733" t="s">
        <v>2050</v>
      </c>
      <c r="D1733">
        <v>26</v>
      </c>
      <c r="E1733" t="s">
        <v>1447</v>
      </c>
      <c r="F1733" t="s">
        <v>2016</v>
      </c>
      <c r="G1733" t="s">
        <v>1741</v>
      </c>
      <c r="H1733" t="s">
        <v>2472</v>
      </c>
      <c r="I1733" t="s">
        <v>2279</v>
      </c>
      <c r="J1733" t="s">
        <v>2279</v>
      </c>
      <c r="K1733" t="s">
        <v>2279</v>
      </c>
      <c r="L1733" t="s">
        <v>2279</v>
      </c>
      <c r="M1733" t="s">
        <v>2279</v>
      </c>
      <c r="N1733" t="s">
        <v>2279</v>
      </c>
      <c r="O1733" s="190" t="str">
        <f>"["&amp;$C1733&amp;"]["&amp;$D1733&amp;"]["&amp;$F1733&amp;"]"</f>
        <v>[S07_AircraftOperatorsUseArt15MandateDetail][26][AircraftOperatorID]</v>
      </c>
    </row>
    <row r="1734" spans="1:15" x14ac:dyDescent="0.3">
      <c r="A1734" t="s">
        <v>2277</v>
      </c>
      <c r="B1734" t="s">
        <v>2048</v>
      </c>
      <c r="C1734" t="s">
        <v>2050</v>
      </c>
      <c r="D1734">
        <v>27</v>
      </c>
      <c r="E1734" t="s">
        <v>1447</v>
      </c>
      <c r="F1734" t="s">
        <v>2016</v>
      </c>
      <c r="G1734" t="s">
        <v>1741</v>
      </c>
      <c r="H1734" t="s">
        <v>2473</v>
      </c>
      <c r="I1734" t="s">
        <v>2279</v>
      </c>
      <c r="J1734" t="s">
        <v>2279</v>
      </c>
      <c r="K1734" t="s">
        <v>2279</v>
      </c>
      <c r="L1734" t="s">
        <v>2279</v>
      </c>
      <c r="M1734" t="s">
        <v>2279</v>
      </c>
      <c r="N1734" t="s">
        <v>2279</v>
      </c>
      <c r="O1734" s="190" t="str">
        <f>"["&amp;$C1734&amp;"]["&amp;$D1734&amp;"]["&amp;$F1734&amp;"]"</f>
        <v>[S07_AircraftOperatorsUseArt15MandateDetail][27][AircraftOperatorID]</v>
      </c>
    </row>
    <row r="1735" spans="1:15" x14ac:dyDescent="0.3">
      <c r="A1735" t="s">
        <v>2277</v>
      </c>
      <c r="B1735" t="s">
        <v>2048</v>
      </c>
      <c r="C1735" t="s">
        <v>2050</v>
      </c>
      <c r="D1735">
        <v>28</v>
      </c>
      <c r="E1735" t="s">
        <v>1447</v>
      </c>
      <c r="F1735" t="s">
        <v>2016</v>
      </c>
      <c r="G1735" t="s">
        <v>1741</v>
      </c>
      <c r="H1735" t="s">
        <v>2474</v>
      </c>
      <c r="I1735" t="s">
        <v>2279</v>
      </c>
      <c r="J1735" t="s">
        <v>2279</v>
      </c>
      <c r="K1735" t="s">
        <v>2279</v>
      </c>
      <c r="L1735" t="s">
        <v>2279</v>
      </c>
      <c r="M1735" t="s">
        <v>2279</v>
      </c>
      <c r="N1735" t="s">
        <v>2279</v>
      </c>
      <c r="O1735" s="190" t="str">
        <f>"["&amp;$C1735&amp;"]["&amp;$D1735&amp;"]["&amp;$F1735&amp;"]"</f>
        <v>[S07_AircraftOperatorsUseArt15MandateDetail][28][AircraftOperatorID]</v>
      </c>
    </row>
    <row r="1736" spans="1:15" x14ac:dyDescent="0.3">
      <c r="A1736" t="s">
        <v>2277</v>
      </c>
      <c r="B1736" t="s">
        <v>2048</v>
      </c>
      <c r="C1736" t="s">
        <v>2050</v>
      </c>
      <c r="D1736">
        <v>29</v>
      </c>
      <c r="E1736" t="s">
        <v>1447</v>
      </c>
      <c r="F1736" t="s">
        <v>2016</v>
      </c>
      <c r="G1736" t="s">
        <v>1741</v>
      </c>
      <c r="H1736" t="s">
        <v>2475</v>
      </c>
      <c r="I1736" t="s">
        <v>2279</v>
      </c>
      <c r="J1736" t="s">
        <v>2279</v>
      </c>
      <c r="K1736" t="s">
        <v>2279</v>
      </c>
      <c r="L1736" t="s">
        <v>2279</v>
      </c>
      <c r="M1736" t="s">
        <v>2279</v>
      </c>
      <c r="N1736" t="s">
        <v>2279</v>
      </c>
      <c r="O1736" s="190" t="str">
        <f>"["&amp;$C1736&amp;"]["&amp;$D1736&amp;"]["&amp;$F1736&amp;"]"</f>
        <v>[S07_AircraftOperatorsUseArt15MandateDetail][29][AircraftOperatorID]</v>
      </c>
    </row>
    <row r="1737" spans="1:15" x14ac:dyDescent="0.3">
      <c r="A1737" t="s">
        <v>2277</v>
      </c>
      <c r="B1737" t="s">
        <v>2048</v>
      </c>
      <c r="C1737" t="s">
        <v>2050</v>
      </c>
      <c r="D1737">
        <v>30</v>
      </c>
      <c r="E1737" t="s">
        <v>1447</v>
      </c>
      <c r="F1737" t="s">
        <v>2016</v>
      </c>
      <c r="G1737" t="s">
        <v>1741</v>
      </c>
      <c r="H1737" t="s">
        <v>2476</v>
      </c>
      <c r="I1737" t="s">
        <v>2279</v>
      </c>
      <c r="J1737" t="s">
        <v>2279</v>
      </c>
      <c r="K1737" t="s">
        <v>2279</v>
      </c>
      <c r="L1737" t="s">
        <v>2279</v>
      </c>
      <c r="M1737" t="s">
        <v>2279</v>
      </c>
      <c r="N1737" t="s">
        <v>2279</v>
      </c>
      <c r="O1737" s="190" t="str">
        <f>"["&amp;$C1737&amp;"]["&amp;$D1737&amp;"]["&amp;$F1737&amp;"]"</f>
        <v>[S07_AircraftOperatorsUseArt15MandateDetail][30][AircraftOperatorID]</v>
      </c>
    </row>
    <row r="1738" spans="1:15" x14ac:dyDescent="0.3">
      <c r="A1738" t="s">
        <v>2277</v>
      </c>
      <c r="B1738" t="s">
        <v>2048</v>
      </c>
      <c r="C1738" t="s">
        <v>2050</v>
      </c>
      <c r="D1738">
        <v>31</v>
      </c>
      <c r="E1738" t="s">
        <v>1447</v>
      </c>
      <c r="F1738" t="s">
        <v>2016</v>
      </c>
      <c r="G1738" t="s">
        <v>1741</v>
      </c>
      <c r="H1738" t="s">
        <v>2477</v>
      </c>
      <c r="I1738" t="s">
        <v>2279</v>
      </c>
      <c r="J1738" t="s">
        <v>2279</v>
      </c>
      <c r="K1738" t="s">
        <v>2279</v>
      </c>
      <c r="L1738" t="s">
        <v>2279</v>
      </c>
      <c r="M1738" t="s">
        <v>2279</v>
      </c>
      <c r="N1738" t="s">
        <v>2279</v>
      </c>
      <c r="O1738" s="190" t="str">
        <f>"["&amp;$C1738&amp;"]["&amp;$D1738&amp;"]["&amp;$F1738&amp;"]"</f>
        <v>[S07_AircraftOperatorsUseArt15MandateDetail][31][AircraftOperatorID]</v>
      </c>
    </row>
    <row r="1739" spans="1:15" x14ac:dyDescent="0.3">
      <c r="A1739" t="s">
        <v>2277</v>
      </c>
      <c r="B1739" t="s">
        <v>2048</v>
      </c>
      <c r="C1739" t="s">
        <v>2050</v>
      </c>
      <c r="D1739">
        <v>32</v>
      </c>
      <c r="E1739" t="s">
        <v>1447</v>
      </c>
      <c r="F1739" t="s">
        <v>2016</v>
      </c>
      <c r="G1739" t="s">
        <v>1741</v>
      </c>
      <c r="H1739" t="s">
        <v>2478</v>
      </c>
      <c r="I1739" t="s">
        <v>2279</v>
      </c>
      <c r="J1739" t="s">
        <v>2279</v>
      </c>
      <c r="K1739" t="s">
        <v>2279</v>
      </c>
      <c r="L1739" t="s">
        <v>2279</v>
      </c>
      <c r="M1739" t="s">
        <v>2279</v>
      </c>
      <c r="N1739" t="s">
        <v>2279</v>
      </c>
      <c r="O1739" s="190" t="str">
        <f>"["&amp;$C1739&amp;"]["&amp;$D1739&amp;"]["&amp;$F1739&amp;"]"</f>
        <v>[S07_AircraftOperatorsUseArt15MandateDetail][32][AircraftOperatorID]</v>
      </c>
    </row>
    <row r="1740" spans="1:15" x14ac:dyDescent="0.3">
      <c r="A1740" t="s">
        <v>2277</v>
      </c>
      <c r="B1740" t="s">
        <v>2048</v>
      </c>
      <c r="C1740" t="s">
        <v>2050</v>
      </c>
      <c r="D1740">
        <v>33</v>
      </c>
      <c r="E1740" t="s">
        <v>1447</v>
      </c>
      <c r="F1740" t="s">
        <v>2016</v>
      </c>
      <c r="G1740" t="s">
        <v>1741</v>
      </c>
      <c r="H1740" t="s">
        <v>2479</v>
      </c>
      <c r="I1740" t="s">
        <v>2279</v>
      </c>
      <c r="J1740" t="s">
        <v>2279</v>
      </c>
      <c r="K1740" t="s">
        <v>2279</v>
      </c>
      <c r="L1740" t="s">
        <v>2279</v>
      </c>
      <c r="M1740" t="s">
        <v>2279</v>
      </c>
      <c r="N1740" t="s">
        <v>2279</v>
      </c>
      <c r="O1740" s="190" t="str">
        <f>"["&amp;$C1740&amp;"]["&amp;$D1740&amp;"]["&amp;$F1740&amp;"]"</f>
        <v>[S07_AircraftOperatorsUseArt15MandateDetail][33][AircraftOperatorID]</v>
      </c>
    </row>
    <row r="1741" spans="1:15" x14ac:dyDescent="0.3">
      <c r="A1741" t="s">
        <v>2277</v>
      </c>
      <c r="B1741" t="s">
        <v>2048</v>
      </c>
      <c r="C1741" t="s">
        <v>2050</v>
      </c>
      <c r="D1741">
        <v>34</v>
      </c>
      <c r="E1741" t="s">
        <v>1447</v>
      </c>
      <c r="F1741" t="s">
        <v>2016</v>
      </c>
      <c r="G1741" t="s">
        <v>1741</v>
      </c>
      <c r="H1741" t="s">
        <v>2480</v>
      </c>
      <c r="I1741" t="s">
        <v>2279</v>
      </c>
      <c r="J1741" t="s">
        <v>2279</v>
      </c>
      <c r="K1741" t="s">
        <v>2279</v>
      </c>
      <c r="L1741" t="s">
        <v>2279</v>
      </c>
      <c r="M1741" t="s">
        <v>2279</v>
      </c>
      <c r="N1741" t="s">
        <v>2279</v>
      </c>
      <c r="O1741" s="190" t="str">
        <f>"["&amp;$C1741&amp;"]["&amp;$D1741&amp;"]["&amp;$F1741&amp;"]"</f>
        <v>[S07_AircraftOperatorsUseArt15MandateDetail][34][AircraftOperatorID]</v>
      </c>
    </row>
    <row r="1742" spans="1:15" x14ac:dyDescent="0.3">
      <c r="A1742" t="s">
        <v>2277</v>
      </c>
      <c r="B1742" t="s">
        <v>2048</v>
      </c>
      <c r="C1742" t="s">
        <v>2050</v>
      </c>
      <c r="D1742">
        <v>35</v>
      </c>
      <c r="E1742" t="s">
        <v>1447</v>
      </c>
      <c r="F1742" t="s">
        <v>2016</v>
      </c>
      <c r="G1742" t="s">
        <v>1741</v>
      </c>
      <c r="H1742" t="s">
        <v>2481</v>
      </c>
      <c r="I1742" t="s">
        <v>2279</v>
      </c>
      <c r="J1742" t="s">
        <v>2279</v>
      </c>
      <c r="K1742" t="s">
        <v>2279</v>
      </c>
      <c r="L1742" t="s">
        <v>2279</v>
      </c>
      <c r="M1742" t="s">
        <v>2279</v>
      </c>
      <c r="N1742" t="s">
        <v>2279</v>
      </c>
      <c r="O1742" s="190" t="str">
        <f>"["&amp;$C1742&amp;"]["&amp;$D1742&amp;"]["&amp;$F1742&amp;"]"</f>
        <v>[S07_AircraftOperatorsUseArt15MandateDetail][35][AircraftOperatorID]</v>
      </c>
    </row>
    <row r="1743" spans="1:15" x14ac:dyDescent="0.3">
      <c r="A1743" t="s">
        <v>2277</v>
      </c>
      <c r="B1743" t="s">
        <v>2048</v>
      </c>
      <c r="C1743" t="s">
        <v>2050</v>
      </c>
      <c r="D1743">
        <v>36</v>
      </c>
      <c r="E1743" t="s">
        <v>1447</v>
      </c>
      <c r="F1743" t="s">
        <v>2016</v>
      </c>
      <c r="G1743" t="s">
        <v>1741</v>
      </c>
      <c r="H1743" t="s">
        <v>2482</v>
      </c>
      <c r="I1743" t="s">
        <v>2279</v>
      </c>
      <c r="J1743" t="s">
        <v>2279</v>
      </c>
      <c r="K1743" t="s">
        <v>2279</v>
      </c>
      <c r="L1743" t="s">
        <v>2279</v>
      </c>
      <c r="M1743" t="s">
        <v>2279</v>
      </c>
      <c r="N1743" t="s">
        <v>2279</v>
      </c>
      <c r="O1743" s="190" t="str">
        <f>"["&amp;$C1743&amp;"]["&amp;$D1743&amp;"]["&amp;$F1743&amp;"]"</f>
        <v>[S07_AircraftOperatorsUseArt15MandateDetail][36][AircraftOperatorID]</v>
      </c>
    </row>
    <row r="1744" spans="1:15" x14ac:dyDescent="0.3">
      <c r="A1744" t="s">
        <v>2277</v>
      </c>
      <c r="B1744" t="s">
        <v>2048</v>
      </c>
      <c r="C1744" t="s">
        <v>2050</v>
      </c>
      <c r="D1744">
        <v>1</v>
      </c>
      <c r="E1744" t="s">
        <v>1447</v>
      </c>
      <c r="F1744" t="s">
        <v>2051</v>
      </c>
      <c r="G1744" t="s">
        <v>1741</v>
      </c>
      <c r="H1744" t="s">
        <v>2483</v>
      </c>
      <c r="I1744" t="s">
        <v>2279</v>
      </c>
      <c r="J1744" t="s">
        <v>2279</v>
      </c>
      <c r="K1744" t="s">
        <v>2279</v>
      </c>
      <c r="L1744" t="s">
        <v>2279</v>
      </c>
      <c r="M1744" t="s">
        <v>2279</v>
      </c>
      <c r="N1744" t="s">
        <v>2279</v>
      </c>
      <c r="O1744" s="190" t="str">
        <f>"["&amp;$C1744&amp;"]["&amp;$D1744&amp;"]["&amp;$F1744&amp;"]"</f>
        <v>[S07_AircraftOperatorsUseArt15MandateDetail][1][AircraftOperatorName]</v>
      </c>
    </row>
    <row r="1745" spans="1:15" x14ac:dyDescent="0.3">
      <c r="A1745" t="s">
        <v>2277</v>
      </c>
      <c r="B1745" t="s">
        <v>2048</v>
      </c>
      <c r="C1745" t="s">
        <v>2050</v>
      </c>
      <c r="D1745">
        <v>2</v>
      </c>
      <c r="E1745" t="s">
        <v>1447</v>
      </c>
      <c r="F1745" t="s">
        <v>2051</v>
      </c>
      <c r="G1745" t="s">
        <v>1741</v>
      </c>
      <c r="H1745" t="s">
        <v>2484</v>
      </c>
      <c r="I1745" t="s">
        <v>2279</v>
      </c>
      <c r="J1745" t="s">
        <v>2279</v>
      </c>
      <c r="K1745" t="s">
        <v>2279</v>
      </c>
      <c r="L1745" t="s">
        <v>2279</v>
      </c>
      <c r="M1745" t="s">
        <v>2279</v>
      </c>
      <c r="N1745" t="s">
        <v>2279</v>
      </c>
      <c r="O1745" s="190" t="str">
        <f>"["&amp;$C1745&amp;"]["&amp;$D1745&amp;"]["&amp;$F1745&amp;"]"</f>
        <v>[S07_AircraftOperatorsUseArt15MandateDetail][2][AircraftOperatorName]</v>
      </c>
    </row>
    <row r="1746" spans="1:15" x14ac:dyDescent="0.3">
      <c r="A1746" t="s">
        <v>2277</v>
      </c>
      <c r="B1746" t="s">
        <v>2048</v>
      </c>
      <c r="C1746" t="s">
        <v>2050</v>
      </c>
      <c r="D1746">
        <v>3</v>
      </c>
      <c r="E1746" t="s">
        <v>1447</v>
      </c>
      <c r="F1746" t="s">
        <v>2051</v>
      </c>
      <c r="G1746" t="s">
        <v>1741</v>
      </c>
      <c r="H1746" t="s">
        <v>2485</v>
      </c>
      <c r="I1746" t="s">
        <v>2279</v>
      </c>
      <c r="J1746" t="s">
        <v>2279</v>
      </c>
      <c r="K1746" t="s">
        <v>2279</v>
      </c>
      <c r="L1746" t="s">
        <v>2279</v>
      </c>
      <c r="M1746" t="s">
        <v>2279</v>
      </c>
      <c r="N1746" t="s">
        <v>2279</v>
      </c>
      <c r="O1746" s="190" t="str">
        <f>"["&amp;$C1746&amp;"]["&amp;$D1746&amp;"]["&amp;$F1746&amp;"]"</f>
        <v>[S07_AircraftOperatorsUseArt15MandateDetail][3][AircraftOperatorName]</v>
      </c>
    </row>
    <row r="1747" spans="1:15" x14ac:dyDescent="0.3">
      <c r="A1747" t="s">
        <v>2277</v>
      </c>
      <c r="B1747" t="s">
        <v>2048</v>
      </c>
      <c r="C1747" t="s">
        <v>2050</v>
      </c>
      <c r="D1747">
        <v>4</v>
      </c>
      <c r="E1747" t="s">
        <v>1447</v>
      </c>
      <c r="F1747" t="s">
        <v>2051</v>
      </c>
      <c r="G1747" t="s">
        <v>1741</v>
      </c>
      <c r="H1747" t="s">
        <v>2486</v>
      </c>
      <c r="I1747" t="s">
        <v>2279</v>
      </c>
      <c r="J1747" t="s">
        <v>2279</v>
      </c>
      <c r="K1747" t="s">
        <v>2279</v>
      </c>
      <c r="L1747" t="s">
        <v>2279</v>
      </c>
      <c r="M1747" t="s">
        <v>2279</v>
      </c>
      <c r="N1747" t="s">
        <v>2279</v>
      </c>
      <c r="O1747" s="190" t="str">
        <f>"["&amp;$C1747&amp;"]["&amp;$D1747&amp;"]["&amp;$F1747&amp;"]"</f>
        <v>[S07_AircraftOperatorsUseArt15MandateDetail][4][AircraftOperatorName]</v>
      </c>
    </row>
    <row r="1748" spans="1:15" x14ac:dyDescent="0.3">
      <c r="A1748" t="s">
        <v>2277</v>
      </c>
      <c r="B1748" t="s">
        <v>2048</v>
      </c>
      <c r="C1748" t="s">
        <v>2050</v>
      </c>
      <c r="D1748">
        <v>5</v>
      </c>
      <c r="E1748" t="s">
        <v>1447</v>
      </c>
      <c r="F1748" t="s">
        <v>2051</v>
      </c>
      <c r="G1748" t="s">
        <v>1741</v>
      </c>
      <c r="H1748" t="s">
        <v>2487</v>
      </c>
      <c r="I1748" t="s">
        <v>2279</v>
      </c>
      <c r="J1748" t="s">
        <v>2279</v>
      </c>
      <c r="K1748" t="s">
        <v>2279</v>
      </c>
      <c r="L1748" t="s">
        <v>2279</v>
      </c>
      <c r="M1748" t="s">
        <v>2279</v>
      </c>
      <c r="N1748" t="s">
        <v>2279</v>
      </c>
      <c r="O1748" s="190" t="str">
        <f>"["&amp;$C1748&amp;"]["&amp;$D1748&amp;"]["&amp;$F1748&amp;"]"</f>
        <v>[S07_AircraftOperatorsUseArt15MandateDetail][5][AircraftOperatorName]</v>
      </c>
    </row>
    <row r="1749" spans="1:15" x14ac:dyDescent="0.3">
      <c r="A1749" t="s">
        <v>2277</v>
      </c>
      <c r="B1749" t="s">
        <v>2048</v>
      </c>
      <c r="C1749" t="s">
        <v>2050</v>
      </c>
      <c r="D1749">
        <v>6</v>
      </c>
      <c r="E1749" t="s">
        <v>1447</v>
      </c>
      <c r="F1749" t="s">
        <v>2051</v>
      </c>
      <c r="G1749" t="s">
        <v>1741</v>
      </c>
      <c r="H1749" t="s">
        <v>2488</v>
      </c>
      <c r="I1749" t="s">
        <v>2279</v>
      </c>
      <c r="J1749" t="s">
        <v>2279</v>
      </c>
      <c r="K1749" t="s">
        <v>2279</v>
      </c>
      <c r="L1749" t="s">
        <v>2279</v>
      </c>
      <c r="M1749" t="s">
        <v>2279</v>
      </c>
      <c r="N1749" t="s">
        <v>2279</v>
      </c>
      <c r="O1749" s="190" t="str">
        <f>"["&amp;$C1749&amp;"]["&amp;$D1749&amp;"]["&amp;$F1749&amp;"]"</f>
        <v>[S07_AircraftOperatorsUseArt15MandateDetail][6][AircraftOperatorName]</v>
      </c>
    </row>
    <row r="1750" spans="1:15" x14ac:dyDescent="0.3">
      <c r="A1750" t="s">
        <v>2277</v>
      </c>
      <c r="B1750" t="s">
        <v>2048</v>
      </c>
      <c r="C1750" t="s">
        <v>2050</v>
      </c>
      <c r="D1750">
        <v>7</v>
      </c>
      <c r="E1750" t="s">
        <v>1447</v>
      </c>
      <c r="F1750" t="s">
        <v>2051</v>
      </c>
      <c r="G1750" t="s">
        <v>1741</v>
      </c>
      <c r="H1750" t="s">
        <v>2489</v>
      </c>
      <c r="I1750" t="s">
        <v>2279</v>
      </c>
      <c r="J1750" t="s">
        <v>2279</v>
      </c>
      <c r="K1750" t="s">
        <v>2279</v>
      </c>
      <c r="L1750" t="s">
        <v>2279</v>
      </c>
      <c r="M1750" t="s">
        <v>2279</v>
      </c>
      <c r="N1750" t="s">
        <v>2279</v>
      </c>
      <c r="O1750" s="190" t="str">
        <f>"["&amp;$C1750&amp;"]["&amp;$D1750&amp;"]["&amp;$F1750&amp;"]"</f>
        <v>[S07_AircraftOperatorsUseArt15MandateDetail][7][AircraftOperatorName]</v>
      </c>
    </row>
    <row r="1751" spans="1:15" x14ac:dyDescent="0.3">
      <c r="A1751" t="s">
        <v>2277</v>
      </c>
      <c r="B1751" t="s">
        <v>2048</v>
      </c>
      <c r="C1751" t="s">
        <v>2050</v>
      </c>
      <c r="D1751">
        <v>8</v>
      </c>
      <c r="E1751" t="s">
        <v>1447</v>
      </c>
      <c r="F1751" t="s">
        <v>2051</v>
      </c>
      <c r="G1751" t="s">
        <v>1741</v>
      </c>
      <c r="H1751" t="s">
        <v>2490</v>
      </c>
      <c r="I1751" t="s">
        <v>2279</v>
      </c>
      <c r="J1751" t="s">
        <v>2279</v>
      </c>
      <c r="K1751" t="s">
        <v>2279</v>
      </c>
      <c r="L1751" t="s">
        <v>2279</v>
      </c>
      <c r="M1751" t="s">
        <v>2279</v>
      </c>
      <c r="N1751" t="s">
        <v>2279</v>
      </c>
      <c r="O1751" s="190" t="str">
        <f>"["&amp;$C1751&amp;"]["&amp;$D1751&amp;"]["&amp;$F1751&amp;"]"</f>
        <v>[S07_AircraftOperatorsUseArt15MandateDetail][8][AircraftOperatorName]</v>
      </c>
    </row>
    <row r="1752" spans="1:15" x14ac:dyDescent="0.3">
      <c r="A1752" t="s">
        <v>2277</v>
      </c>
      <c r="B1752" t="s">
        <v>2048</v>
      </c>
      <c r="C1752" t="s">
        <v>2050</v>
      </c>
      <c r="D1752">
        <v>9</v>
      </c>
      <c r="E1752" t="s">
        <v>1447</v>
      </c>
      <c r="F1752" t="s">
        <v>2051</v>
      </c>
      <c r="G1752" t="s">
        <v>1741</v>
      </c>
      <c r="H1752" t="s">
        <v>2491</v>
      </c>
      <c r="I1752" t="s">
        <v>2279</v>
      </c>
      <c r="J1752" t="s">
        <v>2279</v>
      </c>
      <c r="K1752" t="s">
        <v>2279</v>
      </c>
      <c r="L1752" t="s">
        <v>2279</v>
      </c>
      <c r="M1752" t="s">
        <v>2279</v>
      </c>
      <c r="N1752" t="s">
        <v>2279</v>
      </c>
      <c r="O1752" s="190" t="str">
        <f>"["&amp;$C1752&amp;"]["&amp;$D1752&amp;"]["&amp;$F1752&amp;"]"</f>
        <v>[S07_AircraftOperatorsUseArt15MandateDetail][9][AircraftOperatorName]</v>
      </c>
    </row>
    <row r="1753" spans="1:15" x14ac:dyDescent="0.3">
      <c r="A1753" t="s">
        <v>2277</v>
      </c>
      <c r="B1753" t="s">
        <v>2048</v>
      </c>
      <c r="C1753" t="s">
        <v>2050</v>
      </c>
      <c r="D1753">
        <v>10</v>
      </c>
      <c r="E1753" t="s">
        <v>1447</v>
      </c>
      <c r="F1753" t="s">
        <v>2051</v>
      </c>
      <c r="G1753" t="s">
        <v>1741</v>
      </c>
      <c r="H1753" t="s">
        <v>2492</v>
      </c>
      <c r="I1753" t="s">
        <v>2279</v>
      </c>
      <c r="J1753" t="s">
        <v>2279</v>
      </c>
      <c r="K1753" t="s">
        <v>2279</v>
      </c>
      <c r="L1753" t="s">
        <v>2279</v>
      </c>
      <c r="M1753" t="s">
        <v>2279</v>
      </c>
      <c r="N1753" t="s">
        <v>2279</v>
      </c>
      <c r="O1753" s="190" t="str">
        <f>"["&amp;$C1753&amp;"]["&amp;$D1753&amp;"]["&amp;$F1753&amp;"]"</f>
        <v>[S07_AircraftOperatorsUseArt15MandateDetail][10][AircraftOperatorName]</v>
      </c>
    </row>
    <row r="1754" spans="1:15" x14ac:dyDescent="0.3">
      <c r="A1754" t="s">
        <v>2277</v>
      </c>
      <c r="B1754" t="s">
        <v>2048</v>
      </c>
      <c r="C1754" t="s">
        <v>2050</v>
      </c>
      <c r="D1754">
        <v>11</v>
      </c>
      <c r="E1754" t="s">
        <v>1447</v>
      </c>
      <c r="F1754" t="s">
        <v>2051</v>
      </c>
      <c r="G1754" t="s">
        <v>1741</v>
      </c>
      <c r="H1754" t="s">
        <v>2493</v>
      </c>
      <c r="I1754" t="s">
        <v>2279</v>
      </c>
      <c r="J1754" t="s">
        <v>2279</v>
      </c>
      <c r="K1754" t="s">
        <v>2279</v>
      </c>
      <c r="L1754" t="s">
        <v>2279</v>
      </c>
      <c r="M1754" t="s">
        <v>2279</v>
      </c>
      <c r="N1754" t="s">
        <v>2279</v>
      </c>
      <c r="O1754" s="190" t="str">
        <f>"["&amp;$C1754&amp;"]["&amp;$D1754&amp;"]["&amp;$F1754&amp;"]"</f>
        <v>[S07_AircraftOperatorsUseArt15MandateDetail][11][AircraftOperatorName]</v>
      </c>
    </row>
    <row r="1755" spans="1:15" x14ac:dyDescent="0.3">
      <c r="A1755" t="s">
        <v>2277</v>
      </c>
      <c r="B1755" t="s">
        <v>2048</v>
      </c>
      <c r="C1755" t="s">
        <v>2050</v>
      </c>
      <c r="D1755">
        <v>12</v>
      </c>
      <c r="E1755" t="s">
        <v>1447</v>
      </c>
      <c r="F1755" t="s">
        <v>2051</v>
      </c>
      <c r="G1755" t="s">
        <v>1741</v>
      </c>
      <c r="H1755" t="s">
        <v>2494</v>
      </c>
      <c r="I1755" t="s">
        <v>2279</v>
      </c>
      <c r="J1755" t="s">
        <v>2279</v>
      </c>
      <c r="K1755" t="s">
        <v>2279</v>
      </c>
      <c r="L1755" t="s">
        <v>2279</v>
      </c>
      <c r="M1755" t="s">
        <v>2279</v>
      </c>
      <c r="N1755" t="s">
        <v>2279</v>
      </c>
      <c r="O1755" s="190" t="str">
        <f>"["&amp;$C1755&amp;"]["&amp;$D1755&amp;"]["&amp;$F1755&amp;"]"</f>
        <v>[S07_AircraftOperatorsUseArt15MandateDetail][12][AircraftOperatorName]</v>
      </c>
    </row>
    <row r="1756" spans="1:15" x14ac:dyDescent="0.3">
      <c r="A1756" t="s">
        <v>2277</v>
      </c>
      <c r="B1756" t="s">
        <v>2048</v>
      </c>
      <c r="C1756" t="s">
        <v>2050</v>
      </c>
      <c r="D1756">
        <v>13</v>
      </c>
      <c r="E1756" t="s">
        <v>1447</v>
      </c>
      <c r="F1756" t="s">
        <v>2051</v>
      </c>
      <c r="G1756" t="s">
        <v>1741</v>
      </c>
      <c r="H1756" t="s">
        <v>2495</v>
      </c>
      <c r="I1756" t="s">
        <v>2279</v>
      </c>
      <c r="J1756" t="s">
        <v>2279</v>
      </c>
      <c r="K1756" t="s">
        <v>2279</v>
      </c>
      <c r="L1756" t="s">
        <v>2279</v>
      </c>
      <c r="M1756" t="s">
        <v>2279</v>
      </c>
      <c r="N1756" t="s">
        <v>2279</v>
      </c>
      <c r="O1756" s="190" t="str">
        <f>"["&amp;$C1756&amp;"]["&amp;$D1756&amp;"]["&amp;$F1756&amp;"]"</f>
        <v>[S07_AircraftOperatorsUseArt15MandateDetail][13][AircraftOperatorName]</v>
      </c>
    </row>
    <row r="1757" spans="1:15" x14ac:dyDescent="0.3">
      <c r="A1757" t="s">
        <v>2277</v>
      </c>
      <c r="B1757" t="s">
        <v>2048</v>
      </c>
      <c r="C1757" t="s">
        <v>2050</v>
      </c>
      <c r="D1757">
        <v>14</v>
      </c>
      <c r="E1757" t="s">
        <v>1447</v>
      </c>
      <c r="F1757" t="s">
        <v>2051</v>
      </c>
      <c r="G1757" t="s">
        <v>1741</v>
      </c>
      <c r="H1757" t="s">
        <v>2496</v>
      </c>
      <c r="I1757" t="s">
        <v>2279</v>
      </c>
      <c r="J1757" t="s">
        <v>2279</v>
      </c>
      <c r="K1757" t="s">
        <v>2279</v>
      </c>
      <c r="L1757" t="s">
        <v>2279</v>
      </c>
      <c r="M1757" t="s">
        <v>2279</v>
      </c>
      <c r="N1757" t="s">
        <v>2279</v>
      </c>
      <c r="O1757" s="190" t="str">
        <f>"["&amp;$C1757&amp;"]["&amp;$D1757&amp;"]["&amp;$F1757&amp;"]"</f>
        <v>[S07_AircraftOperatorsUseArt15MandateDetail][14][AircraftOperatorName]</v>
      </c>
    </row>
    <row r="1758" spans="1:15" x14ac:dyDescent="0.3">
      <c r="A1758" t="s">
        <v>2277</v>
      </c>
      <c r="B1758" t="s">
        <v>2048</v>
      </c>
      <c r="C1758" t="s">
        <v>2050</v>
      </c>
      <c r="D1758">
        <v>15</v>
      </c>
      <c r="E1758" t="s">
        <v>1447</v>
      </c>
      <c r="F1758" t="s">
        <v>2051</v>
      </c>
      <c r="G1758" t="s">
        <v>1741</v>
      </c>
      <c r="H1758" t="s">
        <v>2497</v>
      </c>
      <c r="I1758" t="s">
        <v>2279</v>
      </c>
      <c r="J1758" t="s">
        <v>2279</v>
      </c>
      <c r="K1758" t="s">
        <v>2279</v>
      </c>
      <c r="L1758" t="s">
        <v>2279</v>
      </c>
      <c r="M1758" t="s">
        <v>2279</v>
      </c>
      <c r="N1758" t="s">
        <v>2279</v>
      </c>
      <c r="O1758" s="190" t="str">
        <f>"["&amp;$C1758&amp;"]["&amp;$D1758&amp;"]["&amp;$F1758&amp;"]"</f>
        <v>[S07_AircraftOperatorsUseArt15MandateDetail][15][AircraftOperatorName]</v>
      </c>
    </row>
    <row r="1759" spans="1:15" x14ac:dyDescent="0.3">
      <c r="A1759" t="s">
        <v>2277</v>
      </c>
      <c r="B1759" t="s">
        <v>2048</v>
      </c>
      <c r="C1759" t="s">
        <v>2050</v>
      </c>
      <c r="D1759">
        <v>16</v>
      </c>
      <c r="E1759" t="s">
        <v>1447</v>
      </c>
      <c r="F1759" t="s">
        <v>2051</v>
      </c>
      <c r="G1759" t="s">
        <v>1741</v>
      </c>
      <c r="H1759" t="s">
        <v>2498</v>
      </c>
      <c r="I1759" t="s">
        <v>2279</v>
      </c>
      <c r="J1759" t="s">
        <v>2279</v>
      </c>
      <c r="K1759" t="s">
        <v>2279</v>
      </c>
      <c r="L1759" t="s">
        <v>2279</v>
      </c>
      <c r="M1759" t="s">
        <v>2279</v>
      </c>
      <c r="N1759" t="s">
        <v>2279</v>
      </c>
      <c r="O1759" s="190" t="str">
        <f>"["&amp;$C1759&amp;"]["&amp;$D1759&amp;"]["&amp;$F1759&amp;"]"</f>
        <v>[S07_AircraftOperatorsUseArt15MandateDetail][16][AircraftOperatorName]</v>
      </c>
    </row>
    <row r="1760" spans="1:15" x14ac:dyDescent="0.3">
      <c r="A1760" t="s">
        <v>2277</v>
      </c>
      <c r="B1760" t="s">
        <v>2048</v>
      </c>
      <c r="C1760" t="s">
        <v>2050</v>
      </c>
      <c r="D1760">
        <v>17</v>
      </c>
      <c r="E1760" t="s">
        <v>1447</v>
      </c>
      <c r="F1760" t="s">
        <v>2051</v>
      </c>
      <c r="G1760" t="s">
        <v>1741</v>
      </c>
      <c r="H1760" t="s">
        <v>2499</v>
      </c>
      <c r="I1760" t="s">
        <v>2279</v>
      </c>
      <c r="J1760" t="s">
        <v>2279</v>
      </c>
      <c r="K1760" t="s">
        <v>2279</v>
      </c>
      <c r="L1760" t="s">
        <v>2279</v>
      </c>
      <c r="M1760" t="s">
        <v>2279</v>
      </c>
      <c r="N1760" t="s">
        <v>2279</v>
      </c>
      <c r="O1760" s="190" t="str">
        <f>"["&amp;$C1760&amp;"]["&amp;$D1760&amp;"]["&amp;$F1760&amp;"]"</f>
        <v>[S07_AircraftOperatorsUseArt15MandateDetail][17][AircraftOperatorName]</v>
      </c>
    </row>
    <row r="1761" spans="1:15" x14ac:dyDescent="0.3">
      <c r="A1761" t="s">
        <v>2277</v>
      </c>
      <c r="B1761" t="s">
        <v>2048</v>
      </c>
      <c r="C1761" t="s">
        <v>2050</v>
      </c>
      <c r="D1761">
        <v>18</v>
      </c>
      <c r="E1761" t="s">
        <v>1447</v>
      </c>
      <c r="F1761" t="s">
        <v>2051</v>
      </c>
      <c r="G1761" t="s">
        <v>1741</v>
      </c>
      <c r="H1761" t="s">
        <v>2500</v>
      </c>
      <c r="I1761" t="s">
        <v>2279</v>
      </c>
      <c r="J1761" t="s">
        <v>2279</v>
      </c>
      <c r="K1761" t="s">
        <v>2279</v>
      </c>
      <c r="L1761" t="s">
        <v>2279</v>
      </c>
      <c r="M1761" t="s">
        <v>2279</v>
      </c>
      <c r="N1761" t="s">
        <v>2279</v>
      </c>
      <c r="O1761" s="190" t="str">
        <f>"["&amp;$C1761&amp;"]["&amp;$D1761&amp;"]["&amp;$F1761&amp;"]"</f>
        <v>[S07_AircraftOperatorsUseArt15MandateDetail][18][AircraftOperatorName]</v>
      </c>
    </row>
    <row r="1762" spans="1:15" x14ac:dyDescent="0.3">
      <c r="A1762" t="s">
        <v>2277</v>
      </c>
      <c r="B1762" t="s">
        <v>2048</v>
      </c>
      <c r="C1762" t="s">
        <v>2050</v>
      </c>
      <c r="D1762">
        <v>19</v>
      </c>
      <c r="E1762" t="s">
        <v>1447</v>
      </c>
      <c r="F1762" t="s">
        <v>2051</v>
      </c>
      <c r="G1762" t="s">
        <v>1741</v>
      </c>
      <c r="H1762" t="s">
        <v>2501</v>
      </c>
      <c r="I1762" t="s">
        <v>2279</v>
      </c>
      <c r="J1762" t="s">
        <v>2279</v>
      </c>
      <c r="K1762" t="s">
        <v>2279</v>
      </c>
      <c r="L1762" t="s">
        <v>2279</v>
      </c>
      <c r="M1762" t="s">
        <v>2279</v>
      </c>
      <c r="N1762" t="s">
        <v>2279</v>
      </c>
      <c r="O1762" s="190" t="str">
        <f>"["&amp;$C1762&amp;"]["&amp;$D1762&amp;"]["&amp;$F1762&amp;"]"</f>
        <v>[S07_AircraftOperatorsUseArt15MandateDetail][19][AircraftOperatorName]</v>
      </c>
    </row>
    <row r="1763" spans="1:15" x14ac:dyDescent="0.3">
      <c r="A1763" t="s">
        <v>2277</v>
      </c>
      <c r="B1763" t="s">
        <v>2048</v>
      </c>
      <c r="C1763" t="s">
        <v>2050</v>
      </c>
      <c r="D1763">
        <v>20</v>
      </c>
      <c r="E1763" t="s">
        <v>1447</v>
      </c>
      <c r="F1763" t="s">
        <v>2051</v>
      </c>
      <c r="G1763" t="s">
        <v>1741</v>
      </c>
      <c r="H1763" t="s">
        <v>2502</v>
      </c>
      <c r="I1763" t="s">
        <v>2279</v>
      </c>
      <c r="J1763" t="s">
        <v>2279</v>
      </c>
      <c r="K1763" t="s">
        <v>2279</v>
      </c>
      <c r="L1763" t="s">
        <v>2279</v>
      </c>
      <c r="M1763" t="s">
        <v>2279</v>
      </c>
      <c r="N1763" t="s">
        <v>2279</v>
      </c>
      <c r="O1763" s="190" t="str">
        <f>"["&amp;$C1763&amp;"]["&amp;$D1763&amp;"]["&amp;$F1763&amp;"]"</f>
        <v>[S07_AircraftOperatorsUseArt15MandateDetail][20][AircraftOperatorName]</v>
      </c>
    </row>
    <row r="1764" spans="1:15" x14ac:dyDescent="0.3">
      <c r="A1764" t="s">
        <v>2277</v>
      </c>
      <c r="B1764" t="s">
        <v>2048</v>
      </c>
      <c r="C1764" t="s">
        <v>2050</v>
      </c>
      <c r="D1764">
        <v>21</v>
      </c>
      <c r="E1764" t="s">
        <v>1447</v>
      </c>
      <c r="F1764" t="s">
        <v>2051</v>
      </c>
      <c r="G1764" t="s">
        <v>1741</v>
      </c>
      <c r="H1764" t="s">
        <v>2503</v>
      </c>
      <c r="I1764" t="s">
        <v>2279</v>
      </c>
      <c r="J1764" t="s">
        <v>2279</v>
      </c>
      <c r="K1764" t="s">
        <v>2279</v>
      </c>
      <c r="L1764" t="s">
        <v>2279</v>
      </c>
      <c r="M1764" t="s">
        <v>2279</v>
      </c>
      <c r="N1764" t="s">
        <v>2279</v>
      </c>
      <c r="O1764" s="190" t="str">
        <f>"["&amp;$C1764&amp;"]["&amp;$D1764&amp;"]["&amp;$F1764&amp;"]"</f>
        <v>[S07_AircraftOperatorsUseArt15MandateDetail][21][AircraftOperatorName]</v>
      </c>
    </row>
    <row r="1765" spans="1:15" x14ac:dyDescent="0.3">
      <c r="A1765" t="s">
        <v>2277</v>
      </c>
      <c r="B1765" t="s">
        <v>2048</v>
      </c>
      <c r="C1765" t="s">
        <v>2050</v>
      </c>
      <c r="D1765">
        <v>22</v>
      </c>
      <c r="E1765" t="s">
        <v>1447</v>
      </c>
      <c r="F1765" t="s">
        <v>2051</v>
      </c>
      <c r="G1765" t="s">
        <v>1741</v>
      </c>
      <c r="H1765" t="s">
        <v>2504</v>
      </c>
      <c r="I1765" t="s">
        <v>2279</v>
      </c>
      <c r="J1765" t="s">
        <v>2279</v>
      </c>
      <c r="K1765" t="s">
        <v>2279</v>
      </c>
      <c r="L1765" t="s">
        <v>2279</v>
      </c>
      <c r="M1765" t="s">
        <v>2279</v>
      </c>
      <c r="N1765" t="s">
        <v>2279</v>
      </c>
      <c r="O1765" s="190" t="str">
        <f>"["&amp;$C1765&amp;"]["&amp;$D1765&amp;"]["&amp;$F1765&amp;"]"</f>
        <v>[S07_AircraftOperatorsUseArt15MandateDetail][22][AircraftOperatorName]</v>
      </c>
    </row>
    <row r="1766" spans="1:15" x14ac:dyDescent="0.3">
      <c r="A1766" t="s">
        <v>2277</v>
      </c>
      <c r="B1766" t="s">
        <v>2048</v>
      </c>
      <c r="C1766" t="s">
        <v>2050</v>
      </c>
      <c r="D1766">
        <v>23</v>
      </c>
      <c r="E1766" t="s">
        <v>1447</v>
      </c>
      <c r="F1766" t="s">
        <v>2051</v>
      </c>
      <c r="G1766" t="s">
        <v>1741</v>
      </c>
      <c r="H1766" t="s">
        <v>2505</v>
      </c>
      <c r="I1766" t="s">
        <v>2279</v>
      </c>
      <c r="J1766" t="s">
        <v>2279</v>
      </c>
      <c r="K1766" t="s">
        <v>2279</v>
      </c>
      <c r="L1766" t="s">
        <v>2279</v>
      </c>
      <c r="M1766" t="s">
        <v>2279</v>
      </c>
      <c r="N1766" t="s">
        <v>2279</v>
      </c>
      <c r="O1766" s="190" t="str">
        <f>"["&amp;$C1766&amp;"]["&amp;$D1766&amp;"]["&amp;$F1766&amp;"]"</f>
        <v>[S07_AircraftOperatorsUseArt15MandateDetail][23][AircraftOperatorName]</v>
      </c>
    </row>
    <row r="1767" spans="1:15" x14ac:dyDescent="0.3">
      <c r="A1767" t="s">
        <v>2277</v>
      </c>
      <c r="B1767" t="s">
        <v>2048</v>
      </c>
      <c r="C1767" t="s">
        <v>2050</v>
      </c>
      <c r="D1767">
        <v>24</v>
      </c>
      <c r="E1767" t="s">
        <v>1447</v>
      </c>
      <c r="F1767" t="s">
        <v>2051</v>
      </c>
      <c r="G1767" t="s">
        <v>1741</v>
      </c>
      <c r="H1767" t="s">
        <v>2506</v>
      </c>
      <c r="I1767" t="s">
        <v>2279</v>
      </c>
      <c r="J1767" t="s">
        <v>2279</v>
      </c>
      <c r="K1767" t="s">
        <v>2279</v>
      </c>
      <c r="L1767" t="s">
        <v>2279</v>
      </c>
      <c r="M1767" t="s">
        <v>2279</v>
      </c>
      <c r="N1767" t="s">
        <v>2279</v>
      </c>
      <c r="O1767" s="190" t="str">
        <f>"["&amp;$C1767&amp;"]["&amp;$D1767&amp;"]["&amp;$F1767&amp;"]"</f>
        <v>[S07_AircraftOperatorsUseArt15MandateDetail][24][AircraftOperatorName]</v>
      </c>
    </row>
    <row r="1768" spans="1:15" x14ac:dyDescent="0.3">
      <c r="A1768" t="s">
        <v>2277</v>
      </c>
      <c r="B1768" t="s">
        <v>2048</v>
      </c>
      <c r="C1768" t="s">
        <v>2050</v>
      </c>
      <c r="D1768">
        <v>25</v>
      </c>
      <c r="E1768" t="s">
        <v>1447</v>
      </c>
      <c r="F1768" t="s">
        <v>2051</v>
      </c>
      <c r="G1768" t="s">
        <v>1741</v>
      </c>
      <c r="H1768" t="s">
        <v>2507</v>
      </c>
      <c r="I1768" t="s">
        <v>2279</v>
      </c>
      <c r="J1768" t="s">
        <v>2279</v>
      </c>
      <c r="K1768" t="s">
        <v>2279</v>
      </c>
      <c r="L1768" t="s">
        <v>2279</v>
      </c>
      <c r="M1768" t="s">
        <v>2279</v>
      </c>
      <c r="N1768" t="s">
        <v>2279</v>
      </c>
      <c r="O1768" s="190" t="str">
        <f>"["&amp;$C1768&amp;"]["&amp;$D1768&amp;"]["&amp;$F1768&amp;"]"</f>
        <v>[S07_AircraftOperatorsUseArt15MandateDetail][25][AircraftOperatorName]</v>
      </c>
    </row>
    <row r="1769" spans="1:15" x14ac:dyDescent="0.3">
      <c r="A1769" t="s">
        <v>2277</v>
      </c>
      <c r="B1769" t="s">
        <v>2048</v>
      </c>
      <c r="C1769" t="s">
        <v>2050</v>
      </c>
      <c r="D1769">
        <v>26</v>
      </c>
      <c r="E1769" t="s">
        <v>1447</v>
      </c>
      <c r="F1769" t="s">
        <v>2051</v>
      </c>
      <c r="G1769" t="s">
        <v>1741</v>
      </c>
      <c r="H1769" t="s">
        <v>2508</v>
      </c>
      <c r="I1769" t="s">
        <v>2279</v>
      </c>
      <c r="J1769" t="s">
        <v>2279</v>
      </c>
      <c r="K1769" t="s">
        <v>2279</v>
      </c>
      <c r="L1769" t="s">
        <v>2279</v>
      </c>
      <c r="M1769" t="s">
        <v>2279</v>
      </c>
      <c r="N1769" t="s">
        <v>2279</v>
      </c>
      <c r="O1769" s="190" t="str">
        <f>"["&amp;$C1769&amp;"]["&amp;$D1769&amp;"]["&amp;$F1769&amp;"]"</f>
        <v>[S07_AircraftOperatorsUseArt15MandateDetail][26][AircraftOperatorName]</v>
      </c>
    </row>
    <row r="1770" spans="1:15" x14ac:dyDescent="0.3">
      <c r="A1770" t="s">
        <v>2277</v>
      </c>
      <c r="B1770" t="s">
        <v>2048</v>
      </c>
      <c r="C1770" t="s">
        <v>2050</v>
      </c>
      <c r="D1770">
        <v>27</v>
      </c>
      <c r="E1770" t="s">
        <v>1447</v>
      </c>
      <c r="F1770" t="s">
        <v>2051</v>
      </c>
      <c r="G1770" t="s">
        <v>1741</v>
      </c>
      <c r="H1770" t="s">
        <v>2509</v>
      </c>
      <c r="I1770" t="s">
        <v>2279</v>
      </c>
      <c r="J1770" t="s">
        <v>2279</v>
      </c>
      <c r="K1770" t="s">
        <v>2279</v>
      </c>
      <c r="L1770" t="s">
        <v>2279</v>
      </c>
      <c r="M1770" t="s">
        <v>2279</v>
      </c>
      <c r="N1770" t="s">
        <v>2279</v>
      </c>
      <c r="O1770" s="190" t="str">
        <f>"["&amp;$C1770&amp;"]["&amp;$D1770&amp;"]["&amp;$F1770&amp;"]"</f>
        <v>[S07_AircraftOperatorsUseArt15MandateDetail][27][AircraftOperatorName]</v>
      </c>
    </row>
    <row r="1771" spans="1:15" x14ac:dyDescent="0.3">
      <c r="A1771" t="s">
        <v>2277</v>
      </c>
      <c r="B1771" t="s">
        <v>2048</v>
      </c>
      <c r="C1771" t="s">
        <v>2050</v>
      </c>
      <c r="D1771">
        <v>28</v>
      </c>
      <c r="E1771" t="s">
        <v>1447</v>
      </c>
      <c r="F1771" t="s">
        <v>2051</v>
      </c>
      <c r="G1771" t="s">
        <v>1741</v>
      </c>
      <c r="H1771" t="s">
        <v>2510</v>
      </c>
      <c r="I1771" t="s">
        <v>2279</v>
      </c>
      <c r="J1771" t="s">
        <v>2279</v>
      </c>
      <c r="K1771" t="s">
        <v>2279</v>
      </c>
      <c r="L1771" t="s">
        <v>2279</v>
      </c>
      <c r="M1771" t="s">
        <v>2279</v>
      </c>
      <c r="N1771" t="s">
        <v>2279</v>
      </c>
      <c r="O1771" s="190" t="str">
        <f>"["&amp;$C1771&amp;"]["&amp;$D1771&amp;"]["&amp;$F1771&amp;"]"</f>
        <v>[S07_AircraftOperatorsUseArt15MandateDetail][28][AircraftOperatorName]</v>
      </c>
    </row>
    <row r="1772" spans="1:15" x14ac:dyDescent="0.3">
      <c r="A1772" t="s">
        <v>2277</v>
      </c>
      <c r="B1772" t="s">
        <v>2048</v>
      </c>
      <c r="C1772" t="s">
        <v>2050</v>
      </c>
      <c r="D1772">
        <v>29</v>
      </c>
      <c r="E1772" t="s">
        <v>1447</v>
      </c>
      <c r="F1772" t="s">
        <v>2051</v>
      </c>
      <c r="G1772" t="s">
        <v>1741</v>
      </c>
      <c r="H1772" t="s">
        <v>2511</v>
      </c>
      <c r="I1772" t="s">
        <v>2279</v>
      </c>
      <c r="J1772" t="s">
        <v>2279</v>
      </c>
      <c r="K1772" t="s">
        <v>2279</v>
      </c>
      <c r="L1772" t="s">
        <v>2279</v>
      </c>
      <c r="M1772" t="s">
        <v>2279</v>
      </c>
      <c r="N1772" t="s">
        <v>2279</v>
      </c>
      <c r="O1772" s="190" t="str">
        <f>"["&amp;$C1772&amp;"]["&amp;$D1772&amp;"]["&amp;$F1772&amp;"]"</f>
        <v>[S07_AircraftOperatorsUseArt15MandateDetail][29][AircraftOperatorName]</v>
      </c>
    </row>
    <row r="1773" spans="1:15" x14ac:dyDescent="0.3">
      <c r="A1773" t="s">
        <v>2277</v>
      </c>
      <c r="B1773" t="s">
        <v>2048</v>
      </c>
      <c r="C1773" t="s">
        <v>2050</v>
      </c>
      <c r="D1773">
        <v>30</v>
      </c>
      <c r="E1773" t="s">
        <v>1447</v>
      </c>
      <c r="F1773" t="s">
        <v>2051</v>
      </c>
      <c r="G1773" t="s">
        <v>1741</v>
      </c>
      <c r="H1773" t="s">
        <v>2512</v>
      </c>
      <c r="I1773" t="s">
        <v>2279</v>
      </c>
      <c r="J1773" t="s">
        <v>2279</v>
      </c>
      <c r="K1773" t="s">
        <v>2279</v>
      </c>
      <c r="L1773" t="s">
        <v>2279</v>
      </c>
      <c r="M1773" t="s">
        <v>2279</v>
      </c>
      <c r="N1773" t="s">
        <v>2279</v>
      </c>
      <c r="O1773" s="190" t="str">
        <f>"["&amp;$C1773&amp;"]["&amp;$D1773&amp;"]["&amp;$F1773&amp;"]"</f>
        <v>[S07_AircraftOperatorsUseArt15MandateDetail][30][AircraftOperatorName]</v>
      </c>
    </row>
    <row r="1774" spans="1:15" x14ac:dyDescent="0.3">
      <c r="A1774" t="s">
        <v>2277</v>
      </c>
      <c r="B1774" t="s">
        <v>2048</v>
      </c>
      <c r="C1774" t="s">
        <v>2050</v>
      </c>
      <c r="D1774">
        <v>31</v>
      </c>
      <c r="E1774" t="s">
        <v>1447</v>
      </c>
      <c r="F1774" t="s">
        <v>2051</v>
      </c>
      <c r="G1774" t="s">
        <v>1741</v>
      </c>
      <c r="H1774" t="s">
        <v>2513</v>
      </c>
      <c r="I1774" t="s">
        <v>2279</v>
      </c>
      <c r="J1774" t="s">
        <v>2279</v>
      </c>
      <c r="K1774" t="s">
        <v>2279</v>
      </c>
      <c r="L1774" t="s">
        <v>2279</v>
      </c>
      <c r="M1774" t="s">
        <v>2279</v>
      </c>
      <c r="N1774" t="s">
        <v>2279</v>
      </c>
      <c r="O1774" s="190" t="str">
        <f>"["&amp;$C1774&amp;"]["&amp;$D1774&amp;"]["&amp;$F1774&amp;"]"</f>
        <v>[S07_AircraftOperatorsUseArt15MandateDetail][31][AircraftOperatorName]</v>
      </c>
    </row>
    <row r="1775" spans="1:15" x14ac:dyDescent="0.3">
      <c r="A1775" t="s">
        <v>2277</v>
      </c>
      <c r="B1775" t="s">
        <v>2048</v>
      </c>
      <c r="C1775" t="s">
        <v>2050</v>
      </c>
      <c r="D1775">
        <v>32</v>
      </c>
      <c r="E1775" t="s">
        <v>1447</v>
      </c>
      <c r="F1775" t="s">
        <v>2051</v>
      </c>
      <c r="G1775" t="s">
        <v>1741</v>
      </c>
      <c r="H1775" t="s">
        <v>2514</v>
      </c>
      <c r="I1775" t="s">
        <v>2279</v>
      </c>
      <c r="J1775" t="s">
        <v>2279</v>
      </c>
      <c r="K1775" t="s">
        <v>2279</v>
      </c>
      <c r="L1775" t="s">
        <v>2279</v>
      </c>
      <c r="M1775" t="s">
        <v>2279</v>
      </c>
      <c r="N1775" t="s">
        <v>2279</v>
      </c>
      <c r="O1775" s="190" t="str">
        <f>"["&amp;$C1775&amp;"]["&amp;$D1775&amp;"]["&amp;$F1775&amp;"]"</f>
        <v>[S07_AircraftOperatorsUseArt15MandateDetail][32][AircraftOperatorName]</v>
      </c>
    </row>
    <row r="1776" spans="1:15" x14ac:dyDescent="0.3">
      <c r="A1776" t="s">
        <v>2277</v>
      </c>
      <c r="B1776" t="s">
        <v>2048</v>
      </c>
      <c r="C1776" t="s">
        <v>2050</v>
      </c>
      <c r="D1776">
        <v>33</v>
      </c>
      <c r="E1776" t="s">
        <v>1447</v>
      </c>
      <c r="F1776" t="s">
        <v>2051</v>
      </c>
      <c r="G1776" t="s">
        <v>1741</v>
      </c>
      <c r="H1776" t="s">
        <v>2515</v>
      </c>
      <c r="I1776" t="s">
        <v>2279</v>
      </c>
      <c r="J1776" t="s">
        <v>2279</v>
      </c>
      <c r="K1776" t="s">
        <v>2279</v>
      </c>
      <c r="L1776" t="s">
        <v>2279</v>
      </c>
      <c r="M1776" t="s">
        <v>2279</v>
      </c>
      <c r="N1776" t="s">
        <v>2279</v>
      </c>
      <c r="O1776" s="190" t="str">
        <f>"["&amp;$C1776&amp;"]["&amp;$D1776&amp;"]["&amp;$F1776&amp;"]"</f>
        <v>[S07_AircraftOperatorsUseArt15MandateDetail][33][AircraftOperatorName]</v>
      </c>
    </row>
    <row r="1777" spans="1:15" x14ac:dyDescent="0.3">
      <c r="A1777" t="s">
        <v>2277</v>
      </c>
      <c r="B1777" t="s">
        <v>2048</v>
      </c>
      <c r="C1777" t="s">
        <v>2050</v>
      </c>
      <c r="D1777">
        <v>34</v>
      </c>
      <c r="E1777" t="s">
        <v>1447</v>
      </c>
      <c r="F1777" t="s">
        <v>2051</v>
      </c>
      <c r="G1777" t="s">
        <v>1741</v>
      </c>
      <c r="H1777" t="s">
        <v>2516</v>
      </c>
      <c r="I1777" t="s">
        <v>2279</v>
      </c>
      <c r="J1777" t="s">
        <v>2279</v>
      </c>
      <c r="K1777" t="s">
        <v>2279</v>
      </c>
      <c r="L1777" t="s">
        <v>2279</v>
      </c>
      <c r="M1777" t="s">
        <v>2279</v>
      </c>
      <c r="N1777" t="s">
        <v>2279</v>
      </c>
      <c r="O1777" s="190" t="str">
        <f>"["&amp;$C1777&amp;"]["&amp;$D1777&amp;"]["&amp;$F1777&amp;"]"</f>
        <v>[S07_AircraftOperatorsUseArt15MandateDetail][34][AircraftOperatorName]</v>
      </c>
    </row>
    <row r="1778" spans="1:15" x14ac:dyDescent="0.3">
      <c r="A1778" t="s">
        <v>2277</v>
      </c>
      <c r="B1778" t="s">
        <v>2048</v>
      </c>
      <c r="C1778" t="s">
        <v>2050</v>
      </c>
      <c r="D1778">
        <v>35</v>
      </c>
      <c r="E1778" t="s">
        <v>1447</v>
      </c>
      <c r="F1778" t="s">
        <v>2051</v>
      </c>
      <c r="G1778" t="s">
        <v>1741</v>
      </c>
      <c r="H1778" t="s">
        <v>2517</v>
      </c>
      <c r="I1778" t="s">
        <v>2279</v>
      </c>
      <c r="J1778" t="s">
        <v>2279</v>
      </c>
      <c r="K1778" t="s">
        <v>2279</v>
      </c>
      <c r="L1778" t="s">
        <v>2279</v>
      </c>
      <c r="M1778" t="s">
        <v>2279</v>
      </c>
      <c r="N1778" t="s">
        <v>2279</v>
      </c>
      <c r="O1778" s="190" t="str">
        <f>"["&amp;$C1778&amp;"]["&amp;$D1778&amp;"]["&amp;$F1778&amp;"]"</f>
        <v>[S07_AircraftOperatorsUseArt15MandateDetail][35][AircraftOperatorName]</v>
      </c>
    </row>
    <row r="1779" spans="1:15" x14ac:dyDescent="0.3">
      <c r="A1779" t="s">
        <v>2277</v>
      </c>
      <c r="B1779" t="s">
        <v>2048</v>
      </c>
      <c r="C1779" t="s">
        <v>2050</v>
      </c>
      <c r="D1779">
        <v>36</v>
      </c>
      <c r="E1779" t="s">
        <v>1447</v>
      </c>
      <c r="F1779" t="s">
        <v>2051</v>
      </c>
      <c r="G1779" t="s">
        <v>1741</v>
      </c>
      <c r="H1779" t="s">
        <v>2518</v>
      </c>
      <c r="I1779" t="s">
        <v>2279</v>
      </c>
      <c r="J1779" t="s">
        <v>2279</v>
      </c>
      <c r="K1779" t="s">
        <v>2279</v>
      </c>
      <c r="L1779" t="s">
        <v>2279</v>
      </c>
      <c r="M1779" t="s">
        <v>2279</v>
      </c>
      <c r="N1779" t="s">
        <v>2279</v>
      </c>
      <c r="O1779" s="190" t="str">
        <f>"["&amp;$C1779&amp;"]["&amp;$D1779&amp;"]["&amp;$F1779&amp;"]"</f>
        <v>[S07_AircraftOperatorsUseArt15MandateDetail][36][AircraftOperatorName]</v>
      </c>
    </row>
    <row r="1780" spans="1:15" x14ac:dyDescent="0.3">
      <c r="A1780" t="s">
        <v>2277</v>
      </c>
      <c r="B1780" t="s">
        <v>2052</v>
      </c>
      <c r="C1780" t="s">
        <v>2053</v>
      </c>
      <c r="D1780">
        <v>0</v>
      </c>
      <c r="E1780" t="s">
        <v>1447</v>
      </c>
      <c r="F1780" t="s">
        <v>2053</v>
      </c>
      <c r="G1780" t="s">
        <v>1759</v>
      </c>
      <c r="H1780" t="s">
        <v>2279</v>
      </c>
      <c r="I1780" t="s">
        <v>2279</v>
      </c>
      <c r="J1780" t="s">
        <v>2279</v>
      </c>
      <c r="K1780" t="s">
        <v>2279</v>
      </c>
      <c r="L1780" t="s">
        <v>1419</v>
      </c>
      <c r="M1780" t="s">
        <v>2279</v>
      </c>
      <c r="N1780" t="s">
        <v>2279</v>
      </c>
      <c r="O1780" s="190" t="str">
        <f>"["&amp;$C1780&amp;"]["&amp;$D1780&amp;"]["&amp;$F1780&amp;"]"</f>
        <v>[CommissionTemplatesAllocation][0][CommissionTemplatesAllocation]</v>
      </c>
    </row>
    <row r="1781" spans="1:15" x14ac:dyDescent="0.3">
      <c r="A1781" t="s">
        <v>2277</v>
      </c>
      <c r="B1781" t="s">
        <v>2055</v>
      </c>
      <c r="C1781" t="s">
        <v>2056</v>
      </c>
      <c r="D1781">
        <v>0</v>
      </c>
      <c r="E1781" t="s">
        <v>1447</v>
      </c>
      <c r="F1781" t="s">
        <v>2056</v>
      </c>
      <c r="G1781" t="s">
        <v>1759</v>
      </c>
      <c r="H1781" t="s">
        <v>2279</v>
      </c>
      <c r="I1781" t="s">
        <v>2279</v>
      </c>
      <c r="J1781" t="s">
        <v>2279</v>
      </c>
      <c r="K1781" t="s">
        <v>2279</v>
      </c>
      <c r="L1781" t="s">
        <v>1447</v>
      </c>
      <c r="M1781" t="s">
        <v>2279</v>
      </c>
      <c r="N1781" t="s">
        <v>2279</v>
      </c>
      <c r="O1781" s="190" t="str">
        <f>"["&amp;$C1781&amp;"]["&amp;$D1781&amp;"]["&amp;$F1781&amp;"]"</f>
        <v>[FeesAllocation][0][FeesAllocation]</v>
      </c>
    </row>
    <row r="1782" spans="1:15" x14ac:dyDescent="0.3">
      <c r="A1782" t="s">
        <v>2277</v>
      </c>
      <c r="B1782" t="s">
        <v>2060</v>
      </c>
      <c r="C1782" t="s">
        <v>2061</v>
      </c>
      <c r="D1782">
        <v>0</v>
      </c>
      <c r="E1782" t="s">
        <v>1447</v>
      </c>
      <c r="F1782" t="s">
        <v>2061</v>
      </c>
      <c r="G1782" t="s">
        <v>1759</v>
      </c>
      <c r="H1782" t="s">
        <v>2279</v>
      </c>
      <c r="I1782" t="s">
        <v>2279</v>
      </c>
      <c r="J1782" t="s">
        <v>2279</v>
      </c>
      <c r="K1782" t="s">
        <v>2279</v>
      </c>
      <c r="L1782" t="s">
        <v>1419</v>
      </c>
      <c r="M1782" t="s">
        <v>2279</v>
      </c>
      <c r="N1782" t="s">
        <v>2279</v>
      </c>
      <c r="O1782" s="190" t="str">
        <f>"["&amp;$C1782&amp;"]["&amp;$D1782&amp;"]["&amp;$F1782&amp;"]"</f>
        <v>[ITforAllocationData][0][ITforAllocationData]</v>
      </c>
    </row>
    <row r="1783" spans="1:15" x14ac:dyDescent="0.3">
      <c r="A1783" t="s">
        <v>2277</v>
      </c>
      <c r="B1783" t="s">
        <v>2062</v>
      </c>
      <c r="C1783" t="s">
        <v>2063</v>
      </c>
      <c r="D1783">
        <v>1</v>
      </c>
      <c r="E1783" t="s">
        <v>1447</v>
      </c>
      <c r="F1783" t="s">
        <v>1798</v>
      </c>
      <c r="G1783" t="s">
        <v>1748</v>
      </c>
      <c r="H1783" t="s">
        <v>2279</v>
      </c>
      <c r="I1783">
        <v>1</v>
      </c>
      <c r="J1783" t="s">
        <v>2279</v>
      </c>
      <c r="K1783" t="s">
        <v>2279</v>
      </c>
      <c r="L1783" t="s">
        <v>2279</v>
      </c>
      <c r="M1783" t="s">
        <v>2279</v>
      </c>
      <c r="N1783" t="s">
        <v>2279</v>
      </c>
      <c r="O1783" s="190" t="str">
        <f>"["&amp;$C1783&amp;"]["&amp;$D1783&amp;"]["&amp;$F1783&amp;"]"</f>
        <v>[S08_RenunciationSuspensionAllowances][1][NumberOfInstallations]</v>
      </c>
    </row>
    <row r="1784" spans="1:15" x14ac:dyDescent="0.3">
      <c r="A1784" t="s">
        <v>2277</v>
      </c>
      <c r="B1784" t="s">
        <v>2062</v>
      </c>
      <c r="C1784" t="s">
        <v>2063</v>
      </c>
      <c r="D1784">
        <v>2</v>
      </c>
      <c r="E1784" t="s">
        <v>1447</v>
      </c>
      <c r="F1784" t="s">
        <v>1798</v>
      </c>
      <c r="G1784" t="s">
        <v>1748</v>
      </c>
      <c r="H1784" t="s">
        <v>2279</v>
      </c>
      <c r="I1784">
        <v>1061</v>
      </c>
      <c r="J1784" t="s">
        <v>2279</v>
      </c>
      <c r="K1784" t="s">
        <v>2279</v>
      </c>
      <c r="L1784" t="s">
        <v>2279</v>
      </c>
      <c r="M1784" t="s">
        <v>2279</v>
      </c>
      <c r="N1784" t="s">
        <v>2279</v>
      </c>
      <c r="O1784" s="190" t="str">
        <f>"["&amp;$C1784&amp;"]["&amp;$D1784&amp;"]["&amp;$F1784&amp;"]"</f>
        <v>[S08_RenunciationSuspensionAllowances][2][NumberOfInstallations]</v>
      </c>
    </row>
    <row r="1785" spans="1:15" x14ac:dyDescent="0.3">
      <c r="A1785" t="s">
        <v>2277</v>
      </c>
      <c r="B1785" t="s">
        <v>2062</v>
      </c>
      <c r="C1785" t="s">
        <v>2063</v>
      </c>
      <c r="D1785">
        <v>3</v>
      </c>
      <c r="E1785" t="s">
        <v>1447</v>
      </c>
      <c r="F1785" t="s">
        <v>1798</v>
      </c>
      <c r="G1785" t="s">
        <v>1748</v>
      </c>
      <c r="H1785" t="s">
        <v>2279</v>
      </c>
      <c r="I1785">
        <v>0</v>
      </c>
      <c r="J1785" t="s">
        <v>2279</v>
      </c>
      <c r="K1785" t="s">
        <v>2279</v>
      </c>
      <c r="L1785" t="s">
        <v>2279</v>
      </c>
      <c r="M1785" t="s">
        <v>2279</v>
      </c>
      <c r="N1785" t="s">
        <v>2279</v>
      </c>
      <c r="O1785" s="190" t="str">
        <f>"["&amp;$C1785&amp;"]["&amp;$D1785&amp;"]["&amp;$F1785&amp;"]"</f>
        <v>[S08_RenunciationSuspensionAllowances][3][NumberOfInstallations]</v>
      </c>
    </row>
    <row r="1786" spans="1:15" x14ac:dyDescent="0.3">
      <c r="A1786" t="s">
        <v>2277</v>
      </c>
      <c r="B1786" t="s">
        <v>2064</v>
      </c>
      <c r="C1786" t="s">
        <v>2065</v>
      </c>
      <c r="D1786">
        <v>0</v>
      </c>
      <c r="E1786" t="s">
        <v>1447</v>
      </c>
      <c r="F1786" t="s">
        <v>2065</v>
      </c>
      <c r="G1786" t="s">
        <v>1759</v>
      </c>
      <c r="H1786" t="s">
        <v>2279</v>
      </c>
      <c r="I1786" t="s">
        <v>2279</v>
      </c>
      <c r="J1786" t="s">
        <v>2279</v>
      </c>
      <c r="K1786" t="s">
        <v>2279</v>
      </c>
      <c r="L1786" t="s">
        <v>1419</v>
      </c>
      <c r="M1786" t="s">
        <v>2279</v>
      </c>
      <c r="N1786" t="s">
        <v>2279</v>
      </c>
      <c r="O1786" s="190" t="str">
        <f>"["&amp;$C1786&amp;"]["&amp;$D1786&amp;"]["&amp;$F1786&amp;"]"</f>
        <v>[SubInstallationBenchmark61][0][SubInstallationBenchmark61]</v>
      </c>
    </row>
    <row r="1787" spans="1:15" x14ac:dyDescent="0.3">
      <c r="A1787" t="s">
        <v>2277</v>
      </c>
      <c r="B1787" t="s">
        <v>2064</v>
      </c>
      <c r="C1787" t="s">
        <v>2066</v>
      </c>
      <c r="D1787">
        <v>1</v>
      </c>
      <c r="E1787" t="s">
        <v>1447</v>
      </c>
      <c r="F1787" t="s">
        <v>2067</v>
      </c>
      <c r="G1787" t="s">
        <v>1748</v>
      </c>
      <c r="H1787" t="s">
        <v>2279</v>
      </c>
      <c r="I1787">
        <v>11</v>
      </c>
      <c r="J1787" t="s">
        <v>2279</v>
      </c>
      <c r="K1787" t="s">
        <v>2279</v>
      </c>
      <c r="L1787" t="s">
        <v>2279</v>
      </c>
      <c r="M1787" t="s">
        <v>2279</v>
      </c>
      <c r="N1787" t="s">
        <v>2279</v>
      </c>
      <c r="O1787" s="190" t="str">
        <f>"["&amp;$C1787&amp;"]["&amp;$D1787&amp;"]["&amp;$F1787&amp;"]"</f>
        <v>[S08_SubInstallationBenchmark61Detail][1][FuelBenchmark]</v>
      </c>
    </row>
    <row r="1788" spans="1:15" x14ac:dyDescent="0.3">
      <c r="A1788" t="s">
        <v>2277</v>
      </c>
      <c r="B1788" t="s">
        <v>2064</v>
      </c>
      <c r="C1788" t="s">
        <v>2066</v>
      </c>
      <c r="D1788">
        <v>1</v>
      </c>
      <c r="E1788" t="s">
        <v>1447</v>
      </c>
      <c r="F1788" t="s">
        <v>2068</v>
      </c>
      <c r="G1788" t="s">
        <v>1748</v>
      </c>
      <c r="H1788" t="s">
        <v>2279</v>
      </c>
      <c r="I1788">
        <v>11</v>
      </c>
      <c r="J1788" t="s">
        <v>2279</v>
      </c>
      <c r="K1788" t="s">
        <v>2279</v>
      </c>
      <c r="L1788" t="s">
        <v>2279</v>
      </c>
      <c r="M1788" t="s">
        <v>2279</v>
      </c>
      <c r="N1788" t="s">
        <v>2279</v>
      </c>
      <c r="O1788" s="190" t="str">
        <f>"["&amp;$C1788&amp;"]["&amp;$D1788&amp;"]["&amp;$F1788&amp;"]"</f>
        <v>[S08_SubInstallationBenchmark61Detail][1][HeatBenchmark]</v>
      </c>
    </row>
    <row r="1789" spans="1:15" x14ac:dyDescent="0.3">
      <c r="A1789" t="s">
        <v>2277</v>
      </c>
      <c r="B1789" t="s">
        <v>2064</v>
      </c>
      <c r="C1789" t="s">
        <v>2069</v>
      </c>
      <c r="D1789">
        <v>0</v>
      </c>
      <c r="E1789" t="s">
        <v>1447</v>
      </c>
      <c r="F1789" t="s">
        <v>2069</v>
      </c>
      <c r="G1789" t="s">
        <v>1759</v>
      </c>
      <c r="H1789" t="s">
        <v>2279</v>
      </c>
      <c r="I1789" t="s">
        <v>2279</v>
      </c>
      <c r="J1789" t="s">
        <v>2279</v>
      </c>
      <c r="K1789" t="s">
        <v>2279</v>
      </c>
      <c r="L1789" t="s">
        <v>1419</v>
      </c>
      <c r="M1789" t="s">
        <v>2279</v>
      </c>
      <c r="N1789" t="s">
        <v>2279</v>
      </c>
      <c r="O1789" s="190" t="str">
        <f>"["&amp;$C1789&amp;"]["&amp;$D1789&amp;"]["&amp;$F1789&amp;"]"</f>
        <v>[SubInstallationBenchmark61Reject][0][SubInstallationBenchmark61Reject]</v>
      </c>
    </row>
    <row r="1790" spans="1:15" x14ac:dyDescent="0.3">
      <c r="A1790" t="s">
        <v>2277</v>
      </c>
      <c r="B1790" t="s">
        <v>2064</v>
      </c>
      <c r="C1790" t="s">
        <v>2070</v>
      </c>
      <c r="D1790">
        <v>1</v>
      </c>
      <c r="E1790" t="s">
        <v>1447</v>
      </c>
      <c r="F1790" t="s">
        <v>2067</v>
      </c>
      <c r="G1790" t="s">
        <v>1748</v>
      </c>
      <c r="H1790" t="s">
        <v>2279</v>
      </c>
      <c r="I1790">
        <v>3</v>
      </c>
      <c r="J1790" t="s">
        <v>2279</v>
      </c>
      <c r="K1790" t="s">
        <v>2279</v>
      </c>
      <c r="L1790" t="s">
        <v>2279</v>
      </c>
      <c r="M1790" t="s">
        <v>2279</v>
      </c>
      <c r="N1790" t="s">
        <v>2279</v>
      </c>
      <c r="O1790" s="190" t="str">
        <f>"["&amp;$C1790&amp;"]["&amp;$D1790&amp;"]["&amp;$F1790&amp;"]"</f>
        <v>[S08_SubInstallationBenchmark61RejectDetail][1][FuelBenchmark]</v>
      </c>
    </row>
    <row r="1791" spans="1:15" x14ac:dyDescent="0.3">
      <c r="A1791" t="s">
        <v>2277</v>
      </c>
      <c r="B1791" t="s">
        <v>2064</v>
      </c>
      <c r="C1791" t="s">
        <v>2070</v>
      </c>
      <c r="D1791">
        <v>1</v>
      </c>
      <c r="E1791" t="s">
        <v>1447</v>
      </c>
      <c r="F1791" t="s">
        <v>2068</v>
      </c>
      <c r="G1791" t="s">
        <v>1748</v>
      </c>
      <c r="H1791" t="s">
        <v>2279</v>
      </c>
      <c r="I1791">
        <v>10</v>
      </c>
      <c r="J1791" t="s">
        <v>2279</v>
      </c>
      <c r="K1791" t="s">
        <v>2279</v>
      </c>
      <c r="L1791" t="s">
        <v>2279</v>
      </c>
      <c r="M1791" t="s">
        <v>2279</v>
      </c>
      <c r="N1791" t="s">
        <v>2279</v>
      </c>
      <c r="O1791" s="190" t="str">
        <f>"["&amp;$C1791&amp;"]["&amp;$D1791&amp;"]["&amp;$F1791&amp;"]"</f>
        <v>[S08_SubInstallationBenchmark61RejectDetail][1][HeatBenchmark]</v>
      </c>
    </row>
    <row r="1792" spans="1:15" x14ac:dyDescent="0.3">
      <c r="A1792" t="s">
        <v>2277</v>
      </c>
      <c r="B1792" t="s">
        <v>2064</v>
      </c>
      <c r="C1792" t="s">
        <v>2071</v>
      </c>
      <c r="D1792">
        <v>0</v>
      </c>
      <c r="E1792" t="s">
        <v>1447</v>
      </c>
      <c r="F1792" t="s">
        <v>2071</v>
      </c>
      <c r="G1792" t="s">
        <v>1759</v>
      </c>
      <c r="H1792" t="s">
        <v>2279</v>
      </c>
      <c r="I1792" t="s">
        <v>2279</v>
      </c>
      <c r="J1792" t="s">
        <v>2279</v>
      </c>
      <c r="K1792" t="s">
        <v>2279</v>
      </c>
      <c r="L1792" t="s">
        <v>1419</v>
      </c>
      <c r="M1792" t="s">
        <v>2279</v>
      </c>
      <c r="N1792" t="s">
        <v>2279</v>
      </c>
      <c r="O1792" s="190" t="str">
        <f>"["&amp;$C1792&amp;"]["&amp;$D1792&amp;"]["&amp;$F1792&amp;"]"</f>
        <v>[SubInstallationBenchmark62][0][SubInstallationBenchmark62]</v>
      </c>
    </row>
    <row r="1793" spans="1:15" x14ac:dyDescent="0.3">
      <c r="A1793" t="s">
        <v>2277</v>
      </c>
      <c r="B1793" t="s">
        <v>2064</v>
      </c>
      <c r="C1793" t="s">
        <v>2072</v>
      </c>
      <c r="D1793">
        <v>1</v>
      </c>
      <c r="E1793" t="s">
        <v>1447</v>
      </c>
      <c r="F1793" t="s">
        <v>2067</v>
      </c>
      <c r="G1793" t="s">
        <v>1748</v>
      </c>
      <c r="H1793" t="s">
        <v>2279</v>
      </c>
      <c r="I1793">
        <v>8</v>
      </c>
      <c r="J1793" t="s">
        <v>2279</v>
      </c>
      <c r="K1793" t="s">
        <v>2279</v>
      </c>
      <c r="L1793" t="s">
        <v>2279</v>
      </c>
      <c r="M1793" t="s">
        <v>2279</v>
      </c>
      <c r="N1793" t="s">
        <v>2279</v>
      </c>
      <c r="O1793" s="190" t="str">
        <f>"["&amp;$C1793&amp;"]["&amp;$D1793&amp;"]["&amp;$F1793&amp;"]"</f>
        <v>[S08_SubInstallationBenchmark62Detail][1][FuelBenchmark]</v>
      </c>
    </row>
    <row r="1794" spans="1:15" x14ac:dyDescent="0.3">
      <c r="A1794" t="s">
        <v>2277</v>
      </c>
      <c r="B1794" t="s">
        <v>2064</v>
      </c>
      <c r="C1794" t="s">
        <v>2072</v>
      </c>
      <c r="D1794">
        <v>1</v>
      </c>
      <c r="E1794" t="s">
        <v>1447</v>
      </c>
      <c r="F1794" t="s">
        <v>2068</v>
      </c>
      <c r="G1794" t="s">
        <v>1748</v>
      </c>
      <c r="H1794" t="s">
        <v>2279</v>
      </c>
      <c r="I1794">
        <v>4</v>
      </c>
      <c r="J1794" t="s">
        <v>2279</v>
      </c>
      <c r="K1794" t="s">
        <v>2279</v>
      </c>
      <c r="L1794" t="s">
        <v>2279</v>
      </c>
      <c r="M1794" t="s">
        <v>2279</v>
      </c>
      <c r="N1794" t="s">
        <v>2279</v>
      </c>
      <c r="O1794" s="190" t="str">
        <f>"["&amp;$C1794&amp;"]["&amp;$D1794&amp;"]["&amp;$F1794&amp;"]"</f>
        <v>[S08_SubInstallationBenchmark62Detail][1][HeatBenchmark]</v>
      </c>
    </row>
    <row r="1795" spans="1:15" x14ac:dyDescent="0.3">
      <c r="A1795" t="s">
        <v>2277</v>
      </c>
      <c r="B1795" t="s">
        <v>2073</v>
      </c>
      <c r="C1795" t="s">
        <v>2074</v>
      </c>
      <c r="D1795">
        <v>1</v>
      </c>
      <c r="E1795" t="s">
        <v>1447</v>
      </c>
      <c r="F1795" t="s">
        <v>1798</v>
      </c>
      <c r="G1795" t="s">
        <v>1748</v>
      </c>
      <c r="H1795" t="s">
        <v>2279</v>
      </c>
      <c r="I1795">
        <v>3</v>
      </c>
      <c r="J1795" t="s">
        <v>2279</v>
      </c>
      <c r="K1795" t="s">
        <v>2279</v>
      </c>
      <c r="L1795" t="s">
        <v>2279</v>
      </c>
      <c r="M1795" t="s">
        <v>2279</v>
      </c>
      <c r="N1795" t="s">
        <v>2279</v>
      </c>
      <c r="O1795" s="190" t="str">
        <f>"["&amp;$C1795&amp;"]["&amp;$D1795&amp;"]["&amp;$F1795&amp;"]"</f>
        <v>[S08_ScopeExclusion][1][NumberOfInstallations]</v>
      </c>
    </row>
    <row r="1796" spans="1:15" x14ac:dyDescent="0.3">
      <c r="A1796" t="s">
        <v>2277</v>
      </c>
      <c r="B1796" t="s">
        <v>2073</v>
      </c>
      <c r="C1796" t="s">
        <v>2074</v>
      </c>
      <c r="D1796">
        <v>2</v>
      </c>
      <c r="E1796" t="s">
        <v>1447</v>
      </c>
      <c r="F1796" t="s">
        <v>1798</v>
      </c>
      <c r="G1796" t="s">
        <v>1748</v>
      </c>
      <c r="H1796" t="s">
        <v>2279</v>
      </c>
      <c r="I1796">
        <v>8</v>
      </c>
      <c r="J1796" t="s">
        <v>2279</v>
      </c>
      <c r="K1796" t="s">
        <v>2279</v>
      </c>
      <c r="L1796" t="s">
        <v>2279</v>
      </c>
      <c r="M1796" t="s">
        <v>2279</v>
      </c>
      <c r="N1796" t="s">
        <v>2279</v>
      </c>
      <c r="O1796" s="190" t="str">
        <f>"["&amp;$C1796&amp;"]["&amp;$D1796&amp;"]["&amp;$F1796&amp;"]"</f>
        <v>[S08_ScopeExclusion][2][NumberOfInstallations]</v>
      </c>
    </row>
    <row r="1797" spans="1:15" x14ac:dyDescent="0.3">
      <c r="A1797" t="s">
        <v>2277</v>
      </c>
      <c r="B1797" t="s">
        <v>2073</v>
      </c>
      <c r="C1797" t="s">
        <v>2074</v>
      </c>
      <c r="D1797">
        <v>3</v>
      </c>
      <c r="E1797" t="s">
        <v>1447</v>
      </c>
      <c r="F1797" t="s">
        <v>1798</v>
      </c>
      <c r="G1797" t="s">
        <v>1748</v>
      </c>
      <c r="H1797" t="s">
        <v>2279</v>
      </c>
      <c r="I1797">
        <v>0</v>
      </c>
      <c r="J1797" t="s">
        <v>2279</v>
      </c>
      <c r="K1797" t="s">
        <v>2279</v>
      </c>
      <c r="L1797" t="s">
        <v>2279</v>
      </c>
      <c r="M1797" t="s">
        <v>2279</v>
      </c>
      <c r="N1797" t="s">
        <v>2279</v>
      </c>
      <c r="O1797" s="190" t="str">
        <f>"["&amp;$C1797&amp;"]["&amp;$D1797&amp;"]["&amp;$F1797&amp;"]"</f>
        <v>[S08_ScopeExclusion][3][NumberOfInstallations]</v>
      </c>
    </row>
    <row r="1798" spans="1:15" x14ac:dyDescent="0.3">
      <c r="A1798" t="s">
        <v>2277</v>
      </c>
      <c r="B1798" t="s">
        <v>2073</v>
      </c>
      <c r="C1798" t="s">
        <v>2074</v>
      </c>
      <c r="D1798">
        <v>4</v>
      </c>
      <c r="E1798" t="s">
        <v>1447</v>
      </c>
      <c r="F1798" t="s">
        <v>1798</v>
      </c>
      <c r="G1798" t="s">
        <v>1748</v>
      </c>
      <c r="H1798" t="s">
        <v>2279</v>
      </c>
      <c r="I1798">
        <v>0</v>
      </c>
      <c r="J1798" t="s">
        <v>2279</v>
      </c>
      <c r="K1798" t="s">
        <v>2279</v>
      </c>
      <c r="L1798" t="s">
        <v>2279</v>
      </c>
      <c r="M1798" t="s">
        <v>2279</v>
      </c>
      <c r="N1798" t="s">
        <v>2279</v>
      </c>
      <c r="O1798" s="190" t="str">
        <f>"["&amp;$C1798&amp;"]["&amp;$D1798&amp;"]["&amp;$F1798&amp;"]"</f>
        <v>[S08_ScopeExclusion][4][NumberOfInstallations]</v>
      </c>
    </row>
    <row r="1799" spans="1:15" x14ac:dyDescent="0.3">
      <c r="A1799" t="s">
        <v>2277</v>
      </c>
      <c r="B1799" t="s">
        <v>2073</v>
      </c>
      <c r="C1799" t="s">
        <v>2074</v>
      </c>
      <c r="D1799">
        <v>5</v>
      </c>
      <c r="E1799" t="s">
        <v>1447</v>
      </c>
      <c r="F1799" t="s">
        <v>1798</v>
      </c>
      <c r="G1799" t="s">
        <v>1748</v>
      </c>
      <c r="H1799" t="s">
        <v>2279</v>
      </c>
      <c r="I1799">
        <v>0</v>
      </c>
      <c r="J1799" t="s">
        <v>2279</v>
      </c>
      <c r="K1799" t="s">
        <v>2279</v>
      </c>
      <c r="L1799" t="s">
        <v>2279</v>
      </c>
      <c r="M1799" t="s">
        <v>2279</v>
      </c>
      <c r="N1799" t="s">
        <v>2279</v>
      </c>
      <c r="O1799" s="190" t="str">
        <f>"["&amp;$C1799&amp;"]["&amp;$D1799&amp;"]["&amp;$F1799&amp;"]"</f>
        <v>[S08_ScopeExclusion][5][NumberOfInstallations]</v>
      </c>
    </row>
    <row r="1800" spans="1:15" x14ac:dyDescent="0.3">
      <c r="A1800" t="s">
        <v>2277</v>
      </c>
      <c r="B1800" t="s">
        <v>2073</v>
      </c>
      <c r="C1800" t="s">
        <v>2074</v>
      </c>
      <c r="D1800">
        <v>6</v>
      </c>
      <c r="E1800" t="s">
        <v>1419</v>
      </c>
      <c r="F1800" t="s">
        <v>1798</v>
      </c>
      <c r="G1800" t="s">
        <v>1748</v>
      </c>
      <c r="H1800" t="s">
        <v>2279</v>
      </c>
      <c r="I1800">
        <v>0</v>
      </c>
      <c r="J1800" t="s">
        <v>2279</v>
      </c>
      <c r="K1800" t="s">
        <v>2279</v>
      </c>
      <c r="L1800" t="s">
        <v>2279</v>
      </c>
      <c r="M1800" t="s">
        <v>2279</v>
      </c>
      <c r="N1800" t="s">
        <v>2279</v>
      </c>
      <c r="O1800" s="190" t="str">
        <f>"["&amp;$C1800&amp;"]["&amp;$D1800&amp;"]["&amp;$F1800&amp;"]"</f>
        <v>[S08_ScopeExclusion][6][NumberOfInstallations]</v>
      </c>
    </row>
    <row r="1801" spans="1:15" x14ac:dyDescent="0.3">
      <c r="A1801" t="s">
        <v>2277</v>
      </c>
      <c r="B1801" t="s">
        <v>2073</v>
      </c>
      <c r="C1801" t="s">
        <v>2074</v>
      </c>
      <c r="D1801">
        <v>7</v>
      </c>
      <c r="E1801" t="s">
        <v>1419</v>
      </c>
      <c r="F1801" t="s">
        <v>1798</v>
      </c>
      <c r="G1801" t="s">
        <v>1748</v>
      </c>
      <c r="H1801" t="s">
        <v>2279</v>
      </c>
      <c r="I1801">
        <v>0</v>
      </c>
      <c r="J1801" t="s">
        <v>2279</v>
      </c>
      <c r="K1801" t="s">
        <v>2279</v>
      </c>
      <c r="L1801" t="s">
        <v>2279</v>
      </c>
      <c r="M1801" t="s">
        <v>2279</v>
      </c>
      <c r="N1801" t="s">
        <v>2279</v>
      </c>
      <c r="O1801" s="190" t="str">
        <f>"["&amp;$C1801&amp;"]["&amp;$D1801&amp;"]["&amp;$F1801&amp;"]"</f>
        <v>[S08_ScopeExclusion][7][NumberOfInstallations]</v>
      </c>
    </row>
    <row r="1802" spans="1:15" x14ac:dyDescent="0.3">
      <c r="A1802" t="s">
        <v>2277</v>
      </c>
      <c r="B1802" t="s">
        <v>2073</v>
      </c>
      <c r="C1802" t="s">
        <v>2074</v>
      </c>
      <c r="D1802">
        <v>8</v>
      </c>
      <c r="E1802" t="s">
        <v>1419</v>
      </c>
      <c r="F1802" t="s">
        <v>1798</v>
      </c>
      <c r="G1802" t="s">
        <v>1748</v>
      </c>
      <c r="H1802" t="s">
        <v>2279</v>
      </c>
      <c r="I1802">
        <v>0</v>
      </c>
      <c r="J1802" t="s">
        <v>2279</v>
      </c>
      <c r="K1802" t="s">
        <v>2279</v>
      </c>
      <c r="L1802" t="s">
        <v>2279</v>
      </c>
      <c r="M1802" t="s">
        <v>2279</v>
      </c>
      <c r="N1802" t="s">
        <v>2279</v>
      </c>
      <c r="O1802" s="190" t="str">
        <f>"["&amp;$C1802&amp;"]["&amp;$D1802&amp;"]["&amp;$F1802&amp;"]"</f>
        <v>[S08_ScopeExclusion][8][NumberOfInstallations]</v>
      </c>
    </row>
    <row r="1803" spans="1:15" x14ac:dyDescent="0.3">
      <c r="A1803" t="s">
        <v>2277</v>
      </c>
      <c r="B1803" t="s">
        <v>2073</v>
      </c>
      <c r="C1803" t="s">
        <v>2074</v>
      </c>
      <c r="D1803">
        <v>9</v>
      </c>
      <c r="E1803" t="s">
        <v>1419</v>
      </c>
      <c r="F1803" t="s">
        <v>1798</v>
      </c>
      <c r="G1803" t="s">
        <v>1748</v>
      </c>
      <c r="H1803" t="s">
        <v>2279</v>
      </c>
      <c r="I1803">
        <v>0</v>
      </c>
      <c r="J1803" t="s">
        <v>2279</v>
      </c>
      <c r="K1803" t="s">
        <v>2279</v>
      </c>
      <c r="L1803" t="s">
        <v>2279</v>
      </c>
      <c r="M1803" t="s">
        <v>2279</v>
      </c>
      <c r="N1803" t="s">
        <v>2279</v>
      </c>
      <c r="O1803" s="190" t="str">
        <f>"["&amp;$C1803&amp;"]["&amp;$D1803&amp;"]["&amp;$F1803&amp;"]"</f>
        <v>[S08_ScopeExclusion][9][NumberOfInstallations]</v>
      </c>
    </row>
    <row r="1804" spans="1:15" x14ac:dyDescent="0.3">
      <c r="A1804" t="s">
        <v>2277</v>
      </c>
      <c r="B1804" t="s">
        <v>2076</v>
      </c>
      <c r="C1804" t="s">
        <v>2077</v>
      </c>
      <c r="D1804">
        <v>0</v>
      </c>
      <c r="E1804" t="s">
        <v>1447</v>
      </c>
      <c r="F1804" t="s">
        <v>2077</v>
      </c>
      <c r="G1804" t="s">
        <v>1759</v>
      </c>
      <c r="H1804" t="s">
        <v>2279</v>
      </c>
      <c r="I1804" t="s">
        <v>2279</v>
      </c>
      <c r="J1804" t="s">
        <v>2279</v>
      </c>
      <c r="K1804" t="s">
        <v>2279</v>
      </c>
      <c r="L1804" t="s">
        <v>1447</v>
      </c>
      <c r="M1804" t="s">
        <v>2279</v>
      </c>
      <c r="N1804" t="s">
        <v>2279</v>
      </c>
      <c r="O1804" s="190" t="str">
        <f>"["&amp;$C1804&amp;"]["&amp;$D1804&amp;"]["&amp;$F1804&amp;"]"</f>
        <v>[Article10cApplied][0][Article10cApplied]</v>
      </c>
    </row>
    <row r="1805" spans="1:15" x14ac:dyDescent="0.3">
      <c r="A1805" t="s">
        <v>2277</v>
      </c>
      <c r="B1805" t="s">
        <v>2086</v>
      </c>
      <c r="C1805" t="s">
        <v>2087</v>
      </c>
      <c r="D1805">
        <v>0</v>
      </c>
      <c r="E1805" t="s">
        <v>1447</v>
      </c>
      <c r="F1805" t="s">
        <v>2087</v>
      </c>
      <c r="G1805" t="s">
        <v>1759</v>
      </c>
      <c r="H1805" t="s">
        <v>2279</v>
      </c>
      <c r="I1805" t="s">
        <v>2279</v>
      </c>
      <c r="J1805" t="s">
        <v>2279</v>
      </c>
      <c r="K1805" t="s">
        <v>2279</v>
      </c>
      <c r="L1805" t="s">
        <v>1447</v>
      </c>
      <c r="M1805" t="s">
        <v>2279</v>
      </c>
      <c r="N1805" t="s">
        <v>2279</v>
      </c>
      <c r="O1805" s="190" t="str">
        <f>"["&amp;$C1805&amp;"]["&amp;$D1805&amp;"]["&amp;$F1805&amp;"]"</f>
        <v>[AdditionalParametersRequired][0][AdditionalParametersRequired]</v>
      </c>
    </row>
    <row r="1806" spans="1:15" x14ac:dyDescent="0.3">
      <c r="A1806" t="s">
        <v>2277</v>
      </c>
      <c r="B1806" t="s">
        <v>2089</v>
      </c>
      <c r="C1806" t="s">
        <v>2090</v>
      </c>
      <c r="D1806">
        <v>0</v>
      </c>
      <c r="E1806" t="s">
        <v>1447</v>
      </c>
      <c r="F1806" t="s">
        <v>2090</v>
      </c>
      <c r="G1806" t="s">
        <v>1759</v>
      </c>
      <c r="H1806" t="s">
        <v>2279</v>
      </c>
      <c r="I1806" t="s">
        <v>2279</v>
      </c>
      <c r="J1806" t="s">
        <v>2279</v>
      </c>
      <c r="K1806" t="s">
        <v>2279</v>
      </c>
      <c r="L1806" t="s">
        <v>1419</v>
      </c>
      <c r="M1806" t="s">
        <v>2279</v>
      </c>
      <c r="N1806" t="s">
        <v>2279</v>
      </c>
      <c r="O1806" s="190" t="str">
        <f>"["&amp;$C1806&amp;"]["&amp;$D1806&amp;"]["&amp;$F1806&amp;"]"</f>
        <v>[PreliminaryActivityRequired][0][PreliminaryActivityRequired]</v>
      </c>
    </row>
    <row r="1807" spans="1:15" x14ac:dyDescent="0.3">
      <c r="A1807" t="s">
        <v>2277</v>
      </c>
      <c r="B1807" t="s">
        <v>2089</v>
      </c>
      <c r="C1807" t="s">
        <v>2091</v>
      </c>
      <c r="D1807">
        <v>0</v>
      </c>
      <c r="E1807" t="s">
        <v>1447</v>
      </c>
      <c r="F1807" t="s">
        <v>2091</v>
      </c>
      <c r="G1807" t="s">
        <v>1741</v>
      </c>
      <c r="H1807" t="s">
        <v>2519</v>
      </c>
      <c r="I1807" t="s">
        <v>2279</v>
      </c>
      <c r="J1807" t="s">
        <v>2279</v>
      </c>
      <c r="K1807" t="s">
        <v>2279</v>
      </c>
      <c r="L1807" t="s">
        <v>2279</v>
      </c>
      <c r="M1807" t="s">
        <v>2279</v>
      </c>
      <c r="N1807" t="s">
        <v>2279</v>
      </c>
      <c r="O1807" s="190" t="str">
        <f>"["&amp;$C1807&amp;"]["&amp;$D1807&amp;"]["&amp;$F1807&amp;"]"</f>
        <v>[PreliminaryActivityTimeline][0][PreliminaryActivityTimeline]</v>
      </c>
    </row>
    <row r="1808" spans="1:15" x14ac:dyDescent="0.3">
      <c r="A1808" t="s">
        <v>2277</v>
      </c>
      <c r="B1808" t="s">
        <v>2092</v>
      </c>
      <c r="C1808" t="s">
        <v>2093</v>
      </c>
      <c r="D1808">
        <v>1</v>
      </c>
      <c r="E1808" t="s">
        <v>1447</v>
      </c>
      <c r="F1808" t="s">
        <v>1798</v>
      </c>
      <c r="G1808" t="s">
        <v>1748</v>
      </c>
      <c r="H1808" t="s">
        <v>2279</v>
      </c>
      <c r="I1808">
        <v>1</v>
      </c>
      <c r="J1808" t="s">
        <v>2279</v>
      </c>
      <c r="K1808" t="s">
        <v>2279</v>
      </c>
      <c r="L1808" t="s">
        <v>2279</v>
      </c>
      <c r="M1808" t="s">
        <v>2279</v>
      </c>
      <c r="N1808" t="s">
        <v>2279</v>
      </c>
      <c r="O1808" s="190" t="str">
        <f>"["&amp;$C1808&amp;"]["&amp;$D1808&amp;"]["&amp;$F1808&amp;"]"</f>
        <v>[S08_NegativeOpinionActivityData][1][NumberOfInstallations]</v>
      </c>
    </row>
    <row r="1809" spans="1:15" x14ac:dyDescent="0.3">
      <c r="A1809" t="s">
        <v>2277</v>
      </c>
      <c r="B1809" t="s">
        <v>2092</v>
      </c>
      <c r="C1809" t="s">
        <v>2093</v>
      </c>
      <c r="D1809">
        <v>2</v>
      </c>
      <c r="E1809" t="s">
        <v>1447</v>
      </c>
      <c r="F1809" t="s">
        <v>1798</v>
      </c>
      <c r="G1809" t="s">
        <v>1748</v>
      </c>
      <c r="H1809" t="s">
        <v>2279</v>
      </c>
      <c r="I1809">
        <v>6</v>
      </c>
      <c r="J1809" t="s">
        <v>2279</v>
      </c>
      <c r="K1809" t="s">
        <v>2279</v>
      </c>
      <c r="L1809" t="s">
        <v>2279</v>
      </c>
      <c r="M1809" t="s">
        <v>2279</v>
      </c>
      <c r="N1809" t="s">
        <v>2279</v>
      </c>
      <c r="O1809" s="190" t="str">
        <f>"["&amp;$C1809&amp;"]["&amp;$D1809&amp;"]["&amp;$F1809&amp;"]"</f>
        <v>[S08_NegativeOpinionActivityData][2][NumberOfInstallations]</v>
      </c>
    </row>
    <row r="1810" spans="1:15" x14ac:dyDescent="0.3">
      <c r="A1810" t="s">
        <v>2277</v>
      </c>
      <c r="B1810" t="s">
        <v>2092</v>
      </c>
      <c r="C1810" t="s">
        <v>2093</v>
      </c>
      <c r="D1810">
        <v>3</v>
      </c>
      <c r="E1810" t="s">
        <v>1447</v>
      </c>
      <c r="F1810" t="s">
        <v>1798</v>
      </c>
      <c r="G1810" t="s">
        <v>1748</v>
      </c>
      <c r="H1810" t="s">
        <v>2279</v>
      </c>
      <c r="I1810">
        <v>5</v>
      </c>
      <c r="J1810" t="s">
        <v>2279</v>
      </c>
      <c r="K1810" t="s">
        <v>2279</v>
      </c>
      <c r="L1810" t="s">
        <v>2279</v>
      </c>
      <c r="M1810" t="s">
        <v>2279</v>
      </c>
      <c r="N1810" t="s">
        <v>2279</v>
      </c>
      <c r="O1810" s="190" t="str">
        <f>"["&amp;$C1810&amp;"]["&amp;$D1810&amp;"]["&amp;$F1810&amp;"]"</f>
        <v>[S08_NegativeOpinionActivityData][3][NumberOfInstallations]</v>
      </c>
    </row>
    <row r="1811" spans="1:15" x14ac:dyDescent="0.3">
      <c r="A1811" t="s">
        <v>2277</v>
      </c>
      <c r="B1811" t="s">
        <v>2092</v>
      </c>
      <c r="C1811" t="s">
        <v>2093</v>
      </c>
      <c r="D1811">
        <v>4</v>
      </c>
      <c r="E1811" t="s">
        <v>1447</v>
      </c>
      <c r="F1811" t="s">
        <v>1798</v>
      </c>
      <c r="G1811" t="s">
        <v>1748</v>
      </c>
      <c r="H1811" t="s">
        <v>2279</v>
      </c>
      <c r="I1811">
        <v>7</v>
      </c>
      <c r="J1811" t="s">
        <v>2279</v>
      </c>
      <c r="K1811" t="s">
        <v>2279</v>
      </c>
      <c r="L1811" t="s">
        <v>2279</v>
      </c>
      <c r="M1811" t="s">
        <v>2279</v>
      </c>
      <c r="N1811" t="s">
        <v>2279</v>
      </c>
      <c r="O1811" s="190" t="str">
        <f>"["&amp;$C1811&amp;"]["&amp;$D1811&amp;"]["&amp;$F1811&amp;"]"</f>
        <v>[S08_NegativeOpinionActivityData][4][NumberOfInstallations]</v>
      </c>
    </row>
    <row r="1812" spans="1:15" x14ac:dyDescent="0.3">
      <c r="A1812" t="s">
        <v>2277</v>
      </c>
      <c r="B1812" t="s">
        <v>2092</v>
      </c>
      <c r="C1812" t="s">
        <v>2093</v>
      </c>
      <c r="D1812">
        <v>1</v>
      </c>
      <c r="E1812" t="s">
        <v>1447</v>
      </c>
      <c r="F1812" t="s">
        <v>2094</v>
      </c>
      <c r="G1812" t="s">
        <v>1748</v>
      </c>
      <c r="H1812" t="s">
        <v>2279</v>
      </c>
      <c r="I1812">
        <v>1</v>
      </c>
      <c r="J1812" t="s">
        <v>2279</v>
      </c>
      <c r="K1812" t="s">
        <v>2279</v>
      </c>
      <c r="L1812" t="s">
        <v>2279</v>
      </c>
      <c r="M1812" t="s">
        <v>2279</v>
      </c>
      <c r="N1812" t="s">
        <v>2279</v>
      </c>
      <c r="O1812" s="190" t="str">
        <f>"["&amp;$C1812&amp;"]["&amp;$D1812&amp;"]["&amp;$F1812&amp;"]"</f>
        <v>[S08_NegativeOpinionActivityData][1][NumberOfInstallationsConEst]</v>
      </c>
    </row>
    <row r="1813" spans="1:15" x14ac:dyDescent="0.3">
      <c r="A1813" t="s">
        <v>2277</v>
      </c>
      <c r="B1813" t="s">
        <v>2092</v>
      </c>
      <c r="C1813" t="s">
        <v>2093</v>
      </c>
      <c r="D1813">
        <v>2</v>
      </c>
      <c r="E1813" t="s">
        <v>1447</v>
      </c>
      <c r="F1813" t="s">
        <v>2094</v>
      </c>
      <c r="G1813" t="s">
        <v>1748</v>
      </c>
      <c r="H1813" t="s">
        <v>2279</v>
      </c>
      <c r="I1813">
        <v>1</v>
      </c>
      <c r="J1813" t="s">
        <v>2279</v>
      </c>
      <c r="K1813" t="s">
        <v>2279</v>
      </c>
      <c r="L1813" t="s">
        <v>2279</v>
      </c>
      <c r="M1813" t="s">
        <v>2279</v>
      </c>
      <c r="N1813" t="s">
        <v>2279</v>
      </c>
      <c r="O1813" s="190" t="str">
        <f>"["&amp;$C1813&amp;"]["&amp;$D1813&amp;"]["&amp;$F1813&amp;"]"</f>
        <v>[S08_NegativeOpinionActivityData][2][NumberOfInstallationsConEst]</v>
      </c>
    </row>
    <row r="1814" spans="1:15" x14ac:dyDescent="0.3">
      <c r="A1814" t="s">
        <v>2277</v>
      </c>
      <c r="B1814" t="s">
        <v>2092</v>
      </c>
      <c r="C1814" t="s">
        <v>2093</v>
      </c>
      <c r="D1814">
        <v>3</v>
      </c>
      <c r="E1814" t="s">
        <v>1447</v>
      </c>
      <c r="F1814" t="s">
        <v>2094</v>
      </c>
      <c r="G1814" t="s">
        <v>1748</v>
      </c>
      <c r="H1814" t="s">
        <v>2279</v>
      </c>
      <c r="I1814">
        <v>0</v>
      </c>
      <c r="J1814" t="s">
        <v>2279</v>
      </c>
      <c r="K1814" t="s">
        <v>2279</v>
      </c>
      <c r="L1814" t="s">
        <v>2279</v>
      </c>
      <c r="M1814" t="s">
        <v>2279</v>
      </c>
      <c r="N1814" t="s">
        <v>2279</v>
      </c>
      <c r="O1814" s="190" t="str">
        <f>"["&amp;$C1814&amp;"]["&amp;$D1814&amp;"]["&amp;$F1814&amp;"]"</f>
        <v>[S08_NegativeOpinionActivityData][3][NumberOfInstallationsConEst]</v>
      </c>
    </row>
    <row r="1815" spans="1:15" x14ac:dyDescent="0.3">
      <c r="A1815" t="s">
        <v>2277</v>
      </c>
      <c r="B1815" t="s">
        <v>2092</v>
      </c>
      <c r="C1815" t="s">
        <v>2093</v>
      </c>
      <c r="D1815">
        <v>4</v>
      </c>
      <c r="E1815" t="s">
        <v>1447</v>
      </c>
      <c r="F1815" t="s">
        <v>2094</v>
      </c>
      <c r="G1815" t="s">
        <v>1748</v>
      </c>
      <c r="H1815" t="s">
        <v>2279</v>
      </c>
      <c r="I1815">
        <v>2</v>
      </c>
      <c r="J1815" t="s">
        <v>2279</v>
      </c>
      <c r="K1815" t="s">
        <v>2279</v>
      </c>
      <c r="L1815" t="s">
        <v>2279</v>
      </c>
      <c r="M1815" t="s">
        <v>2279</v>
      </c>
      <c r="N1815" t="s">
        <v>2279</v>
      </c>
      <c r="O1815" s="190" t="str">
        <f>"["&amp;$C1815&amp;"]["&amp;$D1815&amp;"]["&amp;$F1815&amp;"]"</f>
        <v>[S08_NegativeOpinionActivityData][4][NumberOfInstallationsConEst]</v>
      </c>
    </row>
    <row r="1816" spans="1:15" x14ac:dyDescent="0.3">
      <c r="A1816" t="s">
        <v>2277</v>
      </c>
      <c r="B1816" t="s">
        <v>2092</v>
      </c>
      <c r="C1816" t="s">
        <v>2095</v>
      </c>
      <c r="D1816">
        <v>0</v>
      </c>
      <c r="E1816" t="s">
        <v>1447</v>
      </c>
      <c r="F1816" t="s">
        <v>2095</v>
      </c>
      <c r="G1816" t="s">
        <v>1759</v>
      </c>
      <c r="H1816" t="s">
        <v>2279</v>
      </c>
      <c r="I1816" t="s">
        <v>2279</v>
      </c>
      <c r="J1816" t="s">
        <v>2279</v>
      </c>
      <c r="K1816" t="s">
        <v>2279</v>
      </c>
      <c r="L1816" t="s">
        <v>1419</v>
      </c>
      <c r="M1816" t="s">
        <v>2279</v>
      </c>
      <c r="N1816" t="s">
        <v>2279</v>
      </c>
      <c r="O1816" s="190" t="str">
        <f>"["&amp;$C1816&amp;"]["&amp;$D1816&amp;"]["&amp;$F1816&amp;"]"</f>
        <v>[ActivityDataIssues][0][ActivityDataIssues]</v>
      </c>
    </row>
    <row r="1817" spans="1:15" x14ac:dyDescent="0.3">
      <c r="A1817" t="s">
        <v>2277</v>
      </c>
      <c r="B1817" t="s">
        <v>2096</v>
      </c>
      <c r="C1817" t="s">
        <v>2097</v>
      </c>
      <c r="D1817">
        <v>1</v>
      </c>
      <c r="E1817" t="s">
        <v>1447</v>
      </c>
      <c r="F1817" t="s">
        <v>1988</v>
      </c>
      <c r="G1817" t="s">
        <v>1737</v>
      </c>
      <c r="H1817" t="s">
        <v>2279</v>
      </c>
      <c r="I1817" t="s">
        <v>2279</v>
      </c>
      <c r="J1817" t="s">
        <v>2279</v>
      </c>
      <c r="K1817" t="s">
        <v>2279</v>
      </c>
      <c r="L1817" t="s">
        <v>1420</v>
      </c>
      <c r="M1817" t="s">
        <v>2279</v>
      </c>
      <c r="N1817" t="s">
        <v>2279</v>
      </c>
      <c r="O1817" s="190" t="str">
        <f>"["&amp;$C1817&amp;"]["&amp;$D1817&amp;"]["&amp;$F1817&amp;"]"</f>
        <v>[S08_ActivityDataIssuesDetail][1][AnnexIActivity]</v>
      </c>
    </row>
    <row r="1818" spans="1:15" x14ac:dyDescent="0.3">
      <c r="A1818" t="s">
        <v>2277</v>
      </c>
      <c r="B1818" t="s">
        <v>2096</v>
      </c>
      <c r="C1818" t="s">
        <v>2097</v>
      </c>
      <c r="D1818">
        <v>2</v>
      </c>
      <c r="E1818" t="s">
        <v>1447</v>
      </c>
      <c r="F1818" t="s">
        <v>1988</v>
      </c>
      <c r="G1818" t="s">
        <v>1737</v>
      </c>
      <c r="H1818" t="s">
        <v>2279</v>
      </c>
      <c r="I1818" t="s">
        <v>2279</v>
      </c>
      <c r="J1818" t="s">
        <v>2279</v>
      </c>
      <c r="K1818" t="s">
        <v>2279</v>
      </c>
      <c r="L1818" t="s">
        <v>1592</v>
      </c>
      <c r="M1818" t="s">
        <v>2279</v>
      </c>
      <c r="N1818" t="s">
        <v>2279</v>
      </c>
      <c r="O1818" s="190" t="str">
        <f>"["&amp;$C1818&amp;"]["&amp;$D1818&amp;"]["&amp;$F1818&amp;"]"</f>
        <v>[S08_ActivityDataIssuesDetail][2][AnnexIActivity]</v>
      </c>
    </row>
    <row r="1819" spans="1:15" x14ac:dyDescent="0.3">
      <c r="A1819" t="s">
        <v>2277</v>
      </c>
      <c r="B1819" t="s">
        <v>2096</v>
      </c>
      <c r="C1819" t="s">
        <v>2097</v>
      </c>
      <c r="D1819">
        <v>3</v>
      </c>
      <c r="E1819" t="s">
        <v>1447</v>
      </c>
      <c r="F1819" t="s">
        <v>1988</v>
      </c>
      <c r="G1819" t="s">
        <v>1737</v>
      </c>
      <c r="H1819" t="s">
        <v>2279</v>
      </c>
      <c r="I1819" t="s">
        <v>2279</v>
      </c>
      <c r="J1819" t="s">
        <v>2279</v>
      </c>
      <c r="K1819" t="s">
        <v>2279</v>
      </c>
      <c r="L1819" t="s">
        <v>1573</v>
      </c>
      <c r="M1819" t="s">
        <v>2279</v>
      </c>
      <c r="N1819" t="s">
        <v>2279</v>
      </c>
      <c r="O1819" s="190" t="str">
        <f>"["&amp;$C1819&amp;"]["&amp;$D1819&amp;"]["&amp;$F1819&amp;"]"</f>
        <v>[S08_ActivityDataIssuesDetail][3][AnnexIActivity]</v>
      </c>
    </row>
    <row r="1820" spans="1:15" x14ac:dyDescent="0.3">
      <c r="A1820" t="s">
        <v>2277</v>
      </c>
      <c r="B1820" t="s">
        <v>2096</v>
      </c>
      <c r="C1820" t="s">
        <v>2097</v>
      </c>
      <c r="D1820">
        <v>4</v>
      </c>
      <c r="E1820" t="s">
        <v>1447</v>
      </c>
      <c r="F1820" t="s">
        <v>1988</v>
      </c>
      <c r="G1820" t="s">
        <v>1737</v>
      </c>
      <c r="H1820" t="s">
        <v>2279</v>
      </c>
      <c r="I1820" t="s">
        <v>2279</v>
      </c>
      <c r="J1820" t="s">
        <v>2279</v>
      </c>
      <c r="K1820" t="s">
        <v>2279</v>
      </c>
      <c r="L1820" t="s">
        <v>1597</v>
      </c>
      <c r="M1820" t="s">
        <v>2279</v>
      </c>
      <c r="N1820" t="s">
        <v>2279</v>
      </c>
      <c r="O1820" s="190" t="str">
        <f>"["&amp;$C1820&amp;"]["&amp;$D1820&amp;"]["&amp;$F1820&amp;"]"</f>
        <v>[S08_ActivityDataIssuesDetail][4][AnnexIActivity]</v>
      </c>
    </row>
    <row r="1821" spans="1:15" x14ac:dyDescent="0.3">
      <c r="A1821" t="s">
        <v>2277</v>
      </c>
      <c r="B1821" t="s">
        <v>2096</v>
      </c>
      <c r="C1821" t="s">
        <v>2097</v>
      </c>
      <c r="D1821">
        <v>5</v>
      </c>
      <c r="E1821" t="s">
        <v>1447</v>
      </c>
      <c r="F1821" t="s">
        <v>1988</v>
      </c>
      <c r="G1821" t="s">
        <v>1737</v>
      </c>
      <c r="H1821" t="s">
        <v>2279</v>
      </c>
      <c r="I1821" t="s">
        <v>2279</v>
      </c>
      <c r="J1821" t="s">
        <v>2279</v>
      </c>
      <c r="K1821" t="s">
        <v>2279</v>
      </c>
      <c r="L1821" t="s">
        <v>1577</v>
      </c>
      <c r="M1821" t="s">
        <v>2279</v>
      </c>
      <c r="N1821" t="s">
        <v>2279</v>
      </c>
      <c r="O1821" s="190" t="str">
        <f>"["&amp;$C1821&amp;"]["&amp;$D1821&amp;"]["&amp;$F1821&amp;"]"</f>
        <v>[S08_ActivityDataIssuesDetail][5][AnnexIActivity]</v>
      </c>
    </row>
    <row r="1822" spans="1:15" x14ac:dyDescent="0.3">
      <c r="A1822" t="s">
        <v>2277</v>
      </c>
      <c r="B1822" t="s">
        <v>2096</v>
      </c>
      <c r="C1822" t="s">
        <v>2097</v>
      </c>
      <c r="D1822">
        <v>6</v>
      </c>
      <c r="E1822" t="s">
        <v>1447</v>
      </c>
      <c r="F1822" t="s">
        <v>1988</v>
      </c>
      <c r="G1822" t="s">
        <v>1737</v>
      </c>
      <c r="H1822" t="s">
        <v>2279</v>
      </c>
      <c r="I1822" t="s">
        <v>2279</v>
      </c>
      <c r="J1822" t="s">
        <v>2279</v>
      </c>
      <c r="K1822" t="s">
        <v>2279</v>
      </c>
      <c r="L1822" t="s">
        <v>1568</v>
      </c>
      <c r="M1822" t="s">
        <v>2279</v>
      </c>
      <c r="N1822" t="s">
        <v>2279</v>
      </c>
      <c r="O1822" s="190" t="str">
        <f>"["&amp;$C1822&amp;"]["&amp;$D1822&amp;"]["&amp;$F1822&amp;"]"</f>
        <v>[S08_ActivityDataIssuesDetail][6][AnnexIActivity]</v>
      </c>
    </row>
    <row r="1823" spans="1:15" x14ac:dyDescent="0.3">
      <c r="A1823" t="s">
        <v>2277</v>
      </c>
      <c r="B1823" t="s">
        <v>2096</v>
      </c>
      <c r="C1823" t="s">
        <v>2097</v>
      </c>
      <c r="D1823">
        <v>7</v>
      </c>
      <c r="E1823" t="s">
        <v>1447</v>
      </c>
      <c r="F1823" t="s">
        <v>1988</v>
      </c>
      <c r="G1823" t="s">
        <v>1737</v>
      </c>
      <c r="H1823" t="s">
        <v>2279</v>
      </c>
      <c r="I1823" t="s">
        <v>2279</v>
      </c>
      <c r="J1823" t="s">
        <v>2279</v>
      </c>
      <c r="K1823" t="s">
        <v>2279</v>
      </c>
      <c r="L1823" t="s">
        <v>1607</v>
      </c>
      <c r="M1823" t="s">
        <v>2279</v>
      </c>
      <c r="N1823" t="s">
        <v>2279</v>
      </c>
      <c r="O1823" s="190" t="str">
        <f>"["&amp;$C1823&amp;"]["&amp;$D1823&amp;"]["&amp;$F1823&amp;"]"</f>
        <v>[S08_ActivityDataIssuesDetail][7][AnnexIActivity]</v>
      </c>
    </row>
    <row r="1824" spans="1:15" x14ac:dyDescent="0.3">
      <c r="A1824" t="s">
        <v>2277</v>
      </c>
      <c r="B1824" t="s">
        <v>2096</v>
      </c>
      <c r="C1824" t="s">
        <v>2097</v>
      </c>
      <c r="D1824">
        <v>8</v>
      </c>
      <c r="E1824" t="s">
        <v>1447</v>
      </c>
      <c r="F1824" t="s">
        <v>1988</v>
      </c>
      <c r="G1824" t="s">
        <v>1737</v>
      </c>
      <c r="H1824" t="s">
        <v>2279</v>
      </c>
      <c r="I1824" t="s">
        <v>2279</v>
      </c>
      <c r="J1824" t="s">
        <v>2279</v>
      </c>
      <c r="K1824" t="s">
        <v>2279</v>
      </c>
      <c r="L1824" t="s">
        <v>1518</v>
      </c>
      <c r="M1824" t="s">
        <v>2279</v>
      </c>
      <c r="N1824" t="s">
        <v>2279</v>
      </c>
      <c r="O1824" s="190" t="str">
        <f>"["&amp;$C1824&amp;"]["&amp;$D1824&amp;"]["&amp;$F1824&amp;"]"</f>
        <v>[S08_ActivityDataIssuesDetail][8][AnnexIActivity]</v>
      </c>
    </row>
    <row r="1825" spans="1:15" x14ac:dyDescent="0.3">
      <c r="A1825" t="s">
        <v>2277</v>
      </c>
      <c r="B1825" t="s">
        <v>2096</v>
      </c>
      <c r="C1825" t="s">
        <v>2097</v>
      </c>
      <c r="D1825">
        <v>9</v>
      </c>
      <c r="E1825" t="s">
        <v>1447</v>
      </c>
      <c r="F1825" t="s">
        <v>1988</v>
      </c>
      <c r="G1825" t="s">
        <v>1737</v>
      </c>
      <c r="H1825" t="s">
        <v>2279</v>
      </c>
      <c r="I1825" t="s">
        <v>2279</v>
      </c>
      <c r="J1825" t="s">
        <v>2279</v>
      </c>
      <c r="K1825" t="s">
        <v>2279</v>
      </c>
      <c r="L1825" t="s">
        <v>1562</v>
      </c>
      <c r="M1825" t="s">
        <v>2279</v>
      </c>
      <c r="N1825" t="s">
        <v>2279</v>
      </c>
      <c r="O1825" s="190" t="str">
        <f>"["&amp;$C1825&amp;"]["&amp;$D1825&amp;"]["&amp;$F1825&amp;"]"</f>
        <v>[S08_ActivityDataIssuesDetail][9][AnnexIActivity]</v>
      </c>
    </row>
    <row r="1826" spans="1:15" x14ac:dyDescent="0.3">
      <c r="A1826" t="s">
        <v>2277</v>
      </c>
      <c r="B1826" t="s">
        <v>2096</v>
      </c>
      <c r="C1826" t="s">
        <v>2097</v>
      </c>
      <c r="D1826">
        <v>10</v>
      </c>
      <c r="E1826" t="s">
        <v>1447</v>
      </c>
      <c r="F1826" t="s">
        <v>1988</v>
      </c>
      <c r="G1826" t="s">
        <v>1737</v>
      </c>
      <c r="H1826" t="s">
        <v>2279</v>
      </c>
      <c r="I1826" t="s">
        <v>2279</v>
      </c>
      <c r="J1826" t="s">
        <v>2279</v>
      </c>
      <c r="K1826" t="s">
        <v>2279</v>
      </c>
      <c r="L1826" t="s">
        <v>1582</v>
      </c>
      <c r="M1826" t="s">
        <v>2279</v>
      </c>
      <c r="N1826" t="s">
        <v>2279</v>
      </c>
      <c r="O1826" s="190" t="str">
        <f>"["&amp;$C1826&amp;"]["&amp;$D1826&amp;"]["&amp;$F1826&amp;"]"</f>
        <v>[S08_ActivityDataIssuesDetail][10][AnnexIActivity]</v>
      </c>
    </row>
    <row r="1827" spans="1:15" x14ac:dyDescent="0.3">
      <c r="A1827" t="s">
        <v>2277</v>
      </c>
      <c r="B1827" t="s">
        <v>2096</v>
      </c>
      <c r="C1827" t="s">
        <v>2097</v>
      </c>
      <c r="D1827">
        <v>11</v>
      </c>
      <c r="E1827" t="s">
        <v>1447</v>
      </c>
      <c r="F1827" t="s">
        <v>1988</v>
      </c>
      <c r="G1827" t="s">
        <v>1737</v>
      </c>
      <c r="H1827" t="s">
        <v>2279</v>
      </c>
      <c r="I1827" t="s">
        <v>2279</v>
      </c>
      <c r="J1827" t="s">
        <v>2279</v>
      </c>
      <c r="K1827" t="s">
        <v>2279</v>
      </c>
      <c r="L1827" t="s">
        <v>1448</v>
      </c>
      <c r="M1827" t="s">
        <v>2279</v>
      </c>
      <c r="N1827" t="s">
        <v>2279</v>
      </c>
      <c r="O1827" s="190" t="str">
        <f>"["&amp;$C1827&amp;"]["&amp;$D1827&amp;"]["&amp;$F1827&amp;"]"</f>
        <v>[S08_ActivityDataIssuesDetail][11][AnnexIActivity]</v>
      </c>
    </row>
    <row r="1828" spans="1:15" x14ac:dyDescent="0.3">
      <c r="A1828" t="s">
        <v>2277</v>
      </c>
      <c r="B1828" t="s">
        <v>2096</v>
      </c>
      <c r="C1828" t="s">
        <v>2097</v>
      </c>
      <c r="D1828">
        <v>12</v>
      </c>
      <c r="E1828" t="s">
        <v>1447</v>
      </c>
      <c r="F1828" t="s">
        <v>1988</v>
      </c>
      <c r="G1828" t="s">
        <v>1737</v>
      </c>
      <c r="H1828" t="s">
        <v>2279</v>
      </c>
      <c r="I1828" t="s">
        <v>2279</v>
      </c>
      <c r="J1828" t="s">
        <v>2279</v>
      </c>
      <c r="K1828" t="s">
        <v>2279</v>
      </c>
      <c r="L1828" t="s">
        <v>1622</v>
      </c>
      <c r="M1828" t="s">
        <v>2279</v>
      </c>
      <c r="N1828" t="s">
        <v>2279</v>
      </c>
      <c r="O1828" s="190" t="str">
        <f>"["&amp;$C1828&amp;"]["&amp;$D1828&amp;"]["&amp;$F1828&amp;"]"</f>
        <v>[S08_ActivityDataIssuesDetail][12][AnnexIActivity]</v>
      </c>
    </row>
    <row r="1829" spans="1:15" x14ac:dyDescent="0.3">
      <c r="A1829" t="s">
        <v>2277</v>
      </c>
      <c r="B1829" t="s">
        <v>2096</v>
      </c>
      <c r="C1829" t="s">
        <v>2097</v>
      </c>
      <c r="D1829">
        <v>13</v>
      </c>
      <c r="E1829" t="s">
        <v>1447</v>
      </c>
      <c r="F1829" t="s">
        <v>1988</v>
      </c>
      <c r="G1829" t="s">
        <v>1737</v>
      </c>
      <c r="H1829" t="s">
        <v>2279</v>
      </c>
      <c r="I1829" t="s">
        <v>2279</v>
      </c>
      <c r="J1829" t="s">
        <v>2279</v>
      </c>
      <c r="K1829" t="s">
        <v>2279</v>
      </c>
      <c r="L1829" t="s">
        <v>1626</v>
      </c>
      <c r="M1829" t="s">
        <v>2279</v>
      </c>
      <c r="N1829" t="s">
        <v>2279</v>
      </c>
      <c r="O1829" s="190" t="str">
        <f>"["&amp;$C1829&amp;"]["&amp;$D1829&amp;"]["&amp;$F1829&amp;"]"</f>
        <v>[S08_ActivityDataIssuesDetail][13][AnnexIActivity]</v>
      </c>
    </row>
    <row r="1830" spans="1:15" x14ac:dyDescent="0.3">
      <c r="A1830" t="s">
        <v>2277</v>
      </c>
      <c r="B1830" t="s">
        <v>2096</v>
      </c>
      <c r="C1830" t="s">
        <v>2097</v>
      </c>
      <c r="D1830">
        <v>14</v>
      </c>
      <c r="E1830" t="s">
        <v>1447</v>
      </c>
      <c r="F1830" t="s">
        <v>1988</v>
      </c>
      <c r="G1830" t="s">
        <v>1737</v>
      </c>
      <c r="H1830" t="s">
        <v>2279</v>
      </c>
      <c r="I1830" t="s">
        <v>2279</v>
      </c>
      <c r="J1830" t="s">
        <v>2279</v>
      </c>
      <c r="K1830" t="s">
        <v>2279</v>
      </c>
      <c r="L1830" t="s">
        <v>1631</v>
      </c>
      <c r="M1830" t="s">
        <v>2279</v>
      </c>
      <c r="N1830" t="s">
        <v>2279</v>
      </c>
      <c r="O1830" s="190" t="str">
        <f>"["&amp;$C1830&amp;"]["&amp;$D1830&amp;"]["&amp;$F1830&amp;"]"</f>
        <v>[S08_ActivityDataIssuesDetail][14][AnnexIActivity]</v>
      </c>
    </row>
    <row r="1831" spans="1:15" x14ac:dyDescent="0.3">
      <c r="A1831" t="s">
        <v>2277</v>
      </c>
      <c r="B1831" t="s">
        <v>2096</v>
      </c>
      <c r="C1831" t="s">
        <v>2097</v>
      </c>
      <c r="D1831">
        <v>15</v>
      </c>
      <c r="E1831" t="s">
        <v>1447</v>
      </c>
      <c r="F1831" t="s">
        <v>1988</v>
      </c>
      <c r="G1831" t="s">
        <v>1737</v>
      </c>
      <c r="H1831" t="s">
        <v>2279</v>
      </c>
      <c r="I1831" t="s">
        <v>2279</v>
      </c>
      <c r="J1831" t="s">
        <v>2279</v>
      </c>
      <c r="K1831" t="s">
        <v>2279</v>
      </c>
      <c r="L1831" t="s">
        <v>1502</v>
      </c>
      <c r="M1831" t="s">
        <v>2279</v>
      </c>
      <c r="N1831" t="s">
        <v>2279</v>
      </c>
      <c r="O1831" s="190" t="str">
        <f>"["&amp;$C1831&amp;"]["&amp;$D1831&amp;"]["&amp;$F1831&amp;"]"</f>
        <v>[S08_ActivityDataIssuesDetail][15][AnnexIActivity]</v>
      </c>
    </row>
    <row r="1832" spans="1:15" x14ac:dyDescent="0.3">
      <c r="A1832" t="s">
        <v>2277</v>
      </c>
      <c r="B1832" t="s">
        <v>2096</v>
      </c>
      <c r="C1832" t="s">
        <v>2097</v>
      </c>
      <c r="D1832">
        <v>16</v>
      </c>
      <c r="E1832" t="s">
        <v>1447</v>
      </c>
      <c r="F1832" t="s">
        <v>1988</v>
      </c>
      <c r="G1832" t="s">
        <v>1737</v>
      </c>
      <c r="H1832" t="s">
        <v>2279</v>
      </c>
      <c r="I1832" t="s">
        <v>2279</v>
      </c>
      <c r="J1832" t="s">
        <v>2279</v>
      </c>
      <c r="K1832" t="s">
        <v>2279</v>
      </c>
      <c r="L1832" t="s">
        <v>1612</v>
      </c>
      <c r="M1832" t="s">
        <v>2279</v>
      </c>
      <c r="N1832" t="s">
        <v>2279</v>
      </c>
      <c r="O1832" s="190" t="str">
        <f>"["&amp;$C1832&amp;"]["&amp;$D1832&amp;"]["&amp;$F1832&amp;"]"</f>
        <v>[S08_ActivityDataIssuesDetail][16][AnnexIActivity]</v>
      </c>
    </row>
    <row r="1833" spans="1:15" x14ac:dyDescent="0.3">
      <c r="A1833" t="s">
        <v>2277</v>
      </c>
      <c r="B1833" t="s">
        <v>2096</v>
      </c>
      <c r="C1833" t="s">
        <v>2097</v>
      </c>
      <c r="D1833">
        <v>17</v>
      </c>
      <c r="E1833" t="s">
        <v>1447</v>
      </c>
      <c r="F1833" t="s">
        <v>1988</v>
      </c>
      <c r="G1833" t="s">
        <v>1737</v>
      </c>
      <c r="H1833" t="s">
        <v>2279</v>
      </c>
      <c r="I1833" t="s">
        <v>2279</v>
      </c>
      <c r="J1833" t="s">
        <v>2279</v>
      </c>
      <c r="K1833" t="s">
        <v>2279</v>
      </c>
      <c r="L1833" t="s">
        <v>1549</v>
      </c>
      <c r="M1833" t="s">
        <v>2279</v>
      </c>
      <c r="N1833" t="s">
        <v>2279</v>
      </c>
      <c r="O1833" s="190" t="str">
        <f>"["&amp;$C1833&amp;"]["&amp;$D1833&amp;"]["&amp;$F1833&amp;"]"</f>
        <v>[S08_ActivityDataIssuesDetail][17][AnnexIActivity]</v>
      </c>
    </row>
    <row r="1834" spans="1:15" x14ac:dyDescent="0.3">
      <c r="A1834" t="s">
        <v>2277</v>
      </c>
      <c r="B1834" t="s">
        <v>2096</v>
      </c>
      <c r="C1834" t="s">
        <v>2097</v>
      </c>
      <c r="D1834">
        <v>18</v>
      </c>
      <c r="E1834" t="s">
        <v>1447</v>
      </c>
      <c r="F1834" t="s">
        <v>1988</v>
      </c>
      <c r="G1834" t="s">
        <v>1737</v>
      </c>
      <c r="H1834" t="s">
        <v>2279</v>
      </c>
      <c r="I1834" t="s">
        <v>2279</v>
      </c>
      <c r="J1834" t="s">
        <v>2279</v>
      </c>
      <c r="K1834" t="s">
        <v>2279</v>
      </c>
      <c r="L1834" t="s">
        <v>1587</v>
      </c>
      <c r="M1834" t="s">
        <v>2279</v>
      </c>
      <c r="N1834" t="s">
        <v>2279</v>
      </c>
      <c r="O1834" s="190" t="str">
        <f>"["&amp;$C1834&amp;"]["&amp;$D1834&amp;"]["&amp;$F1834&amp;"]"</f>
        <v>[S08_ActivityDataIssuesDetail][18][AnnexIActivity]</v>
      </c>
    </row>
    <row r="1835" spans="1:15" x14ac:dyDescent="0.3">
      <c r="A1835" t="s">
        <v>2277</v>
      </c>
      <c r="B1835" t="s">
        <v>2096</v>
      </c>
      <c r="C1835" t="s">
        <v>2097</v>
      </c>
      <c r="D1835">
        <v>19</v>
      </c>
      <c r="E1835" t="s">
        <v>1447</v>
      </c>
      <c r="F1835" t="s">
        <v>1988</v>
      </c>
      <c r="G1835" t="s">
        <v>1737</v>
      </c>
      <c r="H1835" t="s">
        <v>2279</v>
      </c>
      <c r="I1835" t="s">
        <v>2279</v>
      </c>
      <c r="J1835" t="s">
        <v>2279</v>
      </c>
      <c r="K1835" t="s">
        <v>2279</v>
      </c>
      <c r="L1835" t="s">
        <v>1636</v>
      </c>
      <c r="M1835" t="s">
        <v>2279</v>
      </c>
      <c r="N1835" t="s">
        <v>2279</v>
      </c>
      <c r="O1835" s="190" t="str">
        <f>"["&amp;$C1835&amp;"]["&amp;$D1835&amp;"]["&amp;$F1835&amp;"]"</f>
        <v>[S08_ActivityDataIssuesDetail][19][AnnexIActivity]</v>
      </c>
    </row>
    <row r="1836" spans="1:15" x14ac:dyDescent="0.3">
      <c r="A1836" t="s">
        <v>2277</v>
      </c>
      <c r="B1836" t="s">
        <v>2096</v>
      </c>
      <c r="C1836" t="s">
        <v>2097</v>
      </c>
      <c r="D1836">
        <v>20</v>
      </c>
      <c r="E1836" t="s">
        <v>1447</v>
      </c>
      <c r="F1836" t="s">
        <v>1988</v>
      </c>
      <c r="G1836" t="s">
        <v>1737</v>
      </c>
      <c r="H1836" t="s">
        <v>2279</v>
      </c>
      <c r="I1836" t="s">
        <v>2279</v>
      </c>
      <c r="J1836" t="s">
        <v>2279</v>
      </c>
      <c r="K1836" t="s">
        <v>2279</v>
      </c>
      <c r="L1836" t="s">
        <v>1478</v>
      </c>
      <c r="M1836" t="s">
        <v>2279</v>
      </c>
      <c r="N1836" t="s">
        <v>2279</v>
      </c>
      <c r="O1836" s="190" t="str">
        <f>"["&amp;$C1836&amp;"]["&amp;$D1836&amp;"]["&amp;$F1836&amp;"]"</f>
        <v>[S08_ActivityDataIssuesDetail][20][AnnexIActivity]</v>
      </c>
    </row>
    <row r="1837" spans="1:15" x14ac:dyDescent="0.3">
      <c r="A1837" t="s">
        <v>2277</v>
      </c>
      <c r="B1837" t="s">
        <v>2096</v>
      </c>
      <c r="C1837" t="s">
        <v>2097</v>
      </c>
      <c r="D1837">
        <v>21</v>
      </c>
      <c r="E1837" t="s">
        <v>1447</v>
      </c>
      <c r="F1837" t="s">
        <v>1988</v>
      </c>
      <c r="G1837" t="s">
        <v>1737</v>
      </c>
      <c r="H1837" t="s">
        <v>2279</v>
      </c>
      <c r="I1837" t="s">
        <v>2279</v>
      </c>
      <c r="J1837" t="s">
        <v>2279</v>
      </c>
      <c r="K1837" t="s">
        <v>2279</v>
      </c>
      <c r="L1837" t="s">
        <v>1420</v>
      </c>
      <c r="M1837" t="s">
        <v>2279</v>
      </c>
      <c r="N1837" t="s">
        <v>2279</v>
      </c>
      <c r="O1837" s="190" t="str">
        <f>"["&amp;$C1837&amp;"]["&amp;$D1837&amp;"]["&amp;$F1837&amp;"]"</f>
        <v>[S08_ActivityDataIssuesDetail][21][AnnexIActivity]</v>
      </c>
    </row>
    <row r="1838" spans="1:15" x14ac:dyDescent="0.3">
      <c r="A1838" t="s">
        <v>2277</v>
      </c>
      <c r="B1838" t="s">
        <v>2096</v>
      </c>
      <c r="C1838" t="s">
        <v>2097</v>
      </c>
      <c r="D1838">
        <v>22</v>
      </c>
      <c r="E1838" t="s">
        <v>1447</v>
      </c>
      <c r="F1838" t="s">
        <v>1988</v>
      </c>
      <c r="G1838" t="s">
        <v>1737</v>
      </c>
      <c r="H1838" t="s">
        <v>2279</v>
      </c>
      <c r="I1838" t="s">
        <v>2279</v>
      </c>
      <c r="J1838" t="s">
        <v>2279</v>
      </c>
      <c r="K1838" t="s">
        <v>2279</v>
      </c>
      <c r="L1838" t="s">
        <v>1592</v>
      </c>
      <c r="M1838" t="s">
        <v>2279</v>
      </c>
      <c r="N1838" t="s">
        <v>2279</v>
      </c>
      <c r="O1838" s="190" t="str">
        <f>"["&amp;$C1838&amp;"]["&amp;$D1838&amp;"]["&amp;$F1838&amp;"]"</f>
        <v>[S08_ActivityDataIssuesDetail][22][AnnexIActivity]</v>
      </c>
    </row>
    <row r="1839" spans="1:15" x14ac:dyDescent="0.3">
      <c r="A1839" t="s">
        <v>2277</v>
      </c>
      <c r="B1839" t="s">
        <v>2096</v>
      </c>
      <c r="C1839" t="s">
        <v>2097</v>
      </c>
      <c r="D1839">
        <v>23</v>
      </c>
      <c r="E1839" t="s">
        <v>1447</v>
      </c>
      <c r="F1839" t="s">
        <v>1988</v>
      </c>
      <c r="G1839" t="s">
        <v>1737</v>
      </c>
      <c r="H1839" t="s">
        <v>2279</v>
      </c>
      <c r="I1839" t="s">
        <v>2279</v>
      </c>
      <c r="J1839" t="s">
        <v>2279</v>
      </c>
      <c r="K1839" t="s">
        <v>2279</v>
      </c>
      <c r="L1839" t="s">
        <v>1573</v>
      </c>
      <c r="M1839" t="s">
        <v>2279</v>
      </c>
      <c r="N1839" t="s">
        <v>2279</v>
      </c>
      <c r="O1839" s="190" t="str">
        <f>"["&amp;$C1839&amp;"]["&amp;$D1839&amp;"]["&amp;$F1839&amp;"]"</f>
        <v>[S08_ActivityDataIssuesDetail][23][AnnexIActivity]</v>
      </c>
    </row>
    <row r="1840" spans="1:15" x14ac:dyDescent="0.3">
      <c r="A1840" t="s">
        <v>2277</v>
      </c>
      <c r="B1840" t="s">
        <v>2096</v>
      </c>
      <c r="C1840" t="s">
        <v>2097</v>
      </c>
      <c r="D1840">
        <v>24</v>
      </c>
      <c r="E1840" t="s">
        <v>1447</v>
      </c>
      <c r="F1840" t="s">
        <v>1988</v>
      </c>
      <c r="G1840" t="s">
        <v>1737</v>
      </c>
      <c r="H1840" t="s">
        <v>2279</v>
      </c>
      <c r="I1840" t="s">
        <v>2279</v>
      </c>
      <c r="J1840" t="s">
        <v>2279</v>
      </c>
      <c r="K1840" t="s">
        <v>2279</v>
      </c>
      <c r="L1840" t="s">
        <v>1597</v>
      </c>
      <c r="M1840" t="s">
        <v>2279</v>
      </c>
      <c r="N1840" t="s">
        <v>2279</v>
      </c>
      <c r="O1840" s="190" t="str">
        <f>"["&amp;$C1840&amp;"]["&amp;$D1840&amp;"]["&amp;$F1840&amp;"]"</f>
        <v>[S08_ActivityDataIssuesDetail][24][AnnexIActivity]</v>
      </c>
    </row>
    <row r="1841" spans="1:15" x14ac:dyDescent="0.3">
      <c r="A1841" t="s">
        <v>2277</v>
      </c>
      <c r="B1841" t="s">
        <v>2096</v>
      </c>
      <c r="C1841" t="s">
        <v>2097</v>
      </c>
      <c r="D1841">
        <v>25</v>
      </c>
      <c r="E1841" t="s">
        <v>1447</v>
      </c>
      <c r="F1841" t="s">
        <v>1988</v>
      </c>
      <c r="G1841" t="s">
        <v>1737</v>
      </c>
      <c r="H1841" t="s">
        <v>2279</v>
      </c>
      <c r="I1841" t="s">
        <v>2279</v>
      </c>
      <c r="J1841" t="s">
        <v>2279</v>
      </c>
      <c r="K1841" t="s">
        <v>2279</v>
      </c>
      <c r="L1841" t="s">
        <v>1530</v>
      </c>
      <c r="M1841" t="s">
        <v>2279</v>
      </c>
      <c r="N1841" t="s">
        <v>2279</v>
      </c>
      <c r="O1841" s="190" t="str">
        <f>"["&amp;$C1841&amp;"]["&amp;$D1841&amp;"]["&amp;$F1841&amp;"]"</f>
        <v>[S08_ActivityDataIssuesDetail][25][AnnexIActivity]</v>
      </c>
    </row>
    <row r="1842" spans="1:15" x14ac:dyDescent="0.3">
      <c r="A1842" t="s">
        <v>2277</v>
      </c>
      <c r="B1842" t="s">
        <v>2096</v>
      </c>
      <c r="C1842" t="s">
        <v>2097</v>
      </c>
      <c r="D1842">
        <v>26</v>
      </c>
      <c r="E1842" t="s">
        <v>1447</v>
      </c>
      <c r="F1842" t="s">
        <v>1988</v>
      </c>
      <c r="G1842" t="s">
        <v>1737</v>
      </c>
      <c r="H1842" t="s">
        <v>2279</v>
      </c>
      <c r="I1842" t="s">
        <v>2279</v>
      </c>
      <c r="J1842" t="s">
        <v>2279</v>
      </c>
      <c r="K1842" t="s">
        <v>2279</v>
      </c>
      <c r="L1842" t="s">
        <v>1577</v>
      </c>
      <c r="M1842" t="s">
        <v>2279</v>
      </c>
      <c r="N1842" t="s">
        <v>2279</v>
      </c>
      <c r="O1842" s="190" t="str">
        <f>"["&amp;$C1842&amp;"]["&amp;$D1842&amp;"]["&amp;$F1842&amp;"]"</f>
        <v>[S08_ActivityDataIssuesDetail][26][AnnexIActivity]</v>
      </c>
    </row>
    <row r="1843" spans="1:15" x14ac:dyDescent="0.3">
      <c r="A1843" t="s">
        <v>2277</v>
      </c>
      <c r="B1843" t="s">
        <v>2096</v>
      </c>
      <c r="C1843" t="s">
        <v>2097</v>
      </c>
      <c r="D1843">
        <v>27</v>
      </c>
      <c r="E1843" t="s">
        <v>1447</v>
      </c>
      <c r="F1843" t="s">
        <v>1988</v>
      </c>
      <c r="G1843" t="s">
        <v>1737</v>
      </c>
      <c r="H1843" t="s">
        <v>2279</v>
      </c>
      <c r="I1843" t="s">
        <v>2279</v>
      </c>
      <c r="J1843" t="s">
        <v>2279</v>
      </c>
      <c r="K1843" t="s">
        <v>2279</v>
      </c>
      <c r="L1843" t="s">
        <v>1568</v>
      </c>
      <c r="M1843" t="s">
        <v>2279</v>
      </c>
      <c r="N1843" t="s">
        <v>2279</v>
      </c>
      <c r="O1843" s="190" t="str">
        <f>"["&amp;$C1843&amp;"]["&amp;$D1843&amp;"]["&amp;$F1843&amp;"]"</f>
        <v>[S08_ActivityDataIssuesDetail][27][AnnexIActivity]</v>
      </c>
    </row>
    <row r="1844" spans="1:15" x14ac:dyDescent="0.3">
      <c r="A1844" t="s">
        <v>2277</v>
      </c>
      <c r="B1844" t="s">
        <v>2096</v>
      </c>
      <c r="C1844" t="s">
        <v>2097</v>
      </c>
      <c r="D1844">
        <v>28</v>
      </c>
      <c r="E1844" t="s">
        <v>1447</v>
      </c>
      <c r="F1844" t="s">
        <v>1988</v>
      </c>
      <c r="G1844" t="s">
        <v>1737</v>
      </c>
      <c r="H1844" t="s">
        <v>2279</v>
      </c>
      <c r="I1844" t="s">
        <v>2279</v>
      </c>
      <c r="J1844" t="s">
        <v>2279</v>
      </c>
      <c r="K1844" t="s">
        <v>2279</v>
      </c>
      <c r="L1844" t="s">
        <v>1518</v>
      </c>
      <c r="M1844" t="s">
        <v>2279</v>
      </c>
      <c r="N1844" t="s">
        <v>2279</v>
      </c>
      <c r="O1844" s="190" t="str">
        <f>"["&amp;$C1844&amp;"]["&amp;$D1844&amp;"]["&amp;$F1844&amp;"]"</f>
        <v>[S08_ActivityDataIssuesDetail][28][AnnexIActivity]</v>
      </c>
    </row>
    <row r="1845" spans="1:15" x14ac:dyDescent="0.3">
      <c r="A1845" t="s">
        <v>2277</v>
      </c>
      <c r="B1845" t="s">
        <v>2096</v>
      </c>
      <c r="C1845" t="s">
        <v>2097</v>
      </c>
      <c r="D1845">
        <v>29</v>
      </c>
      <c r="E1845" t="s">
        <v>1447</v>
      </c>
      <c r="F1845" t="s">
        <v>1988</v>
      </c>
      <c r="G1845" t="s">
        <v>1737</v>
      </c>
      <c r="H1845" t="s">
        <v>2279</v>
      </c>
      <c r="I1845" t="s">
        <v>2279</v>
      </c>
      <c r="J1845" t="s">
        <v>2279</v>
      </c>
      <c r="K1845" t="s">
        <v>2279</v>
      </c>
      <c r="L1845" t="s">
        <v>1562</v>
      </c>
      <c r="M1845" t="s">
        <v>2279</v>
      </c>
      <c r="N1845" t="s">
        <v>2279</v>
      </c>
      <c r="O1845" s="190" t="str">
        <f>"["&amp;$C1845&amp;"]["&amp;$D1845&amp;"]["&amp;$F1845&amp;"]"</f>
        <v>[S08_ActivityDataIssuesDetail][29][AnnexIActivity]</v>
      </c>
    </row>
    <row r="1846" spans="1:15" x14ac:dyDescent="0.3">
      <c r="A1846" t="s">
        <v>2277</v>
      </c>
      <c r="B1846" t="s">
        <v>2096</v>
      </c>
      <c r="C1846" t="s">
        <v>2097</v>
      </c>
      <c r="D1846">
        <v>30</v>
      </c>
      <c r="E1846" t="s">
        <v>1447</v>
      </c>
      <c r="F1846" t="s">
        <v>1988</v>
      </c>
      <c r="G1846" t="s">
        <v>1737</v>
      </c>
      <c r="H1846" t="s">
        <v>2279</v>
      </c>
      <c r="I1846" t="s">
        <v>2279</v>
      </c>
      <c r="J1846" t="s">
        <v>2279</v>
      </c>
      <c r="K1846" t="s">
        <v>2279</v>
      </c>
      <c r="L1846" t="s">
        <v>1582</v>
      </c>
      <c r="M1846" t="s">
        <v>2279</v>
      </c>
      <c r="N1846" t="s">
        <v>2279</v>
      </c>
      <c r="O1846" s="190" t="str">
        <f>"["&amp;$C1846&amp;"]["&amp;$D1846&amp;"]["&amp;$F1846&amp;"]"</f>
        <v>[S08_ActivityDataIssuesDetail][30][AnnexIActivity]</v>
      </c>
    </row>
    <row r="1847" spans="1:15" x14ac:dyDescent="0.3">
      <c r="A1847" t="s">
        <v>2277</v>
      </c>
      <c r="B1847" t="s">
        <v>2096</v>
      </c>
      <c r="C1847" t="s">
        <v>2097</v>
      </c>
      <c r="D1847">
        <v>31</v>
      </c>
      <c r="E1847" t="s">
        <v>1447</v>
      </c>
      <c r="F1847" t="s">
        <v>1988</v>
      </c>
      <c r="G1847" t="s">
        <v>1737</v>
      </c>
      <c r="H1847" t="s">
        <v>2279</v>
      </c>
      <c r="I1847" t="s">
        <v>2279</v>
      </c>
      <c r="J1847" t="s">
        <v>2279</v>
      </c>
      <c r="K1847" t="s">
        <v>2279</v>
      </c>
      <c r="L1847" t="s">
        <v>1448</v>
      </c>
      <c r="M1847" t="s">
        <v>2279</v>
      </c>
      <c r="N1847" t="s">
        <v>2279</v>
      </c>
      <c r="O1847" s="190" t="str">
        <f>"["&amp;$C1847&amp;"]["&amp;$D1847&amp;"]["&amp;$F1847&amp;"]"</f>
        <v>[S08_ActivityDataIssuesDetail][31][AnnexIActivity]</v>
      </c>
    </row>
    <row r="1848" spans="1:15" x14ac:dyDescent="0.3">
      <c r="A1848" t="s">
        <v>2277</v>
      </c>
      <c r="B1848" t="s">
        <v>2096</v>
      </c>
      <c r="C1848" t="s">
        <v>2097</v>
      </c>
      <c r="D1848">
        <v>32</v>
      </c>
      <c r="E1848" t="s">
        <v>1447</v>
      </c>
      <c r="F1848" t="s">
        <v>1988</v>
      </c>
      <c r="G1848" t="s">
        <v>1737</v>
      </c>
      <c r="H1848" t="s">
        <v>2279</v>
      </c>
      <c r="I1848" t="s">
        <v>2279</v>
      </c>
      <c r="J1848" t="s">
        <v>2279</v>
      </c>
      <c r="K1848" t="s">
        <v>2279</v>
      </c>
      <c r="L1848" t="s">
        <v>1622</v>
      </c>
      <c r="M1848" t="s">
        <v>2279</v>
      </c>
      <c r="N1848" t="s">
        <v>2279</v>
      </c>
      <c r="O1848" s="190" t="str">
        <f>"["&amp;$C1848&amp;"]["&amp;$D1848&amp;"]["&amp;$F1848&amp;"]"</f>
        <v>[S08_ActivityDataIssuesDetail][32][AnnexIActivity]</v>
      </c>
    </row>
    <row r="1849" spans="1:15" x14ac:dyDescent="0.3">
      <c r="A1849" t="s">
        <v>2277</v>
      </c>
      <c r="B1849" t="s">
        <v>2096</v>
      </c>
      <c r="C1849" t="s">
        <v>2097</v>
      </c>
      <c r="D1849">
        <v>33</v>
      </c>
      <c r="E1849" t="s">
        <v>1447</v>
      </c>
      <c r="F1849" t="s">
        <v>1988</v>
      </c>
      <c r="G1849" t="s">
        <v>1737</v>
      </c>
      <c r="H1849" t="s">
        <v>2279</v>
      </c>
      <c r="I1849" t="s">
        <v>2279</v>
      </c>
      <c r="J1849" t="s">
        <v>2279</v>
      </c>
      <c r="K1849" t="s">
        <v>2279</v>
      </c>
      <c r="L1849" t="s">
        <v>1626</v>
      </c>
      <c r="M1849" t="s">
        <v>2279</v>
      </c>
      <c r="N1849" t="s">
        <v>2279</v>
      </c>
      <c r="O1849" s="190" t="str">
        <f>"["&amp;$C1849&amp;"]["&amp;$D1849&amp;"]["&amp;$F1849&amp;"]"</f>
        <v>[S08_ActivityDataIssuesDetail][33][AnnexIActivity]</v>
      </c>
    </row>
    <row r="1850" spans="1:15" x14ac:dyDescent="0.3">
      <c r="A1850" t="s">
        <v>2277</v>
      </c>
      <c r="B1850" t="s">
        <v>2096</v>
      </c>
      <c r="C1850" t="s">
        <v>2097</v>
      </c>
      <c r="D1850">
        <v>34</v>
      </c>
      <c r="E1850" t="s">
        <v>1447</v>
      </c>
      <c r="F1850" t="s">
        <v>1988</v>
      </c>
      <c r="G1850" t="s">
        <v>1737</v>
      </c>
      <c r="H1850" t="s">
        <v>2279</v>
      </c>
      <c r="I1850" t="s">
        <v>2279</v>
      </c>
      <c r="J1850" t="s">
        <v>2279</v>
      </c>
      <c r="K1850" t="s">
        <v>2279</v>
      </c>
      <c r="L1850" t="s">
        <v>1631</v>
      </c>
      <c r="M1850" t="s">
        <v>2279</v>
      </c>
      <c r="N1850" t="s">
        <v>2279</v>
      </c>
      <c r="O1850" s="190" t="str">
        <f>"["&amp;$C1850&amp;"]["&amp;$D1850&amp;"]["&amp;$F1850&amp;"]"</f>
        <v>[S08_ActivityDataIssuesDetail][34][AnnexIActivity]</v>
      </c>
    </row>
    <row r="1851" spans="1:15" x14ac:dyDescent="0.3">
      <c r="A1851" t="s">
        <v>2277</v>
      </c>
      <c r="B1851" t="s">
        <v>2096</v>
      </c>
      <c r="C1851" t="s">
        <v>2097</v>
      </c>
      <c r="D1851">
        <v>35</v>
      </c>
      <c r="E1851" t="s">
        <v>1447</v>
      </c>
      <c r="F1851" t="s">
        <v>1988</v>
      </c>
      <c r="G1851" t="s">
        <v>1737</v>
      </c>
      <c r="H1851" t="s">
        <v>2279</v>
      </c>
      <c r="I1851" t="s">
        <v>2279</v>
      </c>
      <c r="J1851" t="s">
        <v>2279</v>
      </c>
      <c r="K1851" t="s">
        <v>2279</v>
      </c>
      <c r="L1851" t="s">
        <v>1612</v>
      </c>
      <c r="M1851" t="s">
        <v>2279</v>
      </c>
      <c r="N1851" t="s">
        <v>2279</v>
      </c>
      <c r="O1851" s="190" t="str">
        <f>"["&amp;$C1851&amp;"]["&amp;$D1851&amp;"]["&amp;$F1851&amp;"]"</f>
        <v>[S08_ActivityDataIssuesDetail][35][AnnexIActivity]</v>
      </c>
    </row>
    <row r="1852" spans="1:15" x14ac:dyDescent="0.3">
      <c r="A1852" t="s">
        <v>2277</v>
      </c>
      <c r="B1852" t="s">
        <v>2096</v>
      </c>
      <c r="C1852" t="s">
        <v>2097</v>
      </c>
      <c r="D1852">
        <v>36</v>
      </c>
      <c r="E1852" t="s">
        <v>1447</v>
      </c>
      <c r="F1852" t="s">
        <v>1988</v>
      </c>
      <c r="G1852" t="s">
        <v>1737</v>
      </c>
      <c r="H1852" t="s">
        <v>2279</v>
      </c>
      <c r="I1852" t="s">
        <v>2279</v>
      </c>
      <c r="J1852" t="s">
        <v>2279</v>
      </c>
      <c r="K1852" t="s">
        <v>2279</v>
      </c>
      <c r="L1852" t="s">
        <v>1557</v>
      </c>
      <c r="M1852" t="s">
        <v>2279</v>
      </c>
      <c r="N1852" t="s">
        <v>2279</v>
      </c>
      <c r="O1852" s="190" t="str">
        <f>"["&amp;$C1852&amp;"]["&amp;$D1852&amp;"]["&amp;$F1852&amp;"]"</f>
        <v>[S08_ActivityDataIssuesDetail][36][AnnexIActivity]</v>
      </c>
    </row>
    <row r="1853" spans="1:15" x14ac:dyDescent="0.3">
      <c r="A1853" t="s">
        <v>2277</v>
      </c>
      <c r="B1853" t="s">
        <v>2096</v>
      </c>
      <c r="C1853" t="s">
        <v>2097</v>
      </c>
      <c r="D1853">
        <v>37</v>
      </c>
      <c r="E1853" t="s">
        <v>1447</v>
      </c>
      <c r="F1853" t="s">
        <v>1988</v>
      </c>
      <c r="G1853" t="s">
        <v>1737</v>
      </c>
      <c r="H1853" t="s">
        <v>2279</v>
      </c>
      <c r="I1853" t="s">
        <v>2279</v>
      </c>
      <c r="J1853" t="s">
        <v>2279</v>
      </c>
      <c r="K1853" t="s">
        <v>2279</v>
      </c>
      <c r="L1853" t="s">
        <v>1587</v>
      </c>
      <c r="M1853" t="s">
        <v>2279</v>
      </c>
      <c r="N1853" t="s">
        <v>2279</v>
      </c>
      <c r="O1853" s="190" t="str">
        <f>"["&amp;$C1853&amp;"]["&amp;$D1853&amp;"]["&amp;$F1853&amp;"]"</f>
        <v>[S08_ActivityDataIssuesDetail][37][AnnexIActivity]</v>
      </c>
    </row>
    <row r="1854" spans="1:15" x14ac:dyDescent="0.3">
      <c r="A1854" t="s">
        <v>2277</v>
      </c>
      <c r="B1854" t="s">
        <v>2096</v>
      </c>
      <c r="C1854" t="s">
        <v>2097</v>
      </c>
      <c r="D1854">
        <v>38</v>
      </c>
      <c r="E1854" t="s">
        <v>1447</v>
      </c>
      <c r="F1854" t="s">
        <v>1988</v>
      </c>
      <c r="G1854" t="s">
        <v>1737</v>
      </c>
      <c r="H1854" t="s">
        <v>2279</v>
      </c>
      <c r="I1854" t="s">
        <v>2279</v>
      </c>
      <c r="J1854" t="s">
        <v>2279</v>
      </c>
      <c r="K1854" t="s">
        <v>2279</v>
      </c>
      <c r="L1854" t="s">
        <v>1540</v>
      </c>
      <c r="M1854" t="s">
        <v>2279</v>
      </c>
      <c r="N1854" t="s">
        <v>2279</v>
      </c>
      <c r="O1854" s="190" t="str">
        <f>"["&amp;$C1854&amp;"]["&amp;$D1854&amp;"]["&amp;$F1854&amp;"]"</f>
        <v>[S08_ActivityDataIssuesDetail][38][AnnexIActivity]</v>
      </c>
    </row>
    <row r="1855" spans="1:15" x14ac:dyDescent="0.3">
      <c r="A1855" t="s">
        <v>2277</v>
      </c>
      <c r="B1855" t="s">
        <v>2096</v>
      </c>
      <c r="C1855" t="s">
        <v>2097</v>
      </c>
      <c r="D1855">
        <v>39</v>
      </c>
      <c r="E1855" t="s">
        <v>1447</v>
      </c>
      <c r="F1855" t="s">
        <v>1988</v>
      </c>
      <c r="G1855" t="s">
        <v>1737</v>
      </c>
      <c r="H1855" t="s">
        <v>2279</v>
      </c>
      <c r="I1855" t="s">
        <v>2279</v>
      </c>
      <c r="J1855" t="s">
        <v>2279</v>
      </c>
      <c r="K1855" t="s">
        <v>2279</v>
      </c>
      <c r="L1855" t="s">
        <v>1478</v>
      </c>
      <c r="M1855" t="s">
        <v>2279</v>
      </c>
      <c r="N1855" t="s">
        <v>2279</v>
      </c>
      <c r="O1855" s="190" t="str">
        <f>"["&amp;$C1855&amp;"]["&amp;$D1855&amp;"]["&amp;$F1855&amp;"]"</f>
        <v>[S08_ActivityDataIssuesDetail][39][AnnexIActivity]</v>
      </c>
    </row>
    <row r="1856" spans="1:15" x14ac:dyDescent="0.3">
      <c r="A1856" t="s">
        <v>2277</v>
      </c>
      <c r="B1856" t="s">
        <v>2096</v>
      </c>
      <c r="C1856" t="s">
        <v>2097</v>
      </c>
      <c r="D1856">
        <v>40</v>
      </c>
      <c r="E1856" t="s">
        <v>1447</v>
      </c>
      <c r="F1856" t="s">
        <v>1988</v>
      </c>
      <c r="G1856" t="s">
        <v>1737</v>
      </c>
      <c r="H1856" t="s">
        <v>2279</v>
      </c>
      <c r="I1856" t="s">
        <v>2279</v>
      </c>
      <c r="J1856" t="s">
        <v>2279</v>
      </c>
      <c r="K1856" t="s">
        <v>2279</v>
      </c>
      <c r="L1856" t="s">
        <v>1420</v>
      </c>
      <c r="M1856" t="s">
        <v>2279</v>
      </c>
      <c r="N1856" t="s">
        <v>2279</v>
      </c>
      <c r="O1856" s="190" t="str">
        <f>"["&amp;$C1856&amp;"]["&amp;$D1856&amp;"]["&amp;$F1856&amp;"]"</f>
        <v>[S08_ActivityDataIssuesDetail][40][AnnexIActivity]</v>
      </c>
    </row>
    <row r="1857" spans="1:15" x14ac:dyDescent="0.3">
      <c r="A1857" t="s">
        <v>2277</v>
      </c>
      <c r="B1857" t="s">
        <v>2096</v>
      </c>
      <c r="C1857" t="s">
        <v>2097</v>
      </c>
      <c r="D1857">
        <v>41</v>
      </c>
      <c r="E1857" t="s">
        <v>1447</v>
      </c>
      <c r="F1857" t="s">
        <v>1988</v>
      </c>
      <c r="G1857" t="s">
        <v>1737</v>
      </c>
      <c r="H1857" t="s">
        <v>2279</v>
      </c>
      <c r="I1857" t="s">
        <v>2279</v>
      </c>
      <c r="J1857" t="s">
        <v>2279</v>
      </c>
      <c r="K1857" t="s">
        <v>2279</v>
      </c>
      <c r="L1857" t="s">
        <v>1592</v>
      </c>
      <c r="M1857" t="s">
        <v>2279</v>
      </c>
      <c r="N1857" t="s">
        <v>2279</v>
      </c>
      <c r="O1857" s="190" t="str">
        <f>"["&amp;$C1857&amp;"]["&amp;$D1857&amp;"]["&amp;$F1857&amp;"]"</f>
        <v>[S08_ActivityDataIssuesDetail][41][AnnexIActivity]</v>
      </c>
    </row>
    <row r="1858" spans="1:15" x14ac:dyDescent="0.3">
      <c r="A1858" t="s">
        <v>2277</v>
      </c>
      <c r="B1858" t="s">
        <v>2096</v>
      </c>
      <c r="C1858" t="s">
        <v>2097</v>
      </c>
      <c r="D1858">
        <v>42</v>
      </c>
      <c r="E1858" t="s">
        <v>1447</v>
      </c>
      <c r="F1858" t="s">
        <v>1988</v>
      </c>
      <c r="G1858" t="s">
        <v>1737</v>
      </c>
      <c r="H1858" t="s">
        <v>2279</v>
      </c>
      <c r="I1858" t="s">
        <v>2279</v>
      </c>
      <c r="J1858" t="s">
        <v>2279</v>
      </c>
      <c r="K1858" t="s">
        <v>2279</v>
      </c>
      <c r="L1858" t="s">
        <v>1573</v>
      </c>
      <c r="M1858" t="s">
        <v>2279</v>
      </c>
      <c r="N1858" t="s">
        <v>2279</v>
      </c>
      <c r="O1858" s="190" t="str">
        <f>"["&amp;$C1858&amp;"]["&amp;$D1858&amp;"]["&amp;$F1858&amp;"]"</f>
        <v>[S08_ActivityDataIssuesDetail][42][AnnexIActivity]</v>
      </c>
    </row>
    <row r="1859" spans="1:15" x14ac:dyDescent="0.3">
      <c r="A1859" t="s">
        <v>2277</v>
      </c>
      <c r="B1859" t="s">
        <v>2096</v>
      </c>
      <c r="C1859" t="s">
        <v>2097</v>
      </c>
      <c r="D1859">
        <v>43</v>
      </c>
      <c r="E1859" t="s">
        <v>1447</v>
      </c>
      <c r="F1859" t="s">
        <v>1988</v>
      </c>
      <c r="G1859" t="s">
        <v>1737</v>
      </c>
      <c r="H1859" t="s">
        <v>2279</v>
      </c>
      <c r="I1859" t="s">
        <v>2279</v>
      </c>
      <c r="J1859" t="s">
        <v>2279</v>
      </c>
      <c r="K1859" t="s">
        <v>2279</v>
      </c>
      <c r="L1859" t="s">
        <v>1597</v>
      </c>
      <c r="M1859" t="s">
        <v>2279</v>
      </c>
      <c r="N1859" t="s">
        <v>2279</v>
      </c>
      <c r="O1859" s="190" t="str">
        <f>"["&amp;$C1859&amp;"]["&amp;$D1859&amp;"]["&amp;$F1859&amp;"]"</f>
        <v>[S08_ActivityDataIssuesDetail][43][AnnexIActivity]</v>
      </c>
    </row>
    <row r="1860" spans="1:15" x14ac:dyDescent="0.3">
      <c r="A1860" t="s">
        <v>2277</v>
      </c>
      <c r="B1860" t="s">
        <v>2096</v>
      </c>
      <c r="C1860" t="s">
        <v>2097</v>
      </c>
      <c r="D1860">
        <v>44</v>
      </c>
      <c r="E1860" t="s">
        <v>1447</v>
      </c>
      <c r="F1860" t="s">
        <v>1988</v>
      </c>
      <c r="G1860" t="s">
        <v>1737</v>
      </c>
      <c r="H1860" t="s">
        <v>2279</v>
      </c>
      <c r="I1860" t="s">
        <v>2279</v>
      </c>
      <c r="J1860" t="s">
        <v>2279</v>
      </c>
      <c r="K1860" t="s">
        <v>2279</v>
      </c>
      <c r="L1860" t="s">
        <v>1530</v>
      </c>
      <c r="M1860" t="s">
        <v>2279</v>
      </c>
      <c r="N1860" t="s">
        <v>2279</v>
      </c>
      <c r="O1860" s="190" t="str">
        <f>"["&amp;$C1860&amp;"]["&amp;$D1860&amp;"]["&amp;$F1860&amp;"]"</f>
        <v>[S08_ActivityDataIssuesDetail][44][AnnexIActivity]</v>
      </c>
    </row>
    <row r="1861" spans="1:15" x14ac:dyDescent="0.3">
      <c r="A1861" t="s">
        <v>2277</v>
      </c>
      <c r="B1861" t="s">
        <v>2096</v>
      </c>
      <c r="C1861" t="s">
        <v>2097</v>
      </c>
      <c r="D1861">
        <v>45</v>
      </c>
      <c r="E1861" t="s">
        <v>1447</v>
      </c>
      <c r="F1861" t="s">
        <v>1988</v>
      </c>
      <c r="G1861" t="s">
        <v>1737</v>
      </c>
      <c r="H1861" t="s">
        <v>2279</v>
      </c>
      <c r="I1861" t="s">
        <v>2279</v>
      </c>
      <c r="J1861" t="s">
        <v>2279</v>
      </c>
      <c r="K1861" t="s">
        <v>2279</v>
      </c>
      <c r="L1861" t="s">
        <v>1577</v>
      </c>
      <c r="M1861" t="s">
        <v>2279</v>
      </c>
      <c r="N1861" t="s">
        <v>2279</v>
      </c>
      <c r="O1861" s="190" t="str">
        <f>"["&amp;$C1861&amp;"]["&amp;$D1861&amp;"]["&amp;$F1861&amp;"]"</f>
        <v>[S08_ActivityDataIssuesDetail][45][AnnexIActivity]</v>
      </c>
    </row>
    <row r="1862" spans="1:15" x14ac:dyDescent="0.3">
      <c r="A1862" t="s">
        <v>2277</v>
      </c>
      <c r="B1862" t="s">
        <v>2096</v>
      </c>
      <c r="C1862" t="s">
        <v>2097</v>
      </c>
      <c r="D1862">
        <v>46</v>
      </c>
      <c r="E1862" t="s">
        <v>1447</v>
      </c>
      <c r="F1862" t="s">
        <v>1988</v>
      </c>
      <c r="G1862" t="s">
        <v>1737</v>
      </c>
      <c r="H1862" t="s">
        <v>2279</v>
      </c>
      <c r="I1862" t="s">
        <v>2279</v>
      </c>
      <c r="J1862" t="s">
        <v>2279</v>
      </c>
      <c r="K1862" t="s">
        <v>2279</v>
      </c>
      <c r="L1862" t="s">
        <v>1518</v>
      </c>
      <c r="M1862" t="s">
        <v>2279</v>
      </c>
      <c r="N1862" t="s">
        <v>2279</v>
      </c>
      <c r="O1862" s="190" t="str">
        <f>"["&amp;$C1862&amp;"]["&amp;$D1862&amp;"]["&amp;$F1862&amp;"]"</f>
        <v>[S08_ActivityDataIssuesDetail][46][AnnexIActivity]</v>
      </c>
    </row>
    <row r="1863" spans="1:15" x14ac:dyDescent="0.3">
      <c r="A1863" t="s">
        <v>2277</v>
      </c>
      <c r="B1863" t="s">
        <v>2096</v>
      </c>
      <c r="C1863" t="s">
        <v>2097</v>
      </c>
      <c r="D1863">
        <v>47</v>
      </c>
      <c r="E1863" t="s">
        <v>1447</v>
      </c>
      <c r="F1863" t="s">
        <v>1988</v>
      </c>
      <c r="G1863" t="s">
        <v>1737</v>
      </c>
      <c r="H1863" t="s">
        <v>2279</v>
      </c>
      <c r="I1863" t="s">
        <v>2279</v>
      </c>
      <c r="J1863" t="s">
        <v>2279</v>
      </c>
      <c r="K1863" t="s">
        <v>2279</v>
      </c>
      <c r="L1863" t="s">
        <v>1562</v>
      </c>
      <c r="M1863" t="s">
        <v>2279</v>
      </c>
      <c r="N1863" t="s">
        <v>2279</v>
      </c>
      <c r="O1863" s="190" t="str">
        <f>"["&amp;$C1863&amp;"]["&amp;$D1863&amp;"]["&amp;$F1863&amp;"]"</f>
        <v>[S08_ActivityDataIssuesDetail][47][AnnexIActivity]</v>
      </c>
    </row>
    <row r="1864" spans="1:15" x14ac:dyDescent="0.3">
      <c r="A1864" t="s">
        <v>2277</v>
      </c>
      <c r="B1864" t="s">
        <v>2096</v>
      </c>
      <c r="C1864" t="s">
        <v>2097</v>
      </c>
      <c r="D1864">
        <v>48</v>
      </c>
      <c r="E1864" t="s">
        <v>1447</v>
      </c>
      <c r="F1864" t="s">
        <v>1988</v>
      </c>
      <c r="G1864" t="s">
        <v>1737</v>
      </c>
      <c r="H1864" t="s">
        <v>2279</v>
      </c>
      <c r="I1864" t="s">
        <v>2279</v>
      </c>
      <c r="J1864" t="s">
        <v>2279</v>
      </c>
      <c r="K1864" t="s">
        <v>2279</v>
      </c>
      <c r="L1864" t="s">
        <v>1582</v>
      </c>
      <c r="M1864" t="s">
        <v>2279</v>
      </c>
      <c r="N1864" t="s">
        <v>2279</v>
      </c>
      <c r="O1864" s="190" t="str">
        <f>"["&amp;$C1864&amp;"]["&amp;$D1864&amp;"]["&amp;$F1864&amp;"]"</f>
        <v>[S08_ActivityDataIssuesDetail][48][AnnexIActivity]</v>
      </c>
    </row>
    <row r="1865" spans="1:15" x14ac:dyDescent="0.3">
      <c r="A1865" t="s">
        <v>2277</v>
      </c>
      <c r="B1865" t="s">
        <v>2096</v>
      </c>
      <c r="C1865" t="s">
        <v>2097</v>
      </c>
      <c r="D1865">
        <v>49</v>
      </c>
      <c r="E1865" t="s">
        <v>1447</v>
      </c>
      <c r="F1865" t="s">
        <v>1988</v>
      </c>
      <c r="G1865" t="s">
        <v>1737</v>
      </c>
      <c r="H1865" t="s">
        <v>2279</v>
      </c>
      <c r="I1865" t="s">
        <v>2279</v>
      </c>
      <c r="J1865" t="s">
        <v>2279</v>
      </c>
      <c r="K1865" t="s">
        <v>2279</v>
      </c>
      <c r="L1865" t="s">
        <v>1448</v>
      </c>
      <c r="M1865" t="s">
        <v>2279</v>
      </c>
      <c r="N1865" t="s">
        <v>2279</v>
      </c>
      <c r="O1865" s="190" t="str">
        <f>"["&amp;$C1865&amp;"]["&amp;$D1865&amp;"]["&amp;$F1865&amp;"]"</f>
        <v>[S08_ActivityDataIssuesDetail][49][AnnexIActivity]</v>
      </c>
    </row>
    <row r="1866" spans="1:15" x14ac:dyDescent="0.3">
      <c r="A1866" t="s">
        <v>2277</v>
      </c>
      <c r="B1866" t="s">
        <v>2096</v>
      </c>
      <c r="C1866" t="s">
        <v>2097</v>
      </c>
      <c r="D1866">
        <v>50</v>
      </c>
      <c r="E1866" t="s">
        <v>1447</v>
      </c>
      <c r="F1866" t="s">
        <v>1988</v>
      </c>
      <c r="G1866" t="s">
        <v>1737</v>
      </c>
      <c r="H1866" t="s">
        <v>2279</v>
      </c>
      <c r="I1866" t="s">
        <v>2279</v>
      </c>
      <c r="J1866" t="s">
        <v>2279</v>
      </c>
      <c r="K1866" t="s">
        <v>2279</v>
      </c>
      <c r="L1866" t="s">
        <v>1622</v>
      </c>
      <c r="M1866" t="s">
        <v>2279</v>
      </c>
      <c r="N1866" t="s">
        <v>2279</v>
      </c>
      <c r="O1866" s="190" t="str">
        <f>"["&amp;$C1866&amp;"]["&amp;$D1866&amp;"]["&amp;$F1866&amp;"]"</f>
        <v>[S08_ActivityDataIssuesDetail][50][AnnexIActivity]</v>
      </c>
    </row>
    <row r="1867" spans="1:15" x14ac:dyDescent="0.3">
      <c r="A1867" t="s">
        <v>2277</v>
      </c>
      <c r="B1867" t="s">
        <v>2096</v>
      </c>
      <c r="C1867" t="s">
        <v>2097</v>
      </c>
      <c r="D1867">
        <v>51</v>
      </c>
      <c r="E1867" t="s">
        <v>1447</v>
      </c>
      <c r="F1867" t="s">
        <v>1988</v>
      </c>
      <c r="G1867" t="s">
        <v>1737</v>
      </c>
      <c r="H1867" t="s">
        <v>2279</v>
      </c>
      <c r="I1867" t="s">
        <v>2279</v>
      </c>
      <c r="J1867" t="s">
        <v>2279</v>
      </c>
      <c r="K1867" t="s">
        <v>2279</v>
      </c>
      <c r="L1867" t="s">
        <v>1626</v>
      </c>
      <c r="M1867" t="s">
        <v>2279</v>
      </c>
      <c r="N1867" t="s">
        <v>2279</v>
      </c>
      <c r="O1867" s="190" t="str">
        <f>"["&amp;$C1867&amp;"]["&amp;$D1867&amp;"]["&amp;$F1867&amp;"]"</f>
        <v>[S08_ActivityDataIssuesDetail][51][AnnexIActivity]</v>
      </c>
    </row>
    <row r="1868" spans="1:15" x14ac:dyDescent="0.3">
      <c r="A1868" t="s">
        <v>2277</v>
      </c>
      <c r="B1868" t="s">
        <v>2096</v>
      </c>
      <c r="C1868" t="s">
        <v>2097</v>
      </c>
      <c r="D1868">
        <v>52</v>
      </c>
      <c r="E1868" t="s">
        <v>1447</v>
      </c>
      <c r="F1868" t="s">
        <v>1988</v>
      </c>
      <c r="G1868" t="s">
        <v>1737</v>
      </c>
      <c r="H1868" t="s">
        <v>2279</v>
      </c>
      <c r="I1868" t="s">
        <v>2279</v>
      </c>
      <c r="J1868" t="s">
        <v>2279</v>
      </c>
      <c r="K1868" t="s">
        <v>2279</v>
      </c>
      <c r="L1868" t="s">
        <v>1631</v>
      </c>
      <c r="M1868" t="s">
        <v>2279</v>
      </c>
      <c r="N1868" t="s">
        <v>2279</v>
      </c>
      <c r="O1868" s="190" t="str">
        <f>"["&amp;$C1868&amp;"]["&amp;$D1868&amp;"]["&amp;$F1868&amp;"]"</f>
        <v>[S08_ActivityDataIssuesDetail][52][AnnexIActivity]</v>
      </c>
    </row>
    <row r="1869" spans="1:15" x14ac:dyDescent="0.3">
      <c r="A1869" t="s">
        <v>2277</v>
      </c>
      <c r="B1869" t="s">
        <v>2096</v>
      </c>
      <c r="C1869" t="s">
        <v>2097</v>
      </c>
      <c r="D1869">
        <v>53</v>
      </c>
      <c r="E1869" t="s">
        <v>1447</v>
      </c>
      <c r="F1869" t="s">
        <v>1988</v>
      </c>
      <c r="G1869" t="s">
        <v>1737</v>
      </c>
      <c r="H1869" t="s">
        <v>2279</v>
      </c>
      <c r="I1869" t="s">
        <v>2279</v>
      </c>
      <c r="J1869" t="s">
        <v>2279</v>
      </c>
      <c r="K1869" t="s">
        <v>2279</v>
      </c>
      <c r="L1869" t="s">
        <v>1557</v>
      </c>
      <c r="M1869" t="s">
        <v>2279</v>
      </c>
      <c r="N1869" t="s">
        <v>2279</v>
      </c>
      <c r="O1869" s="190" t="str">
        <f>"["&amp;$C1869&amp;"]["&amp;$D1869&amp;"]["&amp;$F1869&amp;"]"</f>
        <v>[S08_ActivityDataIssuesDetail][53][AnnexIActivity]</v>
      </c>
    </row>
    <row r="1870" spans="1:15" x14ac:dyDescent="0.3">
      <c r="A1870" t="s">
        <v>2277</v>
      </c>
      <c r="B1870" t="s">
        <v>2096</v>
      </c>
      <c r="C1870" t="s">
        <v>2097</v>
      </c>
      <c r="D1870">
        <v>54</v>
      </c>
      <c r="E1870" t="s">
        <v>1447</v>
      </c>
      <c r="F1870" t="s">
        <v>1988</v>
      </c>
      <c r="G1870" t="s">
        <v>1737</v>
      </c>
      <c r="H1870" t="s">
        <v>2279</v>
      </c>
      <c r="I1870" t="s">
        <v>2279</v>
      </c>
      <c r="J1870" t="s">
        <v>2279</v>
      </c>
      <c r="K1870" t="s">
        <v>2279</v>
      </c>
      <c r="L1870" t="s">
        <v>1587</v>
      </c>
      <c r="M1870" t="s">
        <v>2279</v>
      </c>
      <c r="N1870" t="s">
        <v>2279</v>
      </c>
      <c r="O1870" s="190" t="str">
        <f>"["&amp;$C1870&amp;"]["&amp;$D1870&amp;"]["&amp;$F1870&amp;"]"</f>
        <v>[S08_ActivityDataIssuesDetail][54][AnnexIActivity]</v>
      </c>
    </row>
    <row r="1871" spans="1:15" x14ac:dyDescent="0.3">
      <c r="A1871" t="s">
        <v>2277</v>
      </c>
      <c r="B1871" t="s">
        <v>2096</v>
      </c>
      <c r="C1871" t="s">
        <v>2097</v>
      </c>
      <c r="D1871">
        <v>55</v>
      </c>
      <c r="E1871" t="s">
        <v>1447</v>
      </c>
      <c r="F1871" t="s">
        <v>1988</v>
      </c>
      <c r="G1871" t="s">
        <v>1737</v>
      </c>
      <c r="H1871" t="s">
        <v>2279</v>
      </c>
      <c r="I1871" t="s">
        <v>2279</v>
      </c>
      <c r="J1871" t="s">
        <v>2279</v>
      </c>
      <c r="K1871" t="s">
        <v>2279</v>
      </c>
      <c r="L1871" t="s">
        <v>1478</v>
      </c>
      <c r="M1871" t="s">
        <v>2279</v>
      </c>
      <c r="N1871" t="s">
        <v>2279</v>
      </c>
      <c r="O1871" s="190" t="str">
        <f>"["&amp;$C1871&amp;"]["&amp;$D1871&amp;"]["&amp;$F1871&amp;"]"</f>
        <v>[S08_ActivityDataIssuesDetail][55][AnnexIActivity]</v>
      </c>
    </row>
    <row r="1872" spans="1:15" x14ac:dyDescent="0.3">
      <c r="A1872" t="s">
        <v>2277</v>
      </c>
      <c r="B1872" t="s">
        <v>2096</v>
      </c>
      <c r="C1872" t="s">
        <v>2097</v>
      </c>
      <c r="D1872">
        <v>56</v>
      </c>
      <c r="E1872" t="s">
        <v>1447</v>
      </c>
      <c r="F1872" t="s">
        <v>1988</v>
      </c>
      <c r="G1872" t="s">
        <v>1737</v>
      </c>
      <c r="H1872" t="s">
        <v>2279</v>
      </c>
      <c r="I1872" t="s">
        <v>2279</v>
      </c>
      <c r="J1872" t="s">
        <v>2279</v>
      </c>
      <c r="K1872" t="s">
        <v>2279</v>
      </c>
      <c r="L1872" t="s">
        <v>1617</v>
      </c>
      <c r="M1872" t="s">
        <v>2279</v>
      </c>
      <c r="N1872" t="s">
        <v>2279</v>
      </c>
      <c r="O1872" s="190" t="str">
        <f>"["&amp;$C1872&amp;"]["&amp;$D1872&amp;"]["&amp;$F1872&amp;"]"</f>
        <v>[S08_ActivityDataIssuesDetail][56][AnnexIActivity]</v>
      </c>
    </row>
    <row r="1873" spans="1:15" x14ac:dyDescent="0.3">
      <c r="A1873" t="s">
        <v>2277</v>
      </c>
      <c r="B1873" t="s">
        <v>2096</v>
      </c>
      <c r="C1873" t="s">
        <v>2097</v>
      </c>
      <c r="D1873">
        <v>57</v>
      </c>
      <c r="E1873" t="s">
        <v>1447</v>
      </c>
      <c r="F1873" t="s">
        <v>1988</v>
      </c>
      <c r="G1873" t="s">
        <v>1737</v>
      </c>
      <c r="H1873" t="s">
        <v>2279</v>
      </c>
      <c r="I1873" t="s">
        <v>2279</v>
      </c>
      <c r="J1873" t="s">
        <v>2279</v>
      </c>
      <c r="K1873" t="s">
        <v>2279</v>
      </c>
      <c r="L1873" t="s">
        <v>1420</v>
      </c>
      <c r="M1873" t="s">
        <v>2279</v>
      </c>
      <c r="N1873" t="s">
        <v>2279</v>
      </c>
      <c r="O1873" s="190" t="str">
        <f>"["&amp;$C1873&amp;"]["&amp;$D1873&amp;"]["&amp;$F1873&amp;"]"</f>
        <v>[S08_ActivityDataIssuesDetail][57][AnnexIActivity]</v>
      </c>
    </row>
    <row r="1874" spans="1:15" x14ac:dyDescent="0.3">
      <c r="A1874" t="s">
        <v>2277</v>
      </c>
      <c r="B1874" t="s">
        <v>2096</v>
      </c>
      <c r="C1874" t="s">
        <v>2097</v>
      </c>
      <c r="D1874">
        <v>58</v>
      </c>
      <c r="E1874" t="s">
        <v>1447</v>
      </c>
      <c r="F1874" t="s">
        <v>1988</v>
      </c>
      <c r="G1874" t="s">
        <v>1737</v>
      </c>
      <c r="H1874" t="s">
        <v>2279</v>
      </c>
      <c r="I1874" t="s">
        <v>2279</v>
      </c>
      <c r="J1874" t="s">
        <v>2279</v>
      </c>
      <c r="K1874" t="s">
        <v>2279</v>
      </c>
      <c r="L1874" t="s">
        <v>1592</v>
      </c>
      <c r="M1874" t="s">
        <v>2279</v>
      </c>
      <c r="N1874" t="s">
        <v>2279</v>
      </c>
      <c r="O1874" s="190" t="str">
        <f>"["&amp;$C1874&amp;"]["&amp;$D1874&amp;"]["&amp;$F1874&amp;"]"</f>
        <v>[S08_ActivityDataIssuesDetail][58][AnnexIActivity]</v>
      </c>
    </row>
    <row r="1875" spans="1:15" x14ac:dyDescent="0.3">
      <c r="A1875" t="s">
        <v>2277</v>
      </c>
      <c r="B1875" t="s">
        <v>2096</v>
      </c>
      <c r="C1875" t="s">
        <v>2097</v>
      </c>
      <c r="D1875">
        <v>59</v>
      </c>
      <c r="E1875" t="s">
        <v>1447</v>
      </c>
      <c r="F1875" t="s">
        <v>1988</v>
      </c>
      <c r="G1875" t="s">
        <v>1737</v>
      </c>
      <c r="H1875" t="s">
        <v>2279</v>
      </c>
      <c r="I1875" t="s">
        <v>2279</v>
      </c>
      <c r="J1875" t="s">
        <v>2279</v>
      </c>
      <c r="K1875" t="s">
        <v>2279</v>
      </c>
      <c r="L1875" t="s">
        <v>1573</v>
      </c>
      <c r="M1875" t="s">
        <v>2279</v>
      </c>
      <c r="N1875" t="s">
        <v>2279</v>
      </c>
      <c r="O1875" s="190" t="str">
        <f>"["&amp;$C1875&amp;"]["&amp;$D1875&amp;"]["&amp;$F1875&amp;"]"</f>
        <v>[S08_ActivityDataIssuesDetail][59][AnnexIActivity]</v>
      </c>
    </row>
    <row r="1876" spans="1:15" x14ac:dyDescent="0.3">
      <c r="A1876" t="s">
        <v>2277</v>
      </c>
      <c r="B1876" t="s">
        <v>2096</v>
      </c>
      <c r="C1876" t="s">
        <v>2097</v>
      </c>
      <c r="D1876">
        <v>60</v>
      </c>
      <c r="E1876" t="s">
        <v>1447</v>
      </c>
      <c r="F1876" t="s">
        <v>1988</v>
      </c>
      <c r="G1876" t="s">
        <v>1737</v>
      </c>
      <c r="H1876" t="s">
        <v>2279</v>
      </c>
      <c r="I1876" t="s">
        <v>2279</v>
      </c>
      <c r="J1876" t="s">
        <v>2279</v>
      </c>
      <c r="K1876" t="s">
        <v>2279</v>
      </c>
      <c r="L1876" t="s">
        <v>1597</v>
      </c>
      <c r="M1876" t="s">
        <v>2279</v>
      </c>
      <c r="N1876" t="s">
        <v>2279</v>
      </c>
      <c r="O1876" s="190" t="str">
        <f>"["&amp;$C1876&amp;"]["&amp;$D1876&amp;"]["&amp;$F1876&amp;"]"</f>
        <v>[S08_ActivityDataIssuesDetail][60][AnnexIActivity]</v>
      </c>
    </row>
    <row r="1877" spans="1:15" x14ac:dyDescent="0.3">
      <c r="A1877" t="s">
        <v>2277</v>
      </c>
      <c r="B1877" t="s">
        <v>2096</v>
      </c>
      <c r="C1877" t="s">
        <v>2097</v>
      </c>
      <c r="D1877">
        <v>61</v>
      </c>
      <c r="E1877" t="s">
        <v>1447</v>
      </c>
      <c r="F1877" t="s">
        <v>1988</v>
      </c>
      <c r="G1877" t="s">
        <v>1737</v>
      </c>
      <c r="H1877" t="s">
        <v>2279</v>
      </c>
      <c r="I1877" t="s">
        <v>2279</v>
      </c>
      <c r="J1877" t="s">
        <v>2279</v>
      </c>
      <c r="K1877" t="s">
        <v>2279</v>
      </c>
      <c r="L1877" t="s">
        <v>1530</v>
      </c>
      <c r="M1877" t="s">
        <v>2279</v>
      </c>
      <c r="N1877" t="s">
        <v>2279</v>
      </c>
      <c r="O1877" s="190" t="str">
        <f>"["&amp;$C1877&amp;"]["&amp;$D1877&amp;"]["&amp;$F1877&amp;"]"</f>
        <v>[S08_ActivityDataIssuesDetail][61][AnnexIActivity]</v>
      </c>
    </row>
    <row r="1878" spans="1:15" x14ac:dyDescent="0.3">
      <c r="A1878" t="s">
        <v>2277</v>
      </c>
      <c r="B1878" t="s">
        <v>2096</v>
      </c>
      <c r="C1878" t="s">
        <v>2097</v>
      </c>
      <c r="D1878">
        <v>62</v>
      </c>
      <c r="E1878" t="s">
        <v>1447</v>
      </c>
      <c r="F1878" t="s">
        <v>1988</v>
      </c>
      <c r="G1878" t="s">
        <v>1737</v>
      </c>
      <c r="H1878" t="s">
        <v>2279</v>
      </c>
      <c r="I1878" t="s">
        <v>2279</v>
      </c>
      <c r="J1878" t="s">
        <v>2279</v>
      </c>
      <c r="K1878" t="s">
        <v>2279</v>
      </c>
      <c r="L1878" t="s">
        <v>1577</v>
      </c>
      <c r="M1878" t="s">
        <v>2279</v>
      </c>
      <c r="N1878" t="s">
        <v>2279</v>
      </c>
      <c r="O1878" s="190" t="str">
        <f>"["&amp;$C1878&amp;"]["&amp;$D1878&amp;"]["&amp;$F1878&amp;"]"</f>
        <v>[S08_ActivityDataIssuesDetail][62][AnnexIActivity]</v>
      </c>
    </row>
    <row r="1879" spans="1:15" x14ac:dyDescent="0.3">
      <c r="A1879" t="s">
        <v>2277</v>
      </c>
      <c r="B1879" t="s">
        <v>2096</v>
      </c>
      <c r="C1879" t="s">
        <v>2097</v>
      </c>
      <c r="D1879">
        <v>63</v>
      </c>
      <c r="E1879" t="s">
        <v>1447</v>
      </c>
      <c r="F1879" t="s">
        <v>1988</v>
      </c>
      <c r="G1879" t="s">
        <v>1737</v>
      </c>
      <c r="H1879" t="s">
        <v>2279</v>
      </c>
      <c r="I1879" t="s">
        <v>2279</v>
      </c>
      <c r="J1879" t="s">
        <v>2279</v>
      </c>
      <c r="K1879" t="s">
        <v>2279</v>
      </c>
      <c r="L1879" t="s">
        <v>1568</v>
      </c>
      <c r="M1879" t="s">
        <v>2279</v>
      </c>
      <c r="N1879" t="s">
        <v>2279</v>
      </c>
      <c r="O1879" s="190" t="str">
        <f>"["&amp;$C1879&amp;"]["&amp;$D1879&amp;"]["&amp;$F1879&amp;"]"</f>
        <v>[S08_ActivityDataIssuesDetail][63][AnnexIActivity]</v>
      </c>
    </row>
    <row r="1880" spans="1:15" x14ac:dyDescent="0.3">
      <c r="A1880" t="s">
        <v>2277</v>
      </c>
      <c r="B1880" t="s">
        <v>2096</v>
      </c>
      <c r="C1880" t="s">
        <v>2097</v>
      </c>
      <c r="D1880">
        <v>64</v>
      </c>
      <c r="E1880" t="s">
        <v>1447</v>
      </c>
      <c r="F1880" t="s">
        <v>1988</v>
      </c>
      <c r="G1880" t="s">
        <v>1737</v>
      </c>
      <c r="H1880" t="s">
        <v>2279</v>
      </c>
      <c r="I1880" t="s">
        <v>2279</v>
      </c>
      <c r="J1880" t="s">
        <v>2279</v>
      </c>
      <c r="K1880" t="s">
        <v>2279</v>
      </c>
      <c r="L1880" t="s">
        <v>1518</v>
      </c>
      <c r="M1880" t="s">
        <v>2279</v>
      </c>
      <c r="N1880" t="s">
        <v>2279</v>
      </c>
      <c r="O1880" s="190" t="str">
        <f>"["&amp;$C1880&amp;"]["&amp;$D1880&amp;"]["&amp;$F1880&amp;"]"</f>
        <v>[S08_ActivityDataIssuesDetail][64][AnnexIActivity]</v>
      </c>
    </row>
    <row r="1881" spans="1:15" x14ac:dyDescent="0.3">
      <c r="A1881" t="s">
        <v>2277</v>
      </c>
      <c r="B1881" t="s">
        <v>2096</v>
      </c>
      <c r="C1881" t="s">
        <v>2097</v>
      </c>
      <c r="D1881">
        <v>65</v>
      </c>
      <c r="E1881" t="s">
        <v>1447</v>
      </c>
      <c r="F1881" t="s">
        <v>1988</v>
      </c>
      <c r="G1881" t="s">
        <v>1737</v>
      </c>
      <c r="H1881" t="s">
        <v>2279</v>
      </c>
      <c r="I1881" t="s">
        <v>2279</v>
      </c>
      <c r="J1881" t="s">
        <v>2279</v>
      </c>
      <c r="K1881" t="s">
        <v>2279</v>
      </c>
      <c r="L1881" t="s">
        <v>1562</v>
      </c>
      <c r="M1881" t="s">
        <v>2279</v>
      </c>
      <c r="N1881" t="s">
        <v>2279</v>
      </c>
      <c r="O1881" s="190" t="str">
        <f>"["&amp;$C1881&amp;"]["&amp;$D1881&amp;"]["&amp;$F1881&amp;"]"</f>
        <v>[S08_ActivityDataIssuesDetail][65][AnnexIActivity]</v>
      </c>
    </row>
    <row r="1882" spans="1:15" x14ac:dyDescent="0.3">
      <c r="A1882" t="s">
        <v>2277</v>
      </c>
      <c r="B1882" t="s">
        <v>2096</v>
      </c>
      <c r="C1882" t="s">
        <v>2097</v>
      </c>
      <c r="D1882">
        <v>66</v>
      </c>
      <c r="E1882" t="s">
        <v>1447</v>
      </c>
      <c r="F1882" t="s">
        <v>1988</v>
      </c>
      <c r="G1882" t="s">
        <v>1737</v>
      </c>
      <c r="H1882" t="s">
        <v>2279</v>
      </c>
      <c r="I1882" t="s">
        <v>2279</v>
      </c>
      <c r="J1882" t="s">
        <v>2279</v>
      </c>
      <c r="K1882" t="s">
        <v>2279</v>
      </c>
      <c r="L1882" t="s">
        <v>1582</v>
      </c>
      <c r="M1882" t="s">
        <v>2279</v>
      </c>
      <c r="N1882" t="s">
        <v>2279</v>
      </c>
      <c r="O1882" s="190" t="str">
        <f>"["&amp;$C1882&amp;"]["&amp;$D1882&amp;"]["&amp;$F1882&amp;"]"</f>
        <v>[S08_ActivityDataIssuesDetail][66][AnnexIActivity]</v>
      </c>
    </row>
    <row r="1883" spans="1:15" x14ac:dyDescent="0.3">
      <c r="A1883" t="s">
        <v>2277</v>
      </c>
      <c r="B1883" t="s">
        <v>2096</v>
      </c>
      <c r="C1883" t="s">
        <v>2097</v>
      </c>
      <c r="D1883">
        <v>67</v>
      </c>
      <c r="E1883" t="s">
        <v>1447</v>
      </c>
      <c r="F1883" t="s">
        <v>1988</v>
      </c>
      <c r="G1883" t="s">
        <v>1737</v>
      </c>
      <c r="H1883" t="s">
        <v>2279</v>
      </c>
      <c r="I1883" t="s">
        <v>2279</v>
      </c>
      <c r="J1883" t="s">
        <v>2279</v>
      </c>
      <c r="K1883" t="s">
        <v>2279</v>
      </c>
      <c r="L1883" t="s">
        <v>1448</v>
      </c>
      <c r="M1883" t="s">
        <v>2279</v>
      </c>
      <c r="N1883" t="s">
        <v>2279</v>
      </c>
      <c r="O1883" s="190" t="str">
        <f>"["&amp;$C1883&amp;"]["&amp;$D1883&amp;"]["&amp;$F1883&amp;"]"</f>
        <v>[S08_ActivityDataIssuesDetail][67][AnnexIActivity]</v>
      </c>
    </row>
    <row r="1884" spans="1:15" x14ac:dyDescent="0.3">
      <c r="A1884" t="s">
        <v>2277</v>
      </c>
      <c r="B1884" t="s">
        <v>2096</v>
      </c>
      <c r="C1884" t="s">
        <v>2097</v>
      </c>
      <c r="D1884">
        <v>68</v>
      </c>
      <c r="E1884" t="s">
        <v>1447</v>
      </c>
      <c r="F1884" t="s">
        <v>1988</v>
      </c>
      <c r="G1884" t="s">
        <v>1737</v>
      </c>
      <c r="H1884" t="s">
        <v>2279</v>
      </c>
      <c r="I1884" t="s">
        <v>2279</v>
      </c>
      <c r="J1884" t="s">
        <v>2279</v>
      </c>
      <c r="K1884" t="s">
        <v>2279</v>
      </c>
      <c r="L1884" t="s">
        <v>1622</v>
      </c>
      <c r="M1884" t="s">
        <v>2279</v>
      </c>
      <c r="N1884" t="s">
        <v>2279</v>
      </c>
      <c r="O1884" s="190" t="str">
        <f>"["&amp;$C1884&amp;"]["&amp;$D1884&amp;"]["&amp;$F1884&amp;"]"</f>
        <v>[S08_ActivityDataIssuesDetail][68][AnnexIActivity]</v>
      </c>
    </row>
    <row r="1885" spans="1:15" x14ac:dyDescent="0.3">
      <c r="A1885" t="s">
        <v>2277</v>
      </c>
      <c r="B1885" t="s">
        <v>2096</v>
      </c>
      <c r="C1885" t="s">
        <v>2097</v>
      </c>
      <c r="D1885">
        <v>69</v>
      </c>
      <c r="E1885" t="s">
        <v>1447</v>
      </c>
      <c r="F1885" t="s">
        <v>1988</v>
      </c>
      <c r="G1885" t="s">
        <v>1737</v>
      </c>
      <c r="H1885" t="s">
        <v>2279</v>
      </c>
      <c r="I1885" t="s">
        <v>2279</v>
      </c>
      <c r="J1885" t="s">
        <v>2279</v>
      </c>
      <c r="K1885" t="s">
        <v>2279</v>
      </c>
      <c r="L1885" t="s">
        <v>1626</v>
      </c>
      <c r="M1885" t="s">
        <v>2279</v>
      </c>
      <c r="N1885" t="s">
        <v>2279</v>
      </c>
      <c r="O1885" s="190" t="str">
        <f>"["&amp;$C1885&amp;"]["&amp;$D1885&amp;"]["&amp;$F1885&amp;"]"</f>
        <v>[S08_ActivityDataIssuesDetail][69][AnnexIActivity]</v>
      </c>
    </row>
    <row r="1886" spans="1:15" x14ac:dyDescent="0.3">
      <c r="A1886" t="s">
        <v>2277</v>
      </c>
      <c r="B1886" t="s">
        <v>2096</v>
      </c>
      <c r="C1886" t="s">
        <v>2097</v>
      </c>
      <c r="D1886">
        <v>70</v>
      </c>
      <c r="E1886" t="s">
        <v>1447</v>
      </c>
      <c r="F1886" t="s">
        <v>1988</v>
      </c>
      <c r="G1886" t="s">
        <v>1737</v>
      </c>
      <c r="H1886" t="s">
        <v>2279</v>
      </c>
      <c r="I1886" t="s">
        <v>2279</v>
      </c>
      <c r="J1886" t="s">
        <v>2279</v>
      </c>
      <c r="K1886" t="s">
        <v>2279</v>
      </c>
      <c r="L1886" t="s">
        <v>1631</v>
      </c>
      <c r="M1886" t="s">
        <v>2279</v>
      </c>
      <c r="N1886" t="s">
        <v>2279</v>
      </c>
      <c r="O1886" s="190" t="str">
        <f>"["&amp;$C1886&amp;"]["&amp;$D1886&amp;"]["&amp;$F1886&amp;"]"</f>
        <v>[S08_ActivityDataIssuesDetail][70][AnnexIActivity]</v>
      </c>
    </row>
    <row r="1887" spans="1:15" x14ac:dyDescent="0.3">
      <c r="A1887" t="s">
        <v>2277</v>
      </c>
      <c r="B1887" t="s">
        <v>2096</v>
      </c>
      <c r="C1887" t="s">
        <v>2097</v>
      </c>
      <c r="D1887">
        <v>71</v>
      </c>
      <c r="E1887" t="s">
        <v>1447</v>
      </c>
      <c r="F1887" t="s">
        <v>1988</v>
      </c>
      <c r="G1887" t="s">
        <v>1737</v>
      </c>
      <c r="H1887" t="s">
        <v>2279</v>
      </c>
      <c r="I1887" t="s">
        <v>2279</v>
      </c>
      <c r="J1887" t="s">
        <v>2279</v>
      </c>
      <c r="K1887" t="s">
        <v>2279</v>
      </c>
      <c r="L1887" t="s">
        <v>1612</v>
      </c>
      <c r="M1887" t="s">
        <v>2279</v>
      </c>
      <c r="N1887" t="s">
        <v>2279</v>
      </c>
      <c r="O1887" s="190" t="str">
        <f>"["&amp;$C1887&amp;"]["&amp;$D1887&amp;"]["&amp;$F1887&amp;"]"</f>
        <v>[S08_ActivityDataIssuesDetail][71][AnnexIActivity]</v>
      </c>
    </row>
    <row r="1888" spans="1:15" x14ac:dyDescent="0.3">
      <c r="A1888" t="s">
        <v>2277</v>
      </c>
      <c r="B1888" t="s">
        <v>2096</v>
      </c>
      <c r="C1888" t="s">
        <v>2097</v>
      </c>
      <c r="D1888">
        <v>72</v>
      </c>
      <c r="E1888" t="s">
        <v>1447</v>
      </c>
      <c r="F1888" t="s">
        <v>1988</v>
      </c>
      <c r="G1888" t="s">
        <v>1737</v>
      </c>
      <c r="H1888" t="s">
        <v>2279</v>
      </c>
      <c r="I1888" t="s">
        <v>2279</v>
      </c>
      <c r="J1888" t="s">
        <v>2279</v>
      </c>
      <c r="K1888" t="s">
        <v>2279</v>
      </c>
      <c r="L1888" t="s">
        <v>1557</v>
      </c>
      <c r="M1888" t="s">
        <v>2279</v>
      </c>
      <c r="N1888" t="s">
        <v>2279</v>
      </c>
      <c r="O1888" s="190" t="str">
        <f>"["&amp;$C1888&amp;"]["&amp;$D1888&amp;"]["&amp;$F1888&amp;"]"</f>
        <v>[S08_ActivityDataIssuesDetail][72][AnnexIActivity]</v>
      </c>
    </row>
    <row r="1889" spans="1:15" x14ac:dyDescent="0.3">
      <c r="A1889" t="s">
        <v>2277</v>
      </c>
      <c r="B1889" t="s">
        <v>2096</v>
      </c>
      <c r="C1889" t="s">
        <v>2097</v>
      </c>
      <c r="D1889">
        <v>73</v>
      </c>
      <c r="E1889" t="s">
        <v>1447</v>
      </c>
      <c r="F1889" t="s">
        <v>1988</v>
      </c>
      <c r="G1889" t="s">
        <v>1737</v>
      </c>
      <c r="H1889" t="s">
        <v>2279</v>
      </c>
      <c r="I1889" t="s">
        <v>2279</v>
      </c>
      <c r="J1889" t="s">
        <v>2279</v>
      </c>
      <c r="K1889" t="s">
        <v>2279</v>
      </c>
      <c r="L1889" t="s">
        <v>1587</v>
      </c>
      <c r="M1889" t="s">
        <v>2279</v>
      </c>
      <c r="N1889" t="s">
        <v>2279</v>
      </c>
      <c r="O1889" s="190" t="str">
        <f>"["&amp;$C1889&amp;"]["&amp;$D1889&amp;"]["&amp;$F1889&amp;"]"</f>
        <v>[S08_ActivityDataIssuesDetail][73][AnnexIActivity]</v>
      </c>
    </row>
    <row r="1890" spans="1:15" x14ac:dyDescent="0.3">
      <c r="A1890" t="s">
        <v>2277</v>
      </c>
      <c r="B1890" t="s">
        <v>2096</v>
      </c>
      <c r="C1890" t="s">
        <v>2097</v>
      </c>
      <c r="D1890">
        <v>74</v>
      </c>
      <c r="E1890" t="s">
        <v>1447</v>
      </c>
      <c r="F1890" t="s">
        <v>1988</v>
      </c>
      <c r="G1890" t="s">
        <v>1737</v>
      </c>
      <c r="H1890" t="s">
        <v>2279</v>
      </c>
      <c r="I1890" t="s">
        <v>2279</v>
      </c>
      <c r="J1890" t="s">
        <v>2279</v>
      </c>
      <c r="K1890" t="s">
        <v>2279</v>
      </c>
      <c r="L1890" t="s">
        <v>1540</v>
      </c>
      <c r="M1890" t="s">
        <v>2279</v>
      </c>
      <c r="N1890" t="s">
        <v>2279</v>
      </c>
      <c r="O1890" s="190" t="str">
        <f>"["&amp;$C1890&amp;"]["&amp;$D1890&amp;"]["&amp;$F1890&amp;"]"</f>
        <v>[S08_ActivityDataIssuesDetail][74][AnnexIActivity]</v>
      </c>
    </row>
    <row r="1891" spans="1:15" x14ac:dyDescent="0.3">
      <c r="A1891" t="s">
        <v>2277</v>
      </c>
      <c r="B1891" t="s">
        <v>2096</v>
      </c>
      <c r="C1891" t="s">
        <v>2097</v>
      </c>
      <c r="D1891">
        <v>75</v>
      </c>
      <c r="E1891" t="s">
        <v>1447</v>
      </c>
      <c r="F1891" t="s">
        <v>1988</v>
      </c>
      <c r="G1891" t="s">
        <v>1737</v>
      </c>
      <c r="H1891" t="s">
        <v>2279</v>
      </c>
      <c r="I1891" t="s">
        <v>2279</v>
      </c>
      <c r="J1891" t="s">
        <v>2279</v>
      </c>
      <c r="K1891" t="s">
        <v>2279</v>
      </c>
      <c r="L1891" t="s">
        <v>1478</v>
      </c>
      <c r="M1891" t="s">
        <v>2279</v>
      </c>
      <c r="N1891" t="s">
        <v>2279</v>
      </c>
      <c r="O1891" s="190" t="str">
        <f>"["&amp;$C1891&amp;"]["&amp;$D1891&amp;"]["&amp;$F1891&amp;"]"</f>
        <v>[S08_ActivityDataIssuesDetail][75][AnnexIActivity]</v>
      </c>
    </row>
    <row r="1892" spans="1:15" x14ac:dyDescent="0.3">
      <c r="A1892" t="s">
        <v>2277</v>
      </c>
      <c r="B1892" t="s">
        <v>2096</v>
      </c>
      <c r="C1892" t="s">
        <v>2097</v>
      </c>
      <c r="D1892">
        <v>76</v>
      </c>
      <c r="E1892" t="s">
        <v>1447</v>
      </c>
      <c r="F1892" t="s">
        <v>1988</v>
      </c>
      <c r="G1892" t="s">
        <v>1737</v>
      </c>
      <c r="H1892" t="s">
        <v>2279</v>
      </c>
      <c r="I1892" t="s">
        <v>2279</v>
      </c>
      <c r="J1892" t="s">
        <v>2279</v>
      </c>
      <c r="K1892" t="s">
        <v>2279</v>
      </c>
      <c r="L1892" t="s">
        <v>1617</v>
      </c>
      <c r="M1892" t="s">
        <v>2279</v>
      </c>
      <c r="N1892" t="s">
        <v>2279</v>
      </c>
      <c r="O1892" s="190" t="str">
        <f>"["&amp;$C1892&amp;"]["&amp;$D1892&amp;"]["&amp;$F1892&amp;"]"</f>
        <v>[S08_ActivityDataIssuesDetail][76][AnnexIActivity]</v>
      </c>
    </row>
    <row r="1893" spans="1:15" x14ac:dyDescent="0.3">
      <c r="A1893" t="s">
        <v>2277</v>
      </c>
      <c r="B1893" t="s">
        <v>2096</v>
      </c>
      <c r="C1893" t="s">
        <v>2097</v>
      </c>
      <c r="D1893">
        <v>1</v>
      </c>
      <c r="E1893" t="s">
        <v>1447</v>
      </c>
      <c r="F1893" t="s">
        <v>1989</v>
      </c>
      <c r="G1893" t="s">
        <v>1737</v>
      </c>
      <c r="H1893" t="s">
        <v>2279</v>
      </c>
      <c r="I1893" t="s">
        <v>2279</v>
      </c>
      <c r="J1893" t="s">
        <v>2279</v>
      </c>
      <c r="K1893" t="s">
        <v>2279</v>
      </c>
      <c r="L1893" t="s">
        <v>1492</v>
      </c>
      <c r="M1893" t="s">
        <v>2279</v>
      </c>
      <c r="N1893" t="s">
        <v>2279</v>
      </c>
      <c r="O1893" s="190" t="str">
        <f>"["&amp;$C1893&amp;"]["&amp;$D1893&amp;"]["&amp;$F1893&amp;"]"</f>
        <v>[S08_ActivityDataIssuesDetail][1][TypeOfIssue]</v>
      </c>
    </row>
    <row r="1894" spans="1:15" x14ac:dyDescent="0.3">
      <c r="A1894" t="s">
        <v>2277</v>
      </c>
      <c r="B1894" t="s">
        <v>2096</v>
      </c>
      <c r="C1894" t="s">
        <v>2097</v>
      </c>
      <c r="D1894">
        <v>2</v>
      </c>
      <c r="E1894" t="s">
        <v>1447</v>
      </c>
      <c r="F1894" t="s">
        <v>1989</v>
      </c>
      <c r="G1894" t="s">
        <v>1737</v>
      </c>
      <c r="H1894" t="s">
        <v>2279</v>
      </c>
      <c r="I1894" t="s">
        <v>2279</v>
      </c>
      <c r="J1894" t="s">
        <v>2279</v>
      </c>
      <c r="K1894" t="s">
        <v>2279</v>
      </c>
      <c r="L1894" t="s">
        <v>1492</v>
      </c>
      <c r="M1894" t="s">
        <v>2279</v>
      </c>
      <c r="N1894" t="s">
        <v>2279</v>
      </c>
      <c r="O1894" s="190" t="str">
        <f>"["&amp;$C1894&amp;"]["&amp;$D1894&amp;"]["&amp;$F1894&amp;"]"</f>
        <v>[S08_ActivityDataIssuesDetail][2][TypeOfIssue]</v>
      </c>
    </row>
    <row r="1895" spans="1:15" x14ac:dyDescent="0.3">
      <c r="A1895" t="s">
        <v>2277</v>
      </c>
      <c r="B1895" t="s">
        <v>2096</v>
      </c>
      <c r="C1895" t="s">
        <v>2097</v>
      </c>
      <c r="D1895">
        <v>3</v>
      </c>
      <c r="E1895" t="s">
        <v>1447</v>
      </c>
      <c r="F1895" t="s">
        <v>1989</v>
      </c>
      <c r="G1895" t="s">
        <v>1737</v>
      </c>
      <c r="H1895" t="s">
        <v>2279</v>
      </c>
      <c r="I1895" t="s">
        <v>2279</v>
      </c>
      <c r="J1895" t="s">
        <v>2279</v>
      </c>
      <c r="K1895" t="s">
        <v>2279</v>
      </c>
      <c r="L1895" t="s">
        <v>1492</v>
      </c>
      <c r="M1895" t="s">
        <v>2279</v>
      </c>
      <c r="N1895" t="s">
        <v>2279</v>
      </c>
      <c r="O1895" s="190" t="str">
        <f>"["&amp;$C1895&amp;"]["&amp;$D1895&amp;"]["&amp;$F1895&amp;"]"</f>
        <v>[S08_ActivityDataIssuesDetail][3][TypeOfIssue]</v>
      </c>
    </row>
    <row r="1896" spans="1:15" x14ac:dyDescent="0.3">
      <c r="A1896" t="s">
        <v>2277</v>
      </c>
      <c r="B1896" t="s">
        <v>2096</v>
      </c>
      <c r="C1896" t="s">
        <v>2097</v>
      </c>
      <c r="D1896">
        <v>4</v>
      </c>
      <c r="E1896" t="s">
        <v>1447</v>
      </c>
      <c r="F1896" t="s">
        <v>1989</v>
      </c>
      <c r="G1896" t="s">
        <v>1737</v>
      </c>
      <c r="H1896" t="s">
        <v>2279</v>
      </c>
      <c r="I1896" t="s">
        <v>2279</v>
      </c>
      <c r="J1896" t="s">
        <v>2279</v>
      </c>
      <c r="K1896" t="s">
        <v>2279</v>
      </c>
      <c r="L1896" t="s">
        <v>1492</v>
      </c>
      <c r="M1896" t="s">
        <v>2279</v>
      </c>
      <c r="N1896" t="s">
        <v>2279</v>
      </c>
      <c r="O1896" s="190" t="str">
        <f>"["&amp;$C1896&amp;"]["&amp;$D1896&amp;"]["&amp;$F1896&amp;"]"</f>
        <v>[S08_ActivityDataIssuesDetail][4][TypeOfIssue]</v>
      </c>
    </row>
    <row r="1897" spans="1:15" x14ac:dyDescent="0.3">
      <c r="A1897" t="s">
        <v>2277</v>
      </c>
      <c r="B1897" t="s">
        <v>2096</v>
      </c>
      <c r="C1897" t="s">
        <v>2097</v>
      </c>
      <c r="D1897">
        <v>5</v>
      </c>
      <c r="E1897" t="s">
        <v>1447</v>
      </c>
      <c r="F1897" t="s">
        <v>1989</v>
      </c>
      <c r="G1897" t="s">
        <v>1737</v>
      </c>
      <c r="H1897" t="s">
        <v>2279</v>
      </c>
      <c r="I1897" t="s">
        <v>2279</v>
      </c>
      <c r="J1897" t="s">
        <v>2279</v>
      </c>
      <c r="K1897" t="s">
        <v>2279</v>
      </c>
      <c r="L1897" t="s">
        <v>1492</v>
      </c>
      <c r="M1897" t="s">
        <v>2279</v>
      </c>
      <c r="N1897" t="s">
        <v>2279</v>
      </c>
      <c r="O1897" s="190" t="str">
        <f>"["&amp;$C1897&amp;"]["&amp;$D1897&amp;"]["&amp;$F1897&amp;"]"</f>
        <v>[S08_ActivityDataIssuesDetail][5][TypeOfIssue]</v>
      </c>
    </row>
    <row r="1898" spans="1:15" x14ac:dyDescent="0.3">
      <c r="A1898" t="s">
        <v>2277</v>
      </c>
      <c r="B1898" t="s">
        <v>2096</v>
      </c>
      <c r="C1898" t="s">
        <v>2097</v>
      </c>
      <c r="D1898">
        <v>6</v>
      </c>
      <c r="E1898" t="s">
        <v>1447</v>
      </c>
      <c r="F1898" t="s">
        <v>1989</v>
      </c>
      <c r="G1898" t="s">
        <v>1737</v>
      </c>
      <c r="H1898" t="s">
        <v>2279</v>
      </c>
      <c r="I1898" t="s">
        <v>2279</v>
      </c>
      <c r="J1898" t="s">
        <v>2279</v>
      </c>
      <c r="K1898" t="s">
        <v>2279</v>
      </c>
      <c r="L1898" t="s">
        <v>1492</v>
      </c>
      <c r="M1898" t="s">
        <v>2279</v>
      </c>
      <c r="N1898" t="s">
        <v>2279</v>
      </c>
      <c r="O1898" s="190" t="str">
        <f>"["&amp;$C1898&amp;"]["&amp;$D1898&amp;"]["&amp;$F1898&amp;"]"</f>
        <v>[S08_ActivityDataIssuesDetail][6][TypeOfIssue]</v>
      </c>
    </row>
    <row r="1899" spans="1:15" x14ac:dyDescent="0.3">
      <c r="A1899" t="s">
        <v>2277</v>
      </c>
      <c r="B1899" t="s">
        <v>2096</v>
      </c>
      <c r="C1899" t="s">
        <v>2097</v>
      </c>
      <c r="D1899">
        <v>7</v>
      </c>
      <c r="E1899" t="s">
        <v>1447</v>
      </c>
      <c r="F1899" t="s">
        <v>1989</v>
      </c>
      <c r="G1899" t="s">
        <v>1737</v>
      </c>
      <c r="H1899" t="s">
        <v>2279</v>
      </c>
      <c r="I1899" t="s">
        <v>2279</v>
      </c>
      <c r="J1899" t="s">
        <v>2279</v>
      </c>
      <c r="K1899" t="s">
        <v>2279</v>
      </c>
      <c r="L1899" t="s">
        <v>1492</v>
      </c>
      <c r="M1899" t="s">
        <v>2279</v>
      </c>
      <c r="N1899" t="s">
        <v>2279</v>
      </c>
      <c r="O1899" s="190" t="str">
        <f>"["&amp;$C1899&amp;"]["&amp;$D1899&amp;"]["&amp;$F1899&amp;"]"</f>
        <v>[S08_ActivityDataIssuesDetail][7][TypeOfIssue]</v>
      </c>
    </row>
    <row r="1900" spans="1:15" x14ac:dyDescent="0.3">
      <c r="A1900" t="s">
        <v>2277</v>
      </c>
      <c r="B1900" t="s">
        <v>2096</v>
      </c>
      <c r="C1900" t="s">
        <v>2097</v>
      </c>
      <c r="D1900">
        <v>8</v>
      </c>
      <c r="E1900" t="s">
        <v>1447</v>
      </c>
      <c r="F1900" t="s">
        <v>1989</v>
      </c>
      <c r="G1900" t="s">
        <v>1737</v>
      </c>
      <c r="H1900" t="s">
        <v>2279</v>
      </c>
      <c r="I1900" t="s">
        <v>2279</v>
      </c>
      <c r="J1900" t="s">
        <v>2279</v>
      </c>
      <c r="K1900" t="s">
        <v>2279</v>
      </c>
      <c r="L1900" t="s">
        <v>1492</v>
      </c>
      <c r="M1900" t="s">
        <v>2279</v>
      </c>
      <c r="N1900" t="s">
        <v>2279</v>
      </c>
      <c r="O1900" s="190" t="str">
        <f>"["&amp;$C1900&amp;"]["&amp;$D1900&amp;"]["&amp;$F1900&amp;"]"</f>
        <v>[S08_ActivityDataIssuesDetail][8][TypeOfIssue]</v>
      </c>
    </row>
    <row r="1901" spans="1:15" x14ac:dyDescent="0.3">
      <c r="A1901" t="s">
        <v>2277</v>
      </c>
      <c r="B1901" t="s">
        <v>2096</v>
      </c>
      <c r="C1901" t="s">
        <v>2097</v>
      </c>
      <c r="D1901">
        <v>9</v>
      </c>
      <c r="E1901" t="s">
        <v>1447</v>
      </c>
      <c r="F1901" t="s">
        <v>1989</v>
      </c>
      <c r="G1901" t="s">
        <v>1737</v>
      </c>
      <c r="H1901" t="s">
        <v>2279</v>
      </c>
      <c r="I1901" t="s">
        <v>2279</v>
      </c>
      <c r="J1901" t="s">
        <v>2279</v>
      </c>
      <c r="K1901" t="s">
        <v>2279</v>
      </c>
      <c r="L1901" t="s">
        <v>1492</v>
      </c>
      <c r="M1901" t="s">
        <v>2279</v>
      </c>
      <c r="N1901" t="s">
        <v>2279</v>
      </c>
      <c r="O1901" s="190" t="str">
        <f>"["&amp;$C1901&amp;"]["&amp;$D1901&amp;"]["&amp;$F1901&amp;"]"</f>
        <v>[S08_ActivityDataIssuesDetail][9][TypeOfIssue]</v>
      </c>
    </row>
    <row r="1902" spans="1:15" x14ac:dyDescent="0.3">
      <c r="A1902" t="s">
        <v>2277</v>
      </c>
      <c r="B1902" t="s">
        <v>2096</v>
      </c>
      <c r="C1902" t="s">
        <v>2097</v>
      </c>
      <c r="D1902">
        <v>10</v>
      </c>
      <c r="E1902" t="s">
        <v>1447</v>
      </c>
      <c r="F1902" t="s">
        <v>1989</v>
      </c>
      <c r="G1902" t="s">
        <v>1737</v>
      </c>
      <c r="H1902" t="s">
        <v>2279</v>
      </c>
      <c r="I1902" t="s">
        <v>2279</v>
      </c>
      <c r="J1902" t="s">
        <v>2279</v>
      </c>
      <c r="K1902" t="s">
        <v>2279</v>
      </c>
      <c r="L1902" t="s">
        <v>1492</v>
      </c>
      <c r="M1902" t="s">
        <v>2279</v>
      </c>
      <c r="N1902" t="s">
        <v>2279</v>
      </c>
      <c r="O1902" s="190" t="str">
        <f>"["&amp;$C1902&amp;"]["&amp;$D1902&amp;"]["&amp;$F1902&amp;"]"</f>
        <v>[S08_ActivityDataIssuesDetail][10][TypeOfIssue]</v>
      </c>
    </row>
    <row r="1903" spans="1:15" x14ac:dyDescent="0.3">
      <c r="A1903" t="s">
        <v>2277</v>
      </c>
      <c r="B1903" t="s">
        <v>2096</v>
      </c>
      <c r="C1903" t="s">
        <v>2097</v>
      </c>
      <c r="D1903">
        <v>11</v>
      </c>
      <c r="E1903" t="s">
        <v>1447</v>
      </c>
      <c r="F1903" t="s">
        <v>1989</v>
      </c>
      <c r="G1903" t="s">
        <v>1737</v>
      </c>
      <c r="H1903" t="s">
        <v>2279</v>
      </c>
      <c r="I1903" t="s">
        <v>2279</v>
      </c>
      <c r="J1903" t="s">
        <v>2279</v>
      </c>
      <c r="K1903" t="s">
        <v>2279</v>
      </c>
      <c r="L1903" t="s">
        <v>1492</v>
      </c>
      <c r="M1903" t="s">
        <v>2279</v>
      </c>
      <c r="N1903" t="s">
        <v>2279</v>
      </c>
      <c r="O1903" s="190" t="str">
        <f>"["&amp;$C1903&amp;"]["&amp;$D1903&amp;"]["&amp;$F1903&amp;"]"</f>
        <v>[S08_ActivityDataIssuesDetail][11][TypeOfIssue]</v>
      </c>
    </row>
    <row r="1904" spans="1:15" x14ac:dyDescent="0.3">
      <c r="A1904" t="s">
        <v>2277</v>
      </c>
      <c r="B1904" t="s">
        <v>2096</v>
      </c>
      <c r="C1904" t="s">
        <v>2097</v>
      </c>
      <c r="D1904">
        <v>12</v>
      </c>
      <c r="E1904" t="s">
        <v>1447</v>
      </c>
      <c r="F1904" t="s">
        <v>1989</v>
      </c>
      <c r="G1904" t="s">
        <v>1737</v>
      </c>
      <c r="H1904" t="s">
        <v>2279</v>
      </c>
      <c r="I1904" t="s">
        <v>2279</v>
      </c>
      <c r="J1904" t="s">
        <v>2279</v>
      </c>
      <c r="K1904" t="s">
        <v>2279</v>
      </c>
      <c r="L1904" t="s">
        <v>1492</v>
      </c>
      <c r="M1904" t="s">
        <v>2279</v>
      </c>
      <c r="N1904" t="s">
        <v>2279</v>
      </c>
      <c r="O1904" s="190" t="str">
        <f>"["&amp;$C1904&amp;"]["&amp;$D1904&amp;"]["&amp;$F1904&amp;"]"</f>
        <v>[S08_ActivityDataIssuesDetail][12][TypeOfIssue]</v>
      </c>
    </row>
    <row r="1905" spans="1:15" x14ac:dyDescent="0.3">
      <c r="A1905" t="s">
        <v>2277</v>
      </c>
      <c r="B1905" t="s">
        <v>2096</v>
      </c>
      <c r="C1905" t="s">
        <v>2097</v>
      </c>
      <c r="D1905">
        <v>13</v>
      </c>
      <c r="E1905" t="s">
        <v>1447</v>
      </c>
      <c r="F1905" t="s">
        <v>1989</v>
      </c>
      <c r="G1905" t="s">
        <v>1737</v>
      </c>
      <c r="H1905" t="s">
        <v>2279</v>
      </c>
      <c r="I1905" t="s">
        <v>2279</v>
      </c>
      <c r="J1905" t="s">
        <v>2279</v>
      </c>
      <c r="K1905" t="s">
        <v>2279</v>
      </c>
      <c r="L1905" t="s">
        <v>1492</v>
      </c>
      <c r="M1905" t="s">
        <v>2279</v>
      </c>
      <c r="N1905" t="s">
        <v>2279</v>
      </c>
      <c r="O1905" s="190" t="str">
        <f>"["&amp;$C1905&amp;"]["&amp;$D1905&amp;"]["&amp;$F1905&amp;"]"</f>
        <v>[S08_ActivityDataIssuesDetail][13][TypeOfIssue]</v>
      </c>
    </row>
    <row r="1906" spans="1:15" x14ac:dyDescent="0.3">
      <c r="A1906" t="s">
        <v>2277</v>
      </c>
      <c r="B1906" t="s">
        <v>2096</v>
      </c>
      <c r="C1906" t="s">
        <v>2097</v>
      </c>
      <c r="D1906">
        <v>14</v>
      </c>
      <c r="E1906" t="s">
        <v>1447</v>
      </c>
      <c r="F1906" t="s">
        <v>1989</v>
      </c>
      <c r="G1906" t="s">
        <v>1737</v>
      </c>
      <c r="H1906" t="s">
        <v>2279</v>
      </c>
      <c r="I1906" t="s">
        <v>2279</v>
      </c>
      <c r="J1906" t="s">
        <v>2279</v>
      </c>
      <c r="K1906" t="s">
        <v>2279</v>
      </c>
      <c r="L1906" t="s">
        <v>1492</v>
      </c>
      <c r="M1906" t="s">
        <v>2279</v>
      </c>
      <c r="N1906" t="s">
        <v>2279</v>
      </c>
      <c r="O1906" s="190" t="str">
        <f>"["&amp;$C1906&amp;"]["&amp;$D1906&amp;"]["&amp;$F1906&amp;"]"</f>
        <v>[S08_ActivityDataIssuesDetail][14][TypeOfIssue]</v>
      </c>
    </row>
    <row r="1907" spans="1:15" x14ac:dyDescent="0.3">
      <c r="A1907" t="s">
        <v>2277</v>
      </c>
      <c r="B1907" t="s">
        <v>2096</v>
      </c>
      <c r="C1907" t="s">
        <v>2097</v>
      </c>
      <c r="D1907">
        <v>15</v>
      </c>
      <c r="E1907" t="s">
        <v>1447</v>
      </c>
      <c r="F1907" t="s">
        <v>1989</v>
      </c>
      <c r="G1907" t="s">
        <v>1737</v>
      </c>
      <c r="H1907" t="s">
        <v>2279</v>
      </c>
      <c r="I1907" t="s">
        <v>2279</v>
      </c>
      <c r="J1907" t="s">
        <v>2279</v>
      </c>
      <c r="K1907" t="s">
        <v>2279</v>
      </c>
      <c r="L1907" t="s">
        <v>1492</v>
      </c>
      <c r="M1907" t="s">
        <v>2279</v>
      </c>
      <c r="N1907" t="s">
        <v>2279</v>
      </c>
      <c r="O1907" s="190" t="str">
        <f>"["&amp;$C1907&amp;"]["&amp;$D1907&amp;"]["&amp;$F1907&amp;"]"</f>
        <v>[S08_ActivityDataIssuesDetail][15][TypeOfIssue]</v>
      </c>
    </row>
    <row r="1908" spans="1:15" x14ac:dyDescent="0.3">
      <c r="A1908" t="s">
        <v>2277</v>
      </c>
      <c r="B1908" t="s">
        <v>2096</v>
      </c>
      <c r="C1908" t="s">
        <v>2097</v>
      </c>
      <c r="D1908">
        <v>16</v>
      </c>
      <c r="E1908" t="s">
        <v>1447</v>
      </c>
      <c r="F1908" t="s">
        <v>1989</v>
      </c>
      <c r="G1908" t="s">
        <v>1737</v>
      </c>
      <c r="H1908" t="s">
        <v>2279</v>
      </c>
      <c r="I1908" t="s">
        <v>2279</v>
      </c>
      <c r="J1908" t="s">
        <v>2279</v>
      </c>
      <c r="K1908" t="s">
        <v>2279</v>
      </c>
      <c r="L1908" t="s">
        <v>1492</v>
      </c>
      <c r="M1908" t="s">
        <v>2279</v>
      </c>
      <c r="N1908" t="s">
        <v>2279</v>
      </c>
      <c r="O1908" s="190" t="str">
        <f>"["&amp;$C1908&amp;"]["&amp;$D1908&amp;"]["&amp;$F1908&amp;"]"</f>
        <v>[S08_ActivityDataIssuesDetail][16][TypeOfIssue]</v>
      </c>
    </row>
    <row r="1909" spans="1:15" x14ac:dyDescent="0.3">
      <c r="A1909" t="s">
        <v>2277</v>
      </c>
      <c r="B1909" t="s">
        <v>2096</v>
      </c>
      <c r="C1909" t="s">
        <v>2097</v>
      </c>
      <c r="D1909">
        <v>17</v>
      </c>
      <c r="E1909" t="s">
        <v>1447</v>
      </c>
      <c r="F1909" t="s">
        <v>1989</v>
      </c>
      <c r="G1909" t="s">
        <v>1737</v>
      </c>
      <c r="H1909" t="s">
        <v>2279</v>
      </c>
      <c r="I1909" t="s">
        <v>2279</v>
      </c>
      <c r="J1909" t="s">
        <v>2279</v>
      </c>
      <c r="K1909" t="s">
        <v>2279</v>
      </c>
      <c r="L1909" t="s">
        <v>1492</v>
      </c>
      <c r="M1909" t="s">
        <v>2279</v>
      </c>
      <c r="N1909" t="s">
        <v>2279</v>
      </c>
      <c r="O1909" s="190" t="str">
        <f>"["&amp;$C1909&amp;"]["&amp;$D1909&amp;"]["&amp;$F1909&amp;"]"</f>
        <v>[S08_ActivityDataIssuesDetail][17][TypeOfIssue]</v>
      </c>
    </row>
    <row r="1910" spans="1:15" x14ac:dyDescent="0.3">
      <c r="A1910" t="s">
        <v>2277</v>
      </c>
      <c r="B1910" t="s">
        <v>2096</v>
      </c>
      <c r="C1910" t="s">
        <v>2097</v>
      </c>
      <c r="D1910">
        <v>18</v>
      </c>
      <c r="E1910" t="s">
        <v>1447</v>
      </c>
      <c r="F1910" t="s">
        <v>1989</v>
      </c>
      <c r="G1910" t="s">
        <v>1737</v>
      </c>
      <c r="H1910" t="s">
        <v>2279</v>
      </c>
      <c r="I1910" t="s">
        <v>2279</v>
      </c>
      <c r="J1910" t="s">
        <v>2279</v>
      </c>
      <c r="K1910" t="s">
        <v>2279</v>
      </c>
      <c r="L1910" t="s">
        <v>1492</v>
      </c>
      <c r="M1910" t="s">
        <v>2279</v>
      </c>
      <c r="N1910" t="s">
        <v>2279</v>
      </c>
      <c r="O1910" s="190" t="str">
        <f>"["&amp;$C1910&amp;"]["&amp;$D1910&amp;"]["&amp;$F1910&amp;"]"</f>
        <v>[S08_ActivityDataIssuesDetail][18][TypeOfIssue]</v>
      </c>
    </row>
    <row r="1911" spans="1:15" x14ac:dyDescent="0.3">
      <c r="A1911" t="s">
        <v>2277</v>
      </c>
      <c r="B1911" t="s">
        <v>2096</v>
      </c>
      <c r="C1911" t="s">
        <v>2097</v>
      </c>
      <c r="D1911">
        <v>19</v>
      </c>
      <c r="E1911" t="s">
        <v>1447</v>
      </c>
      <c r="F1911" t="s">
        <v>1989</v>
      </c>
      <c r="G1911" t="s">
        <v>1737</v>
      </c>
      <c r="H1911" t="s">
        <v>2279</v>
      </c>
      <c r="I1911" t="s">
        <v>2279</v>
      </c>
      <c r="J1911" t="s">
        <v>2279</v>
      </c>
      <c r="K1911" t="s">
        <v>2279</v>
      </c>
      <c r="L1911" t="s">
        <v>1492</v>
      </c>
      <c r="M1911" t="s">
        <v>2279</v>
      </c>
      <c r="N1911" t="s">
        <v>2279</v>
      </c>
      <c r="O1911" s="190" t="str">
        <f>"["&amp;$C1911&amp;"]["&amp;$D1911&amp;"]["&amp;$F1911&amp;"]"</f>
        <v>[S08_ActivityDataIssuesDetail][19][TypeOfIssue]</v>
      </c>
    </row>
    <row r="1912" spans="1:15" x14ac:dyDescent="0.3">
      <c r="A1912" t="s">
        <v>2277</v>
      </c>
      <c r="B1912" t="s">
        <v>2096</v>
      </c>
      <c r="C1912" t="s">
        <v>2097</v>
      </c>
      <c r="D1912">
        <v>20</v>
      </c>
      <c r="E1912" t="s">
        <v>1447</v>
      </c>
      <c r="F1912" t="s">
        <v>1989</v>
      </c>
      <c r="G1912" t="s">
        <v>1737</v>
      </c>
      <c r="H1912" t="s">
        <v>2279</v>
      </c>
      <c r="I1912" t="s">
        <v>2279</v>
      </c>
      <c r="J1912" t="s">
        <v>2279</v>
      </c>
      <c r="K1912" t="s">
        <v>2279</v>
      </c>
      <c r="L1912" t="s">
        <v>1492</v>
      </c>
      <c r="M1912" t="s">
        <v>2279</v>
      </c>
      <c r="N1912" t="s">
        <v>2279</v>
      </c>
      <c r="O1912" s="190" t="str">
        <f>"["&amp;$C1912&amp;"]["&amp;$D1912&amp;"]["&amp;$F1912&amp;"]"</f>
        <v>[S08_ActivityDataIssuesDetail][20][TypeOfIssue]</v>
      </c>
    </row>
    <row r="1913" spans="1:15" x14ac:dyDescent="0.3">
      <c r="A1913" t="s">
        <v>2277</v>
      </c>
      <c r="B1913" t="s">
        <v>2096</v>
      </c>
      <c r="C1913" t="s">
        <v>2097</v>
      </c>
      <c r="D1913">
        <v>21</v>
      </c>
      <c r="E1913" t="s">
        <v>1447</v>
      </c>
      <c r="F1913" t="s">
        <v>1989</v>
      </c>
      <c r="G1913" t="s">
        <v>1737</v>
      </c>
      <c r="H1913" t="s">
        <v>2279</v>
      </c>
      <c r="I1913" t="s">
        <v>2279</v>
      </c>
      <c r="J1913" t="s">
        <v>2279</v>
      </c>
      <c r="K1913" t="s">
        <v>2279</v>
      </c>
      <c r="L1913" t="s">
        <v>1439</v>
      </c>
      <c r="M1913" t="s">
        <v>2279</v>
      </c>
      <c r="N1913" t="s">
        <v>2279</v>
      </c>
      <c r="O1913" s="190" t="str">
        <f>"["&amp;$C1913&amp;"]["&amp;$D1913&amp;"]["&amp;$F1913&amp;"]"</f>
        <v>[S08_ActivityDataIssuesDetail][21][TypeOfIssue]</v>
      </c>
    </row>
    <row r="1914" spans="1:15" x14ac:dyDescent="0.3">
      <c r="A1914" t="s">
        <v>2277</v>
      </c>
      <c r="B1914" t="s">
        <v>2096</v>
      </c>
      <c r="C1914" t="s">
        <v>2097</v>
      </c>
      <c r="D1914">
        <v>22</v>
      </c>
      <c r="E1914" t="s">
        <v>1447</v>
      </c>
      <c r="F1914" t="s">
        <v>1989</v>
      </c>
      <c r="G1914" t="s">
        <v>1737</v>
      </c>
      <c r="H1914" t="s">
        <v>2279</v>
      </c>
      <c r="I1914" t="s">
        <v>2279</v>
      </c>
      <c r="J1914" t="s">
        <v>2279</v>
      </c>
      <c r="K1914" t="s">
        <v>2279</v>
      </c>
      <c r="L1914" t="s">
        <v>1439</v>
      </c>
      <c r="M1914" t="s">
        <v>2279</v>
      </c>
      <c r="N1914" t="s">
        <v>2279</v>
      </c>
      <c r="O1914" s="190" t="str">
        <f>"["&amp;$C1914&amp;"]["&amp;$D1914&amp;"]["&amp;$F1914&amp;"]"</f>
        <v>[S08_ActivityDataIssuesDetail][22][TypeOfIssue]</v>
      </c>
    </row>
    <row r="1915" spans="1:15" x14ac:dyDescent="0.3">
      <c r="A1915" t="s">
        <v>2277</v>
      </c>
      <c r="B1915" t="s">
        <v>2096</v>
      </c>
      <c r="C1915" t="s">
        <v>2097</v>
      </c>
      <c r="D1915">
        <v>23</v>
      </c>
      <c r="E1915" t="s">
        <v>1447</v>
      </c>
      <c r="F1915" t="s">
        <v>1989</v>
      </c>
      <c r="G1915" t="s">
        <v>1737</v>
      </c>
      <c r="H1915" t="s">
        <v>2279</v>
      </c>
      <c r="I1915" t="s">
        <v>2279</v>
      </c>
      <c r="J1915" t="s">
        <v>2279</v>
      </c>
      <c r="K1915" t="s">
        <v>2279</v>
      </c>
      <c r="L1915" t="s">
        <v>1439</v>
      </c>
      <c r="M1915" t="s">
        <v>2279</v>
      </c>
      <c r="N1915" t="s">
        <v>2279</v>
      </c>
      <c r="O1915" s="190" t="str">
        <f>"["&amp;$C1915&amp;"]["&amp;$D1915&amp;"]["&amp;$F1915&amp;"]"</f>
        <v>[S08_ActivityDataIssuesDetail][23][TypeOfIssue]</v>
      </c>
    </row>
    <row r="1916" spans="1:15" x14ac:dyDescent="0.3">
      <c r="A1916" t="s">
        <v>2277</v>
      </c>
      <c r="B1916" t="s">
        <v>2096</v>
      </c>
      <c r="C1916" t="s">
        <v>2097</v>
      </c>
      <c r="D1916">
        <v>24</v>
      </c>
      <c r="E1916" t="s">
        <v>1447</v>
      </c>
      <c r="F1916" t="s">
        <v>1989</v>
      </c>
      <c r="G1916" t="s">
        <v>1737</v>
      </c>
      <c r="H1916" t="s">
        <v>2279</v>
      </c>
      <c r="I1916" t="s">
        <v>2279</v>
      </c>
      <c r="J1916" t="s">
        <v>2279</v>
      </c>
      <c r="K1916" t="s">
        <v>2279</v>
      </c>
      <c r="L1916" t="s">
        <v>1439</v>
      </c>
      <c r="M1916" t="s">
        <v>2279</v>
      </c>
      <c r="N1916" t="s">
        <v>2279</v>
      </c>
      <c r="O1916" s="190" t="str">
        <f>"["&amp;$C1916&amp;"]["&amp;$D1916&amp;"]["&amp;$F1916&amp;"]"</f>
        <v>[S08_ActivityDataIssuesDetail][24][TypeOfIssue]</v>
      </c>
    </row>
    <row r="1917" spans="1:15" x14ac:dyDescent="0.3">
      <c r="A1917" t="s">
        <v>2277</v>
      </c>
      <c r="B1917" t="s">
        <v>2096</v>
      </c>
      <c r="C1917" t="s">
        <v>2097</v>
      </c>
      <c r="D1917">
        <v>25</v>
      </c>
      <c r="E1917" t="s">
        <v>1447</v>
      </c>
      <c r="F1917" t="s">
        <v>1989</v>
      </c>
      <c r="G1917" t="s">
        <v>1737</v>
      </c>
      <c r="H1917" t="s">
        <v>2279</v>
      </c>
      <c r="I1917" t="s">
        <v>2279</v>
      </c>
      <c r="J1917" t="s">
        <v>2279</v>
      </c>
      <c r="K1917" t="s">
        <v>2279</v>
      </c>
      <c r="L1917" t="s">
        <v>1439</v>
      </c>
      <c r="M1917" t="s">
        <v>2279</v>
      </c>
      <c r="N1917" t="s">
        <v>2279</v>
      </c>
      <c r="O1917" s="190" t="str">
        <f>"["&amp;$C1917&amp;"]["&amp;$D1917&amp;"]["&amp;$F1917&amp;"]"</f>
        <v>[S08_ActivityDataIssuesDetail][25][TypeOfIssue]</v>
      </c>
    </row>
    <row r="1918" spans="1:15" x14ac:dyDescent="0.3">
      <c r="A1918" t="s">
        <v>2277</v>
      </c>
      <c r="B1918" t="s">
        <v>2096</v>
      </c>
      <c r="C1918" t="s">
        <v>2097</v>
      </c>
      <c r="D1918">
        <v>26</v>
      </c>
      <c r="E1918" t="s">
        <v>1447</v>
      </c>
      <c r="F1918" t="s">
        <v>1989</v>
      </c>
      <c r="G1918" t="s">
        <v>1737</v>
      </c>
      <c r="H1918" t="s">
        <v>2279</v>
      </c>
      <c r="I1918" t="s">
        <v>2279</v>
      </c>
      <c r="J1918" t="s">
        <v>2279</v>
      </c>
      <c r="K1918" t="s">
        <v>2279</v>
      </c>
      <c r="L1918" t="s">
        <v>1439</v>
      </c>
      <c r="M1918" t="s">
        <v>2279</v>
      </c>
      <c r="N1918" t="s">
        <v>2279</v>
      </c>
      <c r="O1918" s="190" t="str">
        <f>"["&amp;$C1918&amp;"]["&amp;$D1918&amp;"]["&amp;$F1918&amp;"]"</f>
        <v>[S08_ActivityDataIssuesDetail][26][TypeOfIssue]</v>
      </c>
    </row>
    <row r="1919" spans="1:15" x14ac:dyDescent="0.3">
      <c r="A1919" t="s">
        <v>2277</v>
      </c>
      <c r="B1919" t="s">
        <v>2096</v>
      </c>
      <c r="C1919" t="s">
        <v>2097</v>
      </c>
      <c r="D1919">
        <v>27</v>
      </c>
      <c r="E1919" t="s">
        <v>1447</v>
      </c>
      <c r="F1919" t="s">
        <v>1989</v>
      </c>
      <c r="G1919" t="s">
        <v>1737</v>
      </c>
      <c r="H1919" t="s">
        <v>2279</v>
      </c>
      <c r="I1919" t="s">
        <v>2279</v>
      </c>
      <c r="J1919" t="s">
        <v>2279</v>
      </c>
      <c r="K1919" t="s">
        <v>2279</v>
      </c>
      <c r="L1919" t="s">
        <v>1439</v>
      </c>
      <c r="M1919" t="s">
        <v>2279</v>
      </c>
      <c r="N1919" t="s">
        <v>2279</v>
      </c>
      <c r="O1919" s="190" t="str">
        <f>"["&amp;$C1919&amp;"]["&amp;$D1919&amp;"]["&amp;$F1919&amp;"]"</f>
        <v>[S08_ActivityDataIssuesDetail][27][TypeOfIssue]</v>
      </c>
    </row>
    <row r="1920" spans="1:15" x14ac:dyDescent="0.3">
      <c r="A1920" t="s">
        <v>2277</v>
      </c>
      <c r="B1920" t="s">
        <v>2096</v>
      </c>
      <c r="C1920" t="s">
        <v>2097</v>
      </c>
      <c r="D1920">
        <v>28</v>
      </c>
      <c r="E1920" t="s">
        <v>1447</v>
      </c>
      <c r="F1920" t="s">
        <v>1989</v>
      </c>
      <c r="G1920" t="s">
        <v>1737</v>
      </c>
      <c r="H1920" t="s">
        <v>2279</v>
      </c>
      <c r="I1920" t="s">
        <v>2279</v>
      </c>
      <c r="J1920" t="s">
        <v>2279</v>
      </c>
      <c r="K1920" t="s">
        <v>2279</v>
      </c>
      <c r="L1920" t="s">
        <v>1439</v>
      </c>
      <c r="M1920" t="s">
        <v>2279</v>
      </c>
      <c r="N1920" t="s">
        <v>2279</v>
      </c>
      <c r="O1920" s="190" t="str">
        <f>"["&amp;$C1920&amp;"]["&amp;$D1920&amp;"]["&amp;$F1920&amp;"]"</f>
        <v>[S08_ActivityDataIssuesDetail][28][TypeOfIssue]</v>
      </c>
    </row>
    <row r="1921" spans="1:15" x14ac:dyDescent="0.3">
      <c r="A1921" t="s">
        <v>2277</v>
      </c>
      <c r="B1921" t="s">
        <v>2096</v>
      </c>
      <c r="C1921" t="s">
        <v>2097</v>
      </c>
      <c r="D1921">
        <v>29</v>
      </c>
      <c r="E1921" t="s">
        <v>1447</v>
      </c>
      <c r="F1921" t="s">
        <v>1989</v>
      </c>
      <c r="G1921" t="s">
        <v>1737</v>
      </c>
      <c r="H1921" t="s">
        <v>2279</v>
      </c>
      <c r="I1921" t="s">
        <v>2279</v>
      </c>
      <c r="J1921" t="s">
        <v>2279</v>
      </c>
      <c r="K1921" t="s">
        <v>2279</v>
      </c>
      <c r="L1921" t="s">
        <v>1439</v>
      </c>
      <c r="M1921" t="s">
        <v>2279</v>
      </c>
      <c r="N1921" t="s">
        <v>2279</v>
      </c>
      <c r="O1921" s="190" t="str">
        <f>"["&amp;$C1921&amp;"]["&amp;$D1921&amp;"]["&amp;$F1921&amp;"]"</f>
        <v>[S08_ActivityDataIssuesDetail][29][TypeOfIssue]</v>
      </c>
    </row>
    <row r="1922" spans="1:15" x14ac:dyDescent="0.3">
      <c r="A1922" t="s">
        <v>2277</v>
      </c>
      <c r="B1922" t="s">
        <v>2096</v>
      </c>
      <c r="C1922" t="s">
        <v>2097</v>
      </c>
      <c r="D1922">
        <v>30</v>
      </c>
      <c r="E1922" t="s">
        <v>1447</v>
      </c>
      <c r="F1922" t="s">
        <v>1989</v>
      </c>
      <c r="G1922" t="s">
        <v>1737</v>
      </c>
      <c r="H1922" t="s">
        <v>2279</v>
      </c>
      <c r="I1922" t="s">
        <v>2279</v>
      </c>
      <c r="J1922" t="s">
        <v>2279</v>
      </c>
      <c r="K1922" t="s">
        <v>2279</v>
      </c>
      <c r="L1922" t="s">
        <v>1439</v>
      </c>
      <c r="M1922" t="s">
        <v>2279</v>
      </c>
      <c r="N1922" t="s">
        <v>2279</v>
      </c>
      <c r="O1922" s="190" t="str">
        <f>"["&amp;$C1922&amp;"]["&amp;$D1922&amp;"]["&amp;$F1922&amp;"]"</f>
        <v>[S08_ActivityDataIssuesDetail][30][TypeOfIssue]</v>
      </c>
    </row>
    <row r="1923" spans="1:15" x14ac:dyDescent="0.3">
      <c r="A1923" t="s">
        <v>2277</v>
      </c>
      <c r="B1923" t="s">
        <v>2096</v>
      </c>
      <c r="C1923" t="s">
        <v>2097</v>
      </c>
      <c r="D1923">
        <v>31</v>
      </c>
      <c r="E1923" t="s">
        <v>1447</v>
      </c>
      <c r="F1923" t="s">
        <v>1989</v>
      </c>
      <c r="G1923" t="s">
        <v>1737</v>
      </c>
      <c r="H1923" t="s">
        <v>2279</v>
      </c>
      <c r="I1923" t="s">
        <v>2279</v>
      </c>
      <c r="J1923" t="s">
        <v>2279</v>
      </c>
      <c r="K1923" t="s">
        <v>2279</v>
      </c>
      <c r="L1923" t="s">
        <v>1439</v>
      </c>
      <c r="M1923" t="s">
        <v>2279</v>
      </c>
      <c r="N1923" t="s">
        <v>2279</v>
      </c>
      <c r="O1923" s="190" t="str">
        <f>"["&amp;$C1923&amp;"]["&amp;$D1923&amp;"]["&amp;$F1923&amp;"]"</f>
        <v>[S08_ActivityDataIssuesDetail][31][TypeOfIssue]</v>
      </c>
    </row>
    <row r="1924" spans="1:15" x14ac:dyDescent="0.3">
      <c r="A1924" t="s">
        <v>2277</v>
      </c>
      <c r="B1924" t="s">
        <v>2096</v>
      </c>
      <c r="C1924" t="s">
        <v>2097</v>
      </c>
      <c r="D1924">
        <v>32</v>
      </c>
      <c r="E1924" t="s">
        <v>1447</v>
      </c>
      <c r="F1924" t="s">
        <v>1989</v>
      </c>
      <c r="G1924" t="s">
        <v>1737</v>
      </c>
      <c r="H1924" t="s">
        <v>2279</v>
      </c>
      <c r="I1924" t="s">
        <v>2279</v>
      </c>
      <c r="J1924" t="s">
        <v>2279</v>
      </c>
      <c r="K1924" t="s">
        <v>2279</v>
      </c>
      <c r="L1924" t="s">
        <v>1439</v>
      </c>
      <c r="M1924" t="s">
        <v>2279</v>
      </c>
      <c r="N1924" t="s">
        <v>2279</v>
      </c>
      <c r="O1924" s="190" t="str">
        <f>"["&amp;$C1924&amp;"]["&amp;$D1924&amp;"]["&amp;$F1924&amp;"]"</f>
        <v>[S08_ActivityDataIssuesDetail][32][TypeOfIssue]</v>
      </c>
    </row>
    <row r="1925" spans="1:15" x14ac:dyDescent="0.3">
      <c r="A1925" t="s">
        <v>2277</v>
      </c>
      <c r="B1925" t="s">
        <v>2096</v>
      </c>
      <c r="C1925" t="s">
        <v>2097</v>
      </c>
      <c r="D1925">
        <v>33</v>
      </c>
      <c r="E1925" t="s">
        <v>1447</v>
      </c>
      <c r="F1925" t="s">
        <v>1989</v>
      </c>
      <c r="G1925" t="s">
        <v>1737</v>
      </c>
      <c r="H1925" t="s">
        <v>2279</v>
      </c>
      <c r="I1925" t="s">
        <v>2279</v>
      </c>
      <c r="J1925" t="s">
        <v>2279</v>
      </c>
      <c r="K1925" t="s">
        <v>2279</v>
      </c>
      <c r="L1925" t="s">
        <v>1439</v>
      </c>
      <c r="M1925" t="s">
        <v>2279</v>
      </c>
      <c r="N1925" t="s">
        <v>2279</v>
      </c>
      <c r="O1925" s="190" t="str">
        <f>"["&amp;$C1925&amp;"]["&amp;$D1925&amp;"]["&amp;$F1925&amp;"]"</f>
        <v>[S08_ActivityDataIssuesDetail][33][TypeOfIssue]</v>
      </c>
    </row>
    <row r="1926" spans="1:15" x14ac:dyDescent="0.3">
      <c r="A1926" t="s">
        <v>2277</v>
      </c>
      <c r="B1926" t="s">
        <v>2096</v>
      </c>
      <c r="C1926" t="s">
        <v>2097</v>
      </c>
      <c r="D1926">
        <v>34</v>
      </c>
      <c r="E1926" t="s">
        <v>1447</v>
      </c>
      <c r="F1926" t="s">
        <v>1989</v>
      </c>
      <c r="G1926" t="s">
        <v>1737</v>
      </c>
      <c r="H1926" t="s">
        <v>2279</v>
      </c>
      <c r="I1926" t="s">
        <v>2279</v>
      </c>
      <c r="J1926" t="s">
        <v>2279</v>
      </c>
      <c r="K1926" t="s">
        <v>2279</v>
      </c>
      <c r="L1926" t="s">
        <v>1439</v>
      </c>
      <c r="M1926" t="s">
        <v>2279</v>
      </c>
      <c r="N1926" t="s">
        <v>2279</v>
      </c>
      <c r="O1926" s="190" t="str">
        <f>"["&amp;$C1926&amp;"]["&amp;$D1926&amp;"]["&amp;$F1926&amp;"]"</f>
        <v>[S08_ActivityDataIssuesDetail][34][TypeOfIssue]</v>
      </c>
    </row>
    <row r="1927" spans="1:15" x14ac:dyDescent="0.3">
      <c r="A1927" t="s">
        <v>2277</v>
      </c>
      <c r="B1927" t="s">
        <v>2096</v>
      </c>
      <c r="C1927" t="s">
        <v>2097</v>
      </c>
      <c r="D1927">
        <v>35</v>
      </c>
      <c r="E1927" t="s">
        <v>1447</v>
      </c>
      <c r="F1927" t="s">
        <v>1989</v>
      </c>
      <c r="G1927" t="s">
        <v>1737</v>
      </c>
      <c r="H1927" t="s">
        <v>2279</v>
      </c>
      <c r="I1927" t="s">
        <v>2279</v>
      </c>
      <c r="J1927" t="s">
        <v>2279</v>
      </c>
      <c r="K1927" t="s">
        <v>2279</v>
      </c>
      <c r="L1927" t="s">
        <v>1439</v>
      </c>
      <c r="M1927" t="s">
        <v>2279</v>
      </c>
      <c r="N1927" t="s">
        <v>2279</v>
      </c>
      <c r="O1927" s="190" t="str">
        <f>"["&amp;$C1927&amp;"]["&amp;$D1927&amp;"]["&amp;$F1927&amp;"]"</f>
        <v>[S08_ActivityDataIssuesDetail][35][TypeOfIssue]</v>
      </c>
    </row>
    <row r="1928" spans="1:15" x14ac:dyDescent="0.3">
      <c r="A1928" t="s">
        <v>2277</v>
      </c>
      <c r="B1928" t="s">
        <v>2096</v>
      </c>
      <c r="C1928" t="s">
        <v>2097</v>
      </c>
      <c r="D1928">
        <v>36</v>
      </c>
      <c r="E1928" t="s">
        <v>1447</v>
      </c>
      <c r="F1928" t="s">
        <v>1989</v>
      </c>
      <c r="G1928" t="s">
        <v>1737</v>
      </c>
      <c r="H1928" t="s">
        <v>2279</v>
      </c>
      <c r="I1928" t="s">
        <v>2279</v>
      </c>
      <c r="J1928" t="s">
        <v>2279</v>
      </c>
      <c r="K1928" t="s">
        <v>2279</v>
      </c>
      <c r="L1928" t="s">
        <v>1439</v>
      </c>
      <c r="M1928" t="s">
        <v>2279</v>
      </c>
      <c r="N1928" t="s">
        <v>2279</v>
      </c>
      <c r="O1928" s="190" t="str">
        <f>"["&amp;$C1928&amp;"]["&amp;$D1928&amp;"]["&amp;$F1928&amp;"]"</f>
        <v>[S08_ActivityDataIssuesDetail][36][TypeOfIssue]</v>
      </c>
    </row>
    <row r="1929" spans="1:15" x14ac:dyDescent="0.3">
      <c r="A1929" t="s">
        <v>2277</v>
      </c>
      <c r="B1929" t="s">
        <v>2096</v>
      </c>
      <c r="C1929" t="s">
        <v>2097</v>
      </c>
      <c r="D1929">
        <v>37</v>
      </c>
      <c r="E1929" t="s">
        <v>1447</v>
      </c>
      <c r="F1929" t="s">
        <v>1989</v>
      </c>
      <c r="G1929" t="s">
        <v>1737</v>
      </c>
      <c r="H1929" t="s">
        <v>2279</v>
      </c>
      <c r="I1929" t="s">
        <v>2279</v>
      </c>
      <c r="J1929" t="s">
        <v>2279</v>
      </c>
      <c r="K1929" t="s">
        <v>2279</v>
      </c>
      <c r="L1929" t="s">
        <v>1439</v>
      </c>
      <c r="M1929" t="s">
        <v>2279</v>
      </c>
      <c r="N1929" t="s">
        <v>2279</v>
      </c>
      <c r="O1929" s="190" t="str">
        <f>"["&amp;$C1929&amp;"]["&amp;$D1929&amp;"]["&amp;$F1929&amp;"]"</f>
        <v>[S08_ActivityDataIssuesDetail][37][TypeOfIssue]</v>
      </c>
    </row>
    <row r="1930" spans="1:15" x14ac:dyDescent="0.3">
      <c r="A1930" t="s">
        <v>2277</v>
      </c>
      <c r="B1930" t="s">
        <v>2096</v>
      </c>
      <c r="C1930" t="s">
        <v>2097</v>
      </c>
      <c r="D1930">
        <v>38</v>
      </c>
      <c r="E1930" t="s">
        <v>1447</v>
      </c>
      <c r="F1930" t="s">
        <v>1989</v>
      </c>
      <c r="G1930" t="s">
        <v>1737</v>
      </c>
      <c r="H1930" t="s">
        <v>2279</v>
      </c>
      <c r="I1930" t="s">
        <v>2279</v>
      </c>
      <c r="J1930" t="s">
        <v>2279</v>
      </c>
      <c r="K1930" t="s">
        <v>2279</v>
      </c>
      <c r="L1930" t="s">
        <v>1439</v>
      </c>
      <c r="M1930" t="s">
        <v>2279</v>
      </c>
      <c r="N1930" t="s">
        <v>2279</v>
      </c>
      <c r="O1930" s="190" t="str">
        <f>"["&amp;$C1930&amp;"]["&amp;$D1930&amp;"]["&amp;$F1930&amp;"]"</f>
        <v>[S08_ActivityDataIssuesDetail][38][TypeOfIssue]</v>
      </c>
    </row>
    <row r="1931" spans="1:15" x14ac:dyDescent="0.3">
      <c r="A1931" t="s">
        <v>2277</v>
      </c>
      <c r="B1931" t="s">
        <v>2096</v>
      </c>
      <c r="C1931" t="s">
        <v>2097</v>
      </c>
      <c r="D1931">
        <v>39</v>
      </c>
      <c r="E1931" t="s">
        <v>1447</v>
      </c>
      <c r="F1931" t="s">
        <v>1989</v>
      </c>
      <c r="G1931" t="s">
        <v>1737</v>
      </c>
      <c r="H1931" t="s">
        <v>2279</v>
      </c>
      <c r="I1931" t="s">
        <v>2279</v>
      </c>
      <c r="J1931" t="s">
        <v>2279</v>
      </c>
      <c r="K1931" t="s">
        <v>2279</v>
      </c>
      <c r="L1931" t="s">
        <v>1439</v>
      </c>
      <c r="M1931" t="s">
        <v>2279</v>
      </c>
      <c r="N1931" t="s">
        <v>2279</v>
      </c>
      <c r="O1931" s="190" t="str">
        <f>"["&amp;$C1931&amp;"]["&amp;$D1931&amp;"]["&amp;$F1931&amp;"]"</f>
        <v>[S08_ActivityDataIssuesDetail][39][TypeOfIssue]</v>
      </c>
    </row>
    <row r="1932" spans="1:15" x14ac:dyDescent="0.3">
      <c r="A1932" t="s">
        <v>2277</v>
      </c>
      <c r="B1932" t="s">
        <v>2096</v>
      </c>
      <c r="C1932" t="s">
        <v>2097</v>
      </c>
      <c r="D1932">
        <v>40</v>
      </c>
      <c r="E1932" t="s">
        <v>1447</v>
      </c>
      <c r="F1932" t="s">
        <v>1989</v>
      </c>
      <c r="G1932" t="s">
        <v>1737</v>
      </c>
      <c r="H1932" t="s">
        <v>2279</v>
      </c>
      <c r="I1932" t="s">
        <v>2279</v>
      </c>
      <c r="J1932" t="s">
        <v>2279</v>
      </c>
      <c r="K1932" t="s">
        <v>2279</v>
      </c>
      <c r="L1932" t="s">
        <v>1467</v>
      </c>
      <c r="M1932" t="s">
        <v>2279</v>
      </c>
      <c r="N1932" t="s">
        <v>2279</v>
      </c>
      <c r="O1932" s="190" t="str">
        <f>"["&amp;$C1932&amp;"]["&amp;$D1932&amp;"]["&amp;$F1932&amp;"]"</f>
        <v>[S08_ActivityDataIssuesDetail][40][TypeOfIssue]</v>
      </c>
    </row>
    <row r="1933" spans="1:15" x14ac:dyDescent="0.3">
      <c r="A1933" t="s">
        <v>2277</v>
      </c>
      <c r="B1933" t="s">
        <v>2096</v>
      </c>
      <c r="C1933" t="s">
        <v>2097</v>
      </c>
      <c r="D1933">
        <v>41</v>
      </c>
      <c r="E1933" t="s">
        <v>1447</v>
      </c>
      <c r="F1933" t="s">
        <v>1989</v>
      </c>
      <c r="G1933" t="s">
        <v>1737</v>
      </c>
      <c r="H1933" t="s">
        <v>2279</v>
      </c>
      <c r="I1933" t="s">
        <v>2279</v>
      </c>
      <c r="J1933" t="s">
        <v>2279</v>
      </c>
      <c r="K1933" t="s">
        <v>2279</v>
      </c>
      <c r="L1933" t="s">
        <v>1467</v>
      </c>
      <c r="M1933" t="s">
        <v>2279</v>
      </c>
      <c r="N1933" t="s">
        <v>2279</v>
      </c>
      <c r="O1933" s="190" t="str">
        <f>"["&amp;$C1933&amp;"]["&amp;$D1933&amp;"]["&amp;$F1933&amp;"]"</f>
        <v>[S08_ActivityDataIssuesDetail][41][TypeOfIssue]</v>
      </c>
    </row>
    <row r="1934" spans="1:15" x14ac:dyDescent="0.3">
      <c r="A1934" t="s">
        <v>2277</v>
      </c>
      <c r="B1934" t="s">
        <v>2096</v>
      </c>
      <c r="C1934" t="s">
        <v>2097</v>
      </c>
      <c r="D1934">
        <v>42</v>
      </c>
      <c r="E1934" t="s">
        <v>1447</v>
      </c>
      <c r="F1934" t="s">
        <v>1989</v>
      </c>
      <c r="G1934" t="s">
        <v>1737</v>
      </c>
      <c r="H1934" t="s">
        <v>2279</v>
      </c>
      <c r="I1934" t="s">
        <v>2279</v>
      </c>
      <c r="J1934" t="s">
        <v>2279</v>
      </c>
      <c r="K1934" t="s">
        <v>2279</v>
      </c>
      <c r="L1934" t="s">
        <v>1467</v>
      </c>
      <c r="M1934" t="s">
        <v>2279</v>
      </c>
      <c r="N1934" t="s">
        <v>2279</v>
      </c>
      <c r="O1934" s="190" t="str">
        <f>"["&amp;$C1934&amp;"]["&amp;$D1934&amp;"]["&amp;$F1934&amp;"]"</f>
        <v>[S08_ActivityDataIssuesDetail][42][TypeOfIssue]</v>
      </c>
    </row>
    <row r="1935" spans="1:15" x14ac:dyDescent="0.3">
      <c r="A1935" t="s">
        <v>2277</v>
      </c>
      <c r="B1935" t="s">
        <v>2096</v>
      </c>
      <c r="C1935" t="s">
        <v>2097</v>
      </c>
      <c r="D1935">
        <v>43</v>
      </c>
      <c r="E1935" t="s">
        <v>1447</v>
      </c>
      <c r="F1935" t="s">
        <v>1989</v>
      </c>
      <c r="G1935" t="s">
        <v>1737</v>
      </c>
      <c r="H1935" t="s">
        <v>2279</v>
      </c>
      <c r="I1935" t="s">
        <v>2279</v>
      </c>
      <c r="J1935" t="s">
        <v>2279</v>
      </c>
      <c r="K1935" t="s">
        <v>2279</v>
      </c>
      <c r="L1935" t="s">
        <v>1467</v>
      </c>
      <c r="M1935" t="s">
        <v>2279</v>
      </c>
      <c r="N1935" t="s">
        <v>2279</v>
      </c>
      <c r="O1935" s="190" t="str">
        <f>"["&amp;$C1935&amp;"]["&amp;$D1935&amp;"]["&amp;$F1935&amp;"]"</f>
        <v>[S08_ActivityDataIssuesDetail][43][TypeOfIssue]</v>
      </c>
    </row>
    <row r="1936" spans="1:15" x14ac:dyDescent="0.3">
      <c r="A1936" t="s">
        <v>2277</v>
      </c>
      <c r="B1936" t="s">
        <v>2096</v>
      </c>
      <c r="C1936" t="s">
        <v>2097</v>
      </c>
      <c r="D1936">
        <v>44</v>
      </c>
      <c r="E1936" t="s">
        <v>1447</v>
      </c>
      <c r="F1936" t="s">
        <v>1989</v>
      </c>
      <c r="G1936" t="s">
        <v>1737</v>
      </c>
      <c r="H1936" t="s">
        <v>2279</v>
      </c>
      <c r="I1936" t="s">
        <v>2279</v>
      </c>
      <c r="J1936" t="s">
        <v>2279</v>
      </c>
      <c r="K1936" t="s">
        <v>2279</v>
      </c>
      <c r="L1936" t="s">
        <v>1467</v>
      </c>
      <c r="M1936" t="s">
        <v>2279</v>
      </c>
      <c r="N1936" t="s">
        <v>2279</v>
      </c>
      <c r="O1936" s="190" t="str">
        <f>"["&amp;$C1936&amp;"]["&amp;$D1936&amp;"]["&amp;$F1936&amp;"]"</f>
        <v>[S08_ActivityDataIssuesDetail][44][TypeOfIssue]</v>
      </c>
    </row>
    <row r="1937" spans="1:15" x14ac:dyDescent="0.3">
      <c r="A1937" t="s">
        <v>2277</v>
      </c>
      <c r="B1937" t="s">
        <v>2096</v>
      </c>
      <c r="C1937" t="s">
        <v>2097</v>
      </c>
      <c r="D1937">
        <v>45</v>
      </c>
      <c r="E1937" t="s">
        <v>1447</v>
      </c>
      <c r="F1937" t="s">
        <v>1989</v>
      </c>
      <c r="G1937" t="s">
        <v>1737</v>
      </c>
      <c r="H1937" t="s">
        <v>2279</v>
      </c>
      <c r="I1937" t="s">
        <v>2279</v>
      </c>
      <c r="J1937" t="s">
        <v>2279</v>
      </c>
      <c r="K1937" t="s">
        <v>2279</v>
      </c>
      <c r="L1937" t="s">
        <v>1467</v>
      </c>
      <c r="M1937" t="s">
        <v>2279</v>
      </c>
      <c r="N1937" t="s">
        <v>2279</v>
      </c>
      <c r="O1937" s="190" t="str">
        <f>"["&amp;$C1937&amp;"]["&amp;$D1937&amp;"]["&amp;$F1937&amp;"]"</f>
        <v>[S08_ActivityDataIssuesDetail][45][TypeOfIssue]</v>
      </c>
    </row>
    <row r="1938" spans="1:15" x14ac:dyDescent="0.3">
      <c r="A1938" t="s">
        <v>2277</v>
      </c>
      <c r="B1938" t="s">
        <v>2096</v>
      </c>
      <c r="C1938" t="s">
        <v>2097</v>
      </c>
      <c r="D1938">
        <v>46</v>
      </c>
      <c r="E1938" t="s">
        <v>1447</v>
      </c>
      <c r="F1938" t="s">
        <v>1989</v>
      </c>
      <c r="G1938" t="s">
        <v>1737</v>
      </c>
      <c r="H1938" t="s">
        <v>2279</v>
      </c>
      <c r="I1938" t="s">
        <v>2279</v>
      </c>
      <c r="J1938" t="s">
        <v>2279</v>
      </c>
      <c r="K1938" t="s">
        <v>2279</v>
      </c>
      <c r="L1938" t="s">
        <v>1467</v>
      </c>
      <c r="M1938" t="s">
        <v>2279</v>
      </c>
      <c r="N1938" t="s">
        <v>2279</v>
      </c>
      <c r="O1938" s="190" t="str">
        <f>"["&amp;$C1938&amp;"]["&amp;$D1938&amp;"]["&amp;$F1938&amp;"]"</f>
        <v>[S08_ActivityDataIssuesDetail][46][TypeOfIssue]</v>
      </c>
    </row>
    <row r="1939" spans="1:15" x14ac:dyDescent="0.3">
      <c r="A1939" t="s">
        <v>2277</v>
      </c>
      <c r="B1939" t="s">
        <v>2096</v>
      </c>
      <c r="C1939" t="s">
        <v>2097</v>
      </c>
      <c r="D1939">
        <v>47</v>
      </c>
      <c r="E1939" t="s">
        <v>1447</v>
      </c>
      <c r="F1939" t="s">
        <v>1989</v>
      </c>
      <c r="G1939" t="s">
        <v>1737</v>
      </c>
      <c r="H1939" t="s">
        <v>2279</v>
      </c>
      <c r="I1939" t="s">
        <v>2279</v>
      </c>
      <c r="J1939" t="s">
        <v>2279</v>
      </c>
      <c r="K1939" t="s">
        <v>2279</v>
      </c>
      <c r="L1939" t="s">
        <v>1467</v>
      </c>
      <c r="M1939" t="s">
        <v>2279</v>
      </c>
      <c r="N1939" t="s">
        <v>2279</v>
      </c>
      <c r="O1939" s="190" t="str">
        <f>"["&amp;$C1939&amp;"]["&amp;$D1939&amp;"]["&amp;$F1939&amp;"]"</f>
        <v>[S08_ActivityDataIssuesDetail][47][TypeOfIssue]</v>
      </c>
    </row>
    <row r="1940" spans="1:15" x14ac:dyDescent="0.3">
      <c r="A1940" t="s">
        <v>2277</v>
      </c>
      <c r="B1940" t="s">
        <v>2096</v>
      </c>
      <c r="C1940" t="s">
        <v>2097</v>
      </c>
      <c r="D1940">
        <v>48</v>
      </c>
      <c r="E1940" t="s">
        <v>1447</v>
      </c>
      <c r="F1940" t="s">
        <v>1989</v>
      </c>
      <c r="G1940" t="s">
        <v>1737</v>
      </c>
      <c r="H1940" t="s">
        <v>2279</v>
      </c>
      <c r="I1940" t="s">
        <v>2279</v>
      </c>
      <c r="J1940" t="s">
        <v>2279</v>
      </c>
      <c r="K1940" t="s">
        <v>2279</v>
      </c>
      <c r="L1940" t="s">
        <v>1467</v>
      </c>
      <c r="M1940" t="s">
        <v>2279</v>
      </c>
      <c r="N1940" t="s">
        <v>2279</v>
      </c>
      <c r="O1940" s="190" t="str">
        <f>"["&amp;$C1940&amp;"]["&amp;$D1940&amp;"]["&amp;$F1940&amp;"]"</f>
        <v>[S08_ActivityDataIssuesDetail][48][TypeOfIssue]</v>
      </c>
    </row>
    <row r="1941" spans="1:15" x14ac:dyDescent="0.3">
      <c r="A1941" t="s">
        <v>2277</v>
      </c>
      <c r="B1941" t="s">
        <v>2096</v>
      </c>
      <c r="C1941" t="s">
        <v>2097</v>
      </c>
      <c r="D1941">
        <v>49</v>
      </c>
      <c r="E1941" t="s">
        <v>1447</v>
      </c>
      <c r="F1941" t="s">
        <v>1989</v>
      </c>
      <c r="G1941" t="s">
        <v>1737</v>
      </c>
      <c r="H1941" t="s">
        <v>2279</v>
      </c>
      <c r="I1941" t="s">
        <v>2279</v>
      </c>
      <c r="J1941" t="s">
        <v>2279</v>
      </c>
      <c r="K1941" t="s">
        <v>2279</v>
      </c>
      <c r="L1941" t="s">
        <v>1467</v>
      </c>
      <c r="M1941" t="s">
        <v>2279</v>
      </c>
      <c r="N1941" t="s">
        <v>2279</v>
      </c>
      <c r="O1941" s="190" t="str">
        <f>"["&amp;$C1941&amp;"]["&amp;$D1941&amp;"]["&amp;$F1941&amp;"]"</f>
        <v>[S08_ActivityDataIssuesDetail][49][TypeOfIssue]</v>
      </c>
    </row>
    <row r="1942" spans="1:15" x14ac:dyDescent="0.3">
      <c r="A1942" t="s">
        <v>2277</v>
      </c>
      <c r="B1942" t="s">
        <v>2096</v>
      </c>
      <c r="C1942" t="s">
        <v>2097</v>
      </c>
      <c r="D1942">
        <v>50</v>
      </c>
      <c r="E1942" t="s">
        <v>1447</v>
      </c>
      <c r="F1942" t="s">
        <v>1989</v>
      </c>
      <c r="G1942" t="s">
        <v>1737</v>
      </c>
      <c r="H1942" t="s">
        <v>2279</v>
      </c>
      <c r="I1942" t="s">
        <v>2279</v>
      </c>
      <c r="J1942" t="s">
        <v>2279</v>
      </c>
      <c r="K1942" t="s">
        <v>2279</v>
      </c>
      <c r="L1942" t="s">
        <v>1467</v>
      </c>
      <c r="M1942" t="s">
        <v>2279</v>
      </c>
      <c r="N1942" t="s">
        <v>2279</v>
      </c>
      <c r="O1942" s="190" t="str">
        <f>"["&amp;$C1942&amp;"]["&amp;$D1942&amp;"]["&amp;$F1942&amp;"]"</f>
        <v>[S08_ActivityDataIssuesDetail][50][TypeOfIssue]</v>
      </c>
    </row>
    <row r="1943" spans="1:15" x14ac:dyDescent="0.3">
      <c r="A1943" t="s">
        <v>2277</v>
      </c>
      <c r="B1943" t="s">
        <v>2096</v>
      </c>
      <c r="C1943" t="s">
        <v>2097</v>
      </c>
      <c r="D1943">
        <v>51</v>
      </c>
      <c r="E1943" t="s">
        <v>1447</v>
      </c>
      <c r="F1943" t="s">
        <v>1989</v>
      </c>
      <c r="G1943" t="s">
        <v>1737</v>
      </c>
      <c r="H1943" t="s">
        <v>2279</v>
      </c>
      <c r="I1943" t="s">
        <v>2279</v>
      </c>
      <c r="J1943" t="s">
        <v>2279</v>
      </c>
      <c r="K1943" t="s">
        <v>2279</v>
      </c>
      <c r="L1943" t="s">
        <v>1467</v>
      </c>
      <c r="M1943" t="s">
        <v>2279</v>
      </c>
      <c r="N1943" t="s">
        <v>2279</v>
      </c>
      <c r="O1943" s="190" t="str">
        <f>"["&amp;$C1943&amp;"]["&amp;$D1943&amp;"]["&amp;$F1943&amp;"]"</f>
        <v>[S08_ActivityDataIssuesDetail][51][TypeOfIssue]</v>
      </c>
    </row>
    <row r="1944" spans="1:15" x14ac:dyDescent="0.3">
      <c r="A1944" t="s">
        <v>2277</v>
      </c>
      <c r="B1944" t="s">
        <v>2096</v>
      </c>
      <c r="C1944" t="s">
        <v>2097</v>
      </c>
      <c r="D1944">
        <v>52</v>
      </c>
      <c r="E1944" t="s">
        <v>1447</v>
      </c>
      <c r="F1944" t="s">
        <v>1989</v>
      </c>
      <c r="G1944" t="s">
        <v>1737</v>
      </c>
      <c r="H1944" t="s">
        <v>2279</v>
      </c>
      <c r="I1944" t="s">
        <v>2279</v>
      </c>
      <c r="J1944" t="s">
        <v>2279</v>
      </c>
      <c r="K1944" t="s">
        <v>2279</v>
      </c>
      <c r="L1944" t="s">
        <v>1467</v>
      </c>
      <c r="M1944" t="s">
        <v>2279</v>
      </c>
      <c r="N1944" t="s">
        <v>2279</v>
      </c>
      <c r="O1944" s="190" t="str">
        <f>"["&amp;$C1944&amp;"]["&amp;$D1944&amp;"]["&amp;$F1944&amp;"]"</f>
        <v>[S08_ActivityDataIssuesDetail][52][TypeOfIssue]</v>
      </c>
    </row>
    <row r="1945" spans="1:15" x14ac:dyDescent="0.3">
      <c r="A1945" t="s">
        <v>2277</v>
      </c>
      <c r="B1945" t="s">
        <v>2096</v>
      </c>
      <c r="C1945" t="s">
        <v>2097</v>
      </c>
      <c r="D1945">
        <v>53</v>
      </c>
      <c r="E1945" t="s">
        <v>1447</v>
      </c>
      <c r="F1945" t="s">
        <v>1989</v>
      </c>
      <c r="G1945" t="s">
        <v>1737</v>
      </c>
      <c r="H1945" t="s">
        <v>2279</v>
      </c>
      <c r="I1945" t="s">
        <v>2279</v>
      </c>
      <c r="J1945" t="s">
        <v>2279</v>
      </c>
      <c r="K1945" t="s">
        <v>2279</v>
      </c>
      <c r="L1945" t="s">
        <v>1467</v>
      </c>
      <c r="M1945" t="s">
        <v>2279</v>
      </c>
      <c r="N1945" t="s">
        <v>2279</v>
      </c>
      <c r="O1945" s="190" t="str">
        <f>"["&amp;$C1945&amp;"]["&amp;$D1945&amp;"]["&amp;$F1945&amp;"]"</f>
        <v>[S08_ActivityDataIssuesDetail][53][TypeOfIssue]</v>
      </c>
    </row>
    <row r="1946" spans="1:15" x14ac:dyDescent="0.3">
      <c r="A1946" t="s">
        <v>2277</v>
      </c>
      <c r="B1946" t="s">
        <v>2096</v>
      </c>
      <c r="C1946" t="s">
        <v>2097</v>
      </c>
      <c r="D1946">
        <v>54</v>
      </c>
      <c r="E1946" t="s">
        <v>1447</v>
      </c>
      <c r="F1946" t="s">
        <v>1989</v>
      </c>
      <c r="G1946" t="s">
        <v>1737</v>
      </c>
      <c r="H1946" t="s">
        <v>2279</v>
      </c>
      <c r="I1946" t="s">
        <v>2279</v>
      </c>
      <c r="J1946" t="s">
        <v>2279</v>
      </c>
      <c r="K1946" t="s">
        <v>2279</v>
      </c>
      <c r="L1946" t="s">
        <v>1467</v>
      </c>
      <c r="M1946" t="s">
        <v>2279</v>
      </c>
      <c r="N1946" t="s">
        <v>2279</v>
      </c>
      <c r="O1946" s="190" t="str">
        <f>"["&amp;$C1946&amp;"]["&amp;$D1946&amp;"]["&amp;$F1946&amp;"]"</f>
        <v>[S08_ActivityDataIssuesDetail][54][TypeOfIssue]</v>
      </c>
    </row>
    <row r="1947" spans="1:15" x14ac:dyDescent="0.3">
      <c r="A1947" t="s">
        <v>2277</v>
      </c>
      <c r="B1947" t="s">
        <v>2096</v>
      </c>
      <c r="C1947" t="s">
        <v>2097</v>
      </c>
      <c r="D1947">
        <v>55</v>
      </c>
      <c r="E1947" t="s">
        <v>1447</v>
      </c>
      <c r="F1947" t="s">
        <v>1989</v>
      </c>
      <c r="G1947" t="s">
        <v>1737</v>
      </c>
      <c r="H1947" t="s">
        <v>2279</v>
      </c>
      <c r="I1947" t="s">
        <v>2279</v>
      </c>
      <c r="J1947" t="s">
        <v>2279</v>
      </c>
      <c r="K1947" t="s">
        <v>2279</v>
      </c>
      <c r="L1947" t="s">
        <v>1467</v>
      </c>
      <c r="M1947" t="s">
        <v>2279</v>
      </c>
      <c r="N1947" t="s">
        <v>2279</v>
      </c>
      <c r="O1947" s="190" t="str">
        <f>"["&amp;$C1947&amp;"]["&amp;$D1947&amp;"]["&amp;$F1947&amp;"]"</f>
        <v>[S08_ActivityDataIssuesDetail][55][TypeOfIssue]</v>
      </c>
    </row>
    <row r="1948" spans="1:15" x14ac:dyDescent="0.3">
      <c r="A1948" t="s">
        <v>2277</v>
      </c>
      <c r="B1948" t="s">
        <v>2096</v>
      </c>
      <c r="C1948" t="s">
        <v>2097</v>
      </c>
      <c r="D1948">
        <v>56</v>
      </c>
      <c r="E1948" t="s">
        <v>1447</v>
      </c>
      <c r="F1948" t="s">
        <v>1989</v>
      </c>
      <c r="G1948" t="s">
        <v>1737</v>
      </c>
      <c r="H1948" t="s">
        <v>2279</v>
      </c>
      <c r="I1948" t="s">
        <v>2279</v>
      </c>
      <c r="J1948" t="s">
        <v>2279</v>
      </c>
      <c r="K1948" t="s">
        <v>2279</v>
      </c>
      <c r="L1948" t="s">
        <v>1467</v>
      </c>
      <c r="M1948" t="s">
        <v>2279</v>
      </c>
      <c r="N1948" t="s">
        <v>2279</v>
      </c>
      <c r="O1948" s="190" t="str">
        <f>"["&amp;$C1948&amp;"]["&amp;$D1948&amp;"]["&amp;$F1948&amp;"]"</f>
        <v>[S08_ActivityDataIssuesDetail][56][TypeOfIssue]</v>
      </c>
    </row>
    <row r="1949" spans="1:15" x14ac:dyDescent="0.3">
      <c r="A1949" t="s">
        <v>2277</v>
      </c>
      <c r="B1949" t="s">
        <v>2096</v>
      </c>
      <c r="C1949" t="s">
        <v>2097</v>
      </c>
      <c r="D1949">
        <v>57</v>
      </c>
      <c r="E1949" t="s">
        <v>1447</v>
      </c>
      <c r="F1949" t="s">
        <v>1989</v>
      </c>
      <c r="G1949" t="s">
        <v>1737</v>
      </c>
      <c r="H1949" t="s">
        <v>2279</v>
      </c>
      <c r="I1949" t="s">
        <v>2279</v>
      </c>
      <c r="J1949" t="s">
        <v>2279</v>
      </c>
      <c r="K1949" t="s">
        <v>2279</v>
      </c>
      <c r="L1949" t="s">
        <v>1512</v>
      </c>
      <c r="M1949" t="s">
        <v>2279</v>
      </c>
      <c r="N1949" t="s">
        <v>2279</v>
      </c>
      <c r="O1949" s="190" t="str">
        <f>"["&amp;$C1949&amp;"]["&amp;$D1949&amp;"]["&amp;$F1949&amp;"]"</f>
        <v>[S08_ActivityDataIssuesDetail][57][TypeOfIssue]</v>
      </c>
    </row>
    <row r="1950" spans="1:15" x14ac:dyDescent="0.3">
      <c r="A1950" t="s">
        <v>2277</v>
      </c>
      <c r="B1950" t="s">
        <v>2096</v>
      </c>
      <c r="C1950" t="s">
        <v>2097</v>
      </c>
      <c r="D1950">
        <v>58</v>
      </c>
      <c r="E1950" t="s">
        <v>1447</v>
      </c>
      <c r="F1950" t="s">
        <v>1989</v>
      </c>
      <c r="G1950" t="s">
        <v>1737</v>
      </c>
      <c r="H1950" t="s">
        <v>2279</v>
      </c>
      <c r="I1950" t="s">
        <v>2279</v>
      </c>
      <c r="J1950" t="s">
        <v>2279</v>
      </c>
      <c r="K1950" t="s">
        <v>2279</v>
      </c>
      <c r="L1950" t="s">
        <v>1512</v>
      </c>
      <c r="M1950" t="s">
        <v>2279</v>
      </c>
      <c r="N1950" t="s">
        <v>2279</v>
      </c>
      <c r="O1950" s="190" t="str">
        <f>"["&amp;$C1950&amp;"]["&amp;$D1950&amp;"]["&amp;$F1950&amp;"]"</f>
        <v>[S08_ActivityDataIssuesDetail][58][TypeOfIssue]</v>
      </c>
    </row>
    <row r="1951" spans="1:15" x14ac:dyDescent="0.3">
      <c r="A1951" t="s">
        <v>2277</v>
      </c>
      <c r="B1951" t="s">
        <v>2096</v>
      </c>
      <c r="C1951" t="s">
        <v>2097</v>
      </c>
      <c r="D1951">
        <v>59</v>
      </c>
      <c r="E1951" t="s">
        <v>1447</v>
      </c>
      <c r="F1951" t="s">
        <v>1989</v>
      </c>
      <c r="G1951" t="s">
        <v>1737</v>
      </c>
      <c r="H1951" t="s">
        <v>2279</v>
      </c>
      <c r="I1951" t="s">
        <v>2279</v>
      </c>
      <c r="J1951" t="s">
        <v>2279</v>
      </c>
      <c r="K1951" t="s">
        <v>2279</v>
      </c>
      <c r="L1951" t="s">
        <v>1512</v>
      </c>
      <c r="M1951" t="s">
        <v>2279</v>
      </c>
      <c r="N1951" t="s">
        <v>2279</v>
      </c>
      <c r="O1951" s="190" t="str">
        <f>"["&amp;$C1951&amp;"]["&amp;$D1951&amp;"]["&amp;$F1951&amp;"]"</f>
        <v>[S08_ActivityDataIssuesDetail][59][TypeOfIssue]</v>
      </c>
    </row>
    <row r="1952" spans="1:15" x14ac:dyDescent="0.3">
      <c r="A1952" t="s">
        <v>2277</v>
      </c>
      <c r="B1952" t="s">
        <v>2096</v>
      </c>
      <c r="C1952" t="s">
        <v>2097</v>
      </c>
      <c r="D1952">
        <v>60</v>
      </c>
      <c r="E1952" t="s">
        <v>1447</v>
      </c>
      <c r="F1952" t="s">
        <v>1989</v>
      </c>
      <c r="G1952" t="s">
        <v>1737</v>
      </c>
      <c r="H1952" t="s">
        <v>2279</v>
      </c>
      <c r="I1952" t="s">
        <v>2279</v>
      </c>
      <c r="J1952" t="s">
        <v>2279</v>
      </c>
      <c r="K1952" t="s">
        <v>2279</v>
      </c>
      <c r="L1952" t="s">
        <v>1512</v>
      </c>
      <c r="M1952" t="s">
        <v>2279</v>
      </c>
      <c r="N1952" t="s">
        <v>2279</v>
      </c>
      <c r="O1952" s="190" t="str">
        <f>"["&amp;$C1952&amp;"]["&amp;$D1952&amp;"]["&amp;$F1952&amp;"]"</f>
        <v>[S08_ActivityDataIssuesDetail][60][TypeOfIssue]</v>
      </c>
    </row>
    <row r="1953" spans="1:15" x14ac:dyDescent="0.3">
      <c r="A1953" t="s">
        <v>2277</v>
      </c>
      <c r="B1953" t="s">
        <v>2096</v>
      </c>
      <c r="C1953" t="s">
        <v>2097</v>
      </c>
      <c r="D1953">
        <v>61</v>
      </c>
      <c r="E1953" t="s">
        <v>1447</v>
      </c>
      <c r="F1953" t="s">
        <v>1989</v>
      </c>
      <c r="G1953" t="s">
        <v>1737</v>
      </c>
      <c r="H1953" t="s">
        <v>2279</v>
      </c>
      <c r="I1953" t="s">
        <v>2279</v>
      </c>
      <c r="J1953" t="s">
        <v>2279</v>
      </c>
      <c r="K1953" t="s">
        <v>2279</v>
      </c>
      <c r="L1953" t="s">
        <v>1512</v>
      </c>
      <c r="M1953" t="s">
        <v>2279</v>
      </c>
      <c r="N1953" t="s">
        <v>2279</v>
      </c>
      <c r="O1953" s="190" t="str">
        <f>"["&amp;$C1953&amp;"]["&amp;$D1953&amp;"]["&amp;$F1953&amp;"]"</f>
        <v>[S08_ActivityDataIssuesDetail][61][TypeOfIssue]</v>
      </c>
    </row>
    <row r="1954" spans="1:15" x14ac:dyDescent="0.3">
      <c r="A1954" t="s">
        <v>2277</v>
      </c>
      <c r="B1954" t="s">
        <v>2096</v>
      </c>
      <c r="C1954" t="s">
        <v>2097</v>
      </c>
      <c r="D1954">
        <v>62</v>
      </c>
      <c r="E1954" t="s">
        <v>1447</v>
      </c>
      <c r="F1954" t="s">
        <v>1989</v>
      </c>
      <c r="G1954" t="s">
        <v>1737</v>
      </c>
      <c r="H1954" t="s">
        <v>2279</v>
      </c>
      <c r="I1954" t="s">
        <v>2279</v>
      </c>
      <c r="J1954" t="s">
        <v>2279</v>
      </c>
      <c r="K1954" t="s">
        <v>2279</v>
      </c>
      <c r="L1954" t="s">
        <v>1512</v>
      </c>
      <c r="M1954" t="s">
        <v>2279</v>
      </c>
      <c r="N1954" t="s">
        <v>2279</v>
      </c>
      <c r="O1954" s="190" t="str">
        <f>"["&amp;$C1954&amp;"]["&amp;$D1954&amp;"]["&amp;$F1954&amp;"]"</f>
        <v>[S08_ActivityDataIssuesDetail][62][TypeOfIssue]</v>
      </c>
    </row>
    <row r="1955" spans="1:15" x14ac:dyDescent="0.3">
      <c r="A1955" t="s">
        <v>2277</v>
      </c>
      <c r="B1955" t="s">
        <v>2096</v>
      </c>
      <c r="C1955" t="s">
        <v>2097</v>
      </c>
      <c r="D1955">
        <v>63</v>
      </c>
      <c r="E1955" t="s">
        <v>1447</v>
      </c>
      <c r="F1955" t="s">
        <v>1989</v>
      </c>
      <c r="G1955" t="s">
        <v>1737</v>
      </c>
      <c r="H1955" t="s">
        <v>2279</v>
      </c>
      <c r="I1955" t="s">
        <v>2279</v>
      </c>
      <c r="J1955" t="s">
        <v>2279</v>
      </c>
      <c r="K1955" t="s">
        <v>2279</v>
      </c>
      <c r="L1955" t="s">
        <v>1512</v>
      </c>
      <c r="M1955" t="s">
        <v>2279</v>
      </c>
      <c r="N1955" t="s">
        <v>2279</v>
      </c>
      <c r="O1955" s="190" t="str">
        <f>"["&amp;$C1955&amp;"]["&amp;$D1955&amp;"]["&amp;$F1955&amp;"]"</f>
        <v>[S08_ActivityDataIssuesDetail][63][TypeOfIssue]</v>
      </c>
    </row>
    <row r="1956" spans="1:15" x14ac:dyDescent="0.3">
      <c r="A1956" t="s">
        <v>2277</v>
      </c>
      <c r="B1956" t="s">
        <v>2096</v>
      </c>
      <c r="C1956" t="s">
        <v>2097</v>
      </c>
      <c r="D1956">
        <v>64</v>
      </c>
      <c r="E1956" t="s">
        <v>1447</v>
      </c>
      <c r="F1956" t="s">
        <v>1989</v>
      </c>
      <c r="G1956" t="s">
        <v>1737</v>
      </c>
      <c r="H1956" t="s">
        <v>2279</v>
      </c>
      <c r="I1956" t="s">
        <v>2279</v>
      </c>
      <c r="J1956" t="s">
        <v>2279</v>
      </c>
      <c r="K1956" t="s">
        <v>2279</v>
      </c>
      <c r="L1956" t="s">
        <v>1512</v>
      </c>
      <c r="M1956" t="s">
        <v>2279</v>
      </c>
      <c r="N1956" t="s">
        <v>2279</v>
      </c>
      <c r="O1956" s="190" t="str">
        <f>"["&amp;$C1956&amp;"]["&amp;$D1956&amp;"]["&amp;$F1956&amp;"]"</f>
        <v>[S08_ActivityDataIssuesDetail][64][TypeOfIssue]</v>
      </c>
    </row>
    <row r="1957" spans="1:15" x14ac:dyDescent="0.3">
      <c r="A1957" t="s">
        <v>2277</v>
      </c>
      <c r="B1957" t="s">
        <v>2096</v>
      </c>
      <c r="C1957" t="s">
        <v>2097</v>
      </c>
      <c r="D1957">
        <v>65</v>
      </c>
      <c r="E1957" t="s">
        <v>1447</v>
      </c>
      <c r="F1957" t="s">
        <v>1989</v>
      </c>
      <c r="G1957" t="s">
        <v>1737</v>
      </c>
      <c r="H1957" t="s">
        <v>2279</v>
      </c>
      <c r="I1957" t="s">
        <v>2279</v>
      </c>
      <c r="J1957" t="s">
        <v>2279</v>
      </c>
      <c r="K1957" t="s">
        <v>2279</v>
      </c>
      <c r="L1957" t="s">
        <v>1512</v>
      </c>
      <c r="M1957" t="s">
        <v>2279</v>
      </c>
      <c r="N1957" t="s">
        <v>2279</v>
      </c>
      <c r="O1957" s="190" t="str">
        <f>"["&amp;$C1957&amp;"]["&amp;$D1957&amp;"]["&amp;$F1957&amp;"]"</f>
        <v>[S08_ActivityDataIssuesDetail][65][TypeOfIssue]</v>
      </c>
    </row>
    <row r="1958" spans="1:15" x14ac:dyDescent="0.3">
      <c r="A1958" t="s">
        <v>2277</v>
      </c>
      <c r="B1958" t="s">
        <v>2096</v>
      </c>
      <c r="C1958" t="s">
        <v>2097</v>
      </c>
      <c r="D1958">
        <v>66</v>
      </c>
      <c r="E1958" t="s">
        <v>1447</v>
      </c>
      <c r="F1958" t="s">
        <v>1989</v>
      </c>
      <c r="G1958" t="s">
        <v>1737</v>
      </c>
      <c r="H1958" t="s">
        <v>2279</v>
      </c>
      <c r="I1958" t="s">
        <v>2279</v>
      </c>
      <c r="J1958" t="s">
        <v>2279</v>
      </c>
      <c r="K1958" t="s">
        <v>2279</v>
      </c>
      <c r="L1958" t="s">
        <v>1512</v>
      </c>
      <c r="M1958" t="s">
        <v>2279</v>
      </c>
      <c r="N1958" t="s">
        <v>2279</v>
      </c>
      <c r="O1958" s="190" t="str">
        <f>"["&amp;$C1958&amp;"]["&amp;$D1958&amp;"]["&amp;$F1958&amp;"]"</f>
        <v>[S08_ActivityDataIssuesDetail][66][TypeOfIssue]</v>
      </c>
    </row>
    <row r="1959" spans="1:15" x14ac:dyDescent="0.3">
      <c r="A1959" t="s">
        <v>2277</v>
      </c>
      <c r="B1959" t="s">
        <v>2096</v>
      </c>
      <c r="C1959" t="s">
        <v>2097</v>
      </c>
      <c r="D1959">
        <v>67</v>
      </c>
      <c r="E1959" t="s">
        <v>1447</v>
      </c>
      <c r="F1959" t="s">
        <v>1989</v>
      </c>
      <c r="G1959" t="s">
        <v>1737</v>
      </c>
      <c r="H1959" t="s">
        <v>2279</v>
      </c>
      <c r="I1959" t="s">
        <v>2279</v>
      </c>
      <c r="J1959" t="s">
        <v>2279</v>
      </c>
      <c r="K1959" t="s">
        <v>2279</v>
      </c>
      <c r="L1959" t="s">
        <v>1512</v>
      </c>
      <c r="M1959" t="s">
        <v>2279</v>
      </c>
      <c r="N1959" t="s">
        <v>2279</v>
      </c>
      <c r="O1959" s="190" t="str">
        <f>"["&amp;$C1959&amp;"]["&amp;$D1959&amp;"]["&amp;$F1959&amp;"]"</f>
        <v>[S08_ActivityDataIssuesDetail][67][TypeOfIssue]</v>
      </c>
    </row>
    <row r="1960" spans="1:15" x14ac:dyDescent="0.3">
      <c r="A1960" t="s">
        <v>2277</v>
      </c>
      <c r="B1960" t="s">
        <v>2096</v>
      </c>
      <c r="C1960" t="s">
        <v>2097</v>
      </c>
      <c r="D1960">
        <v>68</v>
      </c>
      <c r="E1960" t="s">
        <v>1447</v>
      </c>
      <c r="F1960" t="s">
        <v>1989</v>
      </c>
      <c r="G1960" t="s">
        <v>1737</v>
      </c>
      <c r="H1960" t="s">
        <v>2279</v>
      </c>
      <c r="I1960" t="s">
        <v>2279</v>
      </c>
      <c r="J1960" t="s">
        <v>2279</v>
      </c>
      <c r="K1960" t="s">
        <v>2279</v>
      </c>
      <c r="L1960" t="s">
        <v>1512</v>
      </c>
      <c r="M1960" t="s">
        <v>2279</v>
      </c>
      <c r="N1960" t="s">
        <v>2279</v>
      </c>
      <c r="O1960" s="190" t="str">
        <f>"["&amp;$C1960&amp;"]["&amp;$D1960&amp;"]["&amp;$F1960&amp;"]"</f>
        <v>[S08_ActivityDataIssuesDetail][68][TypeOfIssue]</v>
      </c>
    </row>
    <row r="1961" spans="1:15" x14ac:dyDescent="0.3">
      <c r="A1961" t="s">
        <v>2277</v>
      </c>
      <c r="B1961" t="s">
        <v>2096</v>
      </c>
      <c r="C1961" t="s">
        <v>2097</v>
      </c>
      <c r="D1961">
        <v>69</v>
      </c>
      <c r="E1961" t="s">
        <v>1447</v>
      </c>
      <c r="F1961" t="s">
        <v>1989</v>
      </c>
      <c r="G1961" t="s">
        <v>1737</v>
      </c>
      <c r="H1961" t="s">
        <v>2279</v>
      </c>
      <c r="I1961" t="s">
        <v>2279</v>
      </c>
      <c r="J1961" t="s">
        <v>2279</v>
      </c>
      <c r="K1961" t="s">
        <v>2279</v>
      </c>
      <c r="L1961" t="s">
        <v>1512</v>
      </c>
      <c r="M1961" t="s">
        <v>2279</v>
      </c>
      <c r="N1961" t="s">
        <v>2279</v>
      </c>
      <c r="O1961" s="190" t="str">
        <f>"["&amp;$C1961&amp;"]["&amp;$D1961&amp;"]["&amp;$F1961&amp;"]"</f>
        <v>[S08_ActivityDataIssuesDetail][69][TypeOfIssue]</v>
      </c>
    </row>
    <row r="1962" spans="1:15" x14ac:dyDescent="0.3">
      <c r="A1962" t="s">
        <v>2277</v>
      </c>
      <c r="B1962" t="s">
        <v>2096</v>
      </c>
      <c r="C1962" t="s">
        <v>2097</v>
      </c>
      <c r="D1962">
        <v>70</v>
      </c>
      <c r="E1962" t="s">
        <v>1447</v>
      </c>
      <c r="F1962" t="s">
        <v>1989</v>
      </c>
      <c r="G1962" t="s">
        <v>1737</v>
      </c>
      <c r="H1962" t="s">
        <v>2279</v>
      </c>
      <c r="I1962" t="s">
        <v>2279</v>
      </c>
      <c r="J1962" t="s">
        <v>2279</v>
      </c>
      <c r="K1962" t="s">
        <v>2279</v>
      </c>
      <c r="L1962" t="s">
        <v>1512</v>
      </c>
      <c r="M1962" t="s">
        <v>2279</v>
      </c>
      <c r="N1962" t="s">
        <v>2279</v>
      </c>
      <c r="O1962" s="190" t="str">
        <f>"["&amp;$C1962&amp;"]["&amp;$D1962&amp;"]["&amp;$F1962&amp;"]"</f>
        <v>[S08_ActivityDataIssuesDetail][70][TypeOfIssue]</v>
      </c>
    </row>
    <row r="1963" spans="1:15" x14ac:dyDescent="0.3">
      <c r="A1963" t="s">
        <v>2277</v>
      </c>
      <c r="B1963" t="s">
        <v>2096</v>
      </c>
      <c r="C1963" t="s">
        <v>2097</v>
      </c>
      <c r="D1963">
        <v>71</v>
      </c>
      <c r="E1963" t="s">
        <v>1447</v>
      </c>
      <c r="F1963" t="s">
        <v>1989</v>
      </c>
      <c r="G1963" t="s">
        <v>1737</v>
      </c>
      <c r="H1963" t="s">
        <v>2279</v>
      </c>
      <c r="I1963" t="s">
        <v>2279</v>
      </c>
      <c r="J1963" t="s">
        <v>2279</v>
      </c>
      <c r="K1963" t="s">
        <v>2279</v>
      </c>
      <c r="L1963" t="s">
        <v>1512</v>
      </c>
      <c r="M1963" t="s">
        <v>2279</v>
      </c>
      <c r="N1963" t="s">
        <v>2279</v>
      </c>
      <c r="O1963" s="190" t="str">
        <f>"["&amp;$C1963&amp;"]["&amp;$D1963&amp;"]["&amp;$F1963&amp;"]"</f>
        <v>[S08_ActivityDataIssuesDetail][71][TypeOfIssue]</v>
      </c>
    </row>
    <row r="1964" spans="1:15" x14ac:dyDescent="0.3">
      <c r="A1964" t="s">
        <v>2277</v>
      </c>
      <c r="B1964" t="s">
        <v>2096</v>
      </c>
      <c r="C1964" t="s">
        <v>2097</v>
      </c>
      <c r="D1964">
        <v>72</v>
      </c>
      <c r="E1964" t="s">
        <v>1447</v>
      </c>
      <c r="F1964" t="s">
        <v>1989</v>
      </c>
      <c r="G1964" t="s">
        <v>1737</v>
      </c>
      <c r="H1964" t="s">
        <v>2279</v>
      </c>
      <c r="I1964" t="s">
        <v>2279</v>
      </c>
      <c r="J1964" t="s">
        <v>2279</v>
      </c>
      <c r="K1964" t="s">
        <v>2279</v>
      </c>
      <c r="L1964" t="s">
        <v>1512</v>
      </c>
      <c r="M1964" t="s">
        <v>2279</v>
      </c>
      <c r="N1964" t="s">
        <v>2279</v>
      </c>
      <c r="O1964" s="190" t="str">
        <f>"["&amp;$C1964&amp;"]["&amp;$D1964&amp;"]["&amp;$F1964&amp;"]"</f>
        <v>[S08_ActivityDataIssuesDetail][72][TypeOfIssue]</v>
      </c>
    </row>
    <row r="1965" spans="1:15" x14ac:dyDescent="0.3">
      <c r="A1965" t="s">
        <v>2277</v>
      </c>
      <c r="B1965" t="s">
        <v>2096</v>
      </c>
      <c r="C1965" t="s">
        <v>2097</v>
      </c>
      <c r="D1965">
        <v>73</v>
      </c>
      <c r="E1965" t="s">
        <v>1447</v>
      </c>
      <c r="F1965" t="s">
        <v>1989</v>
      </c>
      <c r="G1965" t="s">
        <v>1737</v>
      </c>
      <c r="H1965" t="s">
        <v>2279</v>
      </c>
      <c r="I1965" t="s">
        <v>2279</v>
      </c>
      <c r="J1965" t="s">
        <v>2279</v>
      </c>
      <c r="K1965" t="s">
        <v>2279</v>
      </c>
      <c r="L1965" t="s">
        <v>1512</v>
      </c>
      <c r="M1965" t="s">
        <v>2279</v>
      </c>
      <c r="N1965" t="s">
        <v>2279</v>
      </c>
      <c r="O1965" s="190" t="str">
        <f>"["&amp;$C1965&amp;"]["&amp;$D1965&amp;"]["&amp;$F1965&amp;"]"</f>
        <v>[S08_ActivityDataIssuesDetail][73][TypeOfIssue]</v>
      </c>
    </row>
    <row r="1966" spans="1:15" x14ac:dyDescent="0.3">
      <c r="A1966" t="s">
        <v>2277</v>
      </c>
      <c r="B1966" t="s">
        <v>2096</v>
      </c>
      <c r="C1966" t="s">
        <v>2097</v>
      </c>
      <c r="D1966">
        <v>74</v>
      </c>
      <c r="E1966" t="s">
        <v>1447</v>
      </c>
      <c r="F1966" t="s">
        <v>1989</v>
      </c>
      <c r="G1966" t="s">
        <v>1737</v>
      </c>
      <c r="H1966" t="s">
        <v>2279</v>
      </c>
      <c r="I1966" t="s">
        <v>2279</v>
      </c>
      <c r="J1966" t="s">
        <v>2279</v>
      </c>
      <c r="K1966" t="s">
        <v>2279</v>
      </c>
      <c r="L1966" t="s">
        <v>1512</v>
      </c>
      <c r="M1966" t="s">
        <v>2279</v>
      </c>
      <c r="N1966" t="s">
        <v>2279</v>
      </c>
      <c r="O1966" s="190" t="str">
        <f>"["&amp;$C1966&amp;"]["&amp;$D1966&amp;"]["&amp;$F1966&amp;"]"</f>
        <v>[S08_ActivityDataIssuesDetail][74][TypeOfIssue]</v>
      </c>
    </row>
    <row r="1967" spans="1:15" x14ac:dyDescent="0.3">
      <c r="A1967" t="s">
        <v>2277</v>
      </c>
      <c r="B1967" t="s">
        <v>2096</v>
      </c>
      <c r="C1967" t="s">
        <v>2097</v>
      </c>
      <c r="D1967">
        <v>75</v>
      </c>
      <c r="E1967" t="s">
        <v>1447</v>
      </c>
      <c r="F1967" t="s">
        <v>1989</v>
      </c>
      <c r="G1967" t="s">
        <v>1737</v>
      </c>
      <c r="H1967" t="s">
        <v>2279</v>
      </c>
      <c r="I1967" t="s">
        <v>2279</v>
      </c>
      <c r="J1967" t="s">
        <v>2279</v>
      </c>
      <c r="K1967" t="s">
        <v>2279</v>
      </c>
      <c r="L1967" t="s">
        <v>1512</v>
      </c>
      <c r="M1967" t="s">
        <v>2279</v>
      </c>
      <c r="N1967" t="s">
        <v>2279</v>
      </c>
      <c r="O1967" s="190" t="str">
        <f>"["&amp;$C1967&amp;"]["&amp;$D1967&amp;"]["&amp;$F1967&amp;"]"</f>
        <v>[S08_ActivityDataIssuesDetail][75][TypeOfIssue]</v>
      </c>
    </row>
    <row r="1968" spans="1:15" x14ac:dyDescent="0.3">
      <c r="A1968" t="s">
        <v>2277</v>
      </c>
      <c r="B1968" t="s">
        <v>2096</v>
      </c>
      <c r="C1968" t="s">
        <v>2097</v>
      </c>
      <c r="D1968">
        <v>76</v>
      </c>
      <c r="E1968" t="s">
        <v>1447</v>
      </c>
      <c r="F1968" t="s">
        <v>1989</v>
      </c>
      <c r="G1968" t="s">
        <v>1737</v>
      </c>
      <c r="H1968" t="s">
        <v>2279</v>
      </c>
      <c r="I1968" t="s">
        <v>2279</v>
      </c>
      <c r="J1968" t="s">
        <v>2279</v>
      </c>
      <c r="K1968" t="s">
        <v>2279</v>
      </c>
      <c r="L1968" t="s">
        <v>1512</v>
      </c>
      <c r="M1968" t="s">
        <v>2279</v>
      </c>
      <c r="N1968" t="s">
        <v>2279</v>
      </c>
      <c r="O1968" s="190" t="str">
        <f>"["&amp;$C1968&amp;"]["&amp;$D1968&amp;"]["&amp;$F1968&amp;"]"</f>
        <v>[S08_ActivityDataIssuesDetail][76][TypeOfIssue]</v>
      </c>
    </row>
    <row r="1969" spans="1:15" x14ac:dyDescent="0.3">
      <c r="A1969" t="s">
        <v>2277</v>
      </c>
      <c r="B1969" t="s">
        <v>2096</v>
      </c>
      <c r="C1969" t="s">
        <v>2097</v>
      </c>
      <c r="D1969">
        <v>1</v>
      </c>
      <c r="E1969" t="s">
        <v>1447</v>
      </c>
      <c r="F1969" t="s">
        <v>1798</v>
      </c>
      <c r="G1969" t="s">
        <v>1748</v>
      </c>
      <c r="H1969" t="s">
        <v>2279</v>
      </c>
      <c r="I1969">
        <v>322</v>
      </c>
      <c r="J1969" t="s">
        <v>2279</v>
      </c>
      <c r="K1969" t="s">
        <v>2279</v>
      </c>
      <c r="L1969" t="s">
        <v>2279</v>
      </c>
      <c r="M1969" t="s">
        <v>2279</v>
      </c>
      <c r="N1969" t="s">
        <v>2279</v>
      </c>
      <c r="O1969" s="190" t="str">
        <f>"["&amp;$C1969&amp;"]["&amp;$D1969&amp;"]["&amp;$F1969&amp;"]"</f>
        <v>[S08_ActivityDataIssuesDetail][1][NumberOfInstallations]</v>
      </c>
    </row>
    <row r="1970" spans="1:15" x14ac:dyDescent="0.3">
      <c r="A1970" t="s">
        <v>2277</v>
      </c>
      <c r="B1970" t="s">
        <v>2096</v>
      </c>
      <c r="C1970" t="s">
        <v>2097</v>
      </c>
      <c r="D1970">
        <v>2</v>
      </c>
      <c r="E1970" t="s">
        <v>1447</v>
      </c>
      <c r="F1970" t="s">
        <v>1798</v>
      </c>
      <c r="G1970" t="s">
        <v>1748</v>
      </c>
      <c r="H1970" t="s">
        <v>2279</v>
      </c>
      <c r="I1970">
        <v>25</v>
      </c>
      <c r="J1970" t="s">
        <v>2279</v>
      </c>
      <c r="K1970" t="s">
        <v>2279</v>
      </c>
      <c r="L1970" t="s">
        <v>2279</v>
      </c>
      <c r="M1970" t="s">
        <v>2279</v>
      </c>
      <c r="N1970" t="s">
        <v>2279</v>
      </c>
      <c r="O1970" s="190" t="str">
        <f>"["&amp;$C1970&amp;"]["&amp;$D1970&amp;"]["&amp;$F1970&amp;"]"</f>
        <v>[S08_ActivityDataIssuesDetail][2][NumberOfInstallations]</v>
      </c>
    </row>
    <row r="1971" spans="1:15" x14ac:dyDescent="0.3">
      <c r="A1971" t="s">
        <v>2277</v>
      </c>
      <c r="B1971" t="s">
        <v>2096</v>
      </c>
      <c r="C1971" t="s">
        <v>2097</v>
      </c>
      <c r="D1971">
        <v>3</v>
      </c>
      <c r="E1971" t="s">
        <v>1447</v>
      </c>
      <c r="F1971" t="s">
        <v>1798</v>
      </c>
      <c r="G1971" t="s">
        <v>1748</v>
      </c>
      <c r="H1971" t="s">
        <v>2279</v>
      </c>
      <c r="I1971">
        <v>39</v>
      </c>
      <c r="J1971" t="s">
        <v>2279</v>
      </c>
      <c r="K1971" t="s">
        <v>2279</v>
      </c>
      <c r="L1971" t="s">
        <v>2279</v>
      </c>
      <c r="M1971" t="s">
        <v>2279</v>
      </c>
      <c r="N1971" t="s">
        <v>2279</v>
      </c>
      <c r="O1971" s="190" t="str">
        <f>"["&amp;$C1971&amp;"]["&amp;$D1971&amp;"]["&amp;$F1971&amp;"]"</f>
        <v>[S08_ActivityDataIssuesDetail][3][NumberOfInstallations]</v>
      </c>
    </row>
    <row r="1972" spans="1:15" x14ac:dyDescent="0.3">
      <c r="A1972" t="s">
        <v>2277</v>
      </c>
      <c r="B1972" t="s">
        <v>2096</v>
      </c>
      <c r="C1972" t="s">
        <v>2097</v>
      </c>
      <c r="D1972">
        <v>4</v>
      </c>
      <c r="E1972" t="s">
        <v>1447</v>
      </c>
      <c r="F1972" t="s">
        <v>1798</v>
      </c>
      <c r="G1972" t="s">
        <v>1748</v>
      </c>
      <c r="H1972" t="s">
        <v>2279</v>
      </c>
      <c r="I1972">
        <v>58</v>
      </c>
      <c r="J1972" t="s">
        <v>2279</v>
      </c>
      <c r="K1972" t="s">
        <v>2279</v>
      </c>
      <c r="L1972" t="s">
        <v>2279</v>
      </c>
      <c r="M1972" t="s">
        <v>2279</v>
      </c>
      <c r="N1972" t="s">
        <v>2279</v>
      </c>
      <c r="O1972" s="190" t="str">
        <f>"["&amp;$C1972&amp;"]["&amp;$D1972&amp;"]["&amp;$F1972&amp;"]"</f>
        <v>[S08_ActivityDataIssuesDetail][4][NumberOfInstallations]</v>
      </c>
    </row>
    <row r="1973" spans="1:15" x14ac:dyDescent="0.3">
      <c r="A1973" t="s">
        <v>2277</v>
      </c>
      <c r="B1973" t="s">
        <v>2096</v>
      </c>
      <c r="C1973" t="s">
        <v>2097</v>
      </c>
      <c r="D1973">
        <v>5</v>
      </c>
      <c r="E1973" t="s">
        <v>1447</v>
      </c>
      <c r="F1973" t="s">
        <v>1798</v>
      </c>
      <c r="G1973" t="s">
        <v>1748</v>
      </c>
      <c r="H1973" t="s">
        <v>2279</v>
      </c>
      <c r="I1973">
        <v>35</v>
      </c>
      <c r="J1973" t="s">
        <v>2279</v>
      </c>
      <c r="K1973" t="s">
        <v>2279</v>
      </c>
      <c r="L1973" t="s">
        <v>2279</v>
      </c>
      <c r="M1973" t="s">
        <v>2279</v>
      </c>
      <c r="N1973" t="s">
        <v>2279</v>
      </c>
      <c r="O1973" s="190" t="str">
        <f>"["&amp;$C1973&amp;"]["&amp;$D1973&amp;"]["&amp;$F1973&amp;"]"</f>
        <v>[S08_ActivityDataIssuesDetail][5][NumberOfInstallations]</v>
      </c>
    </row>
    <row r="1974" spans="1:15" x14ac:dyDescent="0.3">
      <c r="A1974" t="s">
        <v>2277</v>
      </c>
      <c r="B1974" t="s">
        <v>2096</v>
      </c>
      <c r="C1974" t="s">
        <v>2097</v>
      </c>
      <c r="D1974">
        <v>6</v>
      </c>
      <c r="E1974" t="s">
        <v>1447</v>
      </c>
      <c r="F1974" t="s">
        <v>1798</v>
      </c>
      <c r="G1974" t="s">
        <v>1748</v>
      </c>
      <c r="H1974" t="s">
        <v>2279</v>
      </c>
      <c r="I1974">
        <v>13</v>
      </c>
      <c r="J1974" t="s">
        <v>2279</v>
      </c>
      <c r="K1974" t="s">
        <v>2279</v>
      </c>
      <c r="L1974" t="s">
        <v>2279</v>
      </c>
      <c r="M1974" t="s">
        <v>2279</v>
      </c>
      <c r="N1974" t="s">
        <v>2279</v>
      </c>
      <c r="O1974" s="190" t="str">
        <f>"["&amp;$C1974&amp;"]["&amp;$D1974&amp;"]["&amp;$F1974&amp;"]"</f>
        <v>[S08_ActivityDataIssuesDetail][6][NumberOfInstallations]</v>
      </c>
    </row>
    <row r="1975" spans="1:15" x14ac:dyDescent="0.3">
      <c r="A1975" t="s">
        <v>2277</v>
      </c>
      <c r="B1975" t="s">
        <v>2096</v>
      </c>
      <c r="C1975" t="s">
        <v>2097</v>
      </c>
      <c r="D1975">
        <v>7</v>
      </c>
      <c r="E1975" t="s">
        <v>1447</v>
      </c>
      <c r="F1975" t="s">
        <v>1798</v>
      </c>
      <c r="G1975" t="s">
        <v>1748</v>
      </c>
      <c r="H1975" t="s">
        <v>2279</v>
      </c>
      <c r="I1975">
        <v>4</v>
      </c>
      <c r="J1975" t="s">
        <v>2279</v>
      </c>
      <c r="K1975" t="s">
        <v>2279</v>
      </c>
      <c r="L1975" t="s">
        <v>2279</v>
      </c>
      <c r="M1975" t="s">
        <v>2279</v>
      </c>
      <c r="N1975" t="s">
        <v>2279</v>
      </c>
      <c r="O1975" s="190" t="str">
        <f>"["&amp;$C1975&amp;"]["&amp;$D1975&amp;"]["&amp;$F1975&amp;"]"</f>
        <v>[S08_ActivityDataIssuesDetail][7][NumberOfInstallations]</v>
      </c>
    </row>
    <row r="1976" spans="1:15" x14ac:dyDescent="0.3">
      <c r="A1976" t="s">
        <v>2277</v>
      </c>
      <c r="B1976" t="s">
        <v>2096</v>
      </c>
      <c r="C1976" t="s">
        <v>2097</v>
      </c>
      <c r="D1976">
        <v>8</v>
      </c>
      <c r="E1976" t="s">
        <v>1447</v>
      </c>
      <c r="F1976" t="s">
        <v>1798</v>
      </c>
      <c r="G1976" t="s">
        <v>1748</v>
      </c>
      <c r="H1976" t="s">
        <v>2279</v>
      </c>
      <c r="I1976">
        <v>14</v>
      </c>
      <c r="J1976" t="s">
        <v>2279</v>
      </c>
      <c r="K1976" t="s">
        <v>2279</v>
      </c>
      <c r="L1976" t="s">
        <v>2279</v>
      </c>
      <c r="M1976" t="s">
        <v>2279</v>
      </c>
      <c r="N1976" t="s">
        <v>2279</v>
      </c>
      <c r="O1976" s="190" t="str">
        <f>"["&amp;$C1976&amp;"]["&amp;$D1976&amp;"]["&amp;$F1976&amp;"]"</f>
        <v>[S08_ActivityDataIssuesDetail][8][NumberOfInstallations]</v>
      </c>
    </row>
    <row r="1977" spans="1:15" x14ac:dyDescent="0.3">
      <c r="A1977" t="s">
        <v>2277</v>
      </c>
      <c r="B1977" t="s">
        <v>2096</v>
      </c>
      <c r="C1977" t="s">
        <v>2097</v>
      </c>
      <c r="D1977">
        <v>9</v>
      </c>
      <c r="E1977" t="s">
        <v>1447</v>
      </c>
      <c r="F1977" t="s">
        <v>1798</v>
      </c>
      <c r="G1977" t="s">
        <v>1748</v>
      </c>
      <c r="H1977" t="s">
        <v>2279</v>
      </c>
      <c r="I1977">
        <v>4</v>
      </c>
      <c r="J1977" t="s">
        <v>2279</v>
      </c>
      <c r="K1977" t="s">
        <v>2279</v>
      </c>
      <c r="L1977" t="s">
        <v>2279</v>
      </c>
      <c r="M1977" t="s">
        <v>2279</v>
      </c>
      <c r="N1977" t="s">
        <v>2279</v>
      </c>
      <c r="O1977" s="190" t="str">
        <f>"["&amp;$C1977&amp;"]["&amp;$D1977&amp;"]["&amp;$F1977&amp;"]"</f>
        <v>[S08_ActivityDataIssuesDetail][9][NumberOfInstallations]</v>
      </c>
    </row>
    <row r="1978" spans="1:15" x14ac:dyDescent="0.3">
      <c r="A1978" t="s">
        <v>2277</v>
      </c>
      <c r="B1978" t="s">
        <v>2096</v>
      </c>
      <c r="C1978" t="s">
        <v>2097</v>
      </c>
      <c r="D1978">
        <v>10</v>
      </c>
      <c r="E1978" t="s">
        <v>1447</v>
      </c>
      <c r="F1978" t="s">
        <v>1798</v>
      </c>
      <c r="G1978" t="s">
        <v>1748</v>
      </c>
      <c r="H1978" t="s">
        <v>2279</v>
      </c>
      <c r="I1978">
        <v>7</v>
      </c>
      <c r="J1978" t="s">
        <v>2279</v>
      </c>
      <c r="K1978" t="s">
        <v>2279</v>
      </c>
      <c r="L1978" t="s">
        <v>2279</v>
      </c>
      <c r="M1978" t="s">
        <v>2279</v>
      </c>
      <c r="N1978" t="s">
        <v>2279</v>
      </c>
      <c r="O1978" s="190" t="str">
        <f>"["&amp;$C1978&amp;"]["&amp;$D1978&amp;"]["&amp;$F1978&amp;"]"</f>
        <v>[S08_ActivityDataIssuesDetail][10][NumberOfInstallations]</v>
      </c>
    </row>
    <row r="1979" spans="1:15" x14ac:dyDescent="0.3">
      <c r="A1979" t="s">
        <v>2277</v>
      </c>
      <c r="B1979" t="s">
        <v>2096</v>
      </c>
      <c r="C1979" t="s">
        <v>2097</v>
      </c>
      <c r="D1979">
        <v>11</v>
      </c>
      <c r="E1979" t="s">
        <v>1447</v>
      </c>
      <c r="F1979" t="s">
        <v>1798</v>
      </c>
      <c r="G1979" t="s">
        <v>1748</v>
      </c>
      <c r="H1979" t="s">
        <v>2279</v>
      </c>
      <c r="I1979">
        <v>7</v>
      </c>
      <c r="J1979" t="s">
        <v>2279</v>
      </c>
      <c r="K1979" t="s">
        <v>2279</v>
      </c>
      <c r="L1979" t="s">
        <v>2279</v>
      </c>
      <c r="M1979" t="s">
        <v>2279</v>
      </c>
      <c r="N1979" t="s">
        <v>2279</v>
      </c>
      <c r="O1979" s="190" t="str">
        <f>"["&amp;$C1979&amp;"]["&amp;$D1979&amp;"]["&amp;$F1979&amp;"]"</f>
        <v>[S08_ActivityDataIssuesDetail][11][NumberOfInstallations]</v>
      </c>
    </row>
    <row r="1980" spans="1:15" x14ac:dyDescent="0.3">
      <c r="A1980" t="s">
        <v>2277</v>
      </c>
      <c r="B1980" t="s">
        <v>2096</v>
      </c>
      <c r="C1980" t="s">
        <v>2097</v>
      </c>
      <c r="D1980">
        <v>12</v>
      </c>
      <c r="E1980" t="s">
        <v>1447</v>
      </c>
      <c r="F1980" t="s">
        <v>1798</v>
      </c>
      <c r="G1980" t="s">
        <v>1748</v>
      </c>
      <c r="H1980" t="s">
        <v>2279</v>
      </c>
      <c r="I1980">
        <v>1</v>
      </c>
      <c r="J1980" t="s">
        <v>2279</v>
      </c>
      <c r="K1980" t="s">
        <v>2279</v>
      </c>
      <c r="L1980" t="s">
        <v>2279</v>
      </c>
      <c r="M1980" t="s">
        <v>2279</v>
      </c>
      <c r="N1980" t="s">
        <v>2279</v>
      </c>
      <c r="O1980" s="190" t="str">
        <f>"["&amp;$C1980&amp;"]["&amp;$D1980&amp;"]["&amp;$F1980&amp;"]"</f>
        <v>[S08_ActivityDataIssuesDetail][12][NumberOfInstallations]</v>
      </c>
    </row>
    <row r="1981" spans="1:15" x14ac:dyDescent="0.3">
      <c r="A1981" t="s">
        <v>2277</v>
      </c>
      <c r="B1981" t="s">
        <v>2096</v>
      </c>
      <c r="C1981" t="s">
        <v>2097</v>
      </c>
      <c r="D1981">
        <v>13</v>
      </c>
      <c r="E1981" t="s">
        <v>1447</v>
      </c>
      <c r="F1981" t="s">
        <v>1798</v>
      </c>
      <c r="G1981" t="s">
        <v>1748</v>
      </c>
      <c r="H1981" t="s">
        <v>2279</v>
      </c>
      <c r="I1981">
        <v>23</v>
      </c>
      <c r="J1981" t="s">
        <v>2279</v>
      </c>
      <c r="K1981" t="s">
        <v>2279</v>
      </c>
      <c r="L1981" t="s">
        <v>2279</v>
      </c>
      <c r="M1981" t="s">
        <v>2279</v>
      </c>
      <c r="N1981" t="s">
        <v>2279</v>
      </c>
      <c r="O1981" s="190" t="str">
        <f>"["&amp;$C1981&amp;"]["&amp;$D1981&amp;"]["&amp;$F1981&amp;"]"</f>
        <v>[S08_ActivityDataIssuesDetail][13][NumberOfInstallations]</v>
      </c>
    </row>
    <row r="1982" spans="1:15" x14ac:dyDescent="0.3">
      <c r="A1982" t="s">
        <v>2277</v>
      </c>
      <c r="B1982" t="s">
        <v>2096</v>
      </c>
      <c r="C1982" t="s">
        <v>2097</v>
      </c>
      <c r="D1982">
        <v>14</v>
      </c>
      <c r="E1982" t="s">
        <v>1447</v>
      </c>
      <c r="F1982" t="s">
        <v>1798</v>
      </c>
      <c r="G1982" t="s">
        <v>1748</v>
      </c>
      <c r="H1982" t="s">
        <v>2279</v>
      </c>
      <c r="I1982">
        <v>6</v>
      </c>
      <c r="J1982" t="s">
        <v>2279</v>
      </c>
      <c r="K1982" t="s">
        <v>2279</v>
      </c>
      <c r="L1982" t="s">
        <v>2279</v>
      </c>
      <c r="M1982" t="s">
        <v>2279</v>
      </c>
      <c r="N1982" t="s">
        <v>2279</v>
      </c>
      <c r="O1982" s="190" t="str">
        <f>"["&amp;$C1982&amp;"]["&amp;$D1982&amp;"]["&amp;$F1982&amp;"]"</f>
        <v>[S08_ActivityDataIssuesDetail][14][NumberOfInstallations]</v>
      </c>
    </row>
    <row r="1983" spans="1:15" x14ac:dyDescent="0.3">
      <c r="A1983" t="s">
        <v>2277</v>
      </c>
      <c r="B1983" t="s">
        <v>2096</v>
      </c>
      <c r="C1983" t="s">
        <v>2097</v>
      </c>
      <c r="D1983">
        <v>15</v>
      </c>
      <c r="E1983" t="s">
        <v>1447</v>
      </c>
      <c r="F1983" t="s">
        <v>1798</v>
      </c>
      <c r="G1983" t="s">
        <v>1748</v>
      </c>
      <c r="H1983" t="s">
        <v>2279</v>
      </c>
      <c r="I1983">
        <v>3</v>
      </c>
      <c r="J1983" t="s">
        <v>2279</v>
      </c>
      <c r="K1983" t="s">
        <v>2279</v>
      </c>
      <c r="L1983" t="s">
        <v>2279</v>
      </c>
      <c r="M1983" t="s">
        <v>2279</v>
      </c>
      <c r="N1983" t="s">
        <v>2279</v>
      </c>
      <c r="O1983" s="190" t="str">
        <f>"["&amp;$C1983&amp;"]["&amp;$D1983&amp;"]["&amp;$F1983&amp;"]"</f>
        <v>[S08_ActivityDataIssuesDetail][15][NumberOfInstallations]</v>
      </c>
    </row>
    <row r="1984" spans="1:15" x14ac:dyDescent="0.3">
      <c r="A1984" t="s">
        <v>2277</v>
      </c>
      <c r="B1984" t="s">
        <v>2096</v>
      </c>
      <c r="C1984" t="s">
        <v>2097</v>
      </c>
      <c r="D1984">
        <v>16</v>
      </c>
      <c r="E1984" t="s">
        <v>1447</v>
      </c>
      <c r="F1984" t="s">
        <v>1798</v>
      </c>
      <c r="G1984" t="s">
        <v>1748</v>
      </c>
      <c r="H1984" t="s">
        <v>2279</v>
      </c>
      <c r="I1984">
        <v>1</v>
      </c>
      <c r="J1984" t="s">
        <v>2279</v>
      </c>
      <c r="K1984" t="s">
        <v>2279</v>
      </c>
      <c r="L1984" t="s">
        <v>2279</v>
      </c>
      <c r="M1984" t="s">
        <v>2279</v>
      </c>
      <c r="N1984" t="s">
        <v>2279</v>
      </c>
      <c r="O1984" s="190" t="str">
        <f>"["&amp;$C1984&amp;"]["&amp;$D1984&amp;"]["&amp;$F1984&amp;"]"</f>
        <v>[S08_ActivityDataIssuesDetail][16][NumberOfInstallations]</v>
      </c>
    </row>
    <row r="1985" spans="1:15" x14ac:dyDescent="0.3">
      <c r="A1985" t="s">
        <v>2277</v>
      </c>
      <c r="B1985" t="s">
        <v>2096</v>
      </c>
      <c r="C1985" t="s">
        <v>2097</v>
      </c>
      <c r="D1985">
        <v>17</v>
      </c>
      <c r="E1985" t="s">
        <v>1447</v>
      </c>
      <c r="F1985" t="s">
        <v>1798</v>
      </c>
      <c r="G1985" t="s">
        <v>1748</v>
      </c>
      <c r="H1985" t="s">
        <v>2279</v>
      </c>
      <c r="I1985">
        <v>3</v>
      </c>
      <c r="J1985" t="s">
        <v>2279</v>
      </c>
      <c r="K1985" t="s">
        <v>2279</v>
      </c>
      <c r="L1985" t="s">
        <v>2279</v>
      </c>
      <c r="M1985" t="s">
        <v>2279</v>
      </c>
      <c r="N1985" t="s">
        <v>2279</v>
      </c>
      <c r="O1985" s="190" t="str">
        <f>"["&amp;$C1985&amp;"]["&amp;$D1985&amp;"]["&amp;$F1985&amp;"]"</f>
        <v>[S08_ActivityDataIssuesDetail][17][NumberOfInstallations]</v>
      </c>
    </row>
    <row r="1986" spans="1:15" x14ac:dyDescent="0.3">
      <c r="A1986" t="s">
        <v>2277</v>
      </c>
      <c r="B1986" t="s">
        <v>2096</v>
      </c>
      <c r="C1986" t="s">
        <v>2097</v>
      </c>
      <c r="D1986">
        <v>18</v>
      </c>
      <c r="E1986" t="s">
        <v>1447</v>
      </c>
      <c r="F1986" t="s">
        <v>1798</v>
      </c>
      <c r="G1986" t="s">
        <v>1748</v>
      </c>
      <c r="H1986" t="s">
        <v>2279</v>
      </c>
      <c r="I1986">
        <v>7</v>
      </c>
      <c r="J1986" t="s">
        <v>2279</v>
      </c>
      <c r="K1986" t="s">
        <v>2279</v>
      </c>
      <c r="L1986" t="s">
        <v>2279</v>
      </c>
      <c r="M1986" t="s">
        <v>2279</v>
      </c>
      <c r="N1986" t="s">
        <v>2279</v>
      </c>
      <c r="O1986" s="190" t="str">
        <f>"["&amp;$C1986&amp;"]["&amp;$D1986&amp;"]["&amp;$F1986&amp;"]"</f>
        <v>[S08_ActivityDataIssuesDetail][18][NumberOfInstallations]</v>
      </c>
    </row>
    <row r="1987" spans="1:15" x14ac:dyDescent="0.3">
      <c r="A1987" t="s">
        <v>2277</v>
      </c>
      <c r="B1987" t="s">
        <v>2096</v>
      </c>
      <c r="C1987" t="s">
        <v>2097</v>
      </c>
      <c r="D1987">
        <v>19</v>
      </c>
      <c r="E1987" t="s">
        <v>1447</v>
      </c>
      <c r="F1987" t="s">
        <v>1798</v>
      </c>
      <c r="G1987" t="s">
        <v>1748</v>
      </c>
      <c r="H1987" t="s">
        <v>2279</v>
      </c>
      <c r="I1987">
        <v>2</v>
      </c>
      <c r="J1987" t="s">
        <v>2279</v>
      </c>
      <c r="K1987" t="s">
        <v>2279</v>
      </c>
      <c r="L1987" t="s">
        <v>2279</v>
      </c>
      <c r="M1987" t="s">
        <v>2279</v>
      </c>
      <c r="N1987" t="s">
        <v>2279</v>
      </c>
      <c r="O1987" s="190" t="str">
        <f>"["&amp;$C1987&amp;"]["&amp;$D1987&amp;"]["&amp;$F1987&amp;"]"</f>
        <v>[S08_ActivityDataIssuesDetail][19][NumberOfInstallations]</v>
      </c>
    </row>
    <row r="1988" spans="1:15" x14ac:dyDescent="0.3">
      <c r="A1988" t="s">
        <v>2277</v>
      </c>
      <c r="B1988" t="s">
        <v>2096</v>
      </c>
      <c r="C1988" t="s">
        <v>2097</v>
      </c>
      <c r="D1988">
        <v>20</v>
      </c>
      <c r="E1988" t="s">
        <v>1447</v>
      </c>
      <c r="F1988" t="s">
        <v>1798</v>
      </c>
      <c r="G1988" t="s">
        <v>1748</v>
      </c>
      <c r="H1988" t="s">
        <v>2279</v>
      </c>
      <c r="I1988">
        <v>2</v>
      </c>
      <c r="J1988" t="s">
        <v>2279</v>
      </c>
      <c r="K1988" t="s">
        <v>2279</v>
      </c>
      <c r="L1988" t="s">
        <v>2279</v>
      </c>
      <c r="M1988" t="s">
        <v>2279</v>
      </c>
      <c r="N1988" t="s">
        <v>2279</v>
      </c>
      <c r="O1988" s="190" t="str">
        <f>"["&amp;$C1988&amp;"]["&amp;$D1988&amp;"]["&amp;$F1988&amp;"]"</f>
        <v>[S08_ActivityDataIssuesDetail][20][NumberOfInstallations]</v>
      </c>
    </row>
    <row r="1989" spans="1:15" x14ac:dyDescent="0.3">
      <c r="A1989" t="s">
        <v>2277</v>
      </c>
      <c r="B1989" t="s">
        <v>2096</v>
      </c>
      <c r="C1989" t="s">
        <v>2097</v>
      </c>
      <c r="D1989">
        <v>21</v>
      </c>
      <c r="E1989" t="s">
        <v>1447</v>
      </c>
      <c r="F1989" t="s">
        <v>1798</v>
      </c>
      <c r="G1989" t="s">
        <v>1748</v>
      </c>
      <c r="H1989" t="s">
        <v>2279</v>
      </c>
      <c r="I1989">
        <v>161</v>
      </c>
      <c r="J1989" t="s">
        <v>2279</v>
      </c>
      <c r="K1989" t="s">
        <v>2279</v>
      </c>
      <c r="L1989" t="s">
        <v>2279</v>
      </c>
      <c r="M1989" t="s">
        <v>2279</v>
      </c>
      <c r="N1989" t="s">
        <v>2279</v>
      </c>
      <c r="O1989" s="190" t="str">
        <f>"["&amp;$C1989&amp;"]["&amp;$D1989&amp;"]["&amp;$F1989&amp;"]"</f>
        <v>[S08_ActivityDataIssuesDetail][21][NumberOfInstallations]</v>
      </c>
    </row>
    <row r="1990" spans="1:15" x14ac:dyDescent="0.3">
      <c r="A1990" t="s">
        <v>2277</v>
      </c>
      <c r="B1990" t="s">
        <v>2096</v>
      </c>
      <c r="C1990" t="s">
        <v>2097</v>
      </c>
      <c r="D1990">
        <v>22</v>
      </c>
      <c r="E1990" t="s">
        <v>1447</v>
      </c>
      <c r="F1990" t="s">
        <v>1798</v>
      </c>
      <c r="G1990" t="s">
        <v>1748</v>
      </c>
      <c r="H1990" t="s">
        <v>2279</v>
      </c>
      <c r="I1990">
        <v>2</v>
      </c>
      <c r="J1990" t="s">
        <v>2279</v>
      </c>
      <c r="K1990" t="s">
        <v>2279</v>
      </c>
      <c r="L1990" t="s">
        <v>2279</v>
      </c>
      <c r="M1990" t="s">
        <v>2279</v>
      </c>
      <c r="N1990" t="s">
        <v>2279</v>
      </c>
      <c r="O1990" s="190" t="str">
        <f>"["&amp;$C1990&amp;"]["&amp;$D1990&amp;"]["&amp;$F1990&amp;"]"</f>
        <v>[S08_ActivityDataIssuesDetail][22][NumberOfInstallations]</v>
      </c>
    </row>
    <row r="1991" spans="1:15" x14ac:dyDescent="0.3">
      <c r="A1991" t="s">
        <v>2277</v>
      </c>
      <c r="B1991" t="s">
        <v>2096</v>
      </c>
      <c r="C1991" t="s">
        <v>2097</v>
      </c>
      <c r="D1991">
        <v>23</v>
      </c>
      <c r="E1991" t="s">
        <v>1447</v>
      </c>
      <c r="F1991" t="s">
        <v>1798</v>
      </c>
      <c r="G1991" t="s">
        <v>1748</v>
      </c>
      <c r="H1991" t="s">
        <v>2279</v>
      </c>
      <c r="I1991">
        <v>11</v>
      </c>
      <c r="J1991" t="s">
        <v>2279</v>
      </c>
      <c r="K1991" t="s">
        <v>2279</v>
      </c>
      <c r="L1991" t="s">
        <v>2279</v>
      </c>
      <c r="M1991" t="s">
        <v>2279</v>
      </c>
      <c r="N1991" t="s">
        <v>2279</v>
      </c>
      <c r="O1991" s="190" t="str">
        <f>"["&amp;$C1991&amp;"]["&amp;$D1991&amp;"]["&amp;$F1991&amp;"]"</f>
        <v>[S08_ActivityDataIssuesDetail][23][NumberOfInstallations]</v>
      </c>
    </row>
    <row r="1992" spans="1:15" x14ac:dyDescent="0.3">
      <c r="A1992" t="s">
        <v>2277</v>
      </c>
      <c r="B1992" t="s">
        <v>2096</v>
      </c>
      <c r="C1992" t="s">
        <v>2097</v>
      </c>
      <c r="D1992">
        <v>24</v>
      </c>
      <c r="E1992" t="s">
        <v>1447</v>
      </c>
      <c r="F1992" t="s">
        <v>1798</v>
      </c>
      <c r="G1992" t="s">
        <v>1748</v>
      </c>
      <c r="H1992" t="s">
        <v>2279</v>
      </c>
      <c r="I1992">
        <v>15</v>
      </c>
      <c r="J1992" t="s">
        <v>2279</v>
      </c>
      <c r="K1992" t="s">
        <v>2279</v>
      </c>
      <c r="L1992" t="s">
        <v>2279</v>
      </c>
      <c r="M1992" t="s">
        <v>2279</v>
      </c>
      <c r="N1992" t="s">
        <v>2279</v>
      </c>
      <c r="O1992" s="190" t="str">
        <f>"["&amp;$C1992&amp;"]["&amp;$D1992&amp;"]["&amp;$F1992&amp;"]"</f>
        <v>[S08_ActivityDataIssuesDetail][24][NumberOfInstallations]</v>
      </c>
    </row>
    <row r="1993" spans="1:15" x14ac:dyDescent="0.3">
      <c r="A1993" t="s">
        <v>2277</v>
      </c>
      <c r="B1993" t="s">
        <v>2096</v>
      </c>
      <c r="C1993" t="s">
        <v>2097</v>
      </c>
      <c r="D1993">
        <v>25</v>
      </c>
      <c r="E1993" t="s">
        <v>1447</v>
      </c>
      <c r="F1993" t="s">
        <v>1798</v>
      </c>
      <c r="G1993" t="s">
        <v>1748</v>
      </c>
      <c r="H1993" t="s">
        <v>2279</v>
      </c>
      <c r="I1993">
        <v>25</v>
      </c>
      <c r="J1993" t="s">
        <v>2279</v>
      </c>
      <c r="K1993" t="s">
        <v>2279</v>
      </c>
      <c r="L1993" t="s">
        <v>2279</v>
      </c>
      <c r="M1993" t="s">
        <v>2279</v>
      </c>
      <c r="N1993" t="s">
        <v>2279</v>
      </c>
      <c r="O1993" s="190" t="str">
        <f>"["&amp;$C1993&amp;"]["&amp;$D1993&amp;"]["&amp;$F1993&amp;"]"</f>
        <v>[S08_ActivityDataIssuesDetail][25][NumberOfInstallations]</v>
      </c>
    </row>
    <row r="1994" spans="1:15" x14ac:dyDescent="0.3">
      <c r="A1994" t="s">
        <v>2277</v>
      </c>
      <c r="B1994" t="s">
        <v>2096</v>
      </c>
      <c r="C1994" t="s">
        <v>2097</v>
      </c>
      <c r="D1994">
        <v>26</v>
      </c>
      <c r="E1994" t="s">
        <v>1447</v>
      </c>
      <c r="F1994" t="s">
        <v>1798</v>
      </c>
      <c r="G1994" t="s">
        <v>1748</v>
      </c>
      <c r="H1994" t="s">
        <v>2279</v>
      </c>
      <c r="I1994">
        <v>5</v>
      </c>
      <c r="J1994" t="s">
        <v>2279</v>
      </c>
      <c r="K1994" t="s">
        <v>2279</v>
      </c>
      <c r="L1994" t="s">
        <v>2279</v>
      </c>
      <c r="M1994" t="s">
        <v>2279</v>
      </c>
      <c r="N1994" t="s">
        <v>2279</v>
      </c>
      <c r="O1994" s="190" t="str">
        <f>"["&amp;$C1994&amp;"]["&amp;$D1994&amp;"]["&amp;$F1994&amp;"]"</f>
        <v>[S08_ActivityDataIssuesDetail][26][NumberOfInstallations]</v>
      </c>
    </row>
    <row r="1995" spans="1:15" x14ac:dyDescent="0.3">
      <c r="A1995" t="s">
        <v>2277</v>
      </c>
      <c r="B1995" t="s">
        <v>2096</v>
      </c>
      <c r="C1995" t="s">
        <v>2097</v>
      </c>
      <c r="D1995">
        <v>27</v>
      </c>
      <c r="E1995" t="s">
        <v>1447</v>
      </c>
      <c r="F1995" t="s">
        <v>1798</v>
      </c>
      <c r="G1995" t="s">
        <v>1748</v>
      </c>
      <c r="H1995" t="s">
        <v>2279</v>
      </c>
      <c r="I1995">
        <v>1</v>
      </c>
      <c r="J1995" t="s">
        <v>2279</v>
      </c>
      <c r="K1995" t="s">
        <v>2279</v>
      </c>
      <c r="L1995" t="s">
        <v>2279</v>
      </c>
      <c r="M1995" t="s">
        <v>2279</v>
      </c>
      <c r="N1995" t="s">
        <v>2279</v>
      </c>
      <c r="O1995" s="190" t="str">
        <f>"["&amp;$C1995&amp;"]["&amp;$D1995&amp;"]["&amp;$F1995&amp;"]"</f>
        <v>[S08_ActivityDataIssuesDetail][27][NumberOfInstallations]</v>
      </c>
    </row>
    <row r="1996" spans="1:15" x14ac:dyDescent="0.3">
      <c r="A1996" t="s">
        <v>2277</v>
      </c>
      <c r="B1996" t="s">
        <v>2096</v>
      </c>
      <c r="C1996" t="s">
        <v>2097</v>
      </c>
      <c r="D1996">
        <v>28</v>
      </c>
      <c r="E1996" t="s">
        <v>1447</v>
      </c>
      <c r="F1996" t="s">
        <v>1798</v>
      </c>
      <c r="G1996" t="s">
        <v>1748</v>
      </c>
      <c r="H1996" t="s">
        <v>2279</v>
      </c>
      <c r="I1996">
        <v>1</v>
      </c>
      <c r="J1996" t="s">
        <v>2279</v>
      </c>
      <c r="K1996" t="s">
        <v>2279</v>
      </c>
      <c r="L1996" t="s">
        <v>2279</v>
      </c>
      <c r="M1996" t="s">
        <v>2279</v>
      </c>
      <c r="N1996" t="s">
        <v>2279</v>
      </c>
      <c r="O1996" s="190" t="str">
        <f>"["&amp;$C1996&amp;"]["&amp;$D1996&amp;"]["&amp;$F1996&amp;"]"</f>
        <v>[S08_ActivityDataIssuesDetail][28][NumberOfInstallations]</v>
      </c>
    </row>
    <row r="1997" spans="1:15" x14ac:dyDescent="0.3">
      <c r="A1997" t="s">
        <v>2277</v>
      </c>
      <c r="B1997" t="s">
        <v>2096</v>
      </c>
      <c r="C1997" t="s">
        <v>2097</v>
      </c>
      <c r="D1997">
        <v>29</v>
      </c>
      <c r="E1997" t="s">
        <v>1447</v>
      </c>
      <c r="F1997" t="s">
        <v>1798</v>
      </c>
      <c r="G1997" t="s">
        <v>1748</v>
      </c>
      <c r="H1997" t="s">
        <v>2279</v>
      </c>
      <c r="I1997">
        <v>11</v>
      </c>
      <c r="J1997" t="s">
        <v>2279</v>
      </c>
      <c r="K1997" t="s">
        <v>2279</v>
      </c>
      <c r="L1997" t="s">
        <v>2279</v>
      </c>
      <c r="M1997" t="s">
        <v>2279</v>
      </c>
      <c r="N1997" t="s">
        <v>2279</v>
      </c>
      <c r="O1997" s="190" t="str">
        <f>"["&amp;$C1997&amp;"]["&amp;$D1997&amp;"]["&amp;$F1997&amp;"]"</f>
        <v>[S08_ActivityDataIssuesDetail][29][NumberOfInstallations]</v>
      </c>
    </row>
    <row r="1998" spans="1:15" x14ac:dyDescent="0.3">
      <c r="A1998" t="s">
        <v>2277</v>
      </c>
      <c r="B1998" t="s">
        <v>2096</v>
      </c>
      <c r="C1998" t="s">
        <v>2097</v>
      </c>
      <c r="D1998">
        <v>30</v>
      </c>
      <c r="E1998" t="s">
        <v>1447</v>
      </c>
      <c r="F1998" t="s">
        <v>1798</v>
      </c>
      <c r="G1998" t="s">
        <v>1748</v>
      </c>
      <c r="H1998" t="s">
        <v>2279</v>
      </c>
      <c r="I1998">
        <v>13</v>
      </c>
      <c r="J1998" t="s">
        <v>2279</v>
      </c>
      <c r="K1998" t="s">
        <v>2279</v>
      </c>
      <c r="L1998" t="s">
        <v>2279</v>
      </c>
      <c r="M1998" t="s">
        <v>2279</v>
      </c>
      <c r="N1998" t="s">
        <v>2279</v>
      </c>
      <c r="O1998" s="190" t="str">
        <f>"["&amp;$C1998&amp;"]["&amp;$D1998&amp;"]["&amp;$F1998&amp;"]"</f>
        <v>[S08_ActivityDataIssuesDetail][30][NumberOfInstallations]</v>
      </c>
    </row>
    <row r="1999" spans="1:15" x14ac:dyDescent="0.3">
      <c r="A1999" t="s">
        <v>2277</v>
      </c>
      <c r="B1999" t="s">
        <v>2096</v>
      </c>
      <c r="C1999" t="s">
        <v>2097</v>
      </c>
      <c r="D1999">
        <v>31</v>
      </c>
      <c r="E1999" t="s">
        <v>1447</v>
      </c>
      <c r="F1999" t="s">
        <v>1798</v>
      </c>
      <c r="G1999" t="s">
        <v>1748</v>
      </c>
      <c r="H1999" t="s">
        <v>2279</v>
      </c>
      <c r="I1999">
        <v>3</v>
      </c>
      <c r="J1999" t="s">
        <v>2279</v>
      </c>
      <c r="K1999" t="s">
        <v>2279</v>
      </c>
      <c r="L1999" t="s">
        <v>2279</v>
      </c>
      <c r="M1999" t="s">
        <v>2279</v>
      </c>
      <c r="N1999" t="s">
        <v>2279</v>
      </c>
      <c r="O1999" s="190" t="str">
        <f>"["&amp;$C1999&amp;"]["&amp;$D1999&amp;"]["&amp;$F1999&amp;"]"</f>
        <v>[S08_ActivityDataIssuesDetail][31][NumberOfInstallations]</v>
      </c>
    </row>
    <row r="2000" spans="1:15" x14ac:dyDescent="0.3">
      <c r="A2000" t="s">
        <v>2277</v>
      </c>
      <c r="B2000" t="s">
        <v>2096</v>
      </c>
      <c r="C2000" t="s">
        <v>2097</v>
      </c>
      <c r="D2000">
        <v>32</v>
      </c>
      <c r="E2000" t="s">
        <v>1447</v>
      </c>
      <c r="F2000" t="s">
        <v>1798</v>
      </c>
      <c r="G2000" t="s">
        <v>1748</v>
      </c>
      <c r="H2000" t="s">
        <v>2279</v>
      </c>
      <c r="I2000">
        <v>9</v>
      </c>
      <c r="J2000" t="s">
        <v>2279</v>
      </c>
      <c r="K2000" t="s">
        <v>2279</v>
      </c>
      <c r="L2000" t="s">
        <v>2279</v>
      </c>
      <c r="M2000" t="s">
        <v>2279</v>
      </c>
      <c r="N2000" t="s">
        <v>2279</v>
      </c>
      <c r="O2000" s="190" t="str">
        <f>"["&amp;$C2000&amp;"]["&amp;$D2000&amp;"]["&amp;$F2000&amp;"]"</f>
        <v>[S08_ActivityDataIssuesDetail][32][NumberOfInstallations]</v>
      </c>
    </row>
    <row r="2001" spans="1:15" x14ac:dyDescent="0.3">
      <c r="A2001" t="s">
        <v>2277</v>
      </c>
      <c r="B2001" t="s">
        <v>2096</v>
      </c>
      <c r="C2001" t="s">
        <v>2097</v>
      </c>
      <c r="D2001">
        <v>33</v>
      </c>
      <c r="E2001" t="s">
        <v>1447</v>
      </c>
      <c r="F2001" t="s">
        <v>1798</v>
      </c>
      <c r="G2001" t="s">
        <v>1748</v>
      </c>
      <c r="H2001" t="s">
        <v>2279</v>
      </c>
      <c r="I2001">
        <v>1</v>
      </c>
      <c r="J2001" t="s">
        <v>2279</v>
      </c>
      <c r="K2001" t="s">
        <v>2279</v>
      </c>
      <c r="L2001" t="s">
        <v>2279</v>
      </c>
      <c r="M2001" t="s">
        <v>2279</v>
      </c>
      <c r="N2001" t="s">
        <v>2279</v>
      </c>
      <c r="O2001" s="190" t="str">
        <f>"["&amp;$C2001&amp;"]["&amp;$D2001&amp;"]["&amp;$F2001&amp;"]"</f>
        <v>[S08_ActivityDataIssuesDetail][33][NumberOfInstallations]</v>
      </c>
    </row>
    <row r="2002" spans="1:15" x14ac:dyDescent="0.3">
      <c r="A2002" t="s">
        <v>2277</v>
      </c>
      <c r="B2002" t="s">
        <v>2096</v>
      </c>
      <c r="C2002" t="s">
        <v>2097</v>
      </c>
      <c r="D2002">
        <v>34</v>
      </c>
      <c r="E2002" t="s">
        <v>1447</v>
      </c>
      <c r="F2002" t="s">
        <v>1798</v>
      </c>
      <c r="G2002" t="s">
        <v>1748</v>
      </c>
      <c r="H2002" t="s">
        <v>2279</v>
      </c>
      <c r="I2002">
        <v>19</v>
      </c>
      <c r="J2002" t="s">
        <v>2279</v>
      </c>
      <c r="K2002" t="s">
        <v>2279</v>
      </c>
      <c r="L2002" t="s">
        <v>2279</v>
      </c>
      <c r="M2002" t="s">
        <v>2279</v>
      </c>
      <c r="N2002" t="s">
        <v>2279</v>
      </c>
      <c r="O2002" s="190" t="str">
        <f>"["&amp;$C2002&amp;"]["&amp;$D2002&amp;"]["&amp;$F2002&amp;"]"</f>
        <v>[S08_ActivityDataIssuesDetail][34][NumberOfInstallations]</v>
      </c>
    </row>
    <row r="2003" spans="1:15" x14ac:dyDescent="0.3">
      <c r="A2003" t="s">
        <v>2277</v>
      </c>
      <c r="B2003" t="s">
        <v>2096</v>
      </c>
      <c r="C2003" t="s">
        <v>2097</v>
      </c>
      <c r="D2003">
        <v>35</v>
      </c>
      <c r="E2003" t="s">
        <v>1447</v>
      </c>
      <c r="F2003" t="s">
        <v>1798</v>
      </c>
      <c r="G2003" t="s">
        <v>1748</v>
      </c>
      <c r="H2003" t="s">
        <v>2279</v>
      </c>
      <c r="I2003">
        <v>1</v>
      </c>
      <c r="J2003" t="s">
        <v>2279</v>
      </c>
      <c r="K2003" t="s">
        <v>2279</v>
      </c>
      <c r="L2003" t="s">
        <v>2279</v>
      </c>
      <c r="M2003" t="s">
        <v>2279</v>
      </c>
      <c r="N2003" t="s">
        <v>2279</v>
      </c>
      <c r="O2003" s="190" t="str">
        <f>"["&amp;$C2003&amp;"]["&amp;$D2003&amp;"]["&amp;$F2003&amp;"]"</f>
        <v>[S08_ActivityDataIssuesDetail][35][NumberOfInstallations]</v>
      </c>
    </row>
    <row r="2004" spans="1:15" x14ac:dyDescent="0.3">
      <c r="A2004" t="s">
        <v>2277</v>
      </c>
      <c r="B2004" t="s">
        <v>2096</v>
      </c>
      <c r="C2004" t="s">
        <v>2097</v>
      </c>
      <c r="D2004">
        <v>36</v>
      </c>
      <c r="E2004" t="s">
        <v>1447</v>
      </c>
      <c r="F2004" t="s">
        <v>1798</v>
      </c>
      <c r="G2004" t="s">
        <v>1748</v>
      </c>
      <c r="H2004" t="s">
        <v>2279</v>
      </c>
      <c r="I2004">
        <v>3</v>
      </c>
      <c r="J2004" t="s">
        <v>2279</v>
      </c>
      <c r="K2004" t="s">
        <v>2279</v>
      </c>
      <c r="L2004" t="s">
        <v>2279</v>
      </c>
      <c r="M2004" t="s">
        <v>2279</v>
      </c>
      <c r="N2004" t="s">
        <v>2279</v>
      </c>
      <c r="O2004" s="190" t="str">
        <f>"["&amp;$C2004&amp;"]["&amp;$D2004&amp;"]["&amp;$F2004&amp;"]"</f>
        <v>[S08_ActivityDataIssuesDetail][36][NumberOfInstallations]</v>
      </c>
    </row>
    <row r="2005" spans="1:15" x14ac:dyDescent="0.3">
      <c r="A2005" t="s">
        <v>2277</v>
      </c>
      <c r="B2005" t="s">
        <v>2096</v>
      </c>
      <c r="C2005" t="s">
        <v>2097</v>
      </c>
      <c r="D2005">
        <v>37</v>
      </c>
      <c r="E2005" t="s">
        <v>1447</v>
      </c>
      <c r="F2005" t="s">
        <v>1798</v>
      </c>
      <c r="G2005" t="s">
        <v>1748</v>
      </c>
      <c r="H2005" t="s">
        <v>2279</v>
      </c>
      <c r="I2005">
        <v>1</v>
      </c>
      <c r="J2005" t="s">
        <v>2279</v>
      </c>
      <c r="K2005" t="s">
        <v>2279</v>
      </c>
      <c r="L2005" t="s">
        <v>2279</v>
      </c>
      <c r="M2005" t="s">
        <v>2279</v>
      </c>
      <c r="N2005" t="s">
        <v>2279</v>
      </c>
      <c r="O2005" s="190" t="str">
        <f>"["&amp;$C2005&amp;"]["&amp;$D2005&amp;"]["&amp;$F2005&amp;"]"</f>
        <v>[S08_ActivityDataIssuesDetail][37][NumberOfInstallations]</v>
      </c>
    </row>
    <row r="2006" spans="1:15" x14ac:dyDescent="0.3">
      <c r="A2006" t="s">
        <v>2277</v>
      </c>
      <c r="B2006" t="s">
        <v>2096</v>
      </c>
      <c r="C2006" t="s">
        <v>2097</v>
      </c>
      <c r="D2006">
        <v>38</v>
      </c>
      <c r="E2006" t="s">
        <v>1447</v>
      </c>
      <c r="F2006" t="s">
        <v>1798</v>
      </c>
      <c r="G2006" t="s">
        <v>1748</v>
      </c>
      <c r="H2006" t="s">
        <v>2279</v>
      </c>
      <c r="I2006">
        <v>1</v>
      </c>
      <c r="J2006" t="s">
        <v>2279</v>
      </c>
      <c r="K2006" t="s">
        <v>2279</v>
      </c>
      <c r="L2006" t="s">
        <v>2279</v>
      </c>
      <c r="M2006" t="s">
        <v>2279</v>
      </c>
      <c r="N2006" t="s">
        <v>2279</v>
      </c>
      <c r="O2006" s="190" t="str">
        <f>"["&amp;$C2006&amp;"]["&amp;$D2006&amp;"]["&amp;$F2006&amp;"]"</f>
        <v>[S08_ActivityDataIssuesDetail][38][NumberOfInstallations]</v>
      </c>
    </row>
    <row r="2007" spans="1:15" x14ac:dyDescent="0.3">
      <c r="A2007" t="s">
        <v>2277</v>
      </c>
      <c r="B2007" t="s">
        <v>2096</v>
      </c>
      <c r="C2007" t="s">
        <v>2097</v>
      </c>
      <c r="D2007">
        <v>39</v>
      </c>
      <c r="E2007" t="s">
        <v>1447</v>
      </c>
      <c r="F2007" t="s">
        <v>1798</v>
      </c>
      <c r="G2007" t="s">
        <v>1748</v>
      </c>
      <c r="H2007" t="s">
        <v>2279</v>
      </c>
      <c r="I2007">
        <v>17</v>
      </c>
      <c r="J2007" t="s">
        <v>2279</v>
      </c>
      <c r="K2007" t="s">
        <v>2279</v>
      </c>
      <c r="L2007" t="s">
        <v>2279</v>
      </c>
      <c r="M2007" t="s">
        <v>2279</v>
      </c>
      <c r="N2007" t="s">
        <v>2279</v>
      </c>
      <c r="O2007" s="190" t="str">
        <f>"["&amp;$C2007&amp;"]["&amp;$D2007&amp;"]["&amp;$F2007&amp;"]"</f>
        <v>[S08_ActivityDataIssuesDetail][39][NumberOfInstallations]</v>
      </c>
    </row>
    <row r="2008" spans="1:15" x14ac:dyDescent="0.3">
      <c r="A2008" t="s">
        <v>2277</v>
      </c>
      <c r="B2008" t="s">
        <v>2096</v>
      </c>
      <c r="C2008" t="s">
        <v>2097</v>
      </c>
      <c r="D2008">
        <v>40</v>
      </c>
      <c r="E2008" t="s">
        <v>1447</v>
      </c>
      <c r="F2008" t="s">
        <v>1798</v>
      </c>
      <c r="G2008" t="s">
        <v>1748</v>
      </c>
      <c r="H2008" t="s">
        <v>2279</v>
      </c>
      <c r="I2008">
        <v>240</v>
      </c>
      <c r="J2008" t="s">
        <v>2279</v>
      </c>
      <c r="K2008" t="s">
        <v>2279</v>
      </c>
      <c r="L2008" t="s">
        <v>2279</v>
      </c>
      <c r="M2008" t="s">
        <v>2279</v>
      </c>
      <c r="N2008" t="s">
        <v>2279</v>
      </c>
      <c r="O2008" s="190" t="str">
        <f>"["&amp;$C2008&amp;"]["&amp;$D2008&amp;"]["&amp;$F2008&amp;"]"</f>
        <v>[S08_ActivityDataIssuesDetail][40][NumberOfInstallations]</v>
      </c>
    </row>
    <row r="2009" spans="1:15" x14ac:dyDescent="0.3">
      <c r="A2009" t="s">
        <v>2277</v>
      </c>
      <c r="B2009" t="s">
        <v>2096</v>
      </c>
      <c r="C2009" t="s">
        <v>2097</v>
      </c>
      <c r="D2009">
        <v>41</v>
      </c>
      <c r="E2009" t="s">
        <v>1447</v>
      </c>
      <c r="F2009" t="s">
        <v>1798</v>
      </c>
      <c r="G2009" t="s">
        <v>1748</v>
      </c>
      <c r="H2009" t="s">
        <v>2279</v>
      </c>
      <c r="I2009">
        <v>3</v>
      </c>
      <c r="J2009" t="s">
        <v>2279</v>
      </c>
      <c r="K2009" t="s">
        <v>2279</v>
      </c>
      <c r="L2009" t="s">
        <v>2279</v>
      </c>
      <c r="M2009" t="s">
        <v>2279</v>
      </c>
      <c r="N2009" t="s">
        <v>2279</v>
      </c>
      <c r="O2009" s="190" t="str">
        <f>"["&amp;$C2009&amp;"]["&amp;$D2009&amp;"]["&amp;$F2009&amp;"]"</f>
        <v>[S08_ActivityDataIssuesDetail][41][NumberOfInstallations]</v>
      </c>
    </row>
    <row r="2010" spans="1:15" x14ac:dyDescent="0.3">
      <c r="A2010" t="s">
        <v>2277</v>
      </c>
      <c r="B2010" t="s">
        <v>2096</v>
      </c>
      <c r="C2010" t="s">
        <v>2097</v>
      </c>
      <c r="D2010">
        <v>42</v>
      </c>
      <c r="E2010" t="s">
        <v>1447</v>
      </c>
      <c r="F2010" t="s">
        <v>1798</v>
      </c>
      <c r="G2010" t="s">
        <v>1748</v>
      </c>
      <c r="H2010" t="s">
        <v>2279</v>
      </c>
      <c r="I2010">
        <v>10</v>
      </c>
      <c r="J2010" t="s">
        <v>2279</v>
      </c>
      <c r="K2010" t="s">
        <v>2279</v>
      </c>
      <c r="L2010" t="s">
        <v>2279</v>
      </c>
      <c r="M2010" t="s">
        <v>2279</v>
      </c>
      <c r="N2010" t="s">
        <v>2279</v>
      </c>
      <c r="O2010" s="190" t="str">
        <f>"["&amp;$C2010&amp;"]["&amp;$D2010&amp;"]["&amp;$F2010&amp;"]"</f>
        <v>[S08_ActivityDataIssuesDetail][42][NumberOfInstallations]</v>
      </c>
    </row>
    <row r="2011" spans="1:15" x14ac:dyDescent="0.3">
      <c r="A2011" t="s">
        <v>2277</v>
      </c>
      <c r="B2011" t="s">
        <v>2096</v>
      </c>
      <c r="C2011" t="s">
        <v>2097</v>
      </c>
      <c r="D2011">
        <v>43</v>
      </c>
      <c r="E2011" t="s">
        <v>1447</v>
      </c>
      <c r="F2011" t="s">
        <v>1798</v>
      </c>
      <c r="G2011" t="s">
        <v>1748</v>
      </c>
      <c r="H2011" t="s">
        <v>2279</v>
      </c>
      <c r="I2011">
        <v>26</v>
      </c>
      <c r="J2011" t="s">
        <v>2279</v>
      </c>
      <c r="K2011" t="s">
        <v>2279</v>
      </c>
      <c r="L2011" t="s">
        <v>2279</v>
      </c>
      <c r="M2011" t="s">
        <v>2279</v>
      </c>
      <c r="N2011" t="s">
        <v>2279</v>
      </c>
      <c r="O2011" s="190" t="str">
        <f>"["&amp;$C2011&amp;"]["&amp;$D2011&amp;"]["&amp;$F2011&amp;"]"</f>
        <v>[S08_ActivityDataIssuesDetail][43][NumberOfInstallations]</v>
      </c>
    </row>
    <row r="2012" spans="1:15" x14ac:dyDescent="0.3">
      <c r="A2012" t="s">
        <v>2277</v>
      </c>
      <c r="B2012" t="s">
        <v>2096</v>
      </c>
      <c r="C2012" t="s">
        <v>2097</v>
      </c>
      <c r="D2012">
        <v>44</v>
      </c>
      <c r="E2012" t="s">
        <v>1447</v>
      </c>
      <c r="F2012" t="s">
        <v>1798</v>
      </c>
      <c r="G2012" t="s">
        <v>1748</v>
      </c>
      <c r="H2012" t="s">
        <v>2279</v>
      </c>
      <c r="I2012">
        <v>30</v>
      </c>
      <c r="J2012" t="s">
        <v>2279</v>
      </c>
      <c r="K2012" t="s">
        <v>2279</v>
      </c>
      <c r="L2012" t="s">
        <v>2279</v>
      </c>
      <c r="M2012" t="s">
        <v>2279</v>
      </c>
      <c r="N2012" t="s">
        <v>2279</v>
      </c>
      <c r="O2012" s="190" t="str">
        <f>"["&amp;$C2012&amp;"]["&amp;$D2012&amp;"]["&amp;$F2012&amp;"]"</f>
        <v>[S08_ActivityDataIssuesDetail][44][NumberOfInstallations]</v>
      </c>
    </row>
    <row r="2013" spans="1:15" x14ac:dyDescent="0.3">
      <c r="A2013" t="s">
        <v>2277</v>
      </c>
      <c r="B2013" t="s">
        <v>2096</v>
      </c>
      <c r="C2013" t="s">
        <v>2097</v>
      </c>
      <c r="D2013">
        <v>45</v>
      </c>
      <c r="E2013" t="s">
        <v>1447</v>
      </c>
      <c r="F2013" t="s">
        <v>1798</v>
      </c>
      <c r="G2013" t="s">
        <v>1748</v>
      </c>
      <c r="H2013" t="s">
        <v>2279</v>
      </c>
      <c r="I2013">
        <v>8</v>
      </c>
      <c r="J2013" t="s">
        <v>2279</v>
      </c>
      <c r="K2013" t="s">
        <v>2279</v>
      </c>
      <c r="L2013" t="s">
        <v>2279</v>
      </c>
      <c r="M2013" t="s">
        <v>2279</v>
      </c>
      <c r="N2013" t="s">
        <v>2279</v>
      </c>
      <c r="O2013" s="190" t="str">
        <f>"["&amp;$C2013&amp;"]["&amp;$D2013&amp;"]["&amp;$F2013&amp;"]"</f>
        <v>[S08_ActivityDataIssuesDetail][45][NumberOfInstallations]</v>
      </c>
    </row>
    <row r="2014" spans="1:15" x14ac:dyDescent="0.3">
      <c r="A2014" t="s">
        <v>2277</v>
      </c>
      <c r="B2014" t="s">
        <v>2096</v>
      </c>
      <c r="C2014" t="s">
        <v>2097</v>
      </c>
      <c r="D2014">
        <v>46</v>
      </c>
      <c r="E2014" t="s">
        <v>1447</v>
      </c>
      <c r="F2014" t="s">
        <v>1798</v>
      </c>
      <c r="G2014" t="s">
        <v>1748</v>
      </c>
      <c r="H2014" t="s">
        <v>2279</v>
      </c>
      <c r="I2014">
        <v>1</v>
      </c>
      <c r="J2014" t="s">
        <v>2279</v>
      </c>
      <c r="K2014" t="s">
        <v>2279</v>
      </c>
      <c r="L2014" t="s">
        <v>2279</v>
      </c>
      <c r="M2014" t="s">
        <v>2279</v>
      </c>
      <c r="N2014" t="s">
        <v>2279</v>
      </c>
      <c r="O2014" s="190" t="str">
        <f>"["&amp;$C2014&amp;"]["&amp;$D2014&amp;"]["&amp;$F2014&amp;"]"</f>
        <v>[S08_ActivityDataIssuesDetail][46][NumberOfInstallations]</v>
      </c>
    </row>
    <row r="2015" spans="1:15" x14ac:dyDescent="0.3">
      <c r="A2015" t="s">
        <v>2277</v>
      </c>
      <c r="B2015" t="s">
        <v>2096</v>
      </c>
      <c r="C2015" t="s">
        <v>2097</v>
      </c>
      <c r="D2015">
        <v>47</v>
      </c>
      <c r="E2015" t="s">
        <v>1447</v>
      </c>
      <c r="F2015" t="s">
        <v>1798</v>
      </c>
      <c r="G2015" t="s">
        <v>1748</v>
      </c>
      <c r="H2015" t="s">
        <v>2279</v>
      </c>
      <c r="I2015">
        <v>14</v>
      </c>
      <c r="J2015" t="s">
        <v>2279</v>
      </c>
      <c r="K2015" t="s">
        <v>2279</v>
      </c>
      <c r="L2015" t="s">
        <v>2279</v>
      </c>
      <c r="M2015" t="s">
        <v>2279</v>
      </c>
      <c r="N2015" t="s">
        <v>2279</v>
      </c>
      <c r="O2015" s="190" t="str">
        <f>"["&amp;$C2015&amp;"]["&amp;$D2015&amp;"]["&amp;$F2015&amp;"]"</f>
        <v>[S08_ActivityDataIssuesDetail][47][NumberOfInstallations]</v>
      </c>
    </row>
    <row r="2016" spans="1:15" x14ac:dyDescent="0.3">
      <c r="A2016" t="s">
        <v>2277</v>
      </c>
      <c r="B2016" t="s">
        <v>2096</v>
      </c>
      <c r="C2016" t="s">
        <v>2097</v>
      </c>
      <c r="D2016">
        <v>48</v>
      </c>
      <c r="E2016" t="s">
        <v>1447</v>
      </c>
      <c r="F2016" t="s">
        <v>1798</v>
      </c>
      <c r="G2016" t="s">
        <v>1748</v>
      </c>
      <c r="H2016" t="s">
        <v>2279</v>
      </c>
      <c r="I2016">
        <v>19</v>
      </c>
      <c r="J2016" t="s">
        <v>2279</v>
      </c>
      <c r="K2016" t="s">
        <v>2279</v>
      </c>
      <c r="L2016" t="s">
        <v>2279</v>
      </c>
      <c r="M2016" t="s">
        <v>2279</v>
      </c>
      <c r="N2016" t="s">
        <v>2279</v>
      </c>
      <c r="O2016" s="190" t="str">
        <f>"["&amp;$C2016&amp;"]["&amp;$D2016&amp;"]["&amp;$F2016&amp;"]"</f>
        <v>[S08_ActivityDataIssuesDetail][48][NumberOfInstallations]</v>
      </c>
    </row>
    <row r="2017" spans="1:15" x14ac:dyDescent="0.3">
      <c r="A2017" t="s">
        <v>2277</v>
      </c>
      <c r="B2017" t="s">
        <v>2096</v>
      </c>
      <c r="C2017" t="s">
        <v>2097</v>
      </c>
      <c r="D2017">
        <v>49</v>
      </c>
      <c r="E2017" t="s">
        <v>1447</v>
      </c>
      <c r="F2017" t="s">
        <v>1798</v>
      </c>
      <c r="G2017" t="s">
        <v>1748</v>
      </c>
      <c r="H2017" t="s">
        <v>2279</v>
      </c>
      <c r="I2017">
        <v>1</v>
      </c>
      <c r="J2017" t="s">
        <v>2279</v>
      </c>
      <c r="K2017" t="s">
        <v>2279</v>
      </c>
      <c r="L2017" t="s">
        <v>2279</v>
      </c>
      <c r="M2017" t="s">
        <v>2279</v>
      </c>
      <c r="N2017" t="s">
        <v>2279</v>
      </c>
      <c r="O2017" s="190" t="str">
        <f>"["&amp;$C2017&amp;"]["&amp;$D2017&amp;"]["&amp;$F2017&amp;"]"</f>
        <v>[S08_ActivityDataIssuesDetail][49][NumberOfInstallations]</v>
      </c>
    </row>
    <row r="2018" spans="1:15" x14ac:dyDescent="0.3">
      <c r="A2018" t="s">
        <v>2277</v>
      </c>
      <c r="B2018" t="s">
        <v>2096</v>
      </c>
      <c r="C2018" t="s">
        <v>2097</v>
      </c>
      <c r="D2018">
        <v>50</v>
      </c>
      <c r="E2018" t="s">
        <v>1447</v>
      </c>
      <c r="F2018" t="s">
        <v>1798</v>
      </c>
      <c r="G2018" t="s">
        <v>1748</v>
      </c>
      <c r="H2018" t="s">
        <v>2279</v>
      </c>
      <c r="I2018">
        <v>6</v>
      </c>
      <c r="J2018" t="s">
        <v>2279</v>
      </c>
      <c r="K2018" t="s">
        <v>2279</v>
      </c>
      <c r="L2018" t="s">
        <v>2279</v>
      </c>
      <c r="M2018" t="s">
        <v>2279</v>
      </c>
      <c r="N2018" t="s">
        <v>2279</v>
      </c>
      <c r="O2018" s="190" t="str">
        <f>"["&amp;$C2018&amp;"]["&amp;$D2018&amp;"]["&amp;$F2018&amp;"]"</f>
        <v>[S08_ActivityDataIssuesDetail][50][NumberOfInstallations]</v>
      </c>
    </row>
    <row r="2019" spans="1:15" x14ac:dyDescent="0.3">
      <c r="A2019" t="s">
        <v>2277</v>
      </c>
      <c r="B2019" t="s">
        <v>2096</v>
      </c>
      <c r="C2019" t="s">
        <v>2097</v>
      </c>
      <c r="D2019">
        <v>51</v>
      </c>
      <c r="E2019" t="s">
        <v>1447</v>
      </c>
      <c r="F2019" t="s">
        <v>1798</v>
      </c>
      <c r="G2019" t="s">
        <v>1748</v>
      </c>
      <c r="H2019" t="s">
        <v>2279</v>
      </c>
      <c r="I2019">
        <v>7</v>
      </c>
      <c r="J2019" t="s">
        <v>2279</v>
      </c>
      <c r="K2019" t="s">
        <v>2279</v>
      </c>
      <c r="L2019" t="s">
        <v>2279</v>
      </c>
      <c r="M2019" t="s">
        <v>2279</v>
      </c>
      <c r="N2019" t="s">
        <v>2279</v>
      </c>
      <c r="O2019" s="190" t="str">
        <f>"["&amp;$C2019&amp;"]["&amp;$D2019&amp;"]["&amp;$F2019&amp;"]"</f>
        <v>[S08_ActivityDataIssuesDetail][51][NumberOfInstallations]</v>
      </c>
    </row>
    <row r="2020" spans="1:15" x14ac:dyDescent="0.3">
      <c r="A2020" t="s">
        <v>2277</v>
      </c>
      <c r="B2020" t="s">
        <v>2096</v>
      </c>
      <c r="C2020" t="s">
        <v>2097</v>
      </c>
      <c r="D2020">
        <v>52</v>
      </c>
      <c r="E2020" t="s">
        <v>1447</v>
      </c>
      <c r="F2020" t="s">
        <v>1798</v>
      </c>
      <c r="G2020" t="s">
        <v>1748</v>
      </c>
      <c r="H2020" t="s">
        <v>2279</v>
      </c>
      <c r="I2020">
        <v>1</v>
      </c>
      <c r="J2020" t="s">
        <v>2279</v>
      </c>
      <c r="K2020" t="s">
        <v>2279</v>
      </c>
      <c r="L2020" t="s">
        <v>2279</v>
      </c>
      <c r="M2020" t="s">
        <v>2279</v>
      </c>
      <c r="N2020" t="s">
        <v>2279</v>
      </c>
      <c r="O2020" s="190" t="str">
        <f>"["&amp;$C2020&amp;"]["&amp;$D2020&amp;"]["&amp;$F2020&amp;"]"</f>
        <v>[S08_ActivityDataIssuesDetail][52][NumberOfInstallations]</v>
      </c>
    </row>
    <row r="2021" spans="1:15" x14ac:dyDescent="0.3">
      <c r="A2021" t="s">
        <v>2277</v>
      </c>
      <c r="B2021" t="s">
        <v>2096</v>
      </c>
      <c r="C2021" t="s">
        <v>2097</v>
      </c>
      <c r="D2021">
        <v>53</v>
      </c>
      <c r="E2021" t="s">
        <v>1447</v>
      </c>
      <c r="F2021" t="s">
        <v>1798</v>
      </c>
      <c r="G2021" t="s">
        <v>1748</v>
      </c>
      <c r="H2021" t="s">
        <v>2279</v>
      </c>
      <c r="I2021">
        <v>2</v>
      </c>
      <c r="J2021" t="s">
        <v>2279</v>
      </c>
      <c r="K2021" t="s">
        <v>2279</v>
      </c>
      <c r="L2021" t="s">
        <v>2279</v>
      </c>
      <c r="M2021" t="s">
        <v>2279</v>
      </c>
      <c r="N2021" t="s">
        <v>2279</v>
      </c>
      <c r="O2021" s="190" t="str">
        <f>"["&amp;$C2021&amp;"]["&amp;$D2021&amp;"]["&amp;$F2021&amp;"]"</f>
        <v>[S08_ActivityDataIssuesDetail][53][NumberOfInstallations]</v>
      </c>
    </row>
    <row r="2022" spans="1:15" x14ac:dyDescent="0.3">
      <c r="A2022" t="s">
        <v>2277</v>
      </c>
      <c r="B2022" t="s">
        <v>2096</v>
      </c>
      <c r="C2022" t="s">
        <v>2097</v>
      </c>
      <c r="D2022">
        <v>54</v>
      </c>
      <c r="E2022" t="s">
        <v>1447</v>
      </c>
      <c r="F2022" t="s">
        <v>1798</v>
      </c>
      <c r="G2022" t="s">
        <v>1748</v>
      </c>
      <c r="H2022" t="s">
        <v>2279</v>
      </c>
      <c r="I2022">
        <v>2</v>
      </c>
      <c r="J2022" t="s">
        <v>2279</v>
      </c>
      <c r="K2022" t="s">
        <v>2279</v>
      </c>
      <c r="L2022" t="s">
        <v>2279</v>
      </c>
      <c r="M2022" t="s">
        <v>2279</v>
      </c>
      <c r="N2022" t="s">
        <v>2279</v>
      </c>
      <c r="O2022" s="190" t="str">
        <f>"["&amp;$C2022&amp;"]["&amp;$D2022&amp;"]["&amp;$F2022&amp;"]"</f>
        <v>[S08_ActivityDataIssuesDetail][54][NumberOfInstallations]</v>
      </c>
    </row>
    <row r="2023" spans="1:15" x14ac:dyDescent="0.3">
      <c r="A2023" t="s">
        <v>2277</v>
      </c>
      <c r="B2023" t="s">
        <v>2096</v>
      </c>
      <c r="C2023" t="s">
        <v>2097</v>
      </c>
      <c r="D2023">
        <v>55</v>
      </c>
      <c r="E2023" t="s">
        <v>1447</v>
      </c>
      <c r="F2023" t="s">
        <v>1798</v>
      </c>
      <c r="G2023" t="s">
        <v>1748</v>
      </c>
      <c r="H2023" t="s">
        <v>2279</v>
      </c>
      <c r="I2023">
        <v>22</v>
      </c>
      <c r="J2023" t="s">
        <v>2279</v>
      </c>
      <c r="K2023" t="s">
        <v>2279</v>
      </c>
      <c r="L2023" t="s">
        <v>2279</v>
      </c>
      <c r="M2023" t="s">
        <v>2279</v>
      </c>
      <c r="N2023" t="s">
        <v>2279</v>
      </c>
      <c r="O2023" s="190" t="str">
        <f>"["&amp;$C2023&amp;"]["&amp;$D2023&amp;"]["&amp;$F2023&amp;"]"</f>
        <v>[S08_ActivityDataIssuesDetail][55][NumberOfInstallations]</v>
      </c>
    </row>
    <row r="2024" spans="1:15" x14ac:dyDescent="0.3">
      <c r="A2024" t="s">
        <v>2277</v>
      </c>
      <c r="B2024" t="s">
        <v>2096</v>
      </c>
      <c r="C2024" t="s">
        <v>2097</v>
      </c>
      <c r="D2024">
        <v>56</v>
      </c>
      <c r="E2024" t="s">
        <v>1447</v>
      </c>
      <c r="F2024" t="s">
        <v>1798</v>
      </c>
      <c r="G2024" t="s">
        <v>1748</v>
      </c>
      <c r="H2024" t="s">
        <v>2279</v>
      </c>
      <c r="I2024">
        <v>1</v>
      </c>
      <c r="J2024" t="s">
        <v>2279</v>
      </c>
      <c r="K2024" t="s">
        <v>2279</v>
      </c>
      <c r="L2024" t="s">
        <v>2279</v>
      </c>
      <c r="M2024" t="s">
        <v>2279</v>
      </c>
      <c r="N2024" t="s">
        <v>2279</v>
      </c>
      <c r="O2024" s="190" t="str">
        <f>"["&amp;$C2024&amp;"]["&amp;$D2024&amp;"]["&amp;$F2024&amp;"]"</f>
        <v>[S08_ActivityDataIssuesDetail][56][NumberOfInstallations]</v>
      </c>
    </row>
    <row r="2025" spans="1:15" x14ac:dyDescent="0.3">
      <c r="A2025" t="s">
        <v>2277</v>
      </c>
      <c r="B2025" t="s">
        <v>2096</v>
      </c>
      <c r="C2025" t="s">
        <v>2097</v>
      </c>
      <c r="D2025">
        <v>57</v>
      </c>
      <c r="E2025" t="s">
        <v>1447</v>
      </c>
      <c r="F2025" t="s">
        <v>1798</v>
      </c>
      <c r="G2025" t="s">
        <v>1748</v>
      </c>
      <c r="H2025" t="s">
        <v>2279</v>
      </c>
      <c r="I2025">
        <v>283</v>
      </c>
      <c r="J2025" t="s">
        <v>2279</v>
      </c>
      <c r="K2025" t="s">
        <v>2279</v>
      </c>
      <c r="L2025" t="s">
        <v>2279</v>
      </c>
      <c r="M2025" t="s">
        <v>2279</v>
      </c>
      <c r="N2025" t="s">
        <v>2279</v>
      </c>
      <c r="O2025" s="190" t="str">
        <f>"["&amp;$C2025&amp;"]["&amp;$D2025&amp;"]["&amp;$F2025&amp;"]"</f>
        <v>[S08_ActivityDataIssuesDetail][57][NumberOfInstallations]</v>
      </c>
    </row>
    <row r="2026" spans="1:15" x14ac:dyDescent="0.3">
      <c r="A2026" t="s">
        <v>2277</v>
      </c>
      <c r="B2026" t="s">
        <v>2096</v>
      </c>
      <c r="C2026" t="s">
        <v>2097</v>
      </c>
      <c r="D2026">
        <v>58</v>
      </c>
      <c r="E2026" t="s">
        <v>1447</v>
      </c>
      <c r="F2026" t="s">
        <v>1798</v>
      </c>
      <c r="G2026" t="s">
        <v>1748</v>
      </c>
      <c r="H2026" t="s">
        <v>2279</v>
      </c>
      <c r="I2026">
        <v>3</v>
      </c>
      <c r="J2026" t="s">
        <v>2279</v>
      </c>
      <c r="K2026" t="s">
        <v>2279</v>
      </c>
      <c r="L2026" t="s">
        <v>2279</v>
      </c>
      <c r="M2026" t="s">
        <v>2279</v>
      </c>
      <c r="N2026" t="s">
        <v>2279</v>
      </c>
      <c r="O2026" s="190" t="str">
        <f>"["&amp;$C2026&amp;"]["&amp;$D2026&amp;"]["&amp;$F2026&amp;"]"</f>
        <v>[S08_ActivityDataIssuesDetail][58][NumberOfInstallations]</v>
      </c>
    </row>
    <row r="2027" spans="1:15" x14ac:dyDescent="0.3">
      <c r="A2027" t="s">
        <v>2277</v>
      </c>
      <c r="B2027" t="s">
        <v>2096</v>
      </c>
      <c r="C2027" t="s">
        <v>2097</v>
      </c>
      <c r="D2027">
        <v>59</v>
      </c>
      <c r="E2027" t="s">
        <v>1447</v>
      </c>
      <c r="F2027" t="s">
        <v>1798</v>
      </c>
      <c r="G2027" t="s">
        <v>1748</v>
      </c>
      <c r="H2027" t="s">
        <v>2279</v>
      </c>
      <c r="I2027">
        <v>14</v>
      </c>
      <c r="J2027" t="s">
        <v>2279</v>
      </c>
      <c r="K2027" t="s">
        <v>2279</v>
      </c>
      <c r="L2027" t="s">
        <v>2279</v>
      </c>
      <c r="M2027" t="s">
        <v>2279</v>
      </c>
      <c r="N2027" t="s">
        <v>2279</v>
      </c>
      <c r="O2027" s="190" t="str">
        <f>"["&amp;$C2027&amp;"]["&amp;$D2027&amp;"]["&amp;$F2027&amp;"]"</f>
        <v>[S08_ActivityDataIssuesDetail][59][NumberOfInstallations]</v>
      </c>
    </row>
    <row r="2028" spans="1:15" x14ac:dyDescent="0.3">
      <c r="A2028" t="s">
        <v>2277</v>
      </c>
      <c r="B2028" t="s">
        <v>2096</v>
      </c>
      <c r="C2028" t="s">
        <v>2097</v>
      </c>
      <c r="D2028">
        <v>60</v>
      </c>
      <c r="E2028" t="s">
        <v>1447</v>
      </c>
      <c r="F2028" t="s">
        <v>1798</v>
      </c>
      <c r="G2028" t="s">
        <v>1748</v>
      </c>
      <c r="H2028" t="s">
        <v>2279</v>
      </c>
      <c r="I2028">
        <v>24</v>
      </c>
      <c r="J2028" t="s">
        <v>2279</v>
      </c>
      <c r="K2028" t="s">
        <v>2279</v>
      </c>
      <c r="L2028" t="s">
        <v>2279</v>
      </c>
      <c r="M2028" t="s">
        <v>2279</v>
      </c>
      <c r="N2028" t="s">
        <v>2279</v>
      </c>
      <c r="O2028" s="190" t="str">
        <f>"["&amp;$C2028&amp;"]["&amp;$D2028&amp;"]["&amp;$F2028&amp;"]"</f>
        <v>[S08_ActivityDataIssuesDetail][60][NumberOfInstallations]</v>
      </c>
    </row>
    <row r="2029" spans="1:15" x14ac:dyDescent="0.3">
      <c r="A2029" t="s">
        <v>2277</v>
      </c>
      <c r="B2029" t="s">
        <v>2096</v>
      </c>
      <c r="C2029" t="s">
        <v>2097</v>
      </c>
      <c r="D2029">
        <v>61</v>
      </c>
      <c r="E2029" t="s">
        <v>1447</v>
      </c>
      <c r="F2029" t="s">
        <v>1798</v>
      </c>
      <c r="G2029" t="s">
        <v>1748</v>
      </c>
      <c r="H2029" t="s">
        <v>2279</v>
      </c>
      <c r="I2029">
        <v>36</v>
      </c>
      <c r="J2029" t="s">
        <v>2279</v>
      </c>
      <c r="K2029" t="s">
        <v>2279</v>
      </c>
      <c r="L2029" t="s">
        <v>2279</v>
      </c>
      <c r="M2029" t="s">
        <v>2279</v>
      </c>
      <c r="N2029" t="s">
        <v>2279</v>
      </c>
      <c r="O2029" s="190" t="str">
        <f>"["&amp;$C2029&amp;"]["&amp;$D2029&amp;"]["&amp;$F2029&amp;"]"</f>
        <v>[S08_ActivityDataIssuesDetail][61][NumberOfInstallations]</v>
      </c>
    </row>
    <row r="2030" spans="1:15" x14ac:dyDescent="0.3">
      <c r="A2030" t="s">
        <v>2277</v>
      </c>
      <c r="B2030" t="s">
        <v>2096</v>
      </c>
      <c r="C2030" t="s">
        <v>2097</v>
      </c>
      <c r="D2030">
        <v>62</v>
      </c>
      <c r="E2030" t="s">
        <v>1447</v>
      </c>
      <c r="F2030" t="s">
        <v>1798</v>
      </c>
      <c r="G2030" t="s">
        <v>1748</v>
      </c>
      <c r="H2030" t="s">
        <v>2279</v>
      </c>
      <c r="I2030">
        <v>1</v>
      </c>
      <c r="J2030" t="s">
        <v>2279</v>
      </c>
      <c r="K2030" t="s">
        <v>2279</v>
      </c>
      <c r="L2030" t="s">
        <v>2279</v>
      </c>
      <c r="M2030" t="s">
        <v>2279</v>
      </c>
      <c r="N2030" t="s">
        <v>2279</v>
      </c>
      <c r="O2030" s="190" t="str">
        <f>"["&amp;$C2030&amp;"]["&amp;$D2030&amp;"]["&amp;$F2030&amp;"]"</f>
        <v>[S08_ActivityDataIssuesDetail][62][NumberOfInstallations]</v>
      </c>
    </row>
    <row r="2031" spans="1:15" x14ac:dyDescent="0.3">
      <c r="A2031" t="s">
        <v>2277</v>
      </c>
      <c r="B2031" t="s">
        <v>2096</v>
      </c>
      <c r="C2031" t="s">
        <v>2097</v>
      </c>
      <c r="D2031">
        <v>63</v>
      </c>
      <c r="E2031" t="s">
        <v>1447</v>
      </c>
      <c r="F2031" t="s">
        <v>1798</v>
      </c>
      <c r="G2031" t="s">
        <v>1748</v>
      </c>
      <c r="H2031" t="s">
        <v>2279</v>
      </c>
      <c r="I2031">
        <v>2</v>
      </c>
      <c r="J2031" t="s">
        <v>2279</v>
      </c>
      <c r="K2031" t="s">
        <v>2279</v>
      </c>
      <c r="L2031" t="s">
        <v>2279</v>
      </c>
      <c r="M2031" t="s">
        <v>2279</v>
      </c>
      <c r="N2031" t="s">
        <v>2279</v>
      </c>
      <c r="O2031" s="190" t="str">
        <f>"["&amp;$C2031&amp;"]["&amp;$D2031&amp;"]["&amp;$F2031&amp;"]"</f>
        <v>[S08_ActivityDataIssuesDetail][63][NumberOfInstallations]</v>
      </c>
    </row>
    <row r="2032" spans="1:15" x14ac:dyDescent="0.3">
      <c r="A2032" t="s">
        <v>2277</v>
      </c>
      <c r="B2032" t="s">
        <v>2096</v>
      </c>
      <c r="C2032" t="s">
        <v>2097</v>
      </c>
      <c r="D2032">
        <v>64</v>
      </c>
      <c r="E2032" t="s">
        <v>1447</v>
      </c>
      <c r="F2032" t="s">
        <v>1798</v>
      </c>
      <c r="G2032" t="s">
        <v>1748</v>
      </c>
      <c r="H2032" t="s">
        <v>2279</v>
      </c>
      <c r="I2032">
        <v>10</v>
      </c>
      <c r="J2032" t="s">
        <v>2279</v>
      </c>
      <c r="K2032" t="s">
        <v>2279</v>
      </c>
      <c r="L2032" t="s">
        <v>2279</v>
      </c>
      <c r="M2032" t="s">
        <v>2279</v>
      </c>
      <c r="N2032" t="s">
        <v>2279</v>
      </c>
      <c r="O2032" s="190" t="str">
        <f>"["&amp;$C2032&amp;"]["&amp;$D2032&amp;"]["&amp;$F2032&amp;"]"</f>
        <v>[S08_ActivityDataIssuesDetail][64][NumberOfInstallations]</v>
      </c>
    </row>
    <row r="2033" spans="1:15" x14ac:dyDescent="0.3">
      <c r="A2033" t="s">
        <v>2277</v>
      </c>
      <c r="B2033" t="s">
        <v>2096</v>
      </c>
      <c r="C2033" t="s">
        <v>2097</v>
      </c>
      <c r="D2033">
        <v>65</v>
      </c>
      <c r="E2033" t="s">
        <v>1447</v>
      </c>
      <c r="F2033" t="s">
        <v>1798</v>
      </c>
      <c r="G2033" t="s">
        <v>1748</v>
      </c>
      <c r="H2033" t="s">
        <v>2279</v>
      </c>
      <c r="I2033">
        <v>18</v>
      </c>
      <c r="J2033" t="s">
        <v>2279</v>
      </c>
      <c r="K2033" t="s">
        <v>2279</v>
      </c>
      <c r="L2033" t="s">
        <v>2279</v>
      </c>
      <c r="M2033" t="s">
        <v>2279</v>
      </c>
      <c r="N2033" t="s">
        <v>2279</v>
      </c>
      <c r="O2033" s="190" t="str">
        <f>"["&amp;$C2033&amp;"]["&amp;$D2033&amp;"]["&amp;$F2033&amp;"]"</f>
        <v>[S08_ActivityDataIssuesDetail][65][NumberOfInstallations]</v>
      </c>
    </row>
    <row r="2034" spans="1:15" x14ac:dyDescent="0.3">
      <c r="A2034" t="s">
        <v>2277</v>
      </c>
      <c r="B2034" t="s">
        <v>2096</v>
      </c>
      <c r="C2034" t="s">
        <v>2097</v>
      </c>
      <c r="D2034">
        <v>66</v>
      </c>
      <c r="E2034" t="s">
        <v>1447</v>
      </c>
      <c r="F2034" t="s">
        <v>1798</v>
      </c>
      <c r="G2034" t="s">
        <v>1748</v>
      </c>
      <c r="H2034" t="s">
        <v>2279</v>
      </c>
      <c r="I2034">
        <v>21</v>
      </c>
      <c r="J2034" t="s">
        <v>2279</v>
      </c>
      <c r="K2034" t="s">
        <v>2279</v>
      </c>
      <c r="L2034" t="s">
        <v>2279</v>
      </c>
      <c r="M2034" t="s">
        <v>2279</v>
      </c>
      <c r="N2034" t="s">
        <v>2279</v>
      </c>
      <c r="O2034" s="190" t="str">
        <f>"["&amp;$C2034&amp;"]["&amp;$D2034&amp;"]["&amp;$F2034&amp;"]"</f>
        <v>[S08_ActivityDataIssuesDetail][66][NumberOfInstallations]</v>
      </c>
    </row>
    <row r="2035" spans="1:15" x14ac:dyDescent="0.3">
      <c r="A2035" t="s">
        <v>2277</v>
      </c>
      <c r="B2035" t="s">
        <v>2096</v>
      </c>
      <c r="C2035" t="s">
        <v>2097</v>
      </c>
      <c r="D2035">
        <v>67</v>
      </c>
      <c r="E2035" t="s">
        <v>1447</v>
      </c>
      <c r="F2035" t="s">
        <v>1798</v>
      </c>
      <c r="G2035" t="s">
        <v>1748</v>
      </c>
      <c r="H2035" t="s">
        <v>2279</v>
      </c>
      <c r="I2035">
        <v>4</v>
      </c>
      <c r="J2035" t="s">
        <v>2279</v>
      </c>
      <c r="K2035" t="s">
        <v>2279</v>
      </c>
      <c r="L2035" t="s">
        <v>2279</v>
      </c>
      <c r="M2035" t="s">
        <v>2279</v>
      </c>
      <c r="N2035" t="s">
        <v>2279</v>
      </c>
      <c r="O2035" s="190" t="str">
        <f>"["&amp;$C2035&amp;"]["&amp;$D2035&amp;"]["&amp;$F2035&amp;"]"</f>
        <v>[S08_ActivityDataIssuesDetail][67][NumberOfInstallations]</v>
      </c>
    </row>
    <row r="2036" spans="1:15" x14ac:dyDescent="0.3">
      <c r="A2036" t="s">
        <v>2277</v>
      </c>
      <c r="B2036" t="s">
        <v>2096</v>
      </c>
      <c r="C2036" t="s">
        <v>2097</v>
      </c>
      <c r="D2036">
        <v>68</v>
      </c>
      <c r="E2036" t="s">
        <v>1447</v>
      </c>
      <c r="F2036" t="s">
        <v>1798</v>
      </c>
      <c r="G2036" t="s">
        <v>1748</v>
      </c>
      <c r="H2036" t="s">
        <v>2279</v>
      </c>
      <c r="I2036">
        <v>17</v>
      </c>
      <c r="J2036" t="s">
        <v>2279</v>
      </c>
      <c r="K2036" t="s">
        <v>2279</v>
      </c>
      <c r="L2036" t="s">
        <v>2279</v>
      </c>
      <c r="M2036" t="s">
        <v>2279</v>
      </c>
      <c r="N2036" t="s">
        <v>2279</v>
      </c>
      <c r="O2036" s="190" t="str">
        <f>"["&amp;$C2036&amp;"]["&amp;$D2036&amp;"]["&amp;$F2036&amp;"]"</f>
        <v>[S08_ActivityDataIssuesDetail][68][NumberOfInstallations]</v>
      </c>
    </row>
    <row r="2037" spans="1:15" x14ac:dyDescent="0.3">
      <c r="A2037" t="s">
        <v>2277</v>
      </c>
      <c r="B2037" t="s">
        <v>2096</v>
      </c>
      <c r="C2037" t="s">
        <v>2097</v>
      </c>
      <c r="D2037">
        <v>69</v>
      </c>
      <c r="E2037" t="s">
        <v>1447</v>
      </c>
      <c r="F2037" t="s">
        <v>1798</v>
      </c>
      <c r="G2037" t="s">
        <v>1748</v>
      </c>
      <c r="H2037" t="s">
        <v>2279</v>
      </c>
      <c r="I2037">
        <v>1</v>
      </c>
      <c r="J2037" t="s">
        <v>2279</v>
      </c>
      <c r="K2037" t="s">
        <v>2279</v>
      </c>
      <c r="L2037" t="s">
        <v>2279</v>
      </c>
      <c r="M2037" t="s">
        <v>2279</v>
      </c>
      <c r="N2037" t="s">
        <v>2279</v>
      </c>
      <c r="O2037" s="190" t="str">
        <f>"["&amp;$C2037&amp;"]["&amp;$D2037&amp;"]["&amp;$F2037&amp;"]"</f>
        <v>[S08_ActivityDataIssuesDetail][69][NumberOfInstallations]</v>
      </c>
    </row>
    <row r="2038" spans="1:15" x14ac:dyDescent="0.3">
      <c r="A2038" t="s">
        <v>2277</v>
      </c>
      <c r="B2038" t="s">
        <v>2096</v>
      </c>
      <c r="C2038" t="s">
        <v>2097</v>
      </c>
      <c r="D2038">
        <v>70</v>
      </c>
      <c r="E2038" t="s">
        <v>1447</v>
      </c>
      <c r="F2038" t="s">
        <v>1798</v>
      </c>
      <c r="G2038" t="s">
        <v>1748</v>
      </c>
      <c r="H2038" t="s">
        <v>2279</v>
      </c>
      <c r="I2038">
        <v>6</v>
      </c>
      <c r="J2038" t="s">
        <v>2279</v>
      </c>
      <c r="K2038" t="s">
        <v>2279</v>
      </c>
      <c r="L2038" t="s">
        <v>2279</v>
      </c>
      <c r="M2038" t="s">
        <v>2279</v>
      </c>
      <c r="N2038" t="s">
        <v>2279</v>
      </c>
      <c r="O2038" s="190" t="str">
        <f>"["&amp;$C2038&amp;"]["&amp;$D2038&amp;"]["&amp;$F2038&amp;"]"</f>
        <v>[S08_ActivityDataIssuesDetail][70][NumberOfInstallations]</v>
      </c>
    </row>
    <row r="2039" spans="1:15" x14ac:dyDescent="0.3">
      <c r="A2039" t="s">
        <v>2277</v>
      </c>
      <c r="B2039" t="s">
        <v>2096</v>
      </c>
      <c r="C2039" t="s">
        <v>2097</v>
      </c>
      <c r="D2039">
        <v>71</v>
      </c>
      <c r="E2039" t="s">
        <v>1447</v>
      </c>
      <c r="F2039" t="s">
        <v>1798</v>
      </c>
      <c r="G2039" t="s">
        <v>1748</v>
      </c>
      <c r="H2039" t="s">
        <v>2279</v>
      </c>
      <c r="I2039">
        <v>1</v>
      </c>
      <c r="J2039" t="s">
        <v>2279</v>
      </c>
      <c r="K2039" t="s">
        <v>2279</v>
      </c>
      <c r="L2039" t="s">
        <v>2279</v>
      </c>
      <c r="M2039" t="s">
        <v>2279</v>
      </c>
      <c r="N2039" t="s">
        <v>2279</v>
      </c>
      <c r="O2039" s="190" t="str">
        <f>"["&amp;$C2039&amp;"]["&amp;$D2039&amp;"]["&amp;$F2039&amp;"]"</f>
        <v>[S08_ActivityDataIssuesDetail][71][NumberOfInstallations]</v>
      </c>
    </row>
    <row r="2040" spans="1:15" x14ac:dyDescent="0.3">
      <c r="A2040" t="s">
        <v>2277</v>
      </c>
      <c r="B2040" t="s">
        <v>2096</v>
      </c>
      <c r="C2040" t="s">
        <v>2097</v>
      </c>
      <c r="D2040">
        <v>72</v>
      </c>
      <c r="E2040" t="s">
        <v>1447</v>
      </c>
      <c r="F2040" t="s">
        <v>1798</v>
      </c>
      <c r="G2040" t="s">
        <v>1748</v>
      </c>
      <c r="H2040" t="s">
        <v>2279</v>
      </c>
      <c r="I2040">
        <v>2</v>
      </c>
      <c r="J2040" t="s">
        <v>2279</v>
      </c>
      <c r="K2040" t="s">
        <v>2279</v>
      </c>
      <c r="L2040" t="s">
        <v>2279</v>
      </c>
      <c r="M2040" t="s">
        <v>2279</v>
      </c>
      <c r="N2040" t="s">
        <v>2279</v>
      </c>
      <c r="O2040" s="190" t="str">
        <f>"["&amp;$C2040&amp;"]["&amp;$D2040&amp;"]["&amp;$F2040&amp;"]"</f>
        <v>[S08_ActivityDataIssuesDetail][72][NumberOfInstallations]</v>
      </c>
    </row>
    <row r="2041" spans="1:15" x14ac:dyDescent="0.3">
      <c r="A2041" t="s">
        <v>2277</v>
      </c>
      <c r="B2041" t="s">
        <v>2096</v>
      </c>
      <c r="C2041" t="s">
        <v>2097</v>
      </c>
      <c r="D2041">
        <v>73</v>
      </c>
      <c r="E2041" t="s">
        <v>1447</v>
      </c>
      <c r="F2041" t="s">
        <v>1798</v>
      </c>
      <c r="G2041" t="s">
        <v>1748</v>
      </c>
      <c r="H2041" t="s">
        <v>2279</v>
      </c>
      <c r="I2041">
        <v>3</v>
      </c>
      <c r="J2041" t="s">
        <v>2279</v>
      </c>
      <c r="K2041" t="s">
        <v>2279</v>
      </c>
      <c r="L2041" t="s">
        <v>2279</v>
      </c>
      <c r="M2041" t="s">
        <v>2279</v>
      </c>
      <c r="N2041" t="s">
        <v>2279</v>
      </c>
      <c r="O2041" s="190" t="str">
        <f>"["&amp;$C2041&amp;"]["&amp;$D2041&amp;"]["&amp;$F2041&amp;"]"</f>
        <v>[S08_ActivityDataIssuesDetail][73][NumberOfInstallations]</v>
      </c>
    </row>
    <row r="2042" spans="1:15" x14ac:dyDescent="0.3">
      <c r="A2042" t="s">
        <v>2277</v>
      </c>
      <c r="B2042" t="s">
        <v>2096</v>
      </c>
      <c r="C2042" t="s">
        <v>2097</v>
      </c>
      <c r="D2042">
        <v>74</v>
      </c>
      <c r="E2042" t="s">
        <v>1447</v>
      </c>
      <c r="F2042" t="s">
        <v>1798</v>
      </c>
      <c r="G2042" t="s">
        <v>1748</v>
      </c>
      <c r="H2042" t="s">
        <v>2279</v>
      </c>
      <c r="I2042">
        <v>1</v>
      </c>
      <c r="J2042" t="s">
        <v>2279</v>
      </c>
      <c r="K2042" t="s">
        <v>2279</v>
      </c>
      <c r="L2042" t="s">
        <v>2279</v>
      </c>
      <c r="M2042" t="s">
        <v>2279</v>
      </c>
      <c r="N2042" t="s">
        <v>2279</v>
      </c>
      <c r="O2042" s="190" t="str">
        <f>"["&amp;$C2042&amp;"]["&amp;$D2042&amp;"]["&amp;$F2042&amp;"]"</f>
        <v>[S08_ActivityDataIssuesDetail][74][NumberOfInstallations]</v>
      </c>
    </row>
    <row r="2043" spans="1:15" x14ac:dyDescent="0.3">
      <c r="A2043" t="s">
        <v>2277</v>
      </c>
      <c r="B2043" t="s">
        <v>2096</v>
      </c>
      <c r="C2043" t="s">
        <v>2097</v>
      </c>
      <c r="D2043">
        <v>75</v>
      </c>
      <c r="E2043" t="s">
        <v>1447</v>
      </c>
      <c r="F2043" t="s">
        <v>1798</v>
      </c>
      <c r="G2043" t="s">
        <v>1748</v>
      </c>
      <c r="H2043" t="s">
        <v>2279</v>
      </c>
      <c r="I2043">
        <v>22</v>
      </c>
      <c r="J2043" t="s">
        <v>2279</v>
      </c>
      <c r="K2043" t="s">
        <v>2279</v>
      </c>
      <c r="L2043" t="s">
        <v>2279</v>
      </c>
      <c r="M2043" t="s">
        <v>2279</v>
      </c>
      <c r="N2043" t="s">
        <v>2279</v>
      </c>
      <c r="O2043" s="190" t="str">
        <f>"["&amp;$C2043&amp;"]["&amp;$D2043&amp;"]["&amp;$F2043&amp;"]"</f>
        <v>[S08_ActivityDataIssuesDetail][75][NumberOfInstallations]</v>
      </c>
    </row>
    <row r="2044" spans="1:15" x14ac:dyDescent="0.3">
      <c r="A2044" t="s">
        <v>2277</v>
      </c>
      <c r="B2044" t="s">
        <v>2096</v>
      </c>
      <c r="C2044" t="s">
        <v>2097</v>
      </c>
      <c r="D2044">
        <v>76</v>
      </c>
      <c r="E2044" t="s">
        <v>1447</v>
      </c>
      <c r="F2044" t="s">
        <v>1798</v>
      </c>
      <c r="G2044" t="s">
        <v>1748</v>
      </c>
      <c r="H2044" t="s">
        <v>2279</v>
      </c>
      <c r="I2044">
        <v>1</v>
      </c>
      <c r="J2044" t="s">
        <v>2279</v>
      </c>
      <c r="K2044" t="s">
        <v>2279</v>
      </c>
      <c r="L2044" t="s">
        <v>2279</v>
      </c>
      <c r="M2044" t="s">
        <v>2279</v>
      </c>
      <c r="N2044" t="s">
        <v>2279</v>
      </c>
      <c r="O2044" s="190" t="str">
        <f>"["&amp;$C2044&amp;"]["&amp;$D2044&amp;"]["&amp;$F2044&amp;"]"</f>
        <v>[S08_ActivityDataIssuesDetail][76][NumberOfInstallations]</v>
      </c>
    </row>
    <row r="2045" spans="1:15" x14ac:dyDescent="0.3">
      <c r="A2045" t="s">
        <v>2277</v>
      </c>
      <c r="B2045" t="s">
        <v>2096</v>
      </c>
      <c r="C2045" t="s">
        <v>2097</v>
      </c>
      <c r="D2045">
        <v>1</v>
      </c>
      <c r="E2045" t="s">
        <v>1447</v>
      </c>
      <c r="F2045" t="s">
        <v>1972</v>
      </c>
      <c r="G2045" t="s">
        <v>1748</v>
      </c>
      <c r="H2045" t="s">
        <v>2279</v>
      </c>
      <c r="I2045">
        <v>322</v>
      </c>
      <c r="J2045" t="s">
        <v>2279</v>
      </c>
      <c r="K2045" t="s">
        <v>2279</v>
      </c>
      <c r="L2045" t="s">
        <v>2279</v>
      </c>
      <c r="M2045" t="s">
        <v>2279</v>
      </c>
      <c r="N2045" t="s">
        <v>2279</v>
      </c>
      <c r="O2045" s="190" t="str">
        <f>"["&amp;$C2045&amp;"]["&amp;$D2045&amp;"]["&amp;$F2045&amp;"]"</f>
        <v>[S08_ActivityDataIssuesDetail][1][NumberOfIssues]</v>
      </c>
    </row>
    <row r="2046" spans="1:15" x14ac:dyDescent="0.3">
      <c r="A2046" t="s">
        <v>2277</v>
      </c>
      <c r="B2046" t="s">
        <v>2096</v>
      </c>
      <c r="C2046" t="s">
        <v>2097</v>
      </c>
      <c r="D2046">
        <v>2</v>
      </c>
      <c r="E2046" t="s">
        <v>1447</v>
      </c>
      <c r="F2046" t="s">
        <v>1972</v>
      </c>
      <c r="G2046" t="s">
        <v>1748</v>
      </c>
      <c r="H2046" t="s">
        <v>2279</v>
      </c>
      <c r="I2046">
        <v>25</v>
      </c>
      <c r="J2046" t="s">
        <v>2279</v>
      </c>
      <c r="K2046" t="s">
        <v>2279</v>
      </c>
      <c r="L2046" t="s">
        <v>2279</v>
      </c>
      <c r="M2046" t="s">
        <v>2279</v>
      </c>
      <c r="N2046" t="s">
        <v>2279</v>
      </c>
      <c r="O2046" s="190" t="str">
        <f>"["&amp;$C2046&amp;"]["&amp;$D2046&amp;"]["&amp;$F2046&amp;"]"</f>
        <v>[S08_ActivityDataIssuesDetail][2][NumberOfIssues]</v>
      </c>
    </row>
    <row r="2047" spans="1:15" x14ac:dyDescent="0.3">
      <c r="A2047" t="s">
        <v>2277</v>
      </c>
      <c r="B2047" t="s">
        <v>2096</v>
      </c>
      <c r="C2047" t="s">
        <v>2097</v>
      </c>
      <c r="D2047">
        <v>3</v>
      </c>
      <c r="E2047" t="s">
        <v>1447</v>
      </c>
      <c r="F2047" t="s">
        <v>1972</v>
      </c>
      <c r="G2047" t="s">
        <v>1748</v>
      </c>
      <c r="H2047" t="s">
        <v>2279</v>
      </c>
      <c r="I2047">
        <v>39</v>
      </c>
      <c r="J2047" t="s">
        <v>2279</v>
      </c>
      <c r="K2047" t="s">
        <v>2279</v>
      </c>
      <c r="L2047" t="s">
        <v>2279</v>
      </c>
      <c r="M2047" t="s">
        <v>2279</v>
      </c>
      <c r="N2047" t="s">
        <v>2279</v>
      </c>
      <c r="O2047" s="190" t="str">
        <f>"["&amp;$C2047&amp;"]["&amp;$D2047&amp;"]["&amp;$F2047&amp;"]"</f>
        <v>[S08_ActivityDataIssuesDetail][3][NumberOfIssues]</v>
      </c>
    </row>
    <row r="2048" spans="1:15" x14ac:dyDescent="0.3">
      <c r="A2048" t="s">
        <v>2277</v>
      </c>
      <c r="B2048" t="s">
        <v>2096</v>
      </c>
      <c r="C2048" t="s">
        <v>2097</v>
      </c>
      <c r="D2048">
        <v>4</v>
      </c>
      <c r="E2048" t="s">
        <v>1447</v>
      </c>
      <c r="F2048" t="s">
        <v>1972</v>
      </c>
      <c r="G2048" t="s">
        <v>1748</v>
      </c>
      <c r="H2048" t="s">
        <v>2279</v>
      </c>
      <c r="I2048">
        <v>58</v>
      </c>
      <c r="J2048" t="s">
        <v>2279</v>
      </c>
      <c r="K2048" t="s">
        <v>2279</v>
      </c>
      <c r="L2048" t="s">
        <v>2279</v>
      </c>
      <c r="M2048" t="s">
        <v>2279</v>
      </c>
      <c r="N2048" t="s">
        <v>2279</v>
      </c>
      <c r="O2048" s="190" t="str">
        <f>"["&amp;$C2048&amp;"]["&amp;$D2048&amp;"]["&amp;$F2048&amp;"]"</f>
        <v>[S08_ActivityDataIssuesDetail][4][NumberOfIssues]</v>
      </c>
    </row>
    <row r="2049" spans="1:15" x14ac:dyDescent="0.3">
      <c r="A2049" t="s">
        <v>2277</v>
      </c>
      <c r="B2049" t="s">
        <v>2096</v>
      </c>
      <c r="C2049" t="s">
        <v>2097</v>
      </c>
      <c r="D2049">
        <v>5</v>
      </c>
      <c r="E2049" t="s">
        <v>1447</v>
      </c>
      <c r="F2049" t="s">
        <v>1972</v>
      </c>
      <c r="G2049" t="s">
        <v>1748</v>
      </c>
      <c r="H2049" t="s">
        <v>2279</v>
      </c>
      <c r="I2049">
        <v>35</v>
      </c>
      <c r="J2049" t="s">
        <v>2279</v>
      </c>
      <c r="K2049" t="s">
        <v>2279</v>
      </c>
      <c r="L2049" t="s">
        <v>2279</v>
      </c>
      <c r="M2049" t="s">
        <v>2279</v>
      </c>
      <c r="N2049" t="s">
        <v>2279</v>
      </c>
      <c r="O2049" s="190" t="str">
        <f>"["&amp;$C2049&amp;"]["&amp;$D2049&amp;"]["&amp;$F2049&amp;"]"</f>
        <v>[S08_ActivityDataIssuesDetail][5][NumberOfIssues]</v>
      </c>
    </row>
    <row r="2050" spans="1:15" x14ac:dyDescent="0.3">
      <c r="A2050" t="s">
        <v>2277</v>
      </c>
      <c r="B2050" t="s">
        <v>2096</v>
      </c>
      <c r="C2050" t="s">
        <v>2097</v>
      </c>
      <c r="D2050">
        <v>6</v>
      </c>
      <c r="E2050" t="s">
        <v>1447</v>
      </c>
      <c r="F2050" t="s">
        <v>1972</v>
      </c>
      <c r="G2050" t="s">
        <v>1748</v>
      </c>
      <c r="H2050" t="s">
        <v>2279</v>
      </c>
      <c r="I2050">
        <v>13</v>
      </c>
      <c r="J2050" t="s">
        <v>2279</v>
      </c>
      <c r="K2050" t="s">
        <v>2279</v>
      </c>
      <c r="L2050" t="s">
        <v>2279</v>
      </c>
      <c r="M2050" t="s">
        <v>2279</v>
      </c>
      <c r="N2050" t="s">
        <v>2279</v>
      </c>
      <c r="O2050" s="190" t="str">
        <f>"["&amp;$C2050&amp;"]["&amp;$D2050&amp;"]["&amp;$F2050&amp;"]"</f>
        <v>[S08_ActivityDataIssuesDetail][6][NumberOfIssues]</v>
      </c>
    </row>
    <row r="2051" spans="1:15" x14ac:dyDescent="0.3">
      <c r="A2051" t="s">
        <v>2277</v>
      </c>
      <c r="B2051" t="s">
        <v>2096</v>
      </c>
      <c r="C2051" t="s">
        <v>2097</v>
      </c>
      <c r="D2051">
        <v>7</v>
      </c>
      <c r="E2051" t="s">
        <v>1447</v>
      </c>
      <c r="F2051" t="s">
        <v>1972</v>
      </c>
      <c r="G2051" t="s">
        <v>1748</v>
      </c>
      <c r="H2051" t="s">
        <v>2279</v>
      </c>
      <c r="I2051">
        <v>4</v>
      </c>
      <c r="J2051" t="s">
        <v>2279</v>
      </c>
      <c r="K2051" t="s">
        <v>2279</v>
      </c>
      <c r="L2051" t="s">
        <v>2279</v>
      </c>
      <c r="M2051" t="s">
        <v>2279</v>
      </c>
      <c r="N2051" t="s">
        <v>2279</v>
      </c>
      <c r="O2051" s="190" t="str">
        <f>"["&amp;$C2051&amp;"]["&amp;$D2051&amp;"]["&amp;$F2051&amp;"]"</f>
        <v>[S08_ActivityDataIssuesDetail][7][NumberOfIssues]</v>
      </c>
    </row>
    <row r="2052" spans="1:15" x14ac:dyDescent="0.3">
      <c r="A2052" t="s">
        <v>2277</v>
      </c>
      <c r="B2052" t="s">
        <v>2096</v>
      </c>
      <c r="C2052" t="s">
        <v>2097</v>
      </c>
      <c r="D2052">
        <v>8</v>
      </c>
      <c r="E2052" t="s">
        <v>1447</v>
      </c>
      <c r="F2052" t="s">
        <v>1972</v>
      </c>
      <c r="G2052" t="s">
        <v>1748</v>
      </c>
      <c r="H2052" t="s">
        <v>2279</v>
      </c>
      <c r="I2052">
        <v>14</v>
      </c>
      <c r="J2052" t="s">
        <v>2279</v>
      </c>
      <c r="K2052" t="s">
        <v>2279</v>
      </c>
      <c r="L2052" t="s">
        <v>2279</v>
      </c>
      <c r="M2052" t="s">
        <v>2279</v>
      </c>
      <c r="N2052" t="s">
        <v>2279</v>
      </c>
      <c r="O2052" s="190" t="str">
        <f>"["&amp;$C2052&amp;"]["&amp;$D2052&amp;"]["&amp;$F2052&amp;"]"</f>
        <v>[S08_ActivityDataIssuesDetail][8][NumberOfIssues]</v>
      </c>
    </row>
    <row r="2053" spans="1:15" x14ac:dyDescent="0.3">
      <c r="A2053" t="s">
        <v>2277</v>
      </c>
      <c r="B2053" t="s">
        <v>2096</v>
      </c>
      <c r="C2053" t="s">
        <v>2097</v>
      </c>
      <c r="D2053">
        <v>9</v>
      </c>
      <c r="E2053" t="s">
        <v>1447</v>
      </c>
      <c r="F2053" t="s">
        <v>1972</v>
      </c>
      <c r="G2053" t="s">
        <v>1748</v>
      </c>
      <c r="H2053" t="s">
        <v>2279</v>
      </c>
      <c r="I2053">
        <v>4</v>
      </c>
      <c r="J2053" t="s">
        <v>2279</v>
      </c>
      <c r="K2053" t="s">
        <v>2279</v>
      </c>
      <c r="L2053" t="s">
        <v>2279</v>
      </c>
      <c r="M2053" t="s">
        <v>2279</v>
      </c>
      <c r="N2053" t="s">
        <v>2279</v>
      </c>
      <c r="O2053" s="190" t="str">
        <f>"["&amp;$C2053&amp;"]["&amp;$D2053&amp;"]["&amp;$F2053&amp;"]"</f>
        <v>[S08_ActivityDataIssuesDetail][9][NumberOfIssues]</v>
      </c>
    </row>
    <row r="2054" spans="1:15" x14ac:dyDescent="0.3">
      <c r="A2054" t="s">
        <v>2277</v>
      </c>
      <c r="B2054" t="s">
        <v>2096</v>
      </c>
      <c r="C2054" t="s">
        <v>2097</v>
      </c>
      <c r="D2054">
        <v>10</v>
      </c>
      <c r="E2054" t="s">
        <v>1447</v>
      </c>
      <c r="F2054" t="s">
        <v>1972</v>
      </c>
      <c r="G2054" t="s">
        <v>1748</v>
      </c>
      <c r="H2054" t="s">
        <v>2279</v>
      </c>
      <c r="I2054">
        <v>7</v>
      </c>
      <c r="J2054" t="s">
        <v>2279</v>
      </c>
      <c r="K2054" t="s">
        <v>2279</v>
      </c>
      <c r="L2054" t="s">
        <v>2279</v>
      </c>
      <c r="M2054" t="s">
        <v>2279</v>
      </c>
      <c r="N2054" t="s">
        <v>2279</v>
      </c>
      <c r="O2054" s="190" t="str">
        <f>"["&amp;$C2054&amp;"]["&amp;$D2054&amp;"]["&amp;$F2054&amp;"]"</f>
        <v>[S08_ActivityDataIssuesDetail][10][NumberOfIssues]</v>
      </c>
    </row>
    <row r="2055" spans="1:15" x14ac:dyDescent="0.3">
      <c r="A2055" t="s">
        <v>2277</v>
      </c>
      <c r="B2055" t="s">
        <v>2096</v>
      </c>
      <c r="C2055" t="s">
        <v>2097</v>
      </c>
      <c r="D2055">
        <v>11</v>
      </c>
      <c r="E2055" t="s">
        <v>1447</v>
      </c>
      <c r="F2055" t="s">
        <v>1972</v>
      </c>
      <c r="G2055" t="s">
        <v>1748</v>
      </c>
      <c r="H2055" t="s">
        <v>2279</v>
      </c>
      <c r="I2055">
        <v>7</v>
      </c>
      <c r="J2055" t="s">
        <v>2279</v>
      </c>
      <c r="K2055" t="s">
        <v>2279</v>
      </c>
      <c r="L2055" t="s">
        <v>2279</v>
      </c>
      <c r="M2055" t="s">
        <v>2279</v>
      </c>
      <c r="N2055" t="s">
        <v>2279</v>
      </c>
      <c r="O2055" s="190" t="str">
        <f>"["&amp;$C2055&amp;"]["&amp;$D2055&amp;"]["&amp;$F2055&amp;"]"</f>
        <v>[S08_ActivityDataIssuesDetail][11][NumberOfIssues]</v>
      </c>
    </row>
    <row r="2056" spans="1:15" x14ac:dyDescent="0.3">
      <c r="A2056" t="s">
        <v>2277</v>
      </c>
      <c r="B2056" t="s">
        <v>2096</v>
      </c>
      <c r="C2056" t="s">
        <v>2097</v>
      </c>
      <c r="D2056">
        <v>12</v>
      </c>
      <c r="E2056" t="s">
        <v>1447</v>
      </c>
      <c r="F2056" t="s">
        <v>1972</v>
      </c>
      <c r="G2056" t="s">
        <v>1748</v>
      </c>
      <c r="H2056" t="s">
        <v>2279</v>
      </c>
      <c r="I2056">
        <v>1</v>
      </c>
      <c r="J2056" t="s">
        <v>2279</v>
      </c>
      <c r="K2056" t="s">
        <v>2279</v>
      </c>
      <c r="L2056" t="s">
        <v>2279</v>
      </c>
      <c r="M2056" t="s">
        <v>2279</v>
      </c>
      <c r="N2056" t="s">
        <v>2279</v>
      </c>
      <c r="O2056" s="190" t="str">
        <f>"["&amp;$C2056&amp;"]["&amp;$D2056&amp;"]["&amp;$F2056&amp;"]"</f>
        <v>[S08_ActivityDataIssuesDetail][12][NumberOfIssues]</v>
      </c>
    </row>
    <row r="2057" spans="1:15" x14ac:dyDescent="0.3">
      <c r="A2057" t="s">
        <v>2277</v>
      </c>
      <c r="B2057" t="s">
        <v>2096</v>
      </c>
      <c r="C2057" t="s">
        <v>2097</v>
      </c>
      <c r="D2057">
        <v>13</v>
      </c>
      <c r="E2057" t="s">
        <v>1447</v>
      </c>
      <c r="F2057" t="s">
        <v>1972</v>
      </c>
      <c r="G2057" t="s">
        <v>1748</v>
      </c>
      <c r="H2057" t="s">
        <v>2279</v>
      </c>
      <c r="I2057">
        <v>23</v>
      </c>
      <c r="J2057" t="s">
        <v>2279</v>
      </c>
      <c r="K2057" t="s">
        <v>2279</v>
      </c>
      <c r="L2057" t="s">
        <v>2279</v>
      </c>
      <c r="M2057" t="s">
        <v>2279</v>
      </c>
      <c r="N2057" t="s">
        <v>2279</v>
      </c>
      <c r="O2057" s="190" t="str">
        <f>"["&amp;$C2057&amp;"]["&amp;$D2057&amp;"]["&amp;$F2057&amp;"]"</f>
        <v>[S08_ActivityDataIssuesDetail][13][NumberOfIssues]</v>
      </c>
    </row>
    <row r="2058" spans="1:15" x14ac:dyDescent="0.3">
      <c r="A2058" t="s">
        <v>2277</v>
      </c>
      <c r="B2058" t="s">
        <v>2096</v>
      </c>
      <c r="C2058" t="s">
        <v>2097</v>
      </c>
      <c r="D2058">
        <v>14</v>
      </c>
      <c r="E2058" t="s">
        <v>1447</v>
      </c>
      <c r="F2058" t="s">
        <v>1972</v>
      </c>
      <c r="G2058" t="s">
        <v>1748</v>
      </c>
      <c r="H2058" t="s">
        <v>2279</v>
      </c>
      <c r="I2058">
        <v>6</v>
      </c>
      <c r="J2058" t="s">
        <v>2279</v>
      </c>
      <c r="K2058" t="s">
        <v>2279</v>
      </c>
      <c r="L2058" t="s">
        <v>2279</v>
      </c>
      <c r="M2058" t="s">
        <v>2279</v>
      </c>
      <c r="N2058" t="s">
        <v>2279</v>
      </c>
      <c r="O2058" s="190" t="str">
        <f>"["&amp;$C2058&amp;"]["&amp;$D2058&amp;"]["&amp;$F2058&amp;"]"</f>
        <v>[S08_ActivityDataIssuesDetail][14][NumberOfIssues]</v>
      </c>
    </row>
    <row r="2059" spans="1:15" x14ac:dyDescent="0.3">
      <c r="A2059" t="s">
        <v>2277</v>
      </c>
      <c r="B2059" t="s">
        <v>2096</v>
      </c>
      <c r="C2059" t="s">
        <v>2097</v>
      </c>
      <c r="D2059">
        <v>15</v>
      </c>
      <c r="E2059" t="s">
        <v>1447</v>
      </c>
      <c r="F2059" t="s">
        <v>1972</v>
      </c>
      <c r="G2059" t="s">
        <v>1748</v>
      </c>
      <c r="H2059" t="s">
        <v>2279</v>
      </c>
      <c r="I2059">
        <v>3</v>
      </c>
      <c r="J2059" t="s">
        <v>2279</v>
      </c>
      <c r="K2059" t="s">
        <v>2279</v>
      </c>
      <c r="L2059" t="s">
        <v>2279</v>
      </c>
      <c r="M2059" t="s">
        <v>2279</v>
      </c>
      <c r="N2059" t="s">
        <v>2279</v>
      </c>
      <c r="O2059" s="190" t="str">
        <f>"["&amp;$C2059&amp;"]["&amp;$D2059&amp;"]["&amp;$F2059&amp;"]"</f>
        <v>[S08_ActivityDataIssuesDetail][15][NumberOfIssues]</v>
      </c>
    </row>
    <row r="2060" spans="1:15" x14ac:dyDescent="0.3">
      <c r="A2060" t="s">
        <v>2277</v>
      </c>
      <c r="B2060" t="s">
        <v>2096</v>
      </c>
      <c r="C2060" t="s">
        <v>2097</v>
      </c>
      <c r="D2060">
        <v>16</v>
      </c>
      <c r="E2060" t="s">
        <v>1447</v>
      </c>
      <c r="F2060" t="s">
        <v>1972</v>
      </c>
      <c r="G2060" t="s">
        <v>1748</v>
      </c>
      <c r="H2060" t="s">
        <v>2279</v>
      </c>
      <c r="I2060">
        <v>1</v>
      </c>
      <c r="J2060" t="s">
        <v>2279</v>
      </c>
      <c r="K2060" t="s">
        <v>2279</v>
      </c>
      <c r="L2060" t="s">
        <v>2279</v>
      </c>
      <c r="M2060" t="s">
        <v>2279</v>
      </c>
      <c r="N2060" t="s">
        <v>2279</v>
      </c>
      <c r="O2060" s="190" t="str">
        <f>"["&amp;$C2060&amp;"]["&amp;$D2060&amp;"]["&amp;$F2060&amp;"]"</f>
        <v>[S08_ActivityDataIssuesDetail][16][NumberOfIssues]</v>
      </c>
    </row>
    <row r="2061" spans="1:15" x14ac:dyDescent="0.3">
      <c r="A2061" t="s">
        <v>2277</v>
      </c>
      <c r="B2061" t="s">
        <v>2096</v>
      </c>
      <c r="C2061" t="s">
        <v>2097</v>
      </c>
      <c r="D2061">
        <v>17</v>
      </c>
      <c r="E2061" t="s">
        <v>1447</v>
      </c>
      <c r="F2061" t="s">
        <v>1972</v>
      </c>
      <c r="G2061" t="s">
        <v>1748</v>
      </c>
      <c r="H2061" t="s">
        <v>2279</v>
      </c>
      <c r="I2061">
        <v>3</v>
      </c>
      <c r="J2061" t="s">
        <v>2279</v>
      </c>
      <c r="K2061" t="s">
        <v>2279</v>
      </c>
      <c r="L2061" t="s">
        <v>2279</v>
      </c>
      <c r="M2061" t="s">
        <v>2279</v>
      </c>
      <c r="N2061" t="s">
        <v>2279</v>
      </c>
      <c r="O2061" s="190" t="str">
        <f>"["&amp;$C2061&amp;"]["&amp;$D2061&amp;"]["&amp;$F2061&amp;"]"</f>
        <v>[S08_ActivityDataIssuesDetail][17][NumberOfIssues]</v>
      </c>
    </row>
    <row r="2062" spans="1:15" x14ac:dyDescent="0.3">
      <c r="A2062" t="s">
        <v>2277</v>
      </c>
      <c r="B2062" t="s">
        <v>2096</v>
      </c>
      <c r="C2062" t="s">
        <v>2097</v>
      </c>
      <c r="D2062">
        <v>18</v>
      </c>
      <c r="E2062" t="s">
        <v>1447</v>
      </c>
      <c r="F2062" t="s">
        <v>1972</v>
      </c>
      <c r="G2062" t="s">
        <v>1748</v>
      </c>
      <c r="H2062" t="s">
        <v>2279</v>
      </c>
      <c r="I2062">
        <v>7</v>
      </c>
      <c r="J2062" t="s">
        <v>2279</v>
      </c>
      <c r="K2062" t="s">
        <v>2279</v>
      </c>
      <c r="L2062" t="s">
        <v>2279</v>
      </c>
      <c r="M2062" t="s">
        <v>2279</v>
      </c>
      <c r="N2062" t="s">
        <v>2279</v>
      </c>
      <c r="O2062" s="190" t="str">
        <f>"["&amp;$C2062&amp;"]["&amp;$D2062&amp;"]["&amp;$F2062&amp;"]"</f>
        <v>[S08_ActivityDataIssuesDetail][18][NumberOfIssues]</v>
      </c>
    </row>
    <row r="2063" spans="1:15" x14ac:dyDescent="0.3">
      <c r="A2063" t="s">
        <v>2277</v>
      </c>
      <c r="B2063" t="s">
        <v>2096</v>
      </c>
      <c r="C2063" t="s">
        <v>2097</v>
      </c>
      <c r="D2063">
        <v>19</v>
      </c>
      <c r="E2063" t="s">
        <v>1447</v>
      </c>
      <c r="F2063" t="s">
        <v>1972</v>
      </c>
      <c r="G2063" t="s">
        <v>1748</v>
      </c>
      <c r="H2063" t="s">
        <v>2279</v>
      </c>
      <c r="I2063">
        <v>2</v>
      </c>
      <c r="J2063" t="s">
        <v>2279</v>
      </c>
      <c r="K2063" t="s">
        <v>2279</v>
      </c>
      <c r="L2063" t="s">
        <v>2279</v>
      </c>
      <c r="M2063" t="s">
        <v>2279</v>
      </c>
      <c r="N2063" t="s">
        <v>2279</v>
      </c>
      <c r="O2063" s="190" t="str">
        <f>"["&amp;$C2063&amp;"]["&amp;$D2063&amp;"]["&amp;$F2063&amp;"]"</f>
        <v>[S08_ActivityDataIssuesDetail][19][NumberOfIssues]</v>
      </c>
    </row>
    <row r="2064" spans="1:15" x14ac:dyDescent="0.3">
      <c r="A2064" t="s">
        <v>2277</v>
      </c>
      <c r="B2064" t="s">
        <v>2096</v>
      </c>
      <c r="C2064" t="s">
        <v>2097</v>
      </c>
      <c r="D2064">
        <v>20</v>
      </c>
      <c r="E2064" t="s">
        <v>1447</v>
      </c>
      <c r="F2064" t="s">
        <v>1972</v>
      </c>
      <c r="G2064" t="s">
        <v>1748</v>
      </c>
      <c r="H2064" t="s">
        <v>2279</v>
      </c>
      <c r="I2064">
        <v>2</v>
      </c>
      <c r="J2064" t="s">
        <v>2279</v>
      </c>
      <c r="K2064" t="s">
        <v>2279</v>
      </c>
      <c r="L2064" t="s">
        <v>2279</v>
      </c>
      <c r="M2064" t="s">
        <v>2279</v>
      </c>
      <c r="N2064" t="s">
        <v>2279</v>
      </c>
      <c r="O2064" s="190" t="str">
        <f>"["&amp;$C2064&amp;"]["&amp;$D2064&amp;"]["&amp;$F2064&amp;"]"</f>
        <v>[S08_ActivityDataIssuesDetail][20][NumberOfIssues]</v>
      </c>
    </row>
    <row r="2065" spans="1:15" x14ac:dyDescent="0.3">
      <c r="A2065" t="s">
        <v>2277</v>
      </c>
      <c r="B2065" t="s">
        <v>2096</v>
      </c>
      <c r="C2065" t="s">
        <v>2097</v>
      </c>
      <c r="D2065">
        <v>21</v>
      </c>
      <c r="E2065" t="s">
        <v>1447</v>
      </c>
      <c r="F2065" t="s">
        <v>1972</v>
      </c>
      <c r="G2065" t="s">
        <v>1748</v>
      </c>
      <c r="H2065" t="s">
        <v>2279</v>
      </c>
      <c r="I2065">
        <v>161</v>
      </c>
      <c r="J2065" t="s">
        <v>2279</v>
      </c>
      <c r="K2065" t="s">
        <v>2279</v>
      </c>
      <c r="L2065" t="s">
        <v>2279</v>
      </c>
      <c r="M2065" t="s">
        <v>2279</v>
      </c>
      <c r="N2065" t="s">
        <v>2279</v>
      </c>
      <c r="O2065" s="190" t="str">
        <f>"["&amp;$C2065&amp;"]["&amp;$D2065&amp;"]["&amp;$F2065&amp;"]"</f>
        <v>[S08_ActivityDataIssuesDetail][21][NumberOfIssues]</v>
      </c>
    </row>
    <row r="2066" spans="1:15" x14ac:dyDescent="0.3">
      <c r="A2066" t="s">
        <v>2277</v>
      </c>
      <c r="B2066" t="s">
        <v>2096</v>
      </c>
      <c r="C2066" t="s">
        <v>2097</v>
      </c>
      <c r="D2066">
        <v>22</v>
      </c>
      <c r="E2066" t="s">
        <v>1447</v>
      </c>
      <c r="F2066" t="s">
        <v>1972</v>
      </c>
      <c r="G2066" t="s">
        <v>1748</v>
      </c>
      <c r="H2066" t="s">
        <v>2279</v>
      </c>
      <c r="I2066">
        <v>2</v>
      </c>
      <c r="J2066" t="s">
        <v>2279</v>
      </c>
      <c r="K2066" t="s">
        <v>2279</v>
      </c>
      <c r="L2066" t="s">
        <v>2279</v>
      </c>
      <c r="M2066" t="s">
        <v>2279</v>
      </c>
      <c r="N2066" t="s">
        <v>2279</v>
      </c>
      <c r="O2066" s="190" t="str">
        <f>"["&amp;$C2066&amp;"]["&amp;$D2066&amp;"]["&amp;$F2066&amp;"]"</f>
        <v>[S08_ActivityDataIssuesDetail][22][NumberOfIssues]</v>
      </c>
    </row>
    <row r="2067" spans="1:15" x14ac:dyDescent="0.3">
      <c r="A2067" t="s">
        <v>2277</v>
      </c>
      <c r="B2067" t="s">
        <v>2096</v>
      </c>
      <c r="C2067" t="s">
        <v>2097</v>
      </c>
      <c r="D2067">
        <v>23</v>
      </c>
      <c r="E2067" t="s">
        <v>1447</v>
      </c>
      <c r="F2067" t="s">
        <v>1972</v>
      </c>
      <c r="G2067" t="s">
        <v>1748</v>
      </c>
      <c r="H2067" t="s">
        <v>2279</v>
      </c>
      <c r="I2067">
        <v>11</v>
      </c>
      <c r="J2067" t="s">
        <v>2279</v>
      </c>
      <c r="K2067" t="s">
        <v>2279</v>
      </c>
      <c r="L2067" t="s">
        <v>2279</v>
      </c>
      <c r="M2067" t="s">
        <v>2279</v>
      </c>
      <c r="N2067" t="s">
        <v>2279</v>
      </c>
      <c r="O2067" s="190" t="str">
        <f>"["&amp;$C2067&amp;"]["&amp;$D2067&amp;"]["&amp;$F2067&amp;"]"</f>
        <v>[S08_ActivityDataIssuesDetail][23][NumberOfIssues]</v>
      </c>
    </row>
    <row r="2068" spans="1:15" x14ac:dyDescent="0.3">
      <c r="A2068" t="s">
        <v>2277</v>
      </c>
      <c r="B2068" t="s">
        <v>2096</v>
      </c>
      <c r="C2068" t="s">
        <v>2097</v>
      </c>
      <c r="D2068">
        <v>24</v>
      </c>
      <c r="E2068" t="s">
        <v>1447</v>
      </c>
      <c r="F2068" t="s">
        <v>1972</v>
      </c>
      <c r="G2068" t="s">
        <v>1748</v>
      </c>
      <c r="H2068" t="s">
        <v>2279</v>
      </c>
      <c r="I2068">
        <v>15</v>
      </c>
      <c r="J2068" t="s">
        <v>2279</v>
      </c>
      <c r="K2068" t="s">
        <v>2279</v>
      </c>
      <c r="L2068" t="s">
        <v>2279</v>
      </c>
      <c r="M2068" t="s">
        <v>2279</v>
      </c>
      <c r="N2068" t="s">
        <v>2279</v>
      </c>
      <c r="O2068" s="190" t="str">
        <f>"["&amp;$C2068&amp;"]["&amp;$D2068&amp;"]["&amp;$F2068&amp;"]"</f>
        <v>[S08_ActivityDataIssuesDetail][24][NumberOfIssues]</v>
      </c>
    </row>
    <row r="2069" spans="1:15" x14ac:dyDescent="0.3">
      <c r="A2069" t="s">
        <v>2277</v>
      </c>
      <c r="B2069" t="s">
        <v>2096</v>
      </c>
      <c r="C2069" t="s">
        <v>2097</v>
      </c>
      <c r="D2069">
        <v>25</v>
      </c>
      <c r="E2069" t="s">
        <v>1447</v>
      </c>
      <c r="F2069" t="s">
        <v>1972</v>
      </c>
      <c r="G2069" t="s">
        <v>1748</v>
      </c>
      <c r="H2069" t="s">
        <v>2279</v>
      </c>
      <c r="I2069">
        <v>25</v>
      </c>
      <c r="J2069" t="s">
        <v>2279</v>
      </c>
      <c r="K2069" t="s">
        <v>2279</v>
      </c>
      <c r="L2069" t="s">
        <v>2279</v>
      </c>
      <c r="M2069" t="s">
        <v>2279</v>
      </c>
      <c r="N2069" t="s">
        <v>2279</v>
      </c>
      <c r="O2069" s="190" t="str">
        <f>"["&amp;$C2069&amp;"]["&amp;$D2069&amp;"]["&amp;$F2069&amp;"]"</f>
        <v>[S08_ActivityDataIssuesDetail][25][NumberOfIssues]</v>
      </c>
    </row>
    <row r="2070" spans="1:15" x14ac:dyDescent="0.3">
      <c r="A2070" t="s">
        <v>2277</v>
      </c>
      <c r="B2070" t="s">
        <v>2096</v>
      </c>
      <c r="C2070" t="s">
        <v>2097</v>
      </c>
      <c r="D2070">
        <v>26</v>
      </c>
      <c r="E2070" t="s">
        <v>1447</v>
      </c>
      <c r="F2070" t="s">
        <v>1972</v>
      </c>
      <c r="G2070" t="s">
        <v>1748</v>
      </c>
      <c r="H2070" t="s">
        <v>2279</v>
      </c>
      <c r="I2070">
        <v>5</v>
      </c>
      <c r="J2070" t="s">
        <v>2279</v>
      </c>
      <c r="K2070" t="s">
        <v>2279</v>
      </c>
      <c r="L2070" t="s">
        <v>2279</v>
      </c>
      <c r="M2070" t="s">
        <v>2279</v>
      </c>
      <c r="N2070" t="s">
        <v>2279</v>
      </c>
      <c r="O2070" s="190" t="str">
        <f>"["&amp;$C2070&amp;"]["&amp;$D2070&amp;"]["&amp;$F2070&amp;"]"</f>
        <v>[S08_ActivityDataIssuesDetail][26][NumberOfIssues]</v>
      </c>
    </row>
    <row r="2071" spans="1:15" x14ac:dyDescent="0.3">
      <c r="A2071" t="s">
        <v>2277</v>
      </c>
      <c r="B2071" t="s">
        <v>2096</v>
      </c>
      <c r="C2071" t="s">
        <v>2097</v>
      </c>
      <c r="D2071">
        <v>27</v>
      </c>
      <c r="E2071" t="s">
        <v>1447</v>
      </c>
      <c r="F2071" t="s">
        <v>1972</v>
      </c>
      <c r="G2071" t="s">
        <v>1748</v>
      </c>
      <c r="H2071" t="s">
        <v>2279</v>
      </c>
      <c r="I2071">
        <v>1</v>
      </c>
      <c r="J2071" t="s">
        <v>2279</v>
      </c>
      <c r="K2071" t="s">
        <v>2279</v>
      </c>
      <c r="L2071" t="s">
        <v>2279</v>
      </c>
      <c r="M2071" t="s">
        <v>2279</v>
      </c>
      <c r="N2071" t="s">
        <v>2279</v>
      </c>
      <c r="O2071" s="190" t="str">
        <f>"["&amp;$C2071&amp;"]["&amp;$D2071&amp;"]["&amp;$F2071&amp;"]"</f>
        <v>[S08_ActivityDataIssuesDetail][27][NumberOfIssues]</v>
      </c>
    </row>
    <row r="2072" spans="1:15" x14ac:dyDescent="0.3">
      <c r="A2072" t="s">
        <v>2277</v>
      </c>
      <c r="B2072" t="s">
        <v>2096</v>
      </c>
      <c r="C2072" t="s">
        <v>2097</v>
      </c>
      <c r="D2072">
        <v>28</v>
      </c>
      <c r="E2072" t="s">
        <v>1447</v>
      </c>
      <c r="F2072" t="s">
        <v>1972</v>
      </c>
      <c r="G2072" t="s">
        <v>1748</v>
      </c>
      <c r="H2072" t="s">
        <v>2279</v>
      </c>
      <c r="I2072">
        <v>1</v>
      </c>
      <c r="J2072" t="s">
        <v>2279</v>
      </c>
      <c r="K2072" t="s">
        <v>2279</v>
      </c>
      <c r="L2072" t="s">
        <v>2279</v>
      </c>
      <c r="M2072" t="s">
        <v>2279</v>
      </c>
      <c r="N2072" t="s">
        <v>2279</v>
      </c>
      <c r="O2072" s="190" t="str">
        <f>"["&amp;$C2072&amp;"]["&amp;$D2072&amp;"]["&amp;$F2072&amp;"]"</f>
        <v>[S08_ActivityDataIssuesDetail][28][NumberOfIssues]</v>
      </c>
    </row>
    <row r="2073" spans="1:15" x14ac:dyDescent="0.3">
      <c r="A2073" t="s">
        <v>2277</v>
      </c>
      <c r="B2073" t="s">
        <v>2096</v>
      </c>
      <c r="C2073" t="s">
        <v>2097</v>
      </c>
      <c r="D2073">
        <v>29</v>
      </c>
      <c r="E2073" t="s">
        <v>1447</v>
      </c>
      <c r="F2073" t="s">
        <v>1972</v>
      </c>
      <c r="G2073" t="s">
        <v>1748</v>
      </c>
      <c r="H2073" t="s">
        <v>2279</v>
      </c>
      <c r="I2073">
        <v>11</v>
      </c>
      <c r="J2073" t="s">
        <v>2279</v>
      </c>
      <c r="K2073" t="s">
        <v>2279</v>
      </c>
      <c r="L2073" t="s">
        <v>2279</v>
      </c>
      <c r="M2073" t="s">
        <v>2279</v>
      </c>
      <c r="N2073" t="s">
        <v>2279</v>
      </c>
      <c r="O2073" s="190" t="str">
        <f>"["&amp;$C2073&amp;"]["&amp;$D2073&amp;"]["&amp;$F2073&amp;"]"</f>
        <v>[S08_ActivityDataIssuesDetail][29][NumberOfIssues]</v>
      </c>
    </row>
    <row r="2074" spans="1:15" x14ac:dyDescent="0.3">
      <c r="A2074" t="s">
        <v>2277</v>
      </c>
      <c r="B2074" t="s">
        <v>2096</v>
      </c>
      <c r="C2074" t="s">
        <v>2097</v>
      </c>
      <c r="D2074">
        <v>30</v>
      </c>
      <c r="E2074" t="s">
        <v>1447</v>
      </c>
      <c r="F2074" t="s">
        <v>1972</v>
      </c>
      <c r="G2074" t="s">
        <v>1748</v>
      </c>
      <c r="H2074" t="s">
        <v>2279</v>
      </c>
      <c r="I2074">
        <v>13</v>
      </c>
      <c r="J2074" t="s">
        <v>2279</v>
      </c>
      <c r="K2074" t="s">
        <v>2279</v>
      </c>
      <c r="L2074" t="s">
        <v>2279</v>
      </c>
      <c r="M2074" t="s">
        <v>2279</v>
      </c>
      <c r="N2074" t="s">
        <v>2279</v>
      </c>
      <c r="O2074" s="190" t="str">
        <f>"["&amp;$C2074&amp;"]["&amp;$D2074&amp;"]["&amp;$F2074&amp;"]"</f>
        <v>[S08_ActivityDataIssuesDetail][30][NumberOfIssues]</v>
      </c>
    </row>
    <row r="2075" spans="1:15" x14ac:dyDescent="0.3">
      <c r="A2075" t="s">
        <v>2277</v>
      </c>
      <c r="B2075" t="s">
        <v>2096</v>
      </c>
      <c r="C2075" t="s">
        <v>2097</v>
      </c>
      <c r="D2075">
        <v>31</v>
      </c>
      <c r="E2075" t="s">
        <v>1447</v>
      </c>
      <c r="F2075" t="s">
        <v>1972</v>
      </c>
      <c r="G2075" t="s">
        <v>1748</v>
      </c>
      <c r="H2075" t="s">
        <v>2279</v>
      </c>
      <c r="I2075">
        <v>3</v>
      </c>
      <c r="J2075" t="s">
        <v>2279</v>
      </c>
      <c r="K2075" t="s">
        <v>2279</v>
      </c>
      <c r="L2075" t="s">
        <v>2279</v>
      </c>
      <c r="M2075" t="s">
        <v>2279</v>
      </c>
      <c r="N2075" t="s">
        <v>2279</v>
      </c>
      <c r="O2075" s="190" t="str">
        <f>"["&amp;$C2075&amp;"]["&amp;$D2075&amp;"]["&amp;$F2075&amp;"]"</f>
        <v>[S08_ActivityDataIssuesDetail][31][NumberOfIssues]</v>
      </c>
    </row>
    <row r="2076" spans="1:15" x14ac:dyDescent="0.3">
      <c r="A2076" t="s">
        <v>2277</v>
      </c>
      <c r="B2076" t="s">
        <v>2096</v>
      </c>
      <c r="C2076" t="s">
        <v>2097</v>
      </c>
      <c r="D2076">
        <v>32</v>
      </c>
      <c r="E2076" t="s">
        <v>1447</v>
      </c>
      <c r="F2076" t="s">
        <v>1972</v>
      </c>
      <c r="G2076" t="s">
        <v>1748</v>
      </c>
      <c r="H2076" t="s">
        <v>2279</v>
      </c>
      <c r="I2076">
        <v>9</v>
      </c>
      <c r="J2076" t="s">
        <v>2279</v>
      </c>
      <c r="K2076" t="s">
        <v>2279</v>
      </c>
      <c r="L2076" t="s">
        <v>2279</v>
      </c>
      <c r="M2076" t="s">
        <v>2279</v>
      </c>
      <c r="N2076" t="s">
        <v>2279</v>
      </c>
      <c r="O2076" s="190" t="str">
        <f>"["&amp;$C2076&amp;"]["&amp;$D2076&amp;"]["&amp;$F2076&amp;"]"</f>
        <v>[S08_ActivityDataIssuesDetail][32][NumberOfIssues]</v>
      </c>
    </row>
    <row r="2077" spans="1:15" x14ac:dyDescent="0.3">
      <c r="A2077" t="s">
        <v>2277</v>
      </c>
      <c r="B2077" t="s">
        <v>2096</v>
      </c>
      <c r="C2077" t="s">
        <v>2097</v>
      </c>
      <c r="D2077">
        <v>33</v>
      </c>
      <c r="E2077" t="s">
        <v>1447</v>
      </c>
      <c r="F2077" t="s">
        <v>1972</v>
      </c>
      <c r="G2077" t="s">
        <v>1748</v>
      </c>
      <c r="H2077" t="s">
        <v>2279</v>
      </c>
      <c r="I2077">
        <v>1</v>
      </c>
      <c r="J2077" t="s">
        <v>2279</v>
      </c>
      <c r="K2077" t="s">
        <v>2279</v>
      </c>
      <c r="L2077" t="s">
        <v>2279</v>
      </c>
      <c r="M2077" t="s">
        <v>2279</v>
      </c>
      <c r="N2077" t="s">
        <v>2279</v>
      </c>
      <c r="O2077" s="190" t="str">
        <f>"["&amp;$C2077&amp;"]["&amp;$D2077&amp;"]["&amp;$F2077&amp;"]"</f>
        <v>[S08_ActivityDataIssuesDetail][33][NumberOfIssues]</v>
      </c>
    </row>
    <row r="2078" spans="1:15" x14ac:dyDescent="0.3">
      <c r="A2078" t="s">
        <v>2277</v>
      </c>
      <c r="B2078" t="s">
        <v>2096</v>
      </c>
      <c r="C2078" t="s">
        <v>2097</v>
      </c>
      <c r="D2078">
        <v>34</v>
      </c>
      <c r="E2078" t="s">
        <v>1447</v>
      </c>
      <c r="F2078" t="s">
        <v>1972</v>
      </c>
      <c r="G2078" t="s">
        <v>1748</v>
      </c>
      <c r="H2078" t="s">
        <v>2279</v>
      </c>
      <c r="I2078">
        <v>19</v>
      </c>
      <c r="J2078" t="s">
        <v>2279</v>
      </c>
      <c r="K2078" t="s">
        <v>2279</v>
      </c>
      <c r="L2078" t="s">
        <v>2279</v>
      </c>
      <c r="M2078" t="s">
        <v>2279</v>
      </c>
      <c r="N2078" t="s">
        <v>2279</v>
      </c>
      <c r="O2078" s="190" t="str">
        <f>"["&amp;$C2078&amp;"]["&amp;$D2078&amp;"]["&amp;$F2078&amp;"]"</f>
        <v>[S08_ActivityDataIssuesDetail][34][NumberOfIssues]</v>
      </c>
    </row>
    <row r="2079" spans="1:15" x14ac:dyDescent="0.3">
      <c r="A2079" t="s">
        <v>2277</v>
      </c>
      <c r="B2079" t="s">
        <v>2096</v>
      </c>
      <c r="C2079" t="s">
        <v>2097</v>
      </c>
      <c r="D2079">
        <v>35</v>
      </c>
      <c r="E2079" t="s">
        <v>1447</v>
      </c>
      <c r="F2079" t="s">
        <v>1972</v>
      </c>
      <c r="G2079" t="s">
        <v>1748</v>
      </c>
      <c r="H2079" t="s">
        <v>2279</v>
      </c>
      <c r="I2079">
        <v>1</v>
      </c>
      <c r="J2079" t="s">
        <v>2279</v>
      </c>
      <c r="K2079" t="s">
        <v>2279</v>
      </c>
      <c r="L2079" t="s">
        <v>2279</v>
      </c>
      <c r="M2079" t="s">
        <v>2279</v>
      </c>
      <c r="N2079" t="s">
        <v>2279</v>
      </c>
      <c r="O2079" s="190" t="str">
        <f>"["&amp;$C2079&amp;"]["&amp;$D2079&amp;"]["&amp;$F2079&amp;"]"</f>
        <v>[S08_ActivityDataIssuesDetail][35][NumberOfIssues]</v>
      </c>
    </row>
    <row r="2080" spans="1:15" x14ac:dyDescent="0.3">
      <c r="A2080" t="s">
        <v>2277</v>
      </c>
      <c r="B2080" t="s">
        <v>2096</v>
      </c>
      <c r="C2080" t="s">
        <v>2097</v>
      </c>
      <c r="D2080">
        <v>36</v>
      </c>
      <c r="E2080" t="s">
        <v>1447</v>
      </c>
      <c r="F2080" t="s">
        <v>1972</v>
      </c>
      <c r="G2080" t="s">
        <v>1748</v>
      </c>
      <c r="H2080" t="s">
        <v>2279</v>
      </c>
      <c r="I2080">
        <v>3</v>
      </c>
      <c r="J2080" t="s">
        <v>2279</v>
      </c>
      <c r="K2080" t="s">
        <v>2279</v>
      </c>
      <c r="L2080" t="s">
        <v>2279</v>
      </c>
      <c r="M2080" t="s">
        <v>2279</v>
      </c>
      <c r="N2080" t="s">
        <v>2279</v>
      </c>
      <c r="O2080" s="190" t="str">
        <f>"["&amp;$C2080&amp;"]["&amp;$D2080&amp;"]["&amp;$F2080&amp;"]"</f>
        <v>[S08_ActivityDataIssuesDetail][36][NumberOfIssues]</v>
      </c>
    </row>
    <row r="2081" spans="1:15" x14ac:dyDescent="0.3">
      <c r="A2081" t="s">
        <v>2277</v>
      </c>
      <c r="B2081" t="s">
        <v>2096</v>
      </c>
      <c r="C2081" t="s">
        <v>2097</v>
      </c>
      <c r="D2081">
        <v>37</v>
      </c>
      <c r="E2081" t="s">
        <v>1447</v>
      </c>
      <c r="F2081" t="s">
        <v>1972</v>
      </c>
      <c r="G2081" t="s">
        <v>1748</v>
      </c>
      <c r="H2081" t="s">
        <v>2279</v>
      </c>
      <c r="I2081">
        <v>1</v>
      </c>
      <c r="J2081" t="s">
        <v>2279</v>
      </c>
      <c r="K2081" t="s">
        <v>2279</v>
      </c>
      <c r="L2081" t="s">
        <v>2279</v>
      </c>
      <c r="M2081" t="s">
        <v>2279</v>
      </c>
      <c r="N2081" t="s">
        <v>2279</v>
      </c>
      <c r="O2081" s="190" t="str">
        <f>"["&amp;$C2081&amp;"]["&amp;$D2081&amp;"]["&amp;$F2081&amp;"]"</f>
        <v>[S08_ActivityDataIssuesDetail][37][NumberOfIssues]</v>
      </c>
    </row>
    <row r="2082" spans="1:15" x14ac:dyDescent="0.3">
      <c r="A2082" t="s">
        <v>2277</v>
      </c>
      <c r="B2082" t="s">
        <v>2096</v>
      </c>
      <c r="C2082" t="s">
        <v>2097</v>
      </c>
      <c r="D2082">
        <v>38</v>
      </c>
      <c r="E2082" t="s">
        <v>1447</v>
      </c>
      <c r="F2082" t="s">
        <v>1972</v>
      </c>
      <c r="G2082" t="s">
        <v>1748</v>
      </c>
      <c r="H2082" t="s">
        <v>2279</v>
      </c>
      <c r="I2082">
        <v>1</v>
      </c>
      <c r="J2082" t="s">
        <v>2279</v>
      </c>
      <c r="K2082" t="s">
        <v>2279</v>
      </c>
      <c r="L2082" t="s">
        <v>2279</v>
      </c>
      <c r="M2082" t="s">
        <v>2279</v>
      </c>
      <c r="N2082" t="s">
        <v>2279</v>
      </c>
      <c r="O2082" s="190" t="str">
        <f>"["&amp;$C2082&amp;"]["&amp;$D2082&amp;"]["&amp;$F2082&amp;"]"</f>
        <v>[S08_ActivityDataIssuesDetail][38][NumberOfIssues]</v>
      </c>
    </row>
    <row r="2083" spans="1:15" x14ac:dyDescent="0.3">
      <c r="A2083" t="s">
        <v>2277</v>
      </c>
      <c r="B2083" t="s">
        <v>2096</v>
      </c>
      <c r="C2083" t="s">
        <v>2097</v>
      </c>
      <c r="D2083">
        <v>39</v>
      </c>
      <c r="E2083" t="s">
        <v>1447</v>
      </c>
      <c r="F2083" t="s">
        <v>1972</v>
      </c>
      <c r="G2083" t="s">
        <v>1748</v>
      </c>
      <c r="H2083" t="s">
        <v>2279</v>
      </c>
      <c r="I2083">
        <v>17</v>
      </c>
      <c r="J2083" t="s">
        <v>2279</v>
      </c>
      <c r="K2083" t="s">
        <v>2279</v>
      </c>
      <c r="L2083" t="s">
        <v>2279</v>
      </c>
      <c r="M2083" t="s">
        <v>2279</v>
      </c>
      <c r="N2083" t="s">
        <v>2279</v>
      </c>
      <c r="O2083" s="190" t="str">
        <f>"["&amp;$C2083&amp;"]["&amp;$D2083&amp;"]["&amp;$F2083&amp;"]"</f>
        <v>[S08_ActivityDataIssuesDetail][39][NumberOfIssues]</v>
      </c>
    </row>
    <row r="2084" spans="1:15" x14ac:dyDescent="0.3">
      <c r="A2084" t="s">
        <v>2277</v>
      </c>
      <c r="B2084" t="s">
        <v>2096</v>
      </c>
      <c r="C2084" t="s">
        <v>2097</v>
      </c>
      <c r="D2084">
        <v>40</v>
      </c>
      <c r="E2084" t="s">
        <v>1447</v>
      </c>
      <c r="F2084" t="s">
        <v>1972</v>
      </c>
      <c r="G2084" t="s">
        <v>1748</v>
      </c>
      <c r="H2084" t="s">
        <v>2279</v>
      </c>
      <c r="I2084">
        <v>240</v>
      </c>
      <c r="J2084" t="s">
        <v>2279</v>
      </c>
      <c r="K2084" t="s">
        <v>2279</v>
      </c>
      <c r="L2084" t="s">
        <v>2279</v>
      </c>
      <c r="M2084" t="s">
        <v>2279</v>
      </c>
      <c r="N2084" t="s">
        <v>2279</v>
      </c>
      <c r="O2084" s="190" t="str">
        <f>"["&amp;$C2084&amp;"]["&amp;$D2084&amp;"]["&amp;$F2084&amp;"]"</f>
        <v>[S08_ActivityDataIssuesDetail][40][NumberOfIssues]</v>
      </c>
    </row>
    <row r="2085" spans="1:15" x14ac:dyDescent="0.3">
      <c r="A2085" t="s">
        <v>2277</v>
      </c>
      <c r="B2085" t="s">
        <v>2096</v>
      </c>
      <c r="C2085" t="s">
        <v>2097</v>
      </c>
      <c r="D2085">
        <v>41</v>
      </c>
      <c r="E2085" t="s">
        <v>1447</v>
      </c>
      <c r="F2085" t="s">
        <v>1972</v>
      </c>
      <c r="G2085" t="s">
        <v>1748</v>
      </c>
      <c r="H2085" t="s">
        <v>2279</v>
      </c>
      <c r="I2085">
        <v>3</v>
      </c>
      <c r="J2085" t="s">
        <v>2279</v>
      </c>
      <c r="K2085" t="s">
        <v>2279</v>
      </c>
      <c r="L2085" t="s">
        <v>2279</v>
      </c>
      <c r="M2085" t="s">
        <v>2279</v>
      </c>
      <c r="N2085" t="s">
        <v>2279</v>
      </c>
      <c r="O2085" s="190" t="str">
        <f>"["&amp;$C2085&amp;"]["&amp;$D2085&amp;"]["&amp;$F2085&amp;"]"</f>
        <v>[S08_ActivityDataIssuesDetail][41][NumberOfIssues]</v>
      </c>
    </row>
    <row r="2086" spans="1:15" x14ac:dyDescent="0.3">
      <c r="A2086" t="s">
        <v>2277</v>
      </c>
      <c r="B2086" t="s">
        <v>2096</v>
      </c>
      <c r="C2086" t="s">
        <v>2097</v>
      </c>
      <c r="D2086">
        <v>42</v>
      </c>
      <c r="E2086" t="s">
        <v>1447</v>
      </c>
      <c r="F2086" t="s">
        <v>1972</v>
      </c>
      <c r="G2086" t="s">
        <v>1748</v>
      </c>
      <c r="H2086" t="s">
        <v>2279</v>
      </c>
      <c r="I2086">
        <v>10</v>
      </c>
      <c r="J2086" t="s">
        <v>2279</v>
      </c>
      <c r="K2086" t="s">
        <v>2279</v>
      </c>
      <c r="L2086" t="s">
        <v>2279</v>
      </c>
      <c r="M2086" t="s">
        <v>2279</v>
      </c>
      <c r="N2086" t="s">
        <v>2279</v>
      </c>
      <c r="O2086" s="190" t="str">
        <f>"["&amp;$C2086&amp;"]["&amp;$D2086&amp;"]["&amp;$F2086&amp;"]"</f>
        <v>[S08_ActivityDataIssuesDetail][42][NumberOfIssues]</v>
      </c>
    </row>
    <row r="2087" spans="1:15" x14ac:dyDescent="0.3">
      <c r="A2087" t="s">
        <v>2277</v>
      </c>
      <c r="B2087" t="s">
        <v>2096</v>
      </c>
      <c r="C2087" t="s">
        <v>2097</v>
      </c>
      <c r="D2087">
        <v>43</v>
      </c>
      <c r="E2087" t="s">
        <v>1447</v>
      </c>
      <c r="F2087" t="s">
        <v>1972</v>
      </c>
      <c r="G2087" t="s">
        <v>1748</v>
      </c>
      <c r="H2087" t="s">
        <v>2279</v>
      </c>
      <c r="I2087">
        <v>26</v>
      </c>
      <c r="J2087" t="s">
        <v>2279</v>
      </c>
      <c r="K2087" t="s">
        <v>2279</v>
      </c>
      <c r="L2087" t="s">
        <v>2279</v>
      </c>
      <c r="M2087" t="s">
        <v>2279</v>
      </c>
      <c r="N2087" t="s">
        <v>2279</v>
      </c>
      <c r="O2087" s="190" t="str">
        <f>"["&amp;$C2087&amp;"]["&amp;$D2087&amp;"]["&amp;$F2087&amp;"]"</f>
        <v>[S08_ActivityDataIssuesDetail][43][NumberOfIssues]</v>
      </c>
    </row>
    <row r="2088" spans="1:15" x14ac:dyDescent="0.3">
      <c r="A2088" t="s">
        <v>2277</v>
      </c>
      <c r="B2088" t="s">
        <v>2096</v>
      </c>
      <c r="C2088" t="s">
        <v>2097</v>
      </c>
      <c r="D2088">
        <v>44</v>
      </c>
      <c r="E2088" t="s">
        <v>1447</v>
      </c>
      <c r="F2088" t="s">
        <v>1972</v>
      </c>
      <c r="G2088" t="s">
        <v>1748</v>
      </c>
      <c r="H2088" t="s">
        <v>2279</v>
      </c>
      <c r="I2088">
        <v>30</v>
      </c>
      <c r="J2088" t="s">
        <v>2279</v>
      </c>
      <c r="K2088" t="s">
        <v>2279</v>
      </c>
      <c r="L2088" t="s">
        <v>2279</v>
      </c>
      <c r="M2088" t="s">
        <v>2279</v>
      </c>
      <c r="N2088" t="s">
        <v>2279</v>
      </c>
      <c r="O2088" s="190" t="str">
        <f>"["&amp;$C2088&amp;"]["&amp;$D2088&amp;"]["&amp;$F2088&amp;"]"</f>
        <v>[S08_ActivityDataIssuesDetail][44][NumberOfIssues]</v>
      </c>
    </row>
    <row r="2089" spans="1:15" x14ac:dyDescent="0.3">
      <c r="A2089" t="s">
        <v>2277</v>
      </c>
      <c r="B2089" t="s">
        <v>2096</v>
      </c>
      <c r="C2089" t="s">
        <v>2097</v>
      </c>
      <c r="D2089">
        <v>45</v>
      </c>
      <c r="E2089" t="s">
        <v>1447</v>
      </c>
      <c r="F2089" t="s">
        <v>1972</v>
      </c>
      <c r="G2089" t="s">
        <v>1748</v>
      </c>
      <c r="H2089" t="s">
        <v>2279</v>
      </c>
      <c r="I2089">
        <v>8</v>
      </c>
      <c r="J2089" t="s">
        <v>2279</v>
      </c>
      <c r="K2089" t="s">
        <v>2279</v>
      </c>
      <c r="L2089" t="s">
        <v>2279</v>
      </c>
      <c r="M2089" t="s">
        <v>2279</v>
      </c>
      <c r="N2089" t="s">
        <v>2279</v>
      </c>
      <c r="O2089" s="190" t="str">
        <f>"["&amp;$C2089&amp;"]["&amp;$D2089&amp;"]["&amp;$F2089&amp;"]"</f>
        <v>[S08_ActivityDataIssuesDetail][45][NumberOfIssues]</v>
      </c>
    </row>
    <row r="2090" spans="1:15" x14ac:dyDescent="0.3">
      <c r="A2090" t="s">
        <v>2277</v>
      </c>
      <c r="B2090" t="s">
        <v>2096</v>
      </c>
      <c r="C2090" t="s">
        <v>2097</v>
      </c>
      <c r="D2090">
        <v>46</v>
      </c>
      <c r="E2090" t="s">
        <v>1447</v>
      </c>
      <c r="F2090" t="s">
        <v>1972</v>
      </c>
      <c r="G2090" t="s">
        <v>1748</v>
      </c>
      <c r="H2090" t="s">
        <v>2279</v>
      </c>
      <c r="I2090">
        <v>1</v>
      </c>
      <c r="J2090" t="s">
        <v>2279</v>
      </c>
      <c r="K2090" t="s">
        <v>2279</v>
      </c>
      <c r="L2090" t="s">
        <v>2279</v>
      </c>
      <c r="M2090" t="s">
        <v>2279</v>
      </c>
      <c r="N2090" t="s">
        <v>2279</v>
      </c>
      <c r="O2090" s="190" t="str">
        <f>"["&amp;$C2090&amp;"]["&amp;$D2090&amp;"]["&amp;$F2090&amp;"]"</f>
        <v>[S08_ActivityDataIssuesDetail][46][NumberOfIssues]</v>
      </c>
    </row>
    <row r="2091" spans="1:15" x14ac:dyDescent="0.3">
      <c r="A2091" t="s">
        <v>2277</v>
      </c>
      <c r="B2091" t="s">
        <v>2096</v>
      </c>
      <c r="C2091" t="s">
        <v>2097</v>
      </c>
      <c r="D2091">
        <v>47</v>
      </c>
      <c r="E2091" t="s">
        <v>1447</v>
      </c>
      <c r="F2091" t="s">
        <v>1972</v>
      </c>
      <c r="G2091" t="s">
        <v>1748</v>
      </c>
      <c r="H2091" t="s">
        <v>2279</v>
      </c>
      <c r="I2091">
        <v>14</v>
      </c>
      <c r="J2091" t="s">
        <v>2279</v>
      </c>
      <c r="K2091" t="s">
        <v>2279</v>
      </c>
      <c r="L2091" t="s">
        <v>2279</v>
      </c>
      <c r="M2091" t="s">
        <v>2279</v>
      </c>
      <c r="N2091" t="s">
        <v>2279</v>
      </c>
      <c r="O2091" s="190" t="str">
        <f>"["&amp;$C2091&amp;"]["&amp;$D2091&amp;"]["&amp;$F2091&amp;"]"</f>
        <v>[S08_ActivityDataIssuesDetail][47][NumberOfIssues]</v>
      </c>
    </row>
    <row r="2092" spans="1:15" x14ac:dyDescent="0.3">
      <c r="A2092" t="s">
        <v>2277</v>
      </c>
      <c r="B2092" t="s">
        <v>2096</v>
      </c>
      <c r="C2092" t="s">
        <v>2097</v>
      </c>
      <c r="D2092">
        <v>48</v>
      </c>
      <c r="E2092" t="s">
        <v>1447</v>
      </c>
      <c r="F2092" t="s">
        <v>1972</v>
      </c>
      <c r="G2092" t="s">
        <v>1748</v>
      </c>
      <c r="H2092" t="s">
        <v>2279</v>
      </c>
      <c r="I2092">
        <v>19</v>
      </c>
      <c r="J2092" t="s">
        <v>2279</v>
      </c>
      <c r="K2092" t="s">
        <v>2279</v>
      </c>
      <c r="L2092" t="s">
        <v>2279</v>
      </c>
      <c r="M2092" t="s">
        <v>2279</v>
      </c>
      <c r="N2092" t="s">
        <v>2279</v>
      </c>
      <c r="O2092" s="190" t="str">
        <f>"["&amp;$C2092&amp;"]["&amp;$D2092&amp;"]["&amp;$F2092&amp;"]"</f>
        <v>[S08_ActivityDataIssuesDetail][48][NumberOfIssues]</v>
      </c>
    </row>
    <row r="2093" spans="1:15" x14ac:dyDescent="0.3">
      <c r="A2093" t="s">
        <v>2277</v>
      </c>
      <c r="B2093" t="s">
        <v>2096</v>
      </c>
      <c r="C2093" t="s">
        <v>2097</v>
      </c>
      <c r="D2093">
        <v>49</v>
      </c>
      <c r="E2093" t="s">
        <v>1447</v>
      </c>
      <c r="F2093" t="s">
        <v>1972</v>
      </c>
      <c r="G2093" t="s">
        <v>1748</v>
      </c>
      <c r="H2093" t="s">
        <v>2279</v>
      </c>
      <c r="I2093">
        <v>1</v>
      </c>
      <c r="J2093" t="s">
        <v>2279</v>
      </c>
      <c r="K2093" t="s">
        <v>2279</v>
      </c>
      <c r="L2093" t="s">
        <v>2279</v>
      </c>
      <c r="M2093" t="s">
        <v>2279</v>
      </c>
      <c r="N2093" t="s">
        <v>2279</v>
      </c>
      <c r="O2093" s="190" t="str">
        <f>"["&amp;$C2093&amp;"]["&amp;$D2093&amp;"]["&amp;$F2093&amp;"]"</f>
        <v>[S08_ActivityDataIssuesDetail][49][NumberOfIssues]</v>
      </c>
    </row>
    <row r="2094" spans="1:15" x14ac:dyDescent="0.3">
      <c r="A2094" t="s">
        <v>2277</v>
      </c>
      <c r="B2094" t="s">
        <v>2096</v>
      </c>
      <c r="C2094" t="s">
        <v>2097</v>
      </c>
      <c r="D2094">
        <v>50</v>
      </c>
      <c r="E2094" t="s">
        <v>1447</v>
      </c>
      <c r="F2094" t="s">
        <v>1972</v>
      </c>
      <c r="G2094" t="s">
        <v>1748</v>
      </c>
      <c r="H2094" t="s">
        <v>2279</v>
      </c>
      <c r="I2094">
        <v>6</v>
      </c>
      <c r="J2094" t="s">
        <v>2279</v>
      </c>
      <c r="K2094" t="s">
        <v>2279</v>
      </c>
      <c r="L2094" t="s">
        <v>2279</v>
      </c>
      <c r="M2094" t="s">
        <v>2279</v>
      </c>
      <c r="N2094" t="s">
        <v>2279</v>
      </c>
      <c r="O2094" s="190" t="str">
        <f>"["&amp;$C2094&amp;"]["&amp;$D2094&amp;"]["&amp;$F2094&amp;"]"</f>
        <v>[S08_ActivityDataIssuesDetail][50][NumberOfIssues]</v>
      </c>
    </row>
    <row r="2095" spans="1:15" x14ac:dyDescent="0.3">
      <c r="A2095" t="s">
        <v>2277</v>
      </c>
      <c r="B2095" t="s">
        <v>2096</v>
      </c>
      <c r="C2095" t="s">
        <v>2097</v>
      </c>
      <c r="D2095">
        <v>51</v>
      </c>
      <c r="E2095" t="s">
        <v>1447</v>
      </c>
      <c r="F2095" t="s">
        <v>1972</v>
      </c>
      <c r="G2095" t="s">
        <v>1748</v>
      </c>
      <c r="H2095" t="s">
        <v>2279</v>
      </c>
      <c r="I2095">
        <v>7</v>
      </c>
      <c r="J2095" t="s">
        <v>2279</v>
      </c>
      <c r="K2095" t="s">
        <v>2279</v>
      </c>
      <c r="L2095" t="s">
        <v>2279</v>
      </c>
      <c r="M2095" t="s">
        <v>2279</v>
      </c>
      <c r="N2095" t="s">
        <v>2279</v>
      </c>
      <c r="O2095" s="190" t="str">
        <f>"["&amp;$C2095&amp;"]["&amp;$D2095&amp;"]["&amp;$F2095&amp;"]"</f>
        <v>[S08_ActivityDataIssuesDetail][51][NumberOfIssues]</v>
      </c>
    </row>
    <row r="2096" spans="1:15" x14ac:dyDescent="0.3">
      <c r="A2096" t="s">
        <v>2277</v>
      </c>
      <c r="B2096" t="s">
        <v>2096</v>
      </c>
      <c r="C2096" t="s">
        <v>2097</v>
      </c>
      <c r="D2096">
        <v>52</v>
      </c>
      <c r="E2096" t="s">
        <v>1447</v>
      </c>
      <c r="F2096" t="s">
        <v>1972</v>
      </c>
      <c r="G2096" t="s">
        <v>1748</v>
      </c>
      <c r="H2096" t="s">
        <v>2279</v>
      </c>
      <c r="I2096">
        <v>1</v>
      </c>
      <c r="J2096" t="s">
        <v>2279</v>
      </c>
      <c r="K2096" t="s">
        <v>2279</v>
      </c>
      <c r="L2096" t="s">
        <v>2279</v>
      </c>
      <c r="M2096" t="s">
        <v>2279</v>
      </c>
      <c r="N2096" t="s">
        <v>2279</v>
      </c>
      <c r="O2096" s="190" t="str">
        <f>"["&amp;$C2096&amp;"]["&amp;$D2096&amp;"]["&amp;$F2096&amp;"]"</f>
        <v>[S08_ActivityDataIssuesDetail][52][NumberOfIssues]</v>
      </c>
    </row>
    <row r="2097" spans="1:15" x14ac:dyDescent="0.3">
      <c r="A2097" t="s">
        <v>2277</v>
      </c>
      <c r="B2097" t="s">
        <v>2096</v>
      </c>
      <c r="C2097" t="s">
        <v>2097</v>
      </c>
      <c r="D2097">
        <v>53</v>
      </c>
      <c r="E2097" t="s">
        <v>1447</v>
      </c>
      <c r="F2097" t="s">
        <v>1972</v>
      </c>
      <c r="G2097" t="s">
        <v>1748</v>
      </c>
      <c r="H2097" t="s">
        <v>2279</v>
      </c>
      <c r="I2097">
        <v>2</v>
      </c>
      <c r="J2097" t="s">
        <v>2279</v>
      </c>
      <c r="K2097" t="s">
        <v>2279</v>
      </c>
      <c r="L2097" t="s">
        <v>2279</v>
      </c>
      <c r="M2097" t="s">
        <v>2279</v>
      </c>
      <c r="N2097" t="s">
        <v>2279</v>
      </c>
      <c r="O2097" s="190" t="str">
        <f>"["&amp;$C2097&amp;"]["&amp;$D2097&amp;"]["&amp;$F2097&amp;"]"</f>
        <v>[S08_ActivityDataIssuesDetail][53][NumberOfIssues]</v>
      </c>
    </row>
    <row r="2098" spans="1:15" x14ac:dyDescent="0.3">
      <c r="A2098" t="s">
        <v>2277</v>
      </c>
      <c r="B2098" t="s">
        <v>2096</v>
      </c>
      <c r="C2098" t="s">
        <v>2097</v>
      </c>
      <c r="D2098">
        <v>54</v>
      </c>
      <c r="E2098" t="s">
        <v>1447</v>
      </c>
      <c r="F2098" t="s">
        <v>1972</v>
      </c>
      <c r="G2098" t="s">
        <v>1748</v>
      </c>
      <c r="H2098" t="s">
        <v>2279</v>
      </c>
      <c r="I2098">
        <v>2</v>
      </c>
      <c r="J2098" t="s">
        <v>2279</v>
      </c>
      <c r="K2098" t="s">
        <v>2279</v>
      </c>
      <c r="L2098" t="s">
        <v>2279</v>
      </c>
      <c r="M2098" t="s">
        <v>2279</v>
      </c>
      <c r="N2098" t="s">
        <v>2279</v>
      </c>
      <c r="O2098" s="190" t="str">
        <f>"["&amp;$C2098&amp;"]["&amp;$D2098&amp;"]["&amp;$F2098&amp;"]"</f>
        <v>[S08_ActivityDataIssuesDetail][54][NumberOfIssues]</v>
      </c>
    </row>
    <row r="2099" spans="1:15" x14ac:dyDescent="0.3">
      <c r="A2099" t="s">
        <v>2277</v>
      </c>
      <c r="B2099" t="s">
        <v>2096</v>
      </c>
      <c r="C2099" t="s">
        <v>2097</v>
      </c>
      <c r="D2099">
        <v>55</v>
      </c>
      <c r="E2099" t="s">
        <v>1447</v>
      </c>
      <c r="F2099" t="s">
        <v>1972</v>
      </c>
      <c r="G2099" t="s">
        <v>1748</v>
      </c>
      <c r="H2099" t="s">
        <v>2279</v>
      </c>
      <c r="I2099">
        <v>22</v>
      </c>
      <c r="J2099" t="s">
        <v>2279</v>
      </c>
      <c r="K2099" t="s">
        <v>2279</v>
      </c>
      <c r="L2099" t="s">
        <v>2279</v>
      </c>
      <c r="M2099" t="s">
        <v>2279</v>
      </c>
      <c r="N2099" t="s">
        <v>2279</v>
      </c>
      <c r="O2099" s="190" t="str">
        <f>"["&amp;$C2099&amp;"]["&amp;$D2099&amp;"]["&amp;$F2099&amp;"]"</f>
        <v>[S08_ActivityDataIssuesDetail][55][NumberOfIssues]</v>
      </c>
    </row>
    <row r="2100" spans="1:15" x14ac:dyDescent="0.3">
      <c r="A2100" t="s">
        <v>2277</v>
      </c>
      <c r="B2100" t="s">
        <v>2096</v>
      </c>
      <c r="C2100" t="s">
        <v>2097</v>
      </c>
      <c r="D2100">
        <v>56</v>
      </c>
      <c r="E2100" t="s">
        <v>1447</v>
      </c>
      <c r="F2100" t="s">
        <v>1972</v>
      </c>
      <c r="G2100" t="s">
        <v>1748</v>
      </c>
      <c r="H2100" t="s">
        <v>2279</v>
      </c>
      <c r="I2100">
        <v>1</v>
      </c>
      <c r="J2100" t="s">
        <v>2279</v>
      </c>
      <c r="K2100" t="s">
        <v>2279</v>
      </c>
      <c r="L2100" t="s">
        <v>2279</v>
      </c>
      <c r="M2100" t="s">
        <v>2279</v>
      </c>
      <c r="N2100" t="s">
        <v>2279</v>
      </c>
      <c r="O2100" s="190" t="str">
        <f>"["&amp;$C2100&amp;"]["&amp;$D2100&amp;"]["&amp;$F2100&amp;"]"</f>
        <v>[S08_ActivityDataIssuesDetail][56][NumberOfIssues]</v>
      </c>
    </row>
    <row r="2101" spans="1:15" x14ac:dyDescent="0.3">
      <c r="A2101" t="s">
        <v>2277</v>
      </c>
      <c r="B2101" t="s">
        <v>2096</v>
      </c>
      <c r="C2101" t="s">
        <v>2097</v>
      </c>
      <c r="D2101">
        <v>57</v>
      </c>
      <c r="E2101" t="s">
        <v>1447</v>
      </c>
      <c r="F2101" t="s">
        <v>1972</v>
      </c>
      <c r="G2101" t="s">
        <v>1748</v>
      </c>
      <c r="H2101" t="s">
        <v>2279</v>
      </c>
      <c r="I2101">
        <v>283</v>
      </c>
      <c r="J2101" t="s">
        <v>2279</v>
      </c>
      <c r="K2101" t="s">
        <v>2279</v>
      </c>
      <c r="L2101" t="s">
        <v>2279</v>
      </c>
      <c r="M2101" t="s">
        <v>2279</v>
      </c>
      <c r="N2101" t="s">
        <v>2279</v>
      </c>
      <c r="O2101" s="190" t="str">
        <f>"["&amp;$C2101&amp;"]["&amp;$D2101&amp;"]["&amp;$F2101&amp;"]"</f>
        <v>[S08_ActivityDataIssuesDetail][57][NumberOfIssues]</v>
      </c>
    </row>
    <row r="2102" spans="1:15" x14ac:dyDescent="0.3">
      <c r="A2102" t="s">
        <v>2277</v>
      </c>
      <c r="B2102" t="s">
        <v>2096</v>
      </c>
      <c r="C2102" t="s">
        <v>2097</v>
      </c>
      <c r="D2102">
        <v>58</v>
      </c>
      <c r="E2102" t="s">
        <v>1447</v>
      </c>
      <c r="F2102" t="s">
        <v>1972</v>
      </c>
      <c r="G2102" t="s">
        <v>1748</v>
      </c>
      <c r="H2102" t="s">
        <v>2279</v>
      </c>
      <c r="I2102">
        <v>3</v>
      </c>
      <c r="J2102" t="s">
        <v>2279</v>
      </c>
      <c r="K2102" t="s">
        <v>2279</v>
      </c>
      <c r="L2102" t="s">
        <v>2279</v>
      </c>
      <c r="M2102" t="s">
        <v>2279</v>
      </c>
      <c r="N2102" t="s">
        <v>2279</v>
      </c>
      <c r="O2102" s="190" t="str">
        <f>"["&amp;$C2102&amp;"]["&amp;$D2102&amp;"]["&amp;$F2102&amp;"]"</f>
        <v>[S08_ActivityDataIssuesDetail][58][NumberOfIssues]</v>
      </c>
    </row>
    <row r="2103" spans="1:15" x14ac:dyDescent="0.3">
      <c r="A2103" t="s">
        <v>2277</v>
      </c>
      <c r="B2103" t="s">
        <v>2096</v>
      </c>
      <c r="C2103" t="s">
        <v>2097</v>
      </c>
      <c r="D2103">
        <v>59</v>
      </c>
      <c r="E2103" t="s">
        <v>1447</v>
      </c>
      <c r="F2103" t="s">
        <v>1972</v>
      </c>
      <c r="G2103" t="s">
        <v>1748</v>
      </c>
      <c r="H2103" t="s">
        <v>2279</v>
      </c>
      <c r="I2103">
        <v>14</v>
      </c>
      <c r="J2103" t="s">
        <v>2279</v>
      </c>
      <c r="K2103" t="s">
        <v>2279</v>
      </c>
      <c r="L2103" t="s">
        <v>2279</v>
      </c>
      <c r="M2103" t="s">
        <v>2279</v>
      </c>
      <c r="N2103" t="s">
        <v>2279</v>
      </c>
      <c r="O2103" s="190" t="str">
        <f>"["&amp;$C2103&amp;"]["&amp;$D2103&amp;"]["&amp;$F2103&amp;"]"</f>
        <v>[S08_ActivityDataIssuesDetail][59][NumberOfIssues]</v>
      </c>
    </row>
    <row r="2104" spans="1:15" x14ac:dyDescent="0.3">
      <c r="A2104" t="s">
        <v>2277</v>
      </c>
      <c r="B2104" t="s">
        <v>2096</v>
      </c>
      <c r="C2104" t="s">
        <v>2097</v>
      </c>
      <c r="D2104">
        <v>60</v>
      </c>
      <c r="E2104" t="s">
        <v>1447</v>
      </c>
      <c r="F2104" t="s">
        <v>1972</v>
      </c>
      <c r="G2104" t="s">
        <v>1748</v>
      </c>
      <c r="H2104" t="s">
        <v>2279</v>
      </c>
      <c r="I2104">
        <v>24</v>
      </c>
      <c r="J2104" t="s">
        <v>2279</v>
      </c>
      <c r="K2104" t="s">
        <v>2279</v>
      </c>
      <c r="L2104" t="s">
        <v>2279</v>
      </c>
      <c r="M2104" t="s">
        <v>2279</v>
      </c>
      <c r="N2104" t="s">
        <v>2279</v>
      </c>
      <c r="O2104" s="190" t="str">
        <f>"["&amp;$C2104&amp;"]["&amp;$D2104&amp;"]["&amp;$F2104&amp;"]"</f>
        <v>[S08_ActivityDataIssuesDetail][60][NumberOfIssues]</v>
      </c>
    </row>
    <row r="2105" spans="1:15" x14ac:dyDescent="0.3">
      <c r="A2105" t="s">
        <v>2277</v>
      </c>
      <c r="B2105" t="s">
        <v>2096</v>
      </c>
      <c r="C2105" t="s">
        <v>2097</v>
      </c>
      <c r="D2105">
        <v>61</v>
      </c>
      <c r="E2105" t="s">
        <v>1447</v>
      </c>
      <c r="F2105" t="s">
        <v>1972</v>
      </c>
      <c r="G2105" t="s">
        <v>1748</v>
      </c>
      <c r="H2105" t="s">
        <v>2279</v>
      </c>
      <c r="I2105">
        <v>36</v>
      </c>
      <c r="J2105" t="s">
        <v>2279</v>
      </c>
      <c r="K2105" t="s">
        <v>2279</v>
      </c>
      <c r="L2105" t="s">
        <v>2279</v>
      </c>
      <c r="M2105" t="s">
        <v>2279</v>
      </c>
      <c r="N2105" t="s">
        <v>2279</v>
      </c>
      <c r="O2105" s="190" t="str">
        <f>"["&amp;$C2105&amp;"]["&amp;$D2105&amp;"]["&amp;$F2105&amp;"]"</f>
        <v>[S08_ActivityDataIssuesDetail][61][NumberOfIssues]</v>
      </c>
    </row>
    <row r="2106" spans="1:15" x14ac:dyDescent="0.3">
      <c r="A2106" t="s">
        <v>2277</v>
      </c>
      <c r="B2106" t="s">
        <v>2096</v>
      </c>
      <c r="C2106" t="s">
        <v>2097</v>
      </c>
      <c r="D2106">
        <v>62</v>
      </c>
      <c r="E2106" t="s">
        <v>1447</v>
      </c>
      <c r="F2106" t="s">
        <v>1972</v>
      </c>
      <c r="G2106" t="s">
        <v>1748</v>
      </c>
      <c r="H2106" t="s">
        <v>2279</v>
      </c>
      <c r="I2106">
        <v>1</v>
      </c>
      <c r="J2106" t="s">
        <v>2279</v>
      </c>
      <c r="K2106" t="s">
        <v>2279</v>
      </c>
      <c r="L2106" t="s">
        <v>2279</v>
      </c>
      <c r="M2106" t="s">
        <v>2279</v>
      </c>
      <c r="N2106" t="s">
        <v>2279</v>
      </c>
      <c r="O2106" s="190" t="str">
        <f>"["&amp;$C2106&amp;"]["&amp;$D2106&amp;"]["&amp;$F2106&amp;"]"</f>
        <v>[S08_ActivityDataIssuesDetail][62][NumberOfIssues]</v>
      </c>
    </row>
    <row r="2107" spans="1:15" x14ac:dyDescent="0.3">
      <c r="A2107" t="s">
        <v>2277</v>
      </c>
      <c r="B2107" t="s">
        <v>2096</v>
      </c>
      <c r="C2107" t="s">
        <v>2097</v>
      </c>
      <c r="D2107">
        <v>63</v>
      </c>
      <c r="E2107" t="s">
        <v>1447</v>
      </c>
      <c r="F2107" t="s">
        <v>1972</v>
      </c>
      <c r="G2107" t="s">
        <v>1748</v>
      </c>
      <c r="H2107" t="s">
        <v>2279</v>
      </c>
      <c r="I2107">
        <v>2</v>
      </c>
      <c r="J2107" t="s">
        <v>2279</v>
      </c>
      <c r="K2107" t="s">
        <v>2279</v>
      </c>
      <c r="L2107" t="s">
        <v>2279</v>
      </c>
      <c r="M2107" t="s">
        <v>2279</v>
      </c>
      <c r="N2107" t="s">
        <v>2279</v>
      </c>
      <c r="O2107" s="190" t="str">
        <f>"["&amp;$C2107&amp;"]["&amp;$D2107&amp;"]["&amp;$F2107&amp;"]"</f>
        <v>[S08_ActivityDataIssuesDetail][63][NumberOfIssues]</v>
      </c>
    </row>
    <row r="2108" spans="1:15" x14ac:dyDescent="0.3">
      <c r="A2108" t="s">
        <v>2277</v>
      </c>
      <c r="B2108" t="s">
        <v>2096</v>
      </c>
      <c r="C2108" t="s">
        <v>2097</v>
      </c>
      <c r="D2108">
        <v>64</v>
      </c>
      <c r="E2108" t="s">
        <v>1447</v>
      </c>
      <c r="F2108" t="s">
        <v>1972</v>
      </c>
      <c r="G2108" t="s">
        <v>1748</v>
      </c>
      <c r="H2108" t="s">
        <v>2279</v>
      </c>
      <c r="I2108">
        <v>10</v>
      </c>
      <c r="J2108" t="s">
        <v>2279</v>
      </c>
      <c r="K2108" t="s">
        <v>2279</v>
      </c>
      <c r="L2108" t="s">
        <v>2279</v>
      </c>
      <c r="M2108" t="s">
        <v>2279</v>
      </c>
      <c r="N2108" t="s">
        <v>2279</v>
      </c>
      <c r="O2108" s="190" t="str">
        <f>"["&amp;$C2108&amp;"]["&amp;$D2108&amp;"]["&amp;$F2108&amp;"]"</f>
        <v>[S08_ActivityDataIssuesDetail][64][NumberOfIssues]</v>
      </c>
    </row>
    <row r="2109" spans="1:15" x14ac:dyDescent="0.3">
      <c r="A2109" t="s">
        <v>2277</v>
      </c>
      <c r="B2109" t="s">
        <v>2096</v>
      </c>
      <c r="C2109" t="s">
        <v>2097</v>
      </c>
      <c r="D2109">
        <v>65</v>
      </c>
      <c r="E2109" t="s">
        <v>1447</v>
      </c>
      <c r="F2109" t="s">
        <v>1972</v>
      </c>
      <c r="G2109" t="s">
        <v>1748</v>
      </c>
      <c r="H2109" t="s">
        <v>2279</v>
      </c>
      <c r="I2109">
        <v>18</v>
      </c>
      <c r="J2109" t="s">
        <v>2279</v>
      </c>
      <c r="K2109" t="s">
        <v>2279</v>
      </c>
      <c r="L2109" t="s">
        <v>2279</v>
      </c>
      <c r="M2109" t="s">
        <v>2279</v>
      </c>
      <c r="N2109" t="s">
        <v>2279</v>
      </c>
      <c r="O2109" s="190" t="str">
        <f>"["&amp;$C2109&amp;"]["&amp;$D2109&amp;"]["&amp;$F2109&amp;"]"</f>
        <v>[S08_ActivityDataIssuesDetail][65][NumberOfIssues]</v>
      </c>
    </row>
    <row r="2110" spans="1:15" x14ac:dyDescent="0.3">
      <c r="A2110" t="s">
        <v>2277</v>
      </c>
      <c r="B2110" t="s">
        <v>2096</v>
      </c>
      <c r="C2110" t="s">
        <v>2097</v>
      </c>
      <c r="D2110">
        <v>66</v>
      </c>
      <c r="E2110" t="s">
        <v>1447</v>
      </c>
      <c r="F2110" t="s">
        <v>1972</v>
      </c>
      <c r="G2110" t="s">
        <v>1748</v>
      </c>
      <c r="H2110" t="s">
        <v>2279</v>
      </c>
      <c r="I2110">
        <v>21</v>
      </c>
      <c r="J2110" t="s">
        <v>2279</v>
      </c>
      <c r="K2110" t="s">
        <v>2279</v>
      </c>
      <c r="L2110" t="s">
        <v>2279</v>
      </c>
      <c r="M2110" t="s">
        <v>2279</v>
      </c>
      <c r="N2110" t="s">
        <v>2279</v>
      </c>
      <c r="O2110" s="190" t="str">
        <f>"["&amp;$C2110&amp;"]["&amp;$D2110&amp;"]["&amp;$F2110&amp;"]"</f>
        <v>[S08_ActivityDataIssuesDetail][66][NumberOfIssues]</v>
      </c>
    </row>
    <row r="2111" spans="1:15" x14ac:dyDescent="0.3">
      <c r="A2111" t="s">
        <v>2277</v>
      </c>
      <c r="B2111" t="s">
        <v>2096</v>
      </c>
      <c r="C2111" t="s">
        <v>2097</v>
      </c>
      <c r="D2111">
        <v>67</v>
      </c>
      <c r="E2111" t="s">
        <v>1447</v>
      </c>
      <c r="F2111" t="s">
        <v>1972</v>
      </c>
      <c r="G2111" t="s">
        <v>1748</v>
      </c>
      <c r="H2111" t="s">
        <v>2279</v>
      </c>
      <c r="I2111">
        <v>4</v>
      </c>
      <c r="J2111" t="s">
        <v>2279</v>
      </c>
      <c r="K2111" t="s">
        <v>2279</v>
      </c>
      <c r="L2111" t="s">
        <v>2279</v>
      </c>
      <c r="M2111" t="s">
        <v>2279</v>
      </c>
      <c r="N2111" t="s">
        <v>2279</v>
      </c>
      <c r="O2111" s="190" t="str">
        <f>"["&amp;$C2111&amp;"]["&amp;$D2111&amp;"]["&amp;$F2111&amp;"]"</f>
        <v>[S08_ActivityDataIssuesDetail][67][NumberOfIssues]</v>
      </c>
    </row>
    <row r="2112" spans="1:15" x14ac:dyDescent="0.3">
      <c r="A2112" t="s">
        <v>2277</v>
      </c>
      <c r="B2112" t="s">
        <v>2096</v>
      </c>
      <c r="C2112" t="s">
        <v>2097</v>
      </c>
      <c r="D2112">
        <v>68</v>
      </c>
      <c r="E2112" t="s">
        <v>1447</v>
      </c>
      <c r="F2112" t="s">
        <v>1972</v>
      </c>
      <c r="G2112" t="s">
        <v>1748</v>
      </c>
      <c r="H2112" t="s">
        <v>2279</v>
      </c>
      <c r="I2112">
        <v>17</v>
      </c>
      <c r="J2112" t="s">
        <v>2279</v>
      </c>
      <c r="K2112" t="s">
        <v>2279</v>
      </c>
      <c r="L2112" t="s">
        <v>2279</v>
      </c>
      <c r="M2112" t="s">
        <v>2279</v>
      </c>
      <c r="N2112" t="s">
        <v>2279</v>
      </c>
      <c r="O2112" s="190" t="str">
        <f>"["&amp;$C2112&amp;"]["&amp;$D2112&amp;"]["&amp;$F2112&amp;"]"</f>
        <v>[S08_ActivityDataIssuesDetail][68][NumberOfIssues]</v>
      </c>
    </row>
    <row r="2113" spans="1:15" x14ac:dyDescent="0.3">
      <c r="A2113" t="s">
        <v>2277</v>
      </c>
      <c r="B2113" t="s">
        <v>2096</v>
      </c>
      <c r="C2113" t="s">
        <v>2097</v>
      </c>
      <c r="D2113">
        <v>69</v>
      </c>
      <c r="E2113" t="s">
        <v>1447</v>
      </c>
      <c r="F2113" t="s">
        <v>1972</v>
      </c>
      <c r="G2113" t="s">
        <v>1748</v>
      </c>
      <c r="H2113" t="s">
        <v>2279</v>
      </c>
      <c r="I2113">
        <v>1</v>
      </c>
      <c r="J2113" t="s">
        <v>2279</v>
      </c>
      <c r="K2113" t="s">
        <v>2279</v>
      </c>
      <c r="L2113" t="s">
        <v>2279</v>
      </c>
      <c r="M2113" t="s">
        <v>2279</v>
      </c>
      <c r="N2113" t="s">
        <v>2279</v>
      </c>
      <c r="O2113" s="190" t="str">
        <f>"["&amp;$C2113&amp;"]["&amp;$D2113&amp;"]["&amp;$F2113&amp;"]"</f>
        <v>[S08_ActivityDataIssuesDetail][69][NumberOfIssues]</v>
      </c>
    </row>
    <row r="2114" spans="1:15" x14ac:dyDescent="0.3">
      <c r="A2114" t="s">
        <v>2277</v>
      </c>
      <c r="B2114" t="s">
        <v>2096</v>
      </c>
      <c r="C2114" t="s">
        <v>2097</v>
      </c>
      <c r="D2114">
        <v>70</v>
      </c>
      <c r="E2114" t="s">
        <v>1447</v>
      </c>
      <c r="F2114" t="s">
        <v>1972</v>
      </c>
      <c r="G2114" t="s">
        <v>1748</v>
      </c>
      <c r="H2114" t="s">
        <v>2279</v>
      </c>
      <c r="I2114">
        <v>6</v>
      </c>
      <c r="J2114" t="s">
        <v>2279</v>
      </c>
      <c r="K2114" t="s">
        <v>2279</v>
      </c>
      <c r="L2114" t="s">
        <v>2279</v>
      </c>
      <c r="M2114" t="s">
        <v>2279</v>
      </c>
      <c r="N2114" t="s">
        <v>2279</v>
      </c>
      <c r="O2114" s="190" t="str">
        <f>"["&amp;$C2114&amp;"]["&amp;$D2114&amp;"]["&amp;$F2114&amp;"]"</f>
        <v>[S08_ActivityDataIssuesDetail][70][NumberOfIssues]</v>
      </c>
    </row>
    <row r="2115" spans="1:15" x14ac:dyDescent="0.3">
      <c r="A2115" t="s">
        <v>2277</v>
      </c>
      <c r="B2115" t="s">
        <v>2096</v>
      </c>
      <c r="C2115" t="s">
        <v>2097</v>
      </c>
      <c r="D2115">
        <v>71</v>
      </c>
      <c r="E2115" t="s">
        <v>1447</v>
      </c>
      <c r="F2115" t="s">
        <v>1972</v>
      </c>
      <c r="G2115" t="s">
        <v>1748</v>
      </c>
      <c r="H2115" t="s">
        <v>2279</v>
      </c>
      <c r="I2115">
        <v>1</v>
      </c>
      <c r="J2115" t="s">
        <v>2279</v>
      </c>
      <c r="K2115" t="s">
        <v>2279</v>
      </c>
      <c r="L2115" t="s">
        <v>2279</v>
      </c>
      <c r="M2115" t="s">
        <v>2279</v>
      </c>
      <c r="N2115" t="s">
        <v>2279</v>
      </c>
      <c r="O2115" s="190" t="str">
        <f>"["&amp;$C2115&amp;"]["&amp;$D2115&amp;"]["&amp;$F2115&amp;"]"</f>
        <v>[S08_ActivityDataIssuesDetail][71][NumberOfIssues]</v>
      </c>
    </row>
    <row r="2116" spans="1:15" x14ac:dyDescent="0.3">
      <c r="A2116" t="s">
        <v>2277</v>
      </c>
      <c r="B2116" t="s">
        <v>2096</v>
      </c>
      <c r="C2116" t="s">
        <v>2097</v>
      </c>
      <c r="D2116">
        <v>72</v>
      </c>
      <c r="E2116" t="s">
        <v>1447</v>
      </c>
      <c r="F2116" t="s">
        <v>1972</v>
      </c>
      <c r="G2116" t="s">
        <v>1748</v>
      </c>
      <c r="H2116" t="s">
        <v>2279</v>
      </c>
      <c r="I2116">
        <v>2</v>
      </c>
      <c r="J2116" t="s">
        <v>2279</v>
      </c>
      <c r="K2116" t="s">
        <v>2279</v>
      </c>
      <c r="L2116" t="s">
        <v>2279</v>
      </c>
      <c r="M2116" t="s">
        <v>2279</v>
      </c>
      <c r="N2116" t="s">
        <v>2279</v>
      </c>
      <c r="O2116" s="190" t="str">
        <f>"["&amp;$C2116&amp;"]["&amp;$D2116&amp;"]["&amp;$F2116&amp;"]"</f>
        <v>[S08_ActivityDataIssuesDetail][72][NumberOfIssues]</v>
      </c>
    </row>
    <row r="2117" spans="1:15" x14ac:dyDescent="0.3">
      <c r="A2117" t="s">
        <v>2277</v>
      </c>
      <c r="B2117" t="s">
        <v>2096</v>
      </c>
      <c r="C2117" t="s">
        <v>2097</v>
      </c>
      <c r="D2117">
        <v>73</v>
      </c>
      <c r="E2117" t="s">
        <v>1447</v>
      </c>
      <c r="F2117" t="s">
        <v>1972</v>
      </c>
      <c r="G2117" t="s">
        <v>1748</v>
      </c>
      <c r="H2117" t="s">
        <v>2279</v>
      </c>
      <c r="I2117">
        <v>3</v>
      </c>
      <c r="J2117" t="s">
        <v>2279</v>
      </c>
      <c r="K2117" t="s">
        <v>2279</v>
      </c>
      <c r="L2117" t="s">
        <v>2279</v>
      </c>
      <c r="M2117" t="s">
        <v>2279</v>
      </c>
      <c r="N2117" t="s">
        <v>2279</v>
      </c>
      <c r="O2117" s="190" t="str">
        <f>"["&amp;$C2117&amp;"]["&amp;$D2117&amp;"]["&amp;$F2117&amp;"]"</f>
        <v>[S08_ActivityDataIssuesDetail][73][NumberOfIssues]</v>
      </c>
    </row>
    <row r="2118" spans="1:15" x14ac:dyDescent="0.3">
      <c r="A2118" t="s">
        <v>2277</v>
      </c>
      <c r="B2118" t="s">
        <v>2096</v>
      </c>
      <c r="C2118" t="s">
        <v>2097</v>
      </c>
      <c r="D2118">
        <v>74</v>
      </c>
      <c r="E2118" t="s">
        <v>1447</v>
      </c>
      <c r="F2118" t="s">
        <v>1972</v>
      </c>
      <c r="G2118" t="s">
        <v>1748</v>
      </c>
      <c r="H2118" t="s">
        <v>2279</v>
      </c>
      <c r="I2118">
        <v>1</v>
      </c>
      <c r="J2118" t="s">
        <v>2279</v>
      </c>
      <c r="K2118" t="s">
        <v>2279</v>
      </c>
      <c r="L2118" t="s">
        <v>2279</v>
      </c>
      <c r="M2118" t="s">
        <v>2279</v>
      </c>
      <c r="N2118" t="s">
        <v>2279</v>
      </c>
      <c r="O2118" s="190" t="str">
        <f>"["&amp;$C2118&amp;"]["&amp;$D2118&amp;"]["&amp;$F2118&amp;"]"</f>
        <v>[S08_ActivityDataIssuesDetail][74][NumberOfIssues]</v>
      </c>
    </row>
    <row r="2119" spans="1:15" x14ac:dyDescent="0.3">
      <c r="A2119" t="s">
        <v>2277</v>
      </c>
      <c r="B2119" t="s">
        <v>2096</v>
      </c>
      <c r="C2119" t="s">
        <v>2097</v>
      </c>
      <c r="D2119">
        <v>75</v>
      </c>
      <c r="E2119" t="s">
        <v>1447</v>
      </c>
      <c r="F2119" t="s">
        <v>1972</v>
      </c>
      <c r="G2119" t="s">
        <v>1748</v>
      </c>
      <c r="H2119" t="s">
        <v>2279</v>
      </c>
      <c r="I2119">
        <v>22</v>
      </c>
      <c r="J2119" t="s">
        <v>2279</v>
      </c>
      <c r="K2119" t="s">
        <v>2279</v>
      </c>
      <c r="L2119" t="s">
        <v>2279</v>
      </c>
      <c r="M2119" t="s">
        <v>2279</v>
      </c>
      <c r="N2119" t="s">
        <v>2279</v>
      </c>
      <c r="O2119" s="190" t="str">
        <f>"["&amp;$C2119&amp;"]["&amp;$D2119&amp;"]["&amp;$F2119&amp;"]"</f>
        <v>[S08_ActivityDataIssuesDetail][75][NumberOfIssues]</v>
      </c>
    </row>
    <row r="2120" spans="1:15" x14ac:dyDescent="0.3">
      <c r="A2120" t="s">
        <v>2277</v>
      </c>
      <c r="B2120" t="s">
        <v>2096</v>
      </c>
      <c r="C2120" t="s">
        <v>2097</v>
      </c>
      <c r="D2120">
        <v>76</v>
      </c>
      <c r="E2120" t="s">
        <v>1447</v>
      </c>
      <c r="F2120" t="s">
        <v>1972</v>
      </c>
      <c r="G2120" t="s">
        <v>1748</v>
      </c>
      <c r="H2120" t="s">
        <v>2279</v>
      </c>
      <c r="I2120">
        <v>1</v>
      </c>
      <c r="J2120" t="s">
        <v>2279</v>
      </c>
      <c r="K2120" t="s">
        <v>2279</v>
      </c>
      <c r="L2120" t="s">
        <v>2279</v>
      </c>
      <c r="M2120" t="s">
        <v>2279</v>
      </c>
      <c r="N2120" t="s">
        <v>2279</v>
      </c>
      <c r="O2120" s="190" t="str">
        <f>"["&amp;$C2120&amp;"]["&amp;$D2120&amp;"]["&amp;$F2120&amp;"]"</f>
        <v>[S08_ActivityDataIssuesDetail][76][NumberOfIssues]</v>
      </c>
    </row>
    <row r="2121" spans="1:15" x14ac:dyDescent="0.3">
      <c r="A2121" t="s">
        <v>2277</v>
      </c>
      <c r="B2121" t="s">
        <v>2096</v>
      </c>
      <c r="C2121" t="s">
        <v>2097</v>
      </c>
      <c r="D2121">
        <v>1</v>
      </c>
      <c r="E2121" t="s">
        <v>1447</v>
      </c>
      <c r="F2121" t="s">
        <v>2094</v>
      </c>
      <c r="G2121" t="s">
        <v>1748</v>
      </c>
      <c r="H2121" t="s">
        <v>2279</v>
      </c>
      <c r="I2121">
        <v>0</v>
      </c>
      <c r="J2121" t="s">
        <v>2279</v>
      </c>
      <c r="K2121" t="s">
        <v>2279</v>
      </c>
      <c r="L2121" t="s">
        <v>2279</v>
      </c>
      <c r="M2121" t="s">
        <v>2279</v>
      </c>
      <c r="N2121" t="s">
        <v>2279</v>
      </c>
      <c r="O2121" s="190" t="str">
        <f>"["&amp;$C2121&amp;"]["&amp;$D2121&amp;"]["&amp;$F2121&amp;"]"</f>
        <v>[S08_ActivityDataIssuesDetail][1][NumberOfInstallationsConEst]</v>
      </c>
    </row>
    <row r="2122" spans="1:15" x14ac:dyDescent="0.3">
      <c r="A2122" t="s">
        <v>2277</v>
      </c>
      <c r="B2122" t="s">
        <v>2096</v>
      </c>
      <c r="C2122" t="s">
        <v>2097</v>
      </c>
      <c r="D2122">
        <v>2</v>
      </c>
      <c r="E2122" t="s">
        <v>1447</v>
      </c>
      <c r="F2122" t="s">
        <v>2094</v>
      </c>
      <c r="G2122" t="s">
        <v>1748</v>
      </c>
      <c r="H2122" t="s">
        <v>2279</v>
      </c>
      <c r="I2122">
        <v>0</v>
      </c>
      <c r="J2122" t="s">
        <v>2279</v>
      </c>
      <c r="K2122" t="s">
        <v>2279</v>
      </c>
      <c r="L2122" t="s">
        <v>2279</v>
      </c>
      <c r="M2122" t="s">
        <v>2279</v>
      </c>
      <c r="N2122" t="s">
        <v>2279</v>
      </c>
      <c r="O2122" s="190" t="str">
        <f>"["&amp;$C2122&amp;"]["&amp;$D2122&amp;"]["&amp;$F2122&amp;"]"</f>
        <v>[S08_ActivityDataIssuesDetail][2][NumberOfInstallationsConEst]</v>
      </c>
    </row>
    <row r="2123" spans="1:15" x14ac:dyDescent="0.3">
      <c r="A2123" t="s">
        <v>2277</v>
      </c>
      <c r="B2123" t="s">
        <v>2096</v>
      </c>
      <c r="C2123" t="s">
        <v>2097</v>
      </c>
      <c r="D2123">
        <v>3</v>
      </c>
      <c r="E2123" t="s">
        <v>1447</v>
      </c>
      <c r="F2123" t="s">
        <v>2094</v>
      </c>
      <c r="G2123" t="s">
        <v>1748</v>
      </c>
      <c r="H2123" t="s">
        <v>2279</v>
      </c>
      <c r="I2123">
        <v>0</v>
      </c>
      <c r="J2123" t="s">
        <v>2279</v>
      </c>
      <c r="K2123" t="s">
        <v>2279</v>
      </c>
      <c r="L2123" t="s">
        <v>2279</v>
      </c>
      <c r="M2123" t="s">
        <v>2279</v>
      </c>
      <c r="N2123" t="s">
        <v>2279</v>
      </c>
      <c r="O2123" s="190" t="str">
        <f>"["&amp;$C2123&amp;"]["&amp;$D2123&amp;"]["&amp;$F2123&amp;"]"</f>
        <v>[S08_ActivityDataIssuesDetail][3][NumberOfInstallationsConEst]</v>
      </c>
    </row>
    <row r="2124" spans="1:15" x14ac:dyDescent="0.3">
      <c r="A2124" t="s">
        <v>2277</v>
      </c>
      <c r="B2124" t="s">
        <v>2096</v>
      </c>
      <c r="C2124" t="s">
        <v>2097</v>
      </c>
      <c r="D2124">
        <v>4</v>
      </c>
      <c r="E2124" t="s">
        <v>1447</v>
      </c>
      <c r="F2124" t="s">
        <v>2094</v>
      </c>
      <c r="G2124" t="s">
        <v>1748</v>
      </c>
      <c r="H2124" t="s">
        <v>2279</v>
      </c>
      <c r="I2124">
        <v>0</v>
      </c>
      <c r="J2124" t="s">
        <v>2279</v>
      </c>
      <c r="K2124" t="s">
        <v>2279</v>
      </c>
      <c r="L2124" t="s">
        <v>2279</v>
      </c>
      <c r="M2124" t="s">
        <v>2279</v>
      </c>
      <c r="N2124" t="s">
        <v>2279</v>
      </c>
      <c r="O2124" s="190" t="str">
        <f>"["&amp;$C2124&amp;"]["&amp;$D2124&amp;"]["&amp;$F2124&amp;"]"</f>
        <v>[S08_ActivityDataIssuesDetail][4][NumberOfInstallationsConEst]</v>
      </c>
    </row>
    <row r="2125" spans="1:15" x14ac:dyDescent="0.3">
      <c r="A2125" t="s">
        <v>2277</v>
      </c>
      <c r="B2125" t="s">
        <v>2096</v>
      </c>
      <c r="C2125" t="s">
        <v>2097</v>
      </c>
      <c r="D2125">
        <v>5</v>
      </c>
      <c r="E2125" t="s">
        <v>1447</v>
      </c>
      <c r="F2125" t="s">
        <v>2094</v>
      </c>
      <c r="G2125" t="s">
        <v>1748</v>
      </c>
      <c r="H2125" t="s">
        <v>2279</v>
      </c>
      <c r="I2125">
        <v>0</v>
      </c>
      <c r="J2125" t="s">
        <v>2279</v>
      </c>
      <c r="K2125" t="s">
        <v>2279</v>
      </c>
      <c r="L2125" t="s">
        <v>2279</v>
      </c>
      <c r="M2125" t="s">
        <v>2279</v>
      </c>
      <c r="N2125" t="s">
        <v>2279</v>
      </c>
      <c r="O2125" s="190" t="str">
        <f>"["&amp;$C2125&amp;"]["&amp;$D2125&amp;"]["&amp;$F2125&amp;"]"</f>
        <v>[S08_ActivityDataIssuesDetail][5][NumberOfInstallationsConEst]</v>
      </c>
    </row>
    <row r="2126" spans="1:15" x14ac:dyDescent="0.3">
      <c r="A2126" t="s">
        <v>2277</v>
      </c>
      <c r="B2126" t="s">
        <v>2096</v>
      </c>
      <c r="C2126" t="s">
        <v>2097</v>
      </c>
      <c r="D2126">
        <v>6</v>
      </c>
      <c r="E2126" t="s">
        <v>1447</v>
      </c>
      <c r="F2126" t="s">
        <v>2094</v>
      </c>
      <c r="G2126" t="s">
        <v>1748</v>
      </c>
      <c r="H2126" t="s">
        <v>2279</v>
      </c>
      <c r="I2126">
        <v>0</v>
      </c>
      <c r="J2126" t="s">
        <v>2279</v>
      </c>
      <c r="K2126" t="s">
        <v>2279</v>
      </c>
      <c r="L2126" t="s">
        <v>2279</v>
      </c>
      <c r="M2126" t="s">
        <v>2279</v>
      </c>
      <c r="N2126" t="s">
        <v>2279</v>
      </c>
      <c r="O2126" s="190" t="str">
        <f>"["&amp;$C2126&amp;"]["&amp;$D2126&amp;"]["&amp;$F2126&amp;"]"</f>
        <v>[S08_ActivityDataIssuesDetail][6][NumberOfInstallationsConEst]</v>
      </c>
    </row>
    <row r="2127" spans="1:15" x14ac:dyDescent="0.3">
      <c r="A2127" t="s">
        <v>2277</v>
      </c>
      <c r="B2127" t="s">
        <v>2096</v>
      </c>
      <c r="C2127" t="s">
        <v>2097</v>
      </c>
      <c r="D2127">
        <v>7</v>
      </c>
      <c r="E2127" t="s">
        <v>1447</v>
      </c>
      <c r="F2127" t="s">
        <v>2094</v>
      </c>
      <c r="G2127" t="s">
        <v>1748</v>
      </c>
      <c r="H2127" t="s">
        <v>2279</v>
      </c>
      <c r="I2127">
        <v>0</v>
      </c>
      <c r="J2127" t="s">
        <v>2279</v>
      </c>
      <c r="K2127" t="s">
        <v>2279</v>
      </c>
      <c r="L2127" t="s">
        <v>2279</v>
      </c>
      <c r="M2127" t="s">
        <v>2279</v>
      </c>
      <c r="N2127" t="s">
        <v>2279</v>
      </c>
      <c r="O2127" s="190" t="str">
        <f>"["&amp;$C2127&amp;"]["&amp;$D2127&amp;"]["&amp;$F2127&amp;"]"</f>
        <v>[S08_ActivityDataIssuesDetail][7][NumberOfInstallationsConEst]</v>
      </c>
    </row>
    <row r="2128" spans="1:15" x14ac:dyDescent="0.3">
      <c r="A2128" t="s">
        <v>2277</v>
      </c>
      <c r="B2128" t="s">
        <v>2096</v>
      </c>
      <c r="C2128" t="s">
        <v>2097</v>
      </c>
      <c r="D2128">
        <v>8</v>
      </c>
      <c r="E2128" t="s">
        <v>1447</v>
      </c>
      <c r="F2128" t="s">
        <v>2094</v>
      </c>
      <c r="G2128" t="s">
        <v>1748</v>
      </c>
      <c r="H2128" t="s">
        <v>2279</v>
      </c>
      <c r="I2128">
        <v>0</v>
      </c>
      <c r="J2128" t="s">
        <v>2279</v>
      </c>
      <c r="K2128" t="s">
        <v>2279</v>
      </c>
      <c r="L2128" t="s">
        <v>2279</v>
      </c>
      <c r="M2128" t="s">
        <v>2279</v>
      </c>
      <c r="N2128" t="s">
        <v>2279</v>
      </c>
      <c r="O2128" s="190" t="str">
        <f>"["&amp;$C2128&amp;"]["&amp;$D2128&amp;"]["&amp;$F2128&amp;"]"</f>
        <v>[S08_ActivityDataIssuesDetail][8][NumberOfInstallationsConEst]</v>
      </c>
    </row>
    <row r="2129" spans="1:15" x14ac:dyDescent="0.3">
      <c r="A2129" t="s">
        <v>2277</v>
      </c>
      <c r="B2129" t="s">
        <v>2096</v>
      </c>
      <c r="C2129" t="s">
        <v>2097</v>
      </c>
      <c r="D2129">
        <v>9</v>
      </c>
      <c r="E2129" t="s">
        <v>1447</v>
      </c>
      <c r="F2129" t="s">
        <v>2094</v>
      </c>
      <c r="G2129" t="s">
        <v>1748</v>
      </c>
      <c r="H2129" t="s">
        <v>2279</v>
      </c>
      <c r="I2129">
        <v>0</v>
      </c>
      <c r="J2129" t="s">
        <v>2279</v>
      </c>
      <c r="K2129" t="s">
        <v>2279</v>
      </c>
      <c r="L2129" t="s">
        <v>2279</v>
      </c>
      <c r="M2129" t="s">
        <v>2279</v>
      </c>
      <c r="N2129" t="s">
        <v>2279</v>
      </c>
      <c r="O2129" s="190" t="str">
        <f>"["&amp;$C2129&amp;"]["&amp;$D2129&amp;"]["&amp;$F2129&amp;"]"</f>
        <v>[S08_ActivityDataIssuesDetail][9][NumberOfInstallationsConEst]</v>
      </c>
    </row>
    <row r="2130" spans="1:15" x14ac:dyDescent="0.3">
      <c r="A2130" t="s">
        <v>2277</v>
      </c>
      <c r="B2130" t="s">
        <v>2096</v>
      </c>
      <c r="C2130" t="s">
        <v>2097</v>
      </c>
      <c r="D2130">
        <v>10</v>
      </c>
      <c r="E2130" t="s">
        <v>1447</v>
      </c>
      <c r="F2130" t="s">
        <v>2094</v>
      </c>
      <c r="G2130" t="s">
        <v>1748</v>
      </c>
      <c r="H2130" t="s">
        <v>2279</v>
      </c>
      <c r="I2130">
        <v>0</v>
      </c>
      <c r="J2130" t="s">
        <v>2279</v>
      </c>
      <c r="K2130" t="s">
        <v>2279</v>
      </c>
      <c r="L2130" t="s">
        <v>2279</v>
      </c>
      <c r="M2130" t="s">
        <v>2279</v>
      </c>
      <c r="N2130" t="s">
        <v>2279</v>
      </c>
      <c r="O2130" s="190" t="str">
        <f>"["&amp;$C2130&amp;"]["&amp;$D2130&amp;"]["&amp;$F2130&amp;"]"</f>
        <v>[S08_ActivityDataIssuesDetail][10][NumberOfInstallationsConEst]</v>
      </c>
    </row>
    <row r="2131" spans="1:15" x14ac:dyDescent="0.3">
      <c r="A2131" t="s">
        <v>2277</v>
      </c>
      <c r="B2131" t="s">
        <v>2096</v>
      </c>
      <c r="C2131" t="s">
        <v>2097</v>
      </c>
      <c r="D2131">
        <v>11</v>
      </c>
      <c r="E2131" t="s">
        <v>1447</v>
      </c>
      <c r="F2131" t="s">
        <v>2094</v>
      </c>
      <c r="G2131" t="s">
        <v>1748</v>
      </c>
      <c r="H2131" t="s">
        <v>2279</v>
      </c>
      <c r="I2131">
        <v>0</v>
      </c>
      <c r="J2131" t="s">
        <v>2279</v>
      </c>
      <c r="K2131" t="s">
        <v>2279</v>
      </c>
      <c r="L2131" t="s">
        <v>2279</v>
      </c>
      <c r="M2131" t="s">
        <v>2279</v>
      </c>
      <c r="N2131" t="s">
        <v>2279</v>
      </c>
      <c r="O2131" s="190" t="str">
        <f>"["&amp;$C2131&amp;"]["&amp;$D2131&amp;"]["&amp;$F2131&amp;"]"</f>
        <v>[S08_ActivityDataIssuesDetail][11][NumberOfInstallationsConEst]</v>
      </c>
    </row>
    <row r="2132" spans="1:15" x14ac:dyDescent="0.3">
      <c r="A2132" t="s">
        <v>2277</v>
      </c>
      <c r="B2132" t="s">
        <v>2096</v>
      </c>
      <c r="C2132" t="s">
        <v>2097</v>
      </c>
      <c r="D2132">
        <v>12</v>
      </c>
      <c r="E2132" t="s">
        <v>1447</v>
      </c>
      <c r="F2132" t="s">
        <v>2094</v>
      </c>
      <c r="G2132" t="s">
        <v>1748</v>
      </c>
      <c r="H2132" t="s">
        <v>2279</v>
      </c>
      <c r="I2132">
        <v>0</v>
      </c>
      <c r="J2132" t="s">
        <v>2279</v>
      </c>
      <c r="K2132" t="s">
        <v>2279</v>
      </c>
      <c r="L2132" t="s">
        <v>2279</v>
      </c>
      <c r="M2132" t="s">
        <v>2279</v>
      </c>
      <c r="N2132" t="s">
        <v>2279</v>
      </c>
      <c r="O2132" s="190" t="str">
        <f>"["&amp;$C2132&amp;"]["&amp;$D2132&amp;"]["&amp;$F2132&amp;"]"</f>
        <v>[S08_ActivityDataIssuesDetail][12][NumberOfInstallationsConEst]</v>
      </c>
    </row>
    <row r="2133" spans="1:15" x14ac:dyDescent="0.3">
      <c r="A2133" t="s">
        <v>2277</v>
      </c>
      <c r="B2133" t="s">
        <v>2096</v>
      </c>
      <c r="C2133" t="s">
        <v>2097</v>
      </c>
      <c r="D2133">
        <v>13</v>
      </c>
      <c r="E2133" t="s">
        <v>1447</v>
      </c>
      <c r="F2133" t="s">
        <v>2094</v>
      </c>
      <c r="G2133" t="s">
        <v>1748</v>
      </c>
      <c r="H2133" t="s">
        <v>2279</v>
      </c>
      <c r="I2133">
        <v>0</v>
      </c>
      <c r="J2133" t="s">
        <v>2279</v>
      </c>
      <c r="K2133" t="s">
        <v>2279</v>
      </c>
      <c r="L2133" t="s">
        <v>2279</v>
      </c>
      <c r="M2133" t="s">
        <v>2279</v>
      </c>
      <c r="N2133" t="s">
        <v>2279</v>
      </c>
      <c r="O2133" s="190" t="str">
        <f>"["&amp;$C2133&amp;"]["&amp;$D2133&amp;"]["&amp;$F2133&amp;"]"</f>
        <v>[S08_ActivityDataIssuesDetail][13][NumberOfInstallationsConEst]</v>
      </c>
    </row>
    <row r="2134" spans="1:15" x14ac:dyDescent="0.3">
      <c r="A2134" t="s">
        <v>2277</v>
      </c>
      <c r="B2134" t="s">
        <v>2096</v>
      </c>
      <c r="C2134" t="s">
        <v>2097</v>
      </c>
      <c r="D2134">
        <v>14</v>
      </c>
      <c r="E2134" t="s">
        <v>1447</v>
      </c>
      <c r="F2134" t="s">
        <v>2094</v>
      </c>
      <c r="G2134" t="s">
        <v>1748</v>
      </c>
      <c r="H2134" t="s">
        <v>2279</v>
      </c>
      <c r="I2134">
        <v>0</v>
      </c>
      <c r="J2134" t="s">
        <v>2279</v>
      </c>
      <c r="K2134" t="s">
        <v>2279</v>
      </c>
      <c r="L2134" t="s">
        <v>2279</v>
      </c>
      <c r="M2134" t="s">
        <v>2279</v>
      </c>
      <c r="N2134" t="s">
        <v>2279</v>
      </c>
      <c r="O2134" s="190" t="str">
        <f>"["&amp;$C2134&amp;"]["&amp;$D2134&amp;"]["&amp;$F2134&amp;"]"</f>
        <v>[S08_ActivityDataIssuesDetail][14][NumberOfInstallationsConEst]</v>
      </c>
    </row>
    <row r="2135" spans="1:15" x14ac:dyDescent="0.3">
      <c r="A2135" t="s">
        <v>2277</v>
      </c>
      <c r="B2135" t="s">
        <v>2096</v>
      </c>
      <c r="C2135" t="s">
        <v>2097</v>
      </c>
      <c r="D2135">
        <v>15</v>
      </c>
      <c r="E2135" t="s">
        <v>1447</v>
      </c>
      <c r="F2135" t="s">
        <v>2094</v>
      </c>
      <c r="G2135" t="s">
        <v>1748</v>
      </c>
      <c r="H2135" t="s">
        <v>2279</v>
      </c>
      <c r="I2135">
        <v>0</v>
      </c>
      <c r="J2135" t="s">
        <v>2279</v>
      </c>
      <c r="K2135" t="s">
        <v>2279</v>
      </c>
      <c r="L2135" t="s">
        <v>2279</v>
      </c>
      <c r="M2135" t="s">
        <v>2279</v>
      </c>
      <c r="N2135" t="s">
        <v>2279</v>
      </c>
      <c r="O2135" s="190" t="str">
        <f>"["&amp;$C2135&amp;"]["&amp;$D2135&amp;"]["&amp;$F2135&amp;"]"</f>
        <v>[S08_ActivityDataIssuesDetail][15][NumberOfInstallationsConEst]</v>
      </c>
    </row>
    <row r="2136" spans="1:15" x14ac:dyDescent="0.3">
      <c r="A2136" t="s">
        <v>2277</v>
      </c>
      <c r="B2136" t="s">
        <v>2096</v>
      </c>
      <c r="C2136" t="s">
        <v>2097</v>
      </c>
      <c r="D2136">
        <v>16</v>
      </c>
      <c r="E2136" t="s">
        <v>1447</v>
      </c>
      <c r="F2136" t="s">
        <v>2094</v>
      </c>
      <c r="G2136" t="s">
        <v>1748</v>
      </c>
      <c r="H2136" t="s">
        <v>2279</v>
      </c>
      <c r="I2136">
        <v>0</v>
      </c>
      <c r="J2136" t="s">
        <v>2279</v>
      </c>
      <c r="K2136" t="s">
        <v>2279</v>
      </c>
      <c r="L2136" t="s">
        <v>2279</v>
      </c>
      <c r="M2136" t="s">
        <v>2279</v>
      </c>
      <c r="N2136" t="s">
        <v>2279</v>
      </c>
      <c r="O2136" s="190" t="str">
        <f>"["&amp;$C2136&amp;"]["&amp;$D2136&amp;"]["&amp;$F2136&amp;"]"</f>
        <v>[S08_ActivityDataIssuesDetail][16][NumberOfInstallationsConEst]</v>
      </c>
    </row>
    <row r="2137" spans="1:15" x14ac:dyDescent="0.3">
      <c r="A2137" t="s">
        <v>2277</v>
      </c>
      <c r="B2137" t="s">
        <v>2096</v>
      </c>
      <c r="C2137" t="s">
        <v>2097</v>
      </c>
      <c r="D2137">
        <v>17</v>
      </c>
      <c r="E2137" t="s">
        <v>1447</v>
      </c>
      <c r="F2137" t="s">
        <v>2094</v>
      </c>
      <c r="G2137" t="s">
        <v>1748</v>
      </c>
      <c r="H2137" t="s">
        <v>2279</v>
      </c>
      <c r="I2137">
        <v>0</v>
      </c>
      <c r="J2137" t="s">
        <v>2279</v>
      </c>
      <c r="K2137" t="s">
        <v>2279</v>
      </c>
      <c r="L2137" t="s">
        <v>2279</v>
      </c>
      <c r="M2137" t="s">
        <v>2279</v>
      </c>
      <c r="N2137" t="s">
        <v>2279</v>
      </c>
      <c r="O2137" s="190" t="str">
        <f>"["&amp;$C2137&amp;"]["&amp;$D2137&amp;"]["&amp;$F2137&amp;"]"</f>
        <v>[S08_ActivityDataIssuesDetail][17][NumberOfInstallationsConEst]</v>
      </c>
    </row>
    <row r="2138" spans="1:15" x14ac:dyDescent="0.3">
      <c r="A2138" t="s">
        <v>2277</v>
      </c>
      <c r="B2138" t="s">
        <v>2096</v>
      </c>
      <c r="C2138" t="s">
        <v>2097</v>
      </c>
      <c r="D2138">
        <v>18</v>
      </c>
      <c r="E2138" t="s">
        <v>1447</v>
      </c>
      <c r="F2138" t="s">
        <v>2094</v>
      </c>
      <c r="G2138" t="s">
        <v>1748</v>
      </c>
      <c r="H2138" t="s">
        <v>2279</v>
      </c>
      <c r="I2138">
        <v>0</v>
      </c>
      <c r="J2138" t="s">
        <v>2279</v>
      </c>
      <c r="K2138" t="s">
        <v>2279</v>
      </c>
      <c r="L2138" t="s">
        <v>2279</v>
      </c>
      <c r="M2138" t="s">
        <v>2279</v>
      </c>
      <c r="N2138" t="s">
        <v>2279</v>
      </c>
      <c r="O2138" s="190" t="str">
        <f>"["&amp;$C2138&amp;"]["&amp;$D2138&amp;"]["&amp;$F2138&amp;"]"</f>
        <v>[S08_ActivityDataIssuesDetail][18][NumberOfInstallationsConEst]</v>
      </c>
    </row>
    <row r="2139" spans="1:15" x14ac:dyDescent="0.3">
      <c r="A2139" t="s">
        <v>2277</v>
      </c>
      <c r="B2139" t="s">
        <v>2096</v>
      </c>
      <c r="C2139" t="s">
        <v>2097</v>
      </c>
      <c r="D2139">
        <v>19</v>
      </c>
      <c r="E2139" t="s">
        <v>1447</v>
      </c>
      <c r="F2139" t="s">
        <v>2094</v>
      </c>
      <c r="G2139" t="s">
        <v>1748</v>
      </c>
      <c r="H2139" t="s">
        <v>2279</v>
      </c>
      <c r="I2139">
        <v>0</v>
      </c>
      <c r="J2139" t="s">
        <v>2279</v>
      </c>
      <c r="K2139" t="s">
        <v>2279</v>
      </c>
      <c r="L2139" t="s">
        <v>2279</v>
      </c>
      <c r="M2139" t="s">
        <v>2279</v>
      </c>
      <c r="N2139" t="s">
        <v>2279</v>
      </c>
      <c r="O2139" s="190" t="str">
        <f>"["&amp;$C2139&amp;"]["&amp;$D2139&amp;"]["&amp;$F2139&amp;"]"</f>
        <v>[S08_ActivityDataIssuesDetail][19][NumberOfInstallationsConEst]</v>
      </c>
    </row>
    <row r="2140" spans="1:15" x14ac:dyDescent="0.3">
      <c r="A2140" t="s">
        <v>2277</v>
      </c>
      <c r="B2140" t="s">
        <v>2096</v>
      </c>
      <c r="C2140" t="s">
        <v>2097</v>
      </c>
      <c r="D2140">
        <v>20</v>
      </c>
      <c r="E2140" t="s">
        <v>1447</v>
      </c>
      <c r="F2140" t="s">
        <v>2094</v>
      </c>
      <c r="G2140" t="s">
        <v>1748</v>
      </c>
      <c r="H2140" t="s">
        <v>2279</v>
      </c>
      <c r="I2140">
        <v>0</v>
      </c>
      <c r="J2140" t="s">
        <v>2279</v>
      </c>
      <c r="K2140" t="s">
        <v>2279</v>
      </c>
      <c r="L2140" t="s">
        <v>2279</v>
      </c>
      <c r="M2140" t="s">
        <v>2279</v>
      </c>
      <c r="N2140" t="s">
        <v>2279</v>
      </c>
      <c r="O2140" s="190" t="str">
        <f>"["&amp;$C2140&amp;"]["&amp;$D2140&amp;"]["&amp;$F2140&amp;"]"</f>
        <v>[S08_ActivityDataIssuesDetail][20][NumberOfInstallationsConEst]</v>
      </c>
    </row>
    <row r="2141" spans="1:15" x14ac:dyDescent="0.3">
      <c r="A2141" t="s">
        <v>2277</v>
      </c>
      <c r="B2141" t="s">
        <v>2096</v>
      </c>
      <c r="C2141" t="s">
        <v>2097</v>
      </c>
      <c r="D2141">
        <v>21</v>
      </c>
      <c r="E2141" t="s">
        <v>1447</v>
      </c>
      <c r="F2141" t="s">
        <v>2094</v>
      </c>
      <c r="G2141" t="s">
        <v>1748</v>
      </c>
      <c r="H2141" t="s">
        <v>2279</v>
      </c>
      <c r="I2141">
        <v>0</v>
      </c>
      <c r="J2141" t="s">
        <v>2279</v>
      </c>
      <c r="K2141" t="s">
        <v>2279</v>
      </c>
      <c r="L2141" t="s">
        <v>2279</v>
      </c>
      <c r="M2141" t="s">
        <v>2279</v>
      </c>
      <c r="N2141" t="s">
        <v>2279</v>
      </c>
      <c r="O2141" s="190" t="str">
        <f>"["&amp;$C2141&amp;"]["&amp;$D2141&amp;"]["&amp;$F2141&amp;"]"</f>
        <v>[S08_ActivityDataIssuesDetail][21][NumberOfInstallationsConEst]</v>
      </c>
    </row>
    <row r="2142" spans="1:15" x14ac:dyDescent="0.3">
      <c r="A2142" t="s">
        <v>2277</v>
      </c>
      <c r="B2142" t="s">
        <v>2096</v>
      </c>
      <c r="C2142" t="s">
        <v>2097</v>
      </c>
      <c r="D2142">
        <v>22</v>
      </c>
      <c r="E2142" t="s">
        <v>1447</v>
      </c>
      <c r="F2142" t="s">
        <v>2094</v>
      </c>
      <c r="G2142" t="s">
        <v>1748</v>
      </c>
      <c r="H2142" t="s">
        <v>2279</v>
      </c>
      <c r="I2142">
        <v>0</v>
      </c>
      <c r="J2142" t="s">
        <v>2279</v>
      </c>
      <c r="K2142" t="s">
        <v>2279</v>
      </c>
      <c r="L2142" t="s">
        <v>2279</v>
      </c>
      <c r="M2142" t="s">
        <v>2279</v>
      </c>
      <c r="N2142" t="s">
        <v>2279</v>
      </c>
      <c r="O2142" s="190" t="str">
        <f>"["&amp;$C2142&amp;"]["&amp;$D2142&amp;"]["&amp;$F2142&amp;"]"</f>
        <v>[S08_ActivityDataIssuesDetail][22][NumberOfInstallationsConEst]</v>
      </c>
    </row>
    <row r="2143" spans="1:15" x14ac:dyDescent="0.3">
      <c r="A2143" t="s">
        <v>2277</v>
      </c>
      <c r="B2143" t="s">
        <v>2096</v>
      </c>
      <c r="C2143" t="s">
        <v>2097</v>
      </c>
      <c r="D2143">
        <v>23</v>
      </c>
      <c r="E2143" t="s">
        <v>1447</v>
      </c>
      <c r="F2143" t="s">
        <v>2094</v>
      </c>
      <c r="G2143" t="s">
        <v>1748</v>
      </c>
      <c r="H2143" t="s">
        <v>2279</v>
      </c>
      <c r="I2143">
        <v>0</v>
      </c>
      <c r="J2143" t="s">
        <v>2279</v>
      </c>
      <c r="K2143" t="s">
        <v>2279</v>
      </c>
      <c r="L2143" t="s">
        <v>2279</v>
      </c>
      <c r="M2143" t="s">
        <v>2279</v>
      </c>
      <c r="N2143" t="s">
        <v>2279</v>
      </c>
      <c r="O2143" s="190" t="str">
        <f>"["&amp;$C2143&amp;"]["&amp;$D2143&amp;"]["&amp;$F2143&amp;"]"</f>
        <v>[S08_ActivityDataIssuesDetail][23][NumberOfInstallationsConEst]</v>
      </c>
    </row>
    <row r="2144" spans="1:15" x14ac:dyDescent="0.3">
      <c r="A2144" t="s">
        <v>2277</v>
      </c>
      <c r="B2144" t="s">
        <v>2096</v>
      </c>
      <c r="C2144" t="s">
        <v>2097</v>
      </c>
      <c r="D2144">
        <v>24</v>
      </c>
      <c r="E2144" t="s">
        <v>1447</v>
      </c>
      <c r="F2144" t="s">
        <v>2094</v>
      </c>
      <c r="G2144" t="s">
        <v>1748</v>
      </c>
      <c r="H2144" t="s">
        <v>2279</v>
      </c>
      <c r="I2144">
        <v>0</v>
      </c>
      <c r="J2144" t="s">
        <v>2279</v>
      </c>
      <c r="K2144" t="s">
        <v>2279</v>
      </c>
      <c r="L2144" t="s">
        <v>2279</v>
      </c>
      <c r="M2144" t="s">
        <v>2279</v>
      </c>
      <c r="N2144" t="s">
        <v>2279</v>
      </c>
      <c r="O2144" s="190" t="str">
        <f>"["&amp;$C2144&amp;"]["&amp;$D2144&amp;"]["&amp;$F2144&amp;"]"</f>
        <v>[S08_ActivityDataIssuesDetail][24][NumberOfInstallationsConEst]</v>
      </c>
    </row>
    <row r="2145" spans="1:15" x14ac:dyDescent="0.3">
      <c r="A2145" t="s">
        <v>2277</v>
      </c>
      <c r="B2145" t="s">
        <v>2096</v>
      </c>
      <c r="C2145" t="s">
        <v>2097</v>
      </c>
      <c r="D2145">
        <v>25</v>
      </c>
      <c r="E2145" t="s">
        <v>1447</v>
      </c>
      <c r="F2145" t="s">
        <v>2094</v>
      </c>
      <c r="G2145" t="s">
        <v>1748</v>
      </c>
      <c r="H2145" t="s">
        <v>2279</v>
      </c>
      <c r="I2145">
        <v>0</v>
      </c>
      <c r="J2145" t="s">
        <v>2279</v>
      </c>
      <c r="K2145" t="s">
        <v>2279</v>
      </c>
      <c r="L2145" t="s">
        <v>2279</v>
      </c>
      <c r="M2145" t="s">
        <v>2279</v>
      </c>
      <c r="N2145" t="s">
        <v>2279</v>
      </c>
      <c r="O2145" s="190" t="str">
        <f>"["&amp;$C2145&amp;"]["&amp;$D2145&amp;"]["&amp;$F2145&amp;"]"</f>
        <v>[S08_ActivityDataIssuesDetail][25][NumberOfInstallationsConEst]</v>
      </c>
    </row>
    <row r="2146" spans="1:15" x14ac:dyDescent="0.3">
      <c r="A2146" t="s">
        <v>2277</v>
      </c>
      <c r="B2146" t="s">
        <v>2096</v>
      </c>
      <c r="C2146" t="s">
        <v>2097</v>
      </c>
      <c r="D2146">
        <v>26</v>
      </c>
      <c r="E2146" t="s">
        <v>1447</v>
      </c>
      <c r="F2146" t="s">
        <v>2094</v>
      </c>
      <c r="G2146" t="s">
        <v>1748</v>
      </c>
      <c r="H2146" t="s">
        <v>2279</v>
      </c>
      <c r="I2146">
        <v>0</v>
      </c>
      <c r="J2146" t="s">
        <v>2279</v>
      </c>
      <c r="K2146" t="s">
        <v>2279</v>
      </c>
      <c r="L2146" t="s">
        <v>2279</v>
      </c>
      <c r="M2146" t="s">
        <v>2279</v>
      </c>
      <c r="N2146" t="s">
        <v>2279</v>
      </c>
      <c r="O2146" s="190" t="str">
        <f>"["&amp;$C2146&amp;"]["&amp;$D2146&amp;"]["&amp;$F2146&amp;"]"</f>
        <v>[S08_ActivityDataIssuesDetail][26][NumberOfInstallationsConEst]</v>
      </c>
    </row>
    <row r="2147" spans="1:15" x14ac:dyDescent="0.3">
      <c r="A2147" t="s">
        <v>2277</v>
      </c>
      <c r="B2147" t="s">
        <v>2096</v>
      </c>
      <c r="C2147" t="s">
        <v>2097</v>
      </c>
      <c r="D2147">
        <v>27</v>
      </c>
      <c r="E2147" t="s">
        <v>1447</v>
      </c>
      <c r="F2147" t="s">
        <v>2094</v>
      </c>
      <c r="G2147" t="s">
        <v>1748</v>
      </c>
      <c r="H2147" t="s">
        <v>2279</v>
      </c>
      <c r="I2147">
        <v>0</v>
      </c>
      <c r="J2147" t="s">
        <v>2279</v>
      </c>
      <c r="K2147" t="s">
        <v>2279</v>
      </c>
      <c r="L2147" t="s">
        <v>2279</v>
      </c>
      <c r="M2147" t="s">
        <v>2279</v>
      </c>
      <c r="N2147" t="s">
        <v>2279</v>
      </c>
      <c r="O2147" s="190" t="str">
        <f>"["&amp;$C2147&amp;"]["&amp;$D2147&amp;"]["&amp;$F2147&amp;"]"</f>
        <v>[S08_ActivityDataIssuesDetail][27][NumberOfInstallationsConEst]</v>
      </c>
    </row>
    <row r="2148" spans="1:15" x14ac:dyDescent="0.3">
      <c r="A2148" t="s">
        <v>2277</v>
      </c>
      <c r="B2148" t="s">
        <v>2096</v>
      </c>
      <c r="C2148" t="s">
        <v>2097</v>
      </c>
      <c r="D2148">
        <v>28</v>
      </c>
      <c r="E2148" t="s">
        <v>1447</v>
      </c>
      <c r="F2148" t="s">
        <v>2094</v>
      </c>
      <c r="G2148" t="s">
        <v>1748</v>
      </c>
      <c r="H2148" t="s">
        <v>2279</v>
      </c>
      <c r="I2148">
        <v>0</v>
      </c>
      <c r="J2148" t="s">
        <v>2279</v>
      </c>
      <c r="K2148" t="s">
        <v>2279</v>
      </c>
      <c r="L2148" t="s">
        <v>2279</v>
      </c>
      <c r="M2148" t="s">
        <v>2279</v>
      </c>
      <c r="N2148" t="s">
        <v>2279</v>
      </c>
      <c r="O2148" s="190" t="str">
        <f>"["&amp;$C2148&amp;"]["&amp;$D2148&amp;"]["&amp;$F2148&amp;"]"</f>
        <v>[S08_ActivityDataIssuesDetail][28][NumberOfInstallationsConEst]</v>
      </c>
    </row>
    <row r="2149" spans="1:15" x14ac:dyDescent="0.3">
      <c r="A2149" t="s">
        <v>2277</v>
      </c>
      <c r="B2149" t="s">
        <v>2096</v>
      </c>
      <c r="C2149" t="s">
        <v>2097</v>
      </c>
      <c r="D2149">
        <v>29</v>
      </c>
      <c r="E2149" t="s">
        <v>1447</v>
      </c>
      <c r="F2149" t="s">
        <v>2094</v>
      </c>
      <c r="G2149" t="s">
        <v>1748</v>
      </c>
      <c r="H2149" t="s">
        <v>2279</v>
      </c>
      <c r="I2149">
        <v>0</v>
      </c>
      <c r="J2149" t="s">
        <v>2279</v>
      </c>
      <c r="K2149" t="s">
        <v>2279</v>
      </c>
      <c r="L2149" t="s">
        <v>2279</v>
      </c>
      <c r="M2149" t="s">
        <v>2279</v>
      </c>
      <c r="N2149" t="s">
        <v>2279</v>
      </c>
      <c r="O2149" s="190" t="str">
        <f>"["&amp;$C2149&amp;"]["&amp;$D2149&amp;"]["&amp;$F2149&amp;"]"</f>
        <v>[S08_ActivityDataIssuesDetail][29][NumberOfInstallationsConEst]</v>
      </c>
    </row>
    <row r="2150" spans="1:15" x14ac:dyDescent="0.3">
      <c r="A2150" t="s">
        <v>2277</v>
      </c>
      <c r="B2150" t="s">
        <v>2096</v>
      </c>
      <c r="C2150" t="s">
        <v>2097</v>
      </c>
      <c r="D2150">
        <v>30</v>
      </c>
      <c r="E2150" t="s">
        <v>1447</v>
      </c>
      <c r="F2150" t="s">
        <v>2094</v>
      </c>
      <c r="G2150" t="s">
        <v>1748</v>
      </c>
      <c r="H2150" t="s">
        <v>2279</v>
      </c>
      <c r="I2150">
        <v>0</v>
      </c>
      <c r="J2150" t="s">
        <v>2279</v>
      </c>
      <c r="K2150" t="s">
        <v>2279</v>
      </c>
      <c r="L2150" t="s">
        <v>2279</v>
      </c>
      <c r="M2150" t="s">
        <v>2279</v>
      </c>
      <c r="N2150" t="s">
        <v>2279</v>
      </c>
      <c r="O2150" s="190" t="str">
        <f>"["&amp;$C2150&amp;"]["&amp;$D2150&amp;"]["&amp;$F2150&amp;"]"</f>
        <v>[S08_ActivityDataIssuesDetail][30][NumberOfInstallationsConEst]</v>
      </c>
    </row>
    <row r="2151" spans="1:15" x14ac:dyDescent="0.3">
      <c r="A2151" t="s">
        <v>2277</v>
      </c>
      <c r="B2151" t="s">
        <v>2096</v>
      </c>
      <c r="C2151" t="s">
        <v>2097</v>
      </c>
      <c r="D2151">
        <v>31</v>
      </c>
      <c r="E2151" t="s">
        <v>1447</v>
      </c>
      <c r="F2151" t="s">
        <v>2094</v>
      </c>
      <c r="G2151" t="s">
        <v>1748</v>
      </c>
      <c r="H2151" t="s">
        <v>2279</v>
      </c>
      <c r="I2151">
        <v>0</v>
      </c>
      <c r="J2151" t="s">
        <v>2279</v>
      </c>
      <c r="K2151" t="s">
        <v>2279</v>
      </c>
      <c r="L2151" t="s">
        <v>2279</v>
      </c>
      <c r="M2151" t="s">
        <v>2279</v>
      </c>
      <c r="N2151" t="s">
        <v>2279</v>
      </c>
      <c r="O2151" s="190" t="str">
        <f>"["&amp;$C2151&amp;"]["&amp;$D2151&amp;"]["&amp;$F2151&amp;"]"</f>
        <v>[S08_ActivityDataIssuesDetail][31][NumberOfInstallationsConEst]</v>
      </c>
    </row>
    <row r="2152" spans="1:15" x14ac:dyDescent="0.3">
      <c r="A2152" t="s">
        <v>2277</v>
      </c>
      <c r="B2152" t="s">
        <v>2096</v>
      </c>
      <c r="C2152" t="s">
        <v>2097</v>
      </c>
      <c r="D2152">
        <v>32</v>
      </c>
      <c r="E2152" t="s">
        <v>1447</v>
      </c>
      <c r="F2152" t="s">
        <v>2094</v>
      </c>
      <c r="G2152" t="s">
        <v>1748</v>
      </c>
      <c r="H2152" t="s">
        <v>2279</v>
      </c>
      <c r="I2152">
        <v>0</v>
      </c>
      <c r="J2152" t="s">
        <v>2279</v>
      </c>
      <c r="K2152" t="s">
        <v>2279</v>
      </c>
      <c r="L2152" t="s">
        <v>2279</v>
      </c>
      <c r="M2152" t="s">
        <v>2279</v>
      </c>
      <c r="N2152" t="s">
        <v>2279</v>
      </c>
      <c r="O2152" s="190" t="str">
        <f>"["&amp;$C2152&amp;"]["&amp;$D2152&amp;"]["&amp;$F2152&amp;"]"</f>
        <v>[S08_ActivityDataIssuesDetail][32][NumberOfInstallationsConEst]</v>
      </c>
    </row>
    <row r="2153" spans="1:15" x14ac:dyDescent="0.3">
      <c r="A2153" t="s">
        <v>2277</v>
      </c>
      <c r="B2153" t="s">
        <v>2096</v>
      </c>
      <c r="C2153" t="s">
        <v>2097</v>
      </c>
      <c r="D2153">
        <v>33</v>
      </c>
      <c r="E2153" t="s">
        <v>1447</v>
      </c>
      <c r="F2153" t="s">
        <v>2094</v>
      </c>
      <c r="G2153" t="s">
        <v>1748</v>
      </c>
      <c r="H2153" t="s">
        <v>2279</v>
      </c>
      <c r="I2153">
        <v>0</v>
      </c>
      <c r="J2153" t="s">
        <v>2279</v>
      </c>
      <c r="K2153" t="s">
        <v>2279</v>
      </c>
      <c r="L2153" t="s">
        <v>2279</v>
      </c>
      <c r="M2153" t="s">
        <v>2279</v>
      </c>
      <c r="N2153" t="s">
        <v>2279</v>
      </c>
      <c r="O2153" s="190" t="str">
        <f>"["&amp;$C2153&amp;"]["&amp;$D2153&amp;"]["&amp;$F2153&amp;"]"</f>
        <v>[S08_ActivityDataIssuesDetail][33][NumberOfInstallationsConEst]</v>
      </c>
    </row>
    <row r="2154" spans="1:15" x14ac:dyDescent="0.3">
      <c r="A2154" t="s">
        <v>2277</v>
      </c>
      <c r="B2154" t="s">
        <v>2096</v>
      </c>
      <c r="C2154" t="s">
        <v>2097</v>
      </c>
      <c r="D2154">
        <v>34</v>
      </c>
      <c r="E2154" t="s">
        <v>1447</v>
      </c>
      <c r="F2154" t="s">
        <v>2094</v>
      </c>
      <c r="G2154" t="s">
        <v>1748</v>
      </c>
      <c r="H2154" t="s">
        <v>2279</v>
      </c>
      <c r="I2154">
        <v>0</v>
      </c>
      <c r="J2154" t="s">
        <v>2279</v>
      </c>
      <c r="K2154" t="s">
        <v>2279</v>
      </c>
      <c r="L2154" t="s">
        <v>2279</v>
      </c>
      <c r="M2154" t="s">
        <v>2279</v>
      </c>
      <c r="N2154" t="s">
        <v>2279</v>
      </c>
      <c r="O2154" s="190" t="str">
        <f>"["&amp;$C2154&amp;"]["&amp;$D2154&amp;"]["&amp;$F2154&amp;"]"</f>
        <v>[S08_ActivityDataIssuesDetail][34][NumberOfInstallationsConEst]</v>
      </c>
    </row>
    <row r="2155" spans="1:15" x14ac:dyDescent="0.3">
      <c r="A2155" t="s">
        <v>2277</v>
      </c>
      <c r="B2155" t="s">
        <v>2096</v>
      </c>
      <c r="C2155" t="s">
        <v>2097</v>
      </c>
      <c r="D2155">
        <v>35</v>
      </c>
      <c r="E2155" t="s">
        <v>1447</v>
      </c>
      <c r="F2155" t="s">
        <v>2094</v>
      </c>
      <c r="G2155" t="s">
        <v>1748</v>
      </c>
      <c r="H2155" t="s">
        <v>2279</v>
      </c>
      <c r="I2155">
        <v>0</v>
      </c>
      <c r="J2155" t="s">
        <v>2279</v>
      </c>
      <c r="K2155" t="s">
        <v>2279</v>
      </c>
      <c r="L2155" t="s">
        <v>2279</v>
      </c>
      <c r="M2155" t="s">
        <v>2279</v>
      </c>
      <c r="N2155" t="s">
        <v>2279</v>
      </c>
      <c r="O2155" s="190" t="str">
        <f>"["&amp;$C2155&amp;"]["&amp;$D2155&amp;"]["&amp;$F2155&amp;"]"</f>
        <v>[S08_ActivityDataIssuesDetail][35][NumberOfInstallationsConEst]</v>
      </c>
    </row>
    <row r="2156" spans="1:15" x14ac:dyDescent="0.3">
      <c r="A2156" t="s">
        <v>2277</v>
      </c>
      <c r="B2156" t="s">
        <v>2096</v>
      </c>
      <c r="C2156" t="s">
        <v>2097</v>
      </c>
      <c r="D2156">
        <v>36</v>
      </c>
      <c r="E2156" t="s">
        <v>1447</v>
      </c>
      <c r="F2156" t="s">
        <v>2094</v>
      </c>
      <c r="G2156" t="s">
        <v>1748</v>
      </c>
      <c r="H2156" t="s">
        <v>2279</v>
      </c>
      <c r="I2156">
        <v>0</v>
      </c>
      <c r="J2156" t="s">
        <v>2279</v>
      </c>
      <c r="K2156" t="s">
        <v>2279</v>
      </c>
      <c r="L2156" t="s">
        <v>2279</v>
      </c>
      <c r="M2156" t="s">
        <v>2279</v>
      </c>
      <c r="N2156" t="s">
        <v>2279</v>
      </c>
      <c r="O2156" s="190" t="str">
        <f>"["&amp;$C2156&amp;"]["&amp;$D2156&amp;"]["&amp;$F2156&amp;"]"</f>
        <v>[S08_ActivityDataIssuesDetail][36][NumberOfInstallationsConEst]</v>
      </c>
    </row>
    <row r="2157" spans="1:15" x14ac:dyDescent="0.3">
      <c r="A2157" t="s">
        <v>2277</v>
      </c>
      <c r="B2157" t="s">
        <v>2096</v>
      </c>
      <c r="C2157" t="s">
        <v>2097</v>
      </c>
      <c r="D2157">
        <v>37</v>
      </c>
      <c r="E2157" t="s">
        <v>1447</v>
      </c>
      <c r="F2157" t="s">
        <v>2094</v>
      </c>
      <c r="G2157" t="s">
        <v>1748</v>
      </c>
      <c r="H2157" t="s">
        <v>2279</v>
      </c>
      <c r="I2157">
        <v>0</v>
      </c>
      <c r="J2157" t="s">
        <v>2279</v>
      </c>
      <c r="K2157" t="s">
        <v>2279</v>
      </c>
      <c r="L2157" t="s">
        <v>2279</v>
      </c>
      <c r="M2157" t="s">
        <v>2279</v>
      </c>
      <c r="N2157" t="s">
        <v>2279</v>
      </c>
      <c r="O2157" s="190" t="str">
        <f>"["&amp;$C2157&amp;"]["&amp;$D2157&amp;"]["&amp;$F2157&amp;"]"</f>
        <v>[S08_ActivityDataIssuesDetail][37][NumberOfInstallationsConEst]</v>
      </c>
    </row>
    <row r="2158" spans="1:15" x14ac:dyDescent="0.3">
      <c r="A2158" t="s">
        <v>2277</v>
      </c>
      <c r="B2158" t="s">
        <v>2096</v>
      </c>
      <c r="C2158" t="s">
        <v>2097</v>
      </c>
      <c r="D2158">
        <v>38</v>
      </c>
      <c r="E2158" t="s">
        <v>1447</v>
      </c>
      <c r="F2158" t="s">
        <v>2094</v>
      </c>
      <c r="G2158" t="s">
        <v>1748</v>
      </c>
      <c r="H2158" t="s">
        <v>2279</v>
      </c>
      <c r="I2158">
        <v>0</v>
      </c>
      <c r="J2158" t="s">
        <v>2279</v>
      </c>
      <c r="K2158" t="s">
        <v>2279</v>
      </c>
      <c r="L2158" t="s">
        <v>2279</v>
      </c>
      <c r="M2158" t="s">
        <v>2279</v>
      </c>
      <c r="N2158" t="s">
        <v>2279</v>
      </c>
      <c r="O2158" s="190" t="str">
        <f>"["&amp;$C2158&amp;"]["&amp;$D2158&amp;"]["&amp;$F2158&amp;"]"</f>
        <v>[S08_ActivityDataIssuesDetail][38][NumberOfInstallationsConEst]</v>
      </c>
    </row>
    <row r="2159" spans="1:15" x14ac:dyDescent="0.3">
      <c r="A2159" t="s">
        <v>2277</v>
      </c>
      <c r="B2159" t="s">
        <v>2096</v>
      </c>
      <c r="C2159" t="s">
        <v>2097</v>
      </c>
      <c r="D2159">
        <v>39</v>
      </c>
      <c r="E2159" t="s">
        <v>1447</v>
      </c>
      <c r="F2159" t="s">
        <v>2094</v>
      </c>
      <c r="G2159" t="s">
        <v>1748</v>
      </c>
      <c r="H2159" t="s">
        <v>2279</v>
      </c>
      <c r="I2159">
        <v>0</v>
      </c>
      <c r="J2159" t="s">
        <v>2279</v>
      </c>
      <c r="K2159" t="s">
        <v>2279</v>
      </c>
      <c r="L2159" t="s">
        <v>2279</v>
      </c>
      <c r="M2159" t="s">
        <v>2279</v>
      </c>
      <c r="N2159" t="s">
        <v>2279</v>
      </c>
      <c r="O2159" s="190" t="str">
        <f>"["&amp;$C2159&amp;"]["&amp;$D2159&amp;"]["&amp;$F2159&amp;"]"</f>
        <v>[S08_ActivityDataIssuesDetail][39][NumberOfInstallationsConEst]</v>
      </c>
    </row>
    <row r="2160" spans="1:15" x14ac:dyDescent="0.3">
      <c r="A2160" t="s">
        <v>2277</v>
      </c>
      <c r="B2160" t="s">
        <v>2096</v>
      </c>
      <c r="C2160" t="s">
        <v>2097</v>
      </c>
      <c r="D2160">
        <v>40</v>
      </c>
      <c r="E2160" t="s">
        <v>1447</v>
      </c>
      <c r="F2160" t="s">
        <v>2094</v>
      </c>
      <c r="G2160" t="s">
        <v>1748</v>
      </c>
      <c r="H2160" t="s">
        <v>2279</v>
      </c>
      <c r="I2160">
        <v>0</v>
      </c>
      <c r="J2160" t="s">
        <v>2279</v>
      </c>
      <c r="K2160" t="s">
        <v>2279</v>
      </c>
      <c r="L2160" t="s">
        <v>2279</v>
      </c>
      <c r="M2160" t="s">
        <v>2279</v>
      </c>
      <c r="N2160" t="s">
        <v>2279</v>
      </c>
      <c r="O2160" s="190" t="str">
        <f>"["&amp;$C2160&amp;"]["&amp;$D2160&amp;"]["&amp;$F2160&amp;"]"</f>
        <v>[S08_ActivityDataIssuesDetail][40][NumberOfInstallationsConEst]</v>
      </c>
    </row>
    <row r="2161" spans="1:15" x14ac:dyDescent="0.3">
      <c r="A2161" t="s">
        <v>2277</v>
      </c>
      <c r="B2161" t="s">
        <v>2096</v>
      </c>
      <c r="C2161" t="s">
        <v>2097</v>
      </c>
      <c r="D2161">
        <v>41</v>
      </c>
      <c r="E2161" t="s">
        <v>1447</v>
      </c>
      <c r="F2161" t="s">
        <v>2094</v>
      </c>
      <c r="G2161" t="s">
        <v>1748</v>
      </c>
      <c r="H2161" t="s">
        <v>2279</v>
      </c>
      <c r="I2161">
        <v>0</v>
      </c>
      <c r="J2161" t="s">
        <v>2279</v>
      </c>
      <c r="K2161" t="s">
        <v>2279</v>
      </c>
      <c r="L2161" t="s">
        <v>2279</v>
      </c>
      <c r="M2161" t="s">
        <v>2279</v>
      </c>
      <c r="N2161" t="s">
        <v>2279</v>
      </c>
      <c r="O2161" s="190" t="str">
        <f>"["&amp;$C2161&amp;"]["&amp;$D2161&amp;"]["&amp;$F2161&amp;"]"</f>
        <v>[S08_ActivityDataIssuesDetail][41][NumberOfInstallationsConEst]</v>
      </c>
    </row>
    <row r="2162" spans="1:15" x14ac:dyDescent="0.3">
      <c r="A2162" t="s">
        <v>2277</v>
      </c>
      <c r="B2162" t="s">
        <v>2096</v>
      </c>
      <c r="C2162" t="s">
        <v>2097</v>
      </c>
      <c r="D2162">
        <v>42</v>
      </c>
      <c r="E2162" t="s">
        <v>1447</v>
      </c>
      <c r="F2162" t="s">
        <v>2094</v>
      </c>
      <c r="G2162" t="s">
        <v>1748</v>
      </c>
      <c r="H2162" t="s">
        <v>2279</v>
      </c>
      <c r="I2162">
        <v>0</v>
      </c>
      <c r="J2162" t="s">
        <v>2279</v>
      </c>
      <c r="K2162" t="s">
        <v>2279</v>
      </c>
      <c r="L2162" t="s">
        <v>2279</v>
      </c>
      <c r="M2162" t="s">
        <v>2279</v>
      </c>
      <c r="N2162" t="s">
        <v>2279</v>
      </c>
      <c r="O2162" s="190" t="str">
        <f>"["&amp;$C2162&amp;"]["&amp;$D2162&amp;"]["&amp;$F2162&amp;"]"</f>
        <v>[S08_ActivityDataIssuesDetail][42][NumberOfInstallationsConEst]</v>
      </c>
    </row>
    <row r="2163" spans="1:15" x14ac:dyDescent="0.3">
      <c r="A2163" t="s">
        <v>2277</v>
      </c>
      <c r="B2163" t="s">
        <v>2096</v>
      </c>
      <c r="C2163" t="s">
        <v>2097</v>
      </c>
      <c r="D2163">
        <v>43</v>
      </c>
      <c r="E2163" t="s">
        <v>1447</v>
      </c>
      <c r="F2163" t="s">
        <v>2094</v>
      </c>
      <c r="G2163" t="s">
        <v>1748</v>
      </c>
      <c r="H2163" t="s">
        <v>2279</v>
      </c>
      <c r="I2163">
        <v>0</v>
      </c>
      <c r="J2163" t="s">
        <v>2279</v>
      </c>
      <c r="K2163" t="s">
        <v>2279</v>
      </c>
      <c r="L2163" t="s">
        <v>2279</v>
      </c>
      <c r="M2163" t="s">
        <v>2279</v>
      </c>
      <c r="N2163" t="s">
        <v>2279</v>
      </c>
      <c r="O2163" s="190" t="str">
        <f>"["&amp;$C2163&amp;"]["&amp;$D2163&amp;"]["&amp;$F2163&amp;"]"</f>
        <v>[S08_ActivityDataIssuesDetail][43][NumberOfInstallationsConEst]</v>
      </c>
    </row>
    <row r="2164" spans="1:15" x14ac:dyDescent="0.3">
      <c r="A2164" t="s">
        <v>2277</v>
      </c>
      <c r="B2164" t="s">
        <v>2096</v>
      </c>
      <c r="C2164" t="s">
        <v>2097</v>
      </c>
      <c r="D2164">
        <v>44</v>
      </c>
      <c r="E2164" t="s">
        <v>1447</v>
      </c>
      <c r="F2164" t="s">
        <v>2094</v>
      </c>
      <c r="G2164" t="s">
        <v>1748</v>
      </c>
      <c r="H2164" t="s">
        <v>2279</v>
      </c>
      <c r="I2164">
        <v>0</v>
      </c>
      <c r="J2164" t="s">
        <v>2279</v>
      </c>
      <c r="K2164" t="s">
        <v>2279</v>
      </c>
      <c r="L2164" t="s">
        <v>2279</v>
      </c>
      <c r="M2164" t="s">
        <v>2279</v>
      </c>
      <c r="N2164" t="s">
        <v>2279</v>
      </c>
      <c r="O2164" s="190" t="str">
        <f>"["&amp;$C2164&amp;"]["&amp;$D2164&amp;"]["&amp;$F2164&amp;"]"</f>
        <v>[S08_ActivityDataIssuesDetail][44][NumberOfInstallationsConEst]</v>
      </c>
    </row>
    <row r="2165" spans="1:15" x14ac:dyDescent="0.3">
      <c r="A2165" t="s">
        <v>2277</v>
      </c>
      <c r="B2165" t="s">
        <v>2096</v>
      </c>
      <c r="C2165" t="s">
        <v>2097</v>
      </c>
      <c r="D2165">
        <v>45</v>
      </c>
      <c r="E2165" t="s">
        <v>1447</v>
      </c>
      <c r="F2165" t="s">
        <v>2094</v>
      </c>
      <c r="G2165" t="s">
        <v>1748</v>
      </c>
      <c r="H2165" t="s">
        <v>2279</v>
      </c>
      <c r="I2165">
        <v>0</v>
      </c>
      <c r="J2165" t="s">
        <v>2279</v>
      </c>
      <c r="K2165" t="s">
        <v>2279</v>
      </c>
      <c r="L2165" t="s">
        <v>2279</v>
      </c>
      <c r="M2165" t="s">
        <v>2279</v>
      </c>
      <c r="N2165" t="s">
        <v>2279</v>
      </c>
      <c r="O2165" s="190" t="str">
        <f>"["&amp;$C2165&amp;"]["&amp;$D2165&amp;"]["&amp;$F2165&amp;"]"</f>
        <v>[S08_ActivityDataIssuesDetail][45][NumberOfInstallationsConEst]</v>
      </c>
    </row>
    <row r="2166" spans="1:15" x14ac:dyDescent="0.3">
      <c r="A2166" t="s">
        <v>2277</v>
      </c>
      <c r="B2166" t="s">
        <v>2096</v>
      </c>
      <c r="C2166" t="s">
        <v>2097</v>
      </c>
      <c r="D2166">
        <v>46</v>
      </c>
      <c r="E2166" t="s">
        <v>1447</v>
      </c>
      <c r="F2166" t="s">
        <v>2094</v>
      </c>
      <c r="G2166" t="s">
        <v>1748</v>
      </c>
      <c r="H2166" t="s">
        <v>2279</v>
      </c>
      <c r="I2166">
        <v>0</v>
      </c>
      <c r="J2166" t="s">
        <v>2279</v>
      </c>
      <c r="K2166" t="s">
        <v>2279</v>
      </c>
      <c r="L2166" t="s">
        <v>2279</v>
      </c>
      <c r="M2166" t="s">
        <v>2279</v>
      </c>
      <c r="N2166" t="s">
        <v>2279</v>
      </c>
      <c r="O2166" s="190" t="str">
        <f>"["&amp;$C2166&amp;"]["&amp;$D2166&amp;"]["&amp;$F2166&amp;"]"</f>
        <v>[S08_ActivityDataIssuesDetail][46][NumberOfInstallationsConEst]</v>
      </c>
    </row>
    <row r="2167" spans="1:15" x14ac:dyDescent="0.3">
      <c r="A2167" t="s">
        <v>2277</v>
      </c>
      <c r="B2167" t="s">
        <v>2096</v>
      </c>
      <c r="C2167" t="s">
        <v>2097</v>
      </c>
      <c r="D2167">
        <v>47</v>
      </c>
      <c r="E2167" t="s">
        <v>1447</v>
      </c>
      <c r="F2167" t="s">
        <v>2094</v>
      </c>
      <c r="G2167" t="s">
        <v>1748</v>
      </c>
      <c r="H2167" t="s">
        <v>2279</v>
      </c>
      <c r="I2167">
        <v>0</v>
      </c>
      <c r="J2167" t="s">
        <v>2279</v>
      </c>
      <c r="K2167" t="s">
        <v>2279</v>
      </c>
      <c r="L2167" t="s">
        <v>2279</v>
      </c>
      <c r="M2167" t="s">
        <v>2279</v>
      </c>
      <c r="N2167" t="s">
        <v>2279</v>
      </c>
      <c r="O2167" s="190" t="str">
        <f>"["&amp;$C2167&amp;"]["&amp;$D2167&amp;"]["&amp;$F2167&amp;"]"</f>
        <v>[S08_ActivityDataIssuesDetail][47][NumberOfInstallationsConEst]</v>
      </c>
    </row>
    <row r="2168" spans="1:15" x14ac:dyDescent="0.3">
      <c r="A2168" t="s">
        <v>2277</v>
      </c>
      <c r="B2168" t="s">
        <v>2096</v>
      </c>
      <c r="C2168" t="s">
        <v>2097</v>
      </c>
      <c r="D2168">
        <v>48</v>
      </c>
      <c r="E2168" t="s">
        <v>1447</v>
      </c>
      <c r="F2168" t="s">
        <v>2094</v>
      </c>
      <c r="G2168" t="s">
        <v>1748</v>
      </c>
      <c r="H2168" t="s">
        <v>2279</v>
      </c>
      <c r="I2168">
        <v>0</v>
      </c>
      <c r="J2168" t="s">
        <v>2279</v>
      </c>
      <c r="K2168" t="s">
        <v>2279</v>
      </c>
      <c r="L2168" t="s">
        <v>2279</v>
      </c>
      <c r="M2168" t="s">
        <v>2279</v>
      </c>
      <c r="N2168" t="s">
        <v>2279</v>
      </c>
      <c r="O2168" s="190" t="str">
        <f>"["&amp;$C2168&amp;"]["&amp;$D2168&amp;"]["&amp;$F2168&amp;"]"</f>
        <v>[S08_ActivityDataIssuesDetail][48][NumberOfInstallationsConEst]</v>
      </c>
    </row>
    <row r="2169" spans="1:15" x14ac:dyDescent="0.3">
      <c r="A2169" t="s">
        <v>2277</v>
      </c>
      <c r="B2169" t="s">
        <v>2096</v>
      </c>
      <c r="C2169" t="s">
        <v>2097</v>
      </c>
      <c r="D2169">
        <v>49</v>
      </c>
      <c r="E2169" t="s">
        <v>1447</v>
      </c>
      <c r="F2169" t="s">
        <v>2094</v>
      </c>
      <c r="G2169" t="s">
        <v>1748</v>
      </c>
      <c r="H2169" t="s">
        <v>2279</v>
      </c>
      <c r="I2169">
        <v>0</v>
      </c>
      <c r="J2169" t="s">
        <v>2279</v>
      </c>
      <c r="K2169" t="s">
        <v>2279</v>
      </c>
      <c r="L2169" t="s">
        <v>2279</v>
      </c>
      <c r="M2169" t="s">
        <v>2279</v>
      </c>
      <c r="N2169" t="s">
        <v>2279</v>
      </c>
      <c r="O2169" s="190" t="str">
        <f>"["&amp;$C2169&amp;"]["&amp;$D2169&amp;"]["&amp;$F2169&amp;"]"</f>
        <v>[S08_ActivityDataIssuesDetail][49][NumberOfInstallationsConEst]</v>
      </c>
    </row>
    <row r="2170" spans="1:15" x14ac:dyDescent="0.3">
      <c r="A2170" t="s">
        <v>2277</v>
      </c>
      <c r="B2170" t="s">
        <v>2096</v>
      </c>
      <c r="C2170" t="s">
        <v>2097</v>
      </c>
      <c r="D2170">
        <v>50</v>
      </c>
      <c r="E2170" t="s">
        <v>1447</v>
      </c>
      <c r="F2170" t="s">
        <v>2094</v>
      </c>
      <c r="G2170" t="s">
        <v>1748</v>
      </c>
      <c r="H2170" t="s">
        <v>2279</v>
      </c>
      <c r="I2170">
        <v>0</v>
      </c>
      <c r="J2170" t="s">
        <v>2279</v>
      </c>
      <c r="K2170" t="s">
        <v>2279</v>
      </c>
      <c r="L2170" t="s">
        <v>2279</v>
      </c>
      <c r="M2170" t="s">
        <v>2279</v>
      </c>
      <c r="N2170" t="s">
        <v>2279</v>
      </c>
      <c r="O2170" s="190" t="str">
        <f>"["&amp;$C2170&amp;"]["&amp;$D2170&amp;"]["&amp;$F2170&amp;"]"</f>
        <v>[S08_ActivityDataIssuesDetail][50][NumberOfInstallationsConEst]</v>
      </c>
    </row>
    <row r="2171" spans="1:15" x14ac:dyDescent="0.3">
      <c r="A2171" t="s">
        <v>2277</v>
      </c>
      <c r="B2171" t="s">
        <v>2096</v>
      </c>
      <c r="C2171" t="s">
        <v>2097</v>
      </c>
      <c r="D2171">
        <v>51</v>
      </c>
      <c r="E2171" t="s">
        <v>1447</v>
      </c>
      <c r="F2171" t="s">
        <v>2094</v>
      </c>
      <c r="G2171" t="s">
        <v>1748</v>
      </c>
      <c r="H2171" t="s">
        <v>2279</v>
      </c>
      <c r="I2171">
        <v>0</v>
      </c>
      <c r="J2171" t="s">
        <v>2279</v>
      </c>
      <c r="K2171" t="s">
        <v>2279</v>
      </c>
      <c r="L2171" t="s">
        <v>2279</v>
      </c>
      <c r="M2171" t="s">
        <v>2279</v>
      </c>
      <c r="N2171" t="s">
        <v>2279</v>
      </c>
      <c r="O2171" s="190" t="str">
        <f>"["&amp;$C2171&amp;"]["&amp;$D2171&amp;"]["&amp;$F2171&amp;"]"</f>
        <v>[S08_ActivityDataIssuesDetail][51][NumberOfInstallationsConEst]</v>
      </c>
    </row>
    <row r="2172" spans="1:15" x14ac:dyDescent="0.3">
      <c r="A2172" t="s">
        <v>2277</v>
      </c>
      <c r="B2172" t="s">
        <v>2096</v>
      </c>
      <c r="C2172" t="s">
        <v>2097</v>
      </c>
      <c r="D2172">
        <v>52</v>
      </c>
      <c r="E2172" t="s">
        <v>1447</v>
      </c>
      <c r="F2172" t="s">
        <v>2094</v>
      </c>
      <c r="G2172" t="s">
        <v>1748</v>
      </c>
      <c r="H2172" t="s">
        <v>2279</v>
      </c>
      <c r="I2172">
        <v>0</v>
      </c>
      <c r="J2172" t="s">
        <v>2279</v>
      </c>
      <c r="K2172" t="s">
        <v>2279</v>
      </c>
      <c r="L2172" t="s">
        <v>2279</v>
      </c>
      <c r="M2172" t="s">
        <v>2279</v>
      </c>
      <c r="N2172" t="s">
        <v>2279</v>
      </c>
      <c r="O2172" s="190" t="str">
        <f>"["&amp;$C2172&amp;"]["&amp;$D2172&amp;"]["&amp;$F2172&amp;"]"</f>
        <v>[S08_ActivityDataIssuesDetail][52][NumberOfInstallationsConEst]</v>
      </c>
    </row>
    <row r="2173" spans="1:15" x14ac:dyDescent="0.3">
      <c r="A2173" t="s">
        <v>2277</v>
      </c>
      <c r="B2173" t="s">
        <v>2096</v>
      </c>
      <c r="C2173" t="s">
        <v>2097</v>
      </c>
      <c r="D2173">
        <v>53</v>
      </c>
      <c r="E2173" t="s">
        <v>1447</v>
      </c>
      <c r="F2173" t="s">
        <v>2094</v>
      </c>
      <c r="G2173" t="s">
        <v>1748</v>
      </c>
      <c r="H2173" t="s">
        <v>2279</v>
      </c>
      <c r="I2173">
        <v>0</v>
      </c>
      <c r="J2173" t="s">
        <v>2279</v>
      </c>
      <c r="K2173" t="s">
        <v>2279</v>
      </c>
      <c r="L2173" t="s">
        <v>2279</v>
      </c>
      <c r="M2173" t="s">
        <v>2279</v>
      </c>
      <c r="N2173" t="s">
        <v>2279</v>
      </c>
      <c r="O2173" s="190" t="str">
        <f>"["&amp;$C2173&amp;"]["&amp;$D2173&amp;"]["&amp;$F2173&amp;"]"</f>
        <v>[S08_ActivityDataIssuesDetail][53][NumberOfInstallationsConEst]</v>
      </c>
    </row>
    <row r="2174" spans="1:15" x14ac:dyDescent="0.3">
      <c r="A2174" t="s">
        <v>2277</v>
      </c>
      <c r="B2174" t="s">
        <v>2096</v>
      </c>
      <c r="C2174" t="s">
        <v>2097</v>
      </c>
      <c r="D2174">
        <v>54</v>
      </c>
      <c r="E2174" t="s">
        <v>1447</v>
      </c>
      <c r="F2174" t="s">
        <v>2094</v>
      </c>
      <c r="G2174" t="s">
        <v>1748</v>
      </c>
      <c r="H2174" t="s">
        <v>2279</v>
      </c>
      <c r="I2174">
        <v>0</v>
      </c>
      <c r="J2174" t="s">
        <v>2279</v>
      </c>
      <c r="K2174" t="s">
        <v>2279</v>
      </c>
      <c r="L2174" t="s">
        <v>2279</v>
      </c>
      <c r="M2174" t="s">
        <v>2279</v>
      </c>
      <c r="N2174" t="s">
        <v>2279</v>
      </c>
      <c r="O2174" s="190" t="str">
        <f>"["&amp;$C2174&amp;"]["&amp;$D2174&amp;"]["&amp;$F2174&amp;"]"</f>
        <v>[S08_ActivityDataIssuesDetail][54][NumberOfInstallationsConEst]</v>
      </c>
    </row>
    <row r="2175" spans="1:15" x14ac:dyDescent="0.3">
      <c r="A2175" t="s">
        <v>2277</v>
      </c>
      <c r="B2175" t="s">
        <v>2096</v>
      </c>
      <c r="C2175" t="s">
        <v>2097</v>
      </c>
      <c r="D2175">
        <v>55</v>
      </c>
      <c r="E2175" t="s">
        <v>1447</v>
      </c>
      <c r="F2175" t="s">
        <v>2094</v>
      </c>
      <c r="G2175" t="s">
        <v>1748</v>
      </c>
      <c r="H2175" t="s">
        <v>2279</v>
      </c>
      <c r="I2175">
        <v>0</v>
      </c>
      <c r="J2175" t="s">
        <v>2279</v>
      </c>
      <c r="K2175" t="s">
        <v>2279</v>
      </c>
      <c r="L2175" t="s">
        <v>2279</v>
      </c>
      <c r="M2175" t="s">
        <v>2279</v>
      </c>
      <c r="N2175" t="s">
        <v>2279</v>
      </c>
      <c r="O2175" s="190" t="str">
        <f>"["&amp;$C2175&amp;"]["&amp;$D2175&amp;"]["&amp;$F2175&amp;"]"</f>
        <v>[S08_ActivityDataIssuesDetail][55][NumberOfInstallationsConEst]</v>
      </c>
    </row>
    <row r="2176" spans="1:15" x14ac:dyDescent="0.3">
      <c r="A2176" t="s">
        <v>2277</v>
      </c>
      <c r="B2176" t="s">
        <v>2096</v>
      </c>
      <c r="C2176" t="s">
        <v>2097</v>
      </c>
      <c r="D2176">
        <v>56</v>
      </c>
      <c r="E2176" t="s">
        <v>1447</v>
      </c>
      <c r="F2176" t="s">
        <v>2094</v>
      </c>
      <c r="G2176" t="s">
        <v>1748</v>
      </c>
      <c r="H2176" t="s">
        <v>2279</v>
      </c>
      <c r="I2176">
        <v>0</v>
      </c>
      <c r="J2176" t="s">
        <v>2279</v>
      </c>
      <c r="K2176" t="s">
        <v>2279</v>
      </c>
      <c r="L2176" t="s">
        <v>2279</v>
      </c>
      <c r="M2176" t="s">
        <v>2279</v>
      </c>
      <c r="N2176" t="s">
        <v>2279</v>
      </c>
      <c r="O2176" s="190" t="str">
        <f>"["&amp;$C2176&amp;"]["&amp;$D2176&amp;"]["&amp;$F2176&amp;"]"</f>
        <v>[S08_ActivityDataIssuesDetail][56][NumberOfInstallationsConEst]</v>
      </c>
    </row>
    <row r="2177" spans="1:15" x14ac:dyDescent="0.3">
      <c r="A2177" t="s">
        <v>2277</v>
      </c>
      <c r="B2177" t="s">
        <v>2096</v>
      </c>
      <c r="C2177" t="s">
        <v>2097</v>
      </c>
      <c r="D2177">
        <v>57</v>
      </c>
      <c r="E2177" t="s">
        <v>1447</v>
      </c>
      <c r="F2177" t="s">
        <v>2094</v>
      </c>
      <c r="G2177" t="s">
        <v>1748</v>
      </c>
      <c r="H2177" t="s">
        <v>2279</v>
      </c>
      <c r="I2177">
        <v>0</v>
      </c>
      <c r="J2177" t="s">
        <v>2279</v>
      </c>
      <c r="K2177" t="s">
        <v>2279</v>
      </c>
      <c r="L2177" t="s">
        <v>2279</v>
      </c>
      <c r="M2177" t="s">
        <v>2279</v>
      </c>
      <c r="N2177" t="s">
        <v>2279</v>
      </c>
      <c r="O2177" s="190" t="str">
        <f>"["&amp;$C2177&amp;"]["&amp;$D2177&amp;"]["&amp;$F2177&amp;"]"</f>
        <v>[S08_ActivityDataIssuesDetail][57][NumberOfInstallationsConEst]</v>
      </c>
    </row>
    <row r="2178" spans="1:15" x14ac:dyDescent="0.3">
      <c r="A2178" t="s">
        <v>2277</v>
      </c>
      <c r="B2178" t="s">
        <v>2096</v>
      </c>
      <c r="C2178" t="s">
        <v>2097</v>
      </c>
      <c r="D2178">
        <v>58</v>
      </c>
      <c r="E2178" t="s">
        <v>1447</v>
      </c>
      <c r="F2178" t="s">
        <v>2094</v>
      </c>
      <c r="G2178" t="s">
        <v>1748</v>
      </c>
      <c r="H2178" t="s">
        <v>2279</v>
      </c>
      <c r="I2178">
        <v>0</v>
      </c>
      <c r="J2178" t="s">
        <v>2279</v>
      </c>
      <c r="K2178" t="s">
        <v>2279</v>
      </c>
      <c r="L2178" t="s">
        <v>2279</v>
      </c>
      <c r="M2178" t="s">
        <v>2279</v>
      </c>
      <c r="N2178" t="s">
        <v>2279</v>
      </c>
      <c r="O2178" s="190" t="str">
        <f>"["&amp;$C2178&amp;"]["&amp;$D2178&amp;"]["&amp;$F2178&amp;"]"</f>
        <v>[S08_ActivityDataIssuesDetail][58][NumberOfInstallationsConEst]</v>
      </c>
    </row>
    <row r="2179" spans="1:15" x14ac:dyDescent="0.3">
      <c r="A2179" t="s">
        <v>2277</v>
      </c>
      <c r="B2179" t="s">
        <v>2096</v>
      </c>
      <c r="C2179" t="s">
        <v>2097</v>
      </c>
      <c r="D2179">
        <v>59</v>
      </c>
      <c r="E2179" t="s">
        <v>1447</v>
      </c>
      <c r="F2179" t="s">
        <v>2094</v>
      </c>
      <c r="G2179" t="s">
        <v>1748</v>
      </c>
      <c r="H2179" t="s">
        <v>2279</v>
      </c>
      <c r="I2179">
        <v>0</v>
      </c>
      <c r="J2179" t="s">
        <v>2279</v>
      </c>
      <c r="K2179" t="s">
        <v>2279</v>
      </c>
      <c r="L2179" t="s">
        <v>2279</v>
      </c>
      <c r="M2179" t="s">
        <v>2279</v>
      </c>
      <c r="N2179" t="s">
        <v>2279</v>
      </c>
      <c r="O2179" s="190" t="str">
        <f>"["&amp;$C2179&amp;"]["&amp;$D2179&amp;"]["&amp;$F2179&amp;"]"</f>
        <v>[S08_ActivityDataIssuesDetail][59][NumberOfInstallationsConEst]</v>
      </c>
    </row>
    <row r="2180" spans="1:15" x14ac:dyDescent="0.3">
      <c r="A2180" t="s">
        <v>2277</v>
      </c>
      <c r="B2180" t="s">
        <v>2096</v>
      </c>
      <c r="C2180" t="s">
        <v>2097</v>
      </c>
      <c r="D2180">
        <v>60</v>
      </c>
      <c r="E2180" t="s">
        <v>1447</v>
      </c>
      <c r="F2180" t="s">
        <v>2094</v>
      </c>
      <c r="G2180" t="s">
        <v>1748</v>
      </c>
      <c r="H2180" t="s">
        <v>2279</v>
      </c>
      <c r="I2180">
        <v>0</v>
      </c>
      <c r="J2180" t="s">
        <v>2279</v>
      </c>
      <c r="K2180" t="s">
        <v>2279</v>
      </c>
      <c r="L2180" t="s">
        <v>2279</v>
      </c>
      <c r="M2180" t="s">
        <v>2279</v>
      </c>
      <c r="N2180" t="s">
        <v>2279</v>
      </c>
      <c r="O2180" s="190" t="str">
        <f>"["&amp;$C2180&amp;"]["&amp;$D2180&amp;"]["&amp;$F2180&amp;"]"</f>
        <v>[S08_ActivityDataIssuesDetail][60][NumberOfInstallationsConEst]</v>
      </c>
    </row>
    <row r="2181" spans="1:15" x14ac:dyDescent="0.3">
      <c r="A2181" t="s">
        <v>2277</v>
      </c>
      <c r="B2181" t="s">
        <v>2096</v>
      </c>
      <c r="C2181" t="s">
        <v>2097</v>
      </c>
      <c r="D2181">
        <v>61</v>
      </c>
      <c r="E2181" t="s">
        <v>1447</v>
      </c>
      <c r="F2181" t="s">
        <v>2094</v>
      </c>
      <c r="G2181" t="s">
        <v>1748</v>
      </c>
      <c r="H2181" t="s">
        <v>2279</v>
      </c>
      <c r="I2181">
        <v>0</v>
      </c>
      <c r="J2181" t="s">
        <v>2279</v>
      </c>
      <c r="K2181" t="s">
        <v>2279</v>
      </c>
      <c r="L2181" t="s">
        <v>2279</v>
      </c>
      <c r="M2181" t="s">
        <v>2279</v>
      </c>
      <c r="N2181" t="s">
        <v>2279</v>
      </c>
      <c r="O2181" s="190" t="str">
        <f>"["&amp;$C2181&amp;"]["&amp;$D2181&amp;"]["&amp;$F2181&amp;"]"</f>
        <v>[S08_ActivityDataIssuesDetail][61][NumberOfInstallationsConEst]</v>
      </c>
    </row>
    <row r="2182" spans="1:15" x14ac:dyDescent="0.3">
      <c r="A2182" t="s">
        <v>2277</v>
      </c>
      <c r="B2182" t="s">
        <v>2096</v>
      </c>
      <c r="C2182" t="s">
        <v>2097</v>
      </c>
      <c r="D2182">
        <v>62</v>
      </c>
      <c r="E2182" t="s">
        <v>1447</v>
      </c>
      <c r="F2182" t="s">
        <v>2094</v>
      </c>
      <c r="G2182" t="s">
        <v>1748</v>
      </c>
      <c r="H2182" t="s">
        <v>2279</v>
      </c>
      <c r="I2182">
        <v>0</v>
      </c>
      <c r="J2182" t="s">
        <v>2279</v>
      </c>
      <c r="K2182" t="s">
        <v>2279</v>
      </c>
      <c r="L2182" t="s">
        <v>2279</v>
      </c>
      <c r="M2182" t="s">
        <v>2279</v>
      </c>
      <c r="N2182" t="s">
        <v>2279</v>
      </c>
      <c r="O2182" s="190" t="str">
        <f>"["&amp;$C2182&amp;"]["&amp;$D2182&amp;"]["&amp;$F2182&amp;"]"</f>
        <v>[S08_ActivityDataIssuesDetail][62][NumberOfInstallationsConEst]</v>
      </c>
    </row>
    <row r="2183" spans="1:15" x14ac:dyDescent="0.3">
      <c r="A2183" t="s">
        <v>2277</v>
      </c>
      <c r="B2183" t="s">
        <v>2096</v>
      </c>
      <c r="C2183" t="s">
        <v>2097</v>
      </c>
      <c r="D2183">
        <v>63</v>
      </c>
      <c r="E2183" t="s">
        <v>1447</v>
      </c>
      <c r="F2183" t="s">
        <v>2094</v>
      </c>
      <c r="G2183" t="s">
        <v>1748</v>
      </c>
      <c r="H2183" t="s">
        <v>2279</v>
      </c>
      <c r="I2183">
        <v>0</v>
      </c>
      <c r="J2183" t="s">
        <v>2279</v>
      </c>
      <c r="K2183" t="s">
        <v>2279</v>
      </c>
      <c r="L2183" t="s">
        <v>2279</v>
      </c>
      <c r="M2183" t="s">
        <v>2279</v>
      </c>
      <c r="N2183" t="s">
        <v>2279</v>
      </c>
      <c r="O2183" s="190" t="str">
        <f>"["&amp;$C2183&amp;"]["&amp;$D2183&amp;"]["&amp;$F2183&amp;"]"</f>
        <v>[S08_ActivityDataIssuesDetail][63][NumberOfInstallationsConEst]</v>
      </c>
    </row>
    <row r="2184" spans="1:15" x14ac:dyDescent="0.3">
      <c r="A2184" t="s">
        <v>2277</v>
      </c>
      <c r="B2184" t="s">
        <v>2096</v>
      </c>
      <c r="C2184" t="s">
        <v>2097</v>
      </c>
      <c r="D2184">
        <v>64</v>
      </c>
      <c r="E2184" t="s">
        <v>1447</v>
      </c>
      <c r="F2184" t="s">
        <v>2094</v>
      </c>
      <c r="G2184" t="s">
        <v>1748</v>
      </c>
      <c r="H2184" t="s">
        <v>2279</v>
      </c>
      <c r="I2184">
        <v>0</v>
      </c>
      <c r="J2184" t="s">
        <v>2279</v>
      </c>
      <c r="K2184" t="s">
        <v>2279</v>
      </c>
      <c r="L2184" t="s">
        <v>2279</v>
      </c>
      <c r="M2184" t="s">
        <v>2279</v>
      </c>
      <c r="N2184" t="s">
        <v>2279</v>
      </c>
      <c r="O2184" s="190" t="str">
        <f>"["&amp;$C2184&amp;"]["&amp;$D2184&amp;"]["&amp;$F2184&amp;"]"</f>
        <v>[S08_ActivityDataIssuesDetail][64][NumberOfInstallationsConEst]</v>
      </c>
    </row>
    <row r="2185" spans="1:15" x14ac:dyDescent="0.3">
      <c r="A2185" t="s">
        <v>2277</v>
      </c>
      <c r="B2185" t="s">
        <v>2096</v>
      </c>
      <c r="C2185" t="s">
        <v>2097</v>
      </c>
      <c r="D2185">
        <v>65</v>
      </c>
      <c r="E2185" t="s">
        <v>1447</v>
      </c>
      <c r="F2185" t="s">
        <v>2094</v>
      </c>
      <c r="G2185" t="s">
        <v>1748</v>
      </c>
      <c r="H2185" t="s">
        <v>2279</v>
      </c>
      <c r="I2185">
        <v>0</v>
      </c>
      <c r="J2185" t="s">
        <v>2279</v>
      </c>
      <c r="K2185" t="s">
        <v>2279</v>
      </c>
      <c r="L2185" t="s">
        <v>2279</v>
      </c>
      <c r="M2185" t="s">
        <v>2279</v>
      </c>
      <c r="N2185" t="s">
        <v>2279</v>
      </c>
      <c r="O2185" s="190" t="str">
        <f>"["&amp;$C2185&amp;"]["&amp;$D2185&amp;"]["&amp;$F2185&amp;"]"</f>
        <v>[S08_ActivityDataIssuesDetail][65][NumberOfInstallationsConEst]</v>
      </c>
    </row>
    <row r="2186" spans="1:15" x14ac:dyDescent="0.3">
      <c r="A2186" t="s">
        <v>2277</v>
      </c>
      <c r="B2186" t="s">
        <v>2096</v>
      </c>
      <c r="C2186" t="s">
        <v>2097</v>
      </c>
      <c r="D2186">
        <v>66</v>
      </c>
      <c r="E2186" t="s">
        <v>1447</v>
      </c>
      <c r="F2186" t="s">
        <v>2094</v>
      </c>
      <c r="G2186" t="s">
        <v>1748</v>
      </c>
      <c r="H2186" t="s">
        <v>2279</v>
      </c>
      <c r="I2186">
        <v>0</v>
      </c>
      <c r="J2186" t="s">
        <v>2279</v>
      </c>
      <c r="K2186" t="s">
        <v>2279</v>
      </c>
      <c r="L2186" t="s">
        <v>2279</v>
      </c>
      <c r="M2186" t="s">
        <v>2279</v>
      </c>
      <c r="N2186" t="s">
        <v>2279</v>
      </c>
      <c r="O2186" s="190" t="str">
        <f>"["&amp;$C2186&amp;"]["&amp;$D2186&amp;"]["&amp;$F2186&amp;"]"</f>
        <v>[S08_ActivityDataIssuesDetail][66][NumberOfInstallationsConEst]</v>
      </c>
    </row>
    <row r="2187" spans="1:15" x14ac:dyDescent="0.3">
      <c r="A2187" t="s">
        <v>2277</v>
      </c>
      <c r="B2187" t="s">
        <v>2096</v>
      </c>
      <c r="C2187" t="s">
        <v>2097</v>
      </c>
      <c r="D2187">
        <v>67</v>
      </c>
      <c r="E2187" t="s">
        <v>1447</v>
      </c>
      <c r="F2187" t="s">
        <v>2094</v>
      </c>
      <c r="G2187" t="s">
        <v>1748</v>
      </c>
      <c r="H2187" t="s">
        <v>2279</v>
      </c>
      <c r="I2187">
        <v>0</v>
      </c>
      <c r="J2187" t="s">
        <v>2279</v>
      </c>
      <c r="K2187" t="s">
        <v>2279</v>
      </c>
      <c r="L2187" t="s">
        <v>2279</v>
      </c>
      <c r="M2187" t="s">
        <v>2279</v>
      </c>
      <c r="N2187" t="s">
        <v>2279</v>
      </c>
      <c r="O2187" s="190" t="str">
        <f>"["&amp;$C2187&amp;"]["&amp;$D2187&amp;"]["&amp;$F2187&amp;"]"</f>
        <v>[S08_ActivityDataIssuesDetail][67][NumberOfInstallationsConEst]</v>
      </c>
    </row>
    <row r="2188" spans="1:15" x14ac:dyDescent="0.3">
      <c r="A2188" t="s">
        <v>2277</v>
      </c>
      <c r="B2188" t="s">
        <v>2096</v>
      </c>
      <c r="C2188" t="s">
        <v>2097</v>
      </c>
      <c r="D2188">
        <v>68</v>
      </c>
      <c r="E2188" t="s">
        <v>1447</v>
      </c>
      <c r="F2188" t="s">
        <v>2094</v>
      </c>
      <c r="G2188" t="s">
        <v>1748</v>
      </c>
      <c r="H2188" t="s">
        <v>2279</v>
      </c>
      <c r="I2188">
        <v>0</v>
      </c>
      <c r="J2188" t="s">
        <v>2279</v>
      </c>
      <c r="K2188" t="s">
        <v>2279</v>
      </c>
      <c r="L2188" t="s">
        <v>2279</v>
      </c>
      <c r="M2188" t="s">
        <v>2279</v>
      </c>
      <c r="N2188" t="s">
        <v>2279</v>
      </c>
      <c r="O2188" s="190" t="str">
        <f>"["&amp;$C2188&amp;"]["&amp;$D2188&amp;"]["&amp;$F2188&amp;"]"</f>
        <v>[S08_ActivityDataIssuesDetail][68][NumberOfInstallationsConEst]</v>
      </c>
    </row>
    <row r="2189" spans="1:15" x14ac:dyDescent="0.3">
      <c r="A2189" t="s">
        <v>2277</v>
      </c>
      <c r="B2189" t="s">
        <v>2096</v>
      </c>
      <c r="C2189" t="s">
        <v>2097</v>
      </c>
      <c r="D2189">
        <v>69</v>
      </c>
      <c r="E2189" t="s">
        <v>1447</v>
      </c>
      <c r="F2189" t="s">
        <v>2094</v>
      </c>
      <c r="G2189" t="s">
        <v>1748</v>
      </c>
      <c r="H2189" t="s">
        <v>2279</v>
      </c>
      <c r="I2189">
        <v>0</v>
      </c>
      <c r="J2189" t="s">
        <v>2279</v>
      </c>
      <c r="K2189" t="s">
        <v>2279</v>
      </c>
      <c r="L2189" t="s">
        <v>2279</v>
      </c>
      <c r="M2189" t="s">
        <v>2279</v>
      </c>
      <c r="N2189" t="s">
        <v>2279</v>
      </c>
      <c r="O2189" s="190" t="str">
        <f>"["&amp;$C2189&amp;"]["&amp;$D2189&amp;"]["&amp;$F2189&amp;"]"</f>
        <v>[S08_ActivityDataIssuesDetail][69][NumberOfInstallationsConEst]</v>
      </c>
    </row>
    <row r="2190" spans="1:15" x14ac:dyDescent="0.3">
      <c r="A2190" t="s">
        <v>2277</v>
      </c>
      <c r="B2190" t="s">
        <v>2096</v>
      </c>
      <c r="C2190" t="s">
        <v>2097</v>
      </c>
      <c r="D2190">
        <v>70</v>
      </c>
      <c r="E2190" t="s">
        <v>1447</v>
      </c>
      <c r="F2190" t="s">
        <v>2094</v>
      </c>
      <c r="G2190" t="s">
        <v>1748</v>
      </c>
      <c r="H2190" t="s">
        <v>2279</v>
      </c>
      <c r="I2190">
        <v>0</v>
      </c>
      <c r="J2190" t="s">
        <v>2279</v>
      </c>
      <c r="K2190" t="s">
        <v>2279</v>
      </c>
      <c r="L2190" t="s">
        <v>2279</v>
      </c>
      <c r="M2190" t="s">
        <v>2279</v>
      </c>
      <c r="N2190" t="s">
        <v>2279</v>
      </c>
      <c r="O2190" s="190" t="str">
        <f>"["&amp;$C2190&amp;"]["&amp;$D2190&amp;"]["&amp;$F2190&amp;"]"</f>
        <v>[S08_ActivityDataIssuesDetail][70][NumberOfInstallationsConEst]</v>
      </c>
    </row>
    <row r="2191" spans="1:15" x14ac:dyDescent="0.3">
      <c r="A2191" t="s">
        <v>2277</v>
      </c>
      <c r="B2191" t="s">
        <v>2096</v>
      </c>
      <c r="C2191" t="s">
        <v>2097</v>
      </c>
      <c r="D2191">
        <v>71</v>
      </c>
      <c r="E2191" t="s">
        <v>1447</v>
      </c>
      <c r="F2191" t="s">
        <v>2094</v>
      </c>
      <c r="G2191" t="s">
        <v>1748</v>
      </c>
      <c r="H2191" t="s">
        <v>2279</v>
      </c>
      <c r="I2191">
        <v>0</v>
      </c>
      <c r="J2191" t="s">
        <v>2279</v>
      </c>
      <c r="K2191" t="s">
        <v>2279</v>
      </c>
      <c r="L2191" t="s">
        <v>2279</v>
      </c>
      <c r="M2191" t="s">
        <v>2279</v>
      </c>
      <c r="N2191" t="s">
        <v>2279</v>
      </c>
      <c r="O2191" s="190" t="str">
        <f>"["&amp;$C2191&amp;"]["&amp;$D2191&amp;"]["&amp;$F2191&amp;"]"</f>
        <v>[S08_ActivityDataIssuesDetail][71][NumberOfInstallationsConEst]</v>
      </c>
    </row>
    <row r="2192" spans="1:15" x14ac:dyDescent="0.3">
      <c r="A2192" t="s">
        <v>2277</v>
      </c>
      <c r="B2192" t="s">
        <v>2096</v>
      </c>
      <c r="C2192" t="s">
        <v>2097</v>
      </c>
      <c r="D2192">
        <v>72</v>
      </c>
      <c r="E2192" t="s">
        <v>1447</v>
      </c>
      <c r="F2192" t="s">
        <v>2094</v>
      </c>
      <c r="G2192" t="s">
        <v>1748</v>
      </c>
      <c r="H2192" t="s">
        <v>2279</v>
      </c>
      <c r="I2192">
        <v>0</v>
      </c>
      <c r="J2192" t="s">
        <v>2279</v>
      </c>
      <c r="K2192" t="s">
        <v>2279</v>
      </c>
      <c r="L2192" t="s">
        <v>2279</v>
      </c>
      <c r="M2192" t="s">
        <v>2279</v>
      </c>
      <c r="N2192" t="s">
        <v>2279</v>
      </c>
      <c r="O2192" s="190" t="str">
        <f>"["&amp;$C2192&amp;"]["&amp;$D2192&amp;"]["&amp;$F2192&amp;"]"</f>
        <v>[S08_ActivityDataIssuesDetail][72][NumberOfInstallationsConEst]</v>
      </c>
    </row>
    <row r="2193" spans="1:15" x14ac:dyDescent="0.3">
      <c r="A2193" t="s">
        <v>2277</v>
      </c>
      <c r="B2193" t="s">
        <v>2096</v>
      </c>
      <c r="C2193" t="s">
        <v>2097</v>
      </c>
      <c r="D2193">
        <v>73</v>
      </c>
      <c r="E2193" t="s">
        <v>1447</v>
      </c>
      <c r="F2193" t="s">
        <v>2094</v>
      </c>
      <c r="G2193" t="s">
        <v>1748</v>
      </c>
      <c r="H2193" t="s">
        <v>2279</v>
      </c>
      <c r="I2193">
        <v>0</v>
      </c>
      <c r="J2193" t="s">
        <v>2279</v>
      </c>
      <c r="K2193" t="s">
        <v>2279</v>
      </c>
      <c r="L2193" t="s">
        <v>2279</v>
      </c>
      <c r="M2193" t="s">
        <v>2279</v>
      </c>
      <c r="N2193" t="s">
        <v>2279</v>
      </c>
      <c r="O2193" s="190" t="str">
        <f>"["&amp;$C2193&amp;"]["&amp;$D2193&amp;"]["&amp;$F2193&amp;"]"</f>
        <v>[S08_ActivityDataIssuesDetail][73][NumberOfInstallationsConEst]</v>
      </c>
    </row>
    <row r="2194" spans="1:15" x14ac:dyDescent="0.3">
      <c r="A2194" t="s">
        <v>2277</v>
      </c>
      <c r="B2194" t="s">
        <v>2096</v>
      </c>
      <c r="C2194" t="s">
        <v>2097</v>
      </c>
      <c r="D2194">
        <v>74</v>
      </c>
      <c r="E2194" t="s">
        <v>1447</v>
      </c>
      <c r="F2194" t="s">
        <v>2094</v>
      </c>
      <c r="G2194" t="s">
        <v>1748</v>
      </c>
      <c r="H2194" t="s">
        <v>2279</v>
      </c>
      <c r="I2194">
        <v>0</v>
      </c>
      <c r="J2194" t="s">
        <v>2279</v>
      </c>
      <c r="K2194" t="s">
        <v>2279</v>
      </c>
      <c r="L2194" t="s">
        <v>2279</v>
      </c>
      <c r="M2194" t="s">
        <v>2279</v>
      </c>
      <c r="N2194" t="s">
        <v>2279</v>
      </c>
      <c r="O2194" s="190" t="str">
        <f>"["&amp;$C2194&amp;"]["&amp;$D2194&amp;"]["&amp;$F2194&amp;"]"</f>
        <v>[S08_ActivityDataIssuesDetail][74][NumberOfInstallationsConEst]</v>
      </c>
    </row>
    <row r="2195" spans="1:15" x14ac:dyDescent="0.3">
      <c r="A2195" t="s">
        <v>2277</v>
      </c>
      <c r="B2195" t="s">
        <v>2096</v>
      </c>
      <c r="C2195" t="s">
        <v>2097</v>
      </c>
      <c r="D2195">
        <v>75</v>
      </c>
      <c r="E2195" t="s">
        <v>1447</v>
      </c>
      <c r="F2195" t="s">
        <v>2094</v>
      </c>
      <c r="G2195" t="s">
        <v>1748</v>
      </c>
      <c r="H2195" t="s">
        <v>2279</v>
      </c>
      <c r="I2195">
        <v>0</v>
      </c>
      <c r="J2195" t="s">
        <v>2279</v>
      </c>
      <c r="K2195" t="s">
        <v>2279</v>
      </c>
      <c r="L2195" t="s">
        <v>2279</v>
      </c>
      <c r="M2195" t="s">
        <v>2279</v>
      </c>
      <c r="N2195" t="s">
        <v>2279</v>
      </c>
      <c r="O2195" s="190" t="str">
        <f>"["&amp;$C2195&amp;"]["&amp;$D2195&amp;"]["&amp;$F2195&amp;"]"</f>
        <v>[S08_ActivityDataIssuesDetail][75][NumberOfInstallationsConEst]</v>
      </c>
    </row>
    <row r="2196" spans="1:15" x14ac:dyDescent="0.3">
      <c r="A2196" t="s">
        <v>2277</v>
      </c>
      <c r="B2196" t="s">
        <v>2096</v>
      </c>
      <c r="C2196" t="s">
        <v>2097</v>
      </c>
      <c r="D2196">
        <v>76</v>
      </c>
      <c r="E2196" t="s">
        <v>1447</v>
      </c>
      <c r="F2196" t="s">
        <v>2094</v>
      </c>
      <c r="G2196" t="s">
        <v>1748</v>
      </c>
      <c r="H2196" t="s">
        <v>2279</v>
      </c>
      <c r="I2196">
        <v>0</v>
      </c>
      <c r="J2196" t="s">
        <v>2279</v>
      </c>
      <c r="K2196" t="s">
        <v>2279</v>
      </c>
      <c r="L2196" t="s">
        <v>2279</v>
      </c>
      <c r="M2196" t="s">
        <v>2279</v>
      </c>
      <c r="N2196" t="s">
        <v>2279</v>
      </c>
      <c r="O2196" s="190" t="str">
        <f>"["&amp;$C2196&amp;"]["&amp;$D2196&amp;"]["&amp;$F2196&amp;"]"</f>
        <v>[S08_ActivityDataIssuesDetail][76][NumberOfInstallationsConEst]</v>
      </c>
    </row>
    <row r="2197" spans="1:15" x14ac:dyDescent="0.3">
      <c r="A2197" t="s">
        <v>2277</v>
      </c>
      <c r="B2197" t="s">
        <v>2098</v>
      </c>
      <c r="C2197" t="s">
        <v>2099</v>
      </c>
      <c r="D2197">
        <v>0</v>
      </c>
      <c r="E2197" t="s">
        <v>1447</v>
      </c>
      <c r="F2197" t="s">
        <v>2099</v>
      </c>
      <c r="G2197" t="s">
        <v>1759</v>
      </c>
      <c r="H2197" t="s">
        <v>2279</v>
      </c>
      <c r="I2197" t="s">
        <v>2279</v>
      </c>
      <c r="J2197" t="s">
        <v>2279</v>
      </c>
      <c r="K2197" t="s">
        <v>2279</v>
      </c>
      <c r="L2197" t="s">
        <v>1419</v>
      </c>
      <c r="M2197" t="s">
        <v>2279</v>
      </c>
      <c r="N2197" t="s">
        <v>2279</v>
      </c>
      <c r="O2197" s="190" t="str">
        <f>"["&amp;$C2197&amp;"]["&amp;$D2197&amp;"]["&amp;$F2197&amp;"]"</f>
        <v>[ActivityReportRejected][0][ActivityReportRejected]</v>
      </c>
    </row>
    <row r="2198" spans="1:15" x14ac:dyDescent="0.3">
      <c r="A2198" t="s">
        <v>2277</v>
      </c>
      <c r="B2198" t="s">
        <v>2098</v>
      </c>
      <c r="C2198" t="s">
        <v>2100</v>
      </c>
      <c r="D2198">
        <v>1</v>
      </c>
      <c r="E2198" t="s">
        <v>1447</v>
      </c>
      <c r="F2198" t="s">
        <v>2101</v>
      </c>
      <c r="G2198" t="s">
        <v>1748</v>
      </c>
      <c r="H2198" t="s">
        <v>2279</v>
      </c>
      <c r="I2198">
        <v>1</v>
      </c>
      <c r="J2198" t="s">
        <v>2279</v>
      </c>
      <c r="K2198" t="s">
        <v>2279</v>
      </c>
      <c r="L2198" t="s">
        <v>2279</v>
      </c>
      <c r="M2198" t="s">
        <v>2279</v>
      </c>
      <c r="N2198" t="s">
        <v>2279</v>
      </c>
      <c r="O2198" s="190" t="str">
        <f>"["&amp;$C2198&amp;"]["&amp;$D2198&amp;"]["&amp;$F2198&amp;"]"</f>
        <v>[S08_ActivityReportRejectedDetail][1][NumberActivityReportRejected]</v>
      </c>
    </row>
    <row r="2199" spans="1:15" x14ac:dyDescent="0.3">
      <c r="A2199" t="s">
        <v>2277</v>
      </c>
      <c r="B2199" t="s">
        <v>2098</v>
      </c>
      <c r="C2199" t="s">
        <v>2100</v>
      </c>
      <c r="D2199">
        <v>2</v>
      </c>
      <c r="E2199" t="s">
        <v>1447</v>
      </c>
      <c r="F2199" t="s">
        <v>2101</v>
      </c>
      <c r="G2199" t="s">
        <v>1748</v>
      </c>
      <c r="H2199" t="s">
        <v>2279</v>
      </c>
      <c r="I2199">
        <v>3</v>
      </c>
      <c r="J2199" t="s">
        <v>2279</v>
      </c>
      <c r="K2199" t="s">
        <v>2279</v>
      </c>
      <c r="L2199" t="s">
        <v>2279</v>
      </c>
      <c r="M2199" t="s">
        <v>2279</v>
      </c>
      <c r="N2199" t="s">
        <v>2279</v>
      </c>
      <c r="O2199" s="190" t="str">
        <f>"["&amp;$C2199&amp;"]["&amp;$D2199&amp;"]["&amp;$F2199&amp;"]"</f>
        <v>[S08_ActivityReportRejectedDetail][2][NumberActivityReportRejected]</v>
      </c>
    </row>
    <row r="2200" spans="1:15" x14ac:dyDescent="0.3">
      <c r="A2200" t="s">
        <v>2277</v>
      </c>
      <c r="B2200" t="s">
        <v>2098</v>
      </c>
      <c r="C2200" t="s">
        <v>2100</v>
      </c>
      <c r="D2200">
        <v>2</v>
      </c>
      <c r="E2200" t="s">
        <v>1447</v>
      </c>
      <c r="F2200" t="s">
        <v>2102</v>
      </c>
      <c r="G2200" t="s">
        <v>1791</v>
      </c>
      <c r="H2200" t="s">
        <v>2279</v>
      </c>
      <c r="I2200" t="s">
        <v>2279</v>
      </c>
      <c r="J2200" t="s">
        <v>2279</v>
      </c>
      <c r="K2200" t="s">
        <v>2520</v>
      </c>
      <c r="L2200" t="s">
        <v>2279</v>
      </c>
      <c r="M2200" t="s">
        <v>2279</v>
      </c>
      <c r="N2200" t="s">
        <v>2279</v>
      </c>
      <c r="O2200" s="190" t="str">
        <f>"["&amp;$C2200&amp;"]["&amp;$D2200&amp;"]["&amp;$F2200&amp;"]"</f>
        <v>[S08_ActivityReportRejectedDetail][2][ReasonForRejection]</v>
      </c>
    </row>
    <row r="2201" spans="1:15" x14ac:dyDescent="0.3">
      <c r="A2201" t="s">
        <v>2277</v>
      </c>
      <c r="B2201" t="s">
        <v>2098</v>
      </c>
      <c r="C2201" t="s">
        <v>2100</v>
      </c>
      <c r="D2201">
        <v>3</v>
      </c>
      <c r="E2201" t="s">
        <v>1447</v>
      </c>
      <c r="F2201" t="s">
        <v>2000</v>
      </c>
      <c r="G2201" t="s">
        <v>1741</v>
      </c>
      <c r="H2201" t="s">
        <v>2521</v>
      </c>
      <c r="I2201" t="s">
        <v>2279</v>
      </c>
      <c r="J2201" t="s">
        <v>2279</v>
      </c>
      <c r="K2201" t="s">
        <v>2279</v>
      </c>
      <c r="L2201" t="s">
        <v>2279</v>
      </c>
      <c r="M2201" t="s">
        <v>2279</v>
      </c>
      <c r="N2201" t="s">
        <v>2279</v>
      </c>
      <c r="O2201" s="190" t="str">
        <f>"["&amp;$C2201&amp;"]["&amp;$D2201&amp;"]["&amp;$F2201&amp;"]"</f>
        <v>[S08_ActivityReportRejectedDetail][3][ActionsTaken]</v>
      </c>
    </row>
    <row r="2202" spans="1:15" x14ac:dyDescent="0.3">
      <c r="A2202" t="s">
        <v>2277</v>
      </c>
      <c r="B2202" t="s">
        <v>2098</v>
      </c>
      <c r="C2202" t="s">
        <v>2100</v>
      </c>
      <c r="D2202">
        <v>4</v>
      </c>
      <c r="E2202" t="s">
        <v>1419</v>
      </c>
      <c r="F2202" t="s">
        <v>2000</v>
      </c>
      <c r="G2202" t="s">
        <v>1791</v>
      </c>
      <c r="H2202" t="s">
        <v>2279</v>
      </c>
      <c r="I2202" t="s">
        <v>2279</v>
      </c>
      <c r="J2202" t="s">
        <v>2279</v>
      </c>
      <c r="K2202" t="s">
        <v>2522</v>
      </c>
      <c r="L2202" t="s">
        <v>2279</v>
      </c>
      <c r="M2202" t="s">
        <v>2279</v>
      </c>
      <c r="N2202" t="s">
        <v>2279</v>
      </c>
      <c r="O2202" s="190" t="str">
        <f>"["&amp;$C2202&amp;"]["&amp;$D2202&amp;"]["&amp;$F2202&amp;"]"</f>
        <v>[S08_ActivityReportRejectedDetail][4][ActionsTaken]</v>
      </c>
    </row>
    <row r="2203" spans="1:15" x14ac:dyDescent="0.3">
      <c r="A2203" t="s">
        <v>2277</v>
      </c>
      <c r="B2203" t="s">
        <v>2103</v>
      </c>
      <c r="C2203" t="s">
        <v>2104</v>
      </c>
      <c r="D2203">
        <v>0</v>
      </c>
      <c r="E2203" t="s">
        <v>1447</v>
      </c>
      <c r="F2203" t="s">
        <v>2104</v>
      </c>
      <c r="G2203" t="s">
        <v>1759</v>
      </c>
      <c r="H2203" t="s">
        <v>2279</v>
      </c>
      <c r="I2203" t="s">
        <v>2279</v>
      </c>
      <c r="J2203" t="s">
        <v>2279</v>
      </c>
      <c r="K2203" t="s">
        <v>2279</v>
      </c>
      <c r="L2203" t="s">
        <v>1447</v>
      </c>
      <c r="M2203" t="s">
        <v>2279</v>
      </c>
      <c r="N2203" t="s">
        <v>2279</v>
      </c>
      <c r="O2203" s="190" t="str">
        <f>"["&amp;$C2203&amp;"]["&amp;$D2203&amp;"]["&amp;$F2203&amp;"]"</f>
        <v>[ActivityLevelVisitsWaived][0][ActivityLevelVisitsWaived]</v>
      </c>
    </row>
    <row r="2204" spans="1:15" x14ac:dyDescent="0.3">
      <c r="A2204" t="s">
        <v>2277</v>
      </c>
      <c r="B2204" t="s">
        <v>2103</v>
      </c>
      <c r="C2204" t="s">
        <v>2105</v>
      </c>
      <c r="D2204">
        <v>1</v>
      </c>
      <c r="E2204" t="s">
        <v>1447</v>
      </c>
      <c r="F2204" t="s">
        <v>1798</v>
      </c>
      <c r="G2204" t="s">
        <v>1748</v>
      </c>
      <c r="H2204" t="s">
        <v>2279</v>
      </c>
      <c r="I2204">
        <v>0</v>
      </c>
      <c r="J2204" t="s">
        <v>2279</v>
      </c>
      <c r="K2204" t="s">
        <v>2279</v>
      </c>
      <c r="L2204" t="s">
        <v>2279</v>
      </c>
      <c r="M2204" t="s">
        <v>2279</v>
      </c>
      <c r="N2204" t="s">
        <v>2279</v>
      </c>
      <c r="O2204" s="190" t="str">
        <f>"["&amp;$C2204&amp;"]["&amp;$D2204&amp;"]["&amp;$F2204&amp;"]"</f>
        <v>[S08_ActivityLevelVisitsWaivedDetail][1][NumberOfInstallations]</v>
      </c>
    </row>
    <row r="2205" spans="1:15" x14ac:dyDescent="0.3">
      <c r="A2205" t="s">
        <v>2277</v>
      </c>
      <c r="B2205" t="s">
        <v>2103</v>
      </c>
      <c r="C2205" t="s">
        <v>2105</v>
      </c>
      <c r="D2205">
        <v>2</v>
      </c>
      <c r="E2205" t="s">
        <v>1447</v>
      </c>
      <c r="F2205" t="s">
        <v>1798</v>
      </c>
      <c r="G2205" t="s">
        <v>1748</v>
      </c>
      <c r="H2205" t="s">
        <v>2279</v>
      </c>
      <c r="I2205">
        <v>0</v>
      </c>
      <c r="J2205" t="s">
        <v>2279</v>
      </c>
      <c r="K2205" t="s">
        <v>2279</v>
      </c>
      <c r="L2205" t="s">
        <v>2279</v>
      </c>
      <c r="M2205" t="s">
        <v>2279</v>
      </c>
      <c r="N2205" t="s">
        <v>2279</v>
      </c>
      <c r="O2205" s="190" t="str">
        <f>"["&amp;$C2205&amp;"]["&amp;$D2205&amp;"]["&amp;$F2205&amp;"]"</f>
        <v>[S08_ActivityLevelVisitsWaivedDetail][2][NumberOfInstallations]</v>
      </c>
    </row>
    <row r="2206" spans="1:15" x14ac:dyDescent="0.3">
      <c r="A2206" t="s">
        <v>2277</v>
      </c>
      <c r="B2206" t="s">
        <v>2103</v>
      </c>
      <c r="C2206" t="s">
        <v>2105</v>
      </c>
      <c r="D2206">
        <v>3</v>
      </c>
      <c r="E2206" t="s">
        <v>1447</v>
      </c>
      <c r="F2206" t="s">
        <v>1798</v>
      </c>
      <c r="G2206" t="s">
        <v>1748</v>
      </c>
      <c r="H2206" t="s">
        <v>2279</v>
      </c>
      <c r="I2206">
        <v>0</v>
      </c>
      <c r="J2206" t="s">
        <v>2279</v>
      </c>
      <c r="K2206" t="s">
        <v>2279</v>
      </c>
      <c r="L2206" t="s">
        <v>2279</v>
      </c>
      <c r="M2206" t="s">
        <v>2279</v>
      </c>
      <c r="N2206" t="s">
        <v>2279</v>
      </c>
      <c r="O2206" s="190" t="str">
        <f>"["&amp;$C2206&amp;"]["&amp;$D2206&amp;"]["&amp;$F2206&amp;"]"</f>
        <v>[S08_ActivityLevelVisitsWaivedDetail][3][NumberOfInstallations]</v>
      </c>
    </row>
    <row r="2207" spans="1:15" x14ac:dyDescent="0.3">
      <c r="A2207" t="s">
        <v>2277</v>
      </c>
      <c r="B2207" t="s">
        <v>2103</v>
      </c>
      <c r="C2207" t="s">
        <v>2105</v>
      </c>
      <c r="D2207">
        <v>4</v>
      </c>
      <c r="E2207" t="s">
        <v>1447</v>
      </c>
      <c r="F2207" t="s">
        <v>1798</v>
      </c>
      <c r="G2207" t="s">
        <v>1748</v>
      </c>
      <c r="H2207" t="s">
        <v>2279</v>
      </c>
      <c r="I2207">
        <v>0</v>
      </c>
      <c r="J2207" t="s">
        <v>2279</v>
      </c>
      <c r="K2207" t="s">
        <v>2279</v>
      </c>
      <c r="L2207" t="s">
        <v>2279</v>
      </c>
      <c r="M2207" t="s">
        <v>2279</v>
      </c>
      <c r="N2207" t="s">
        <v>2279</v>
      </c>
      <c r="O2207" s="190" t="str">
        <f>"["&amp;$C2207&amp;"]["&amp;$D2207&amp;"]["&amp;$F2207&amp;"]"</f>
        <v>[S08_ActivityLevelVisitsWaivedDetail][4][NumberOfInstallations]</v>
      </c>
    </row>
    <row r="2208" spans="1:15" x14ac:dyDescent="0.3">
      <c r="A2208" t="s">
        <v>2277</v>
      </c>
      <c r="B2208" t="s">
        <v>2103</v>
      </c>
      <c r="C2208" t="s">
        <v>2105</v>
      </c>
      <c r="D2208">
        <v>5</v>
      </c>
      <c r="E2208" t="s">
        <v>1447</v>
      </c>
      <c r="F2208" t="s">
        <v>1798</v>
      </c>
      <c r="G2208" t="s">
        <v>1748</v>
      </c>
      <c r="H2208" t="s">
        <v>2279</v>
      </c>
      <c r="I2208">
        <v>0</v>
      </c>
      <c r="J2208" t="s">
        <v>2279</v>
      </c>
      <c r="K2208" t="s">
        <v>2279</v>
      </c>
      <c r="L2208" t="s">
        <v>2279</v>
      </c>
      <c r="M2208" t="s">
        <v>2279</v>
      </c>
      <c r="N2208" t="s">
        <v>2279</v>
      </c>
      <c r="O2208" s="190" t="str">
        <f>"["&amp;$C2208&amp;"]["&amp;$D2208&amp;"]["&amp;$F2208&amp;"]"</f>
        <v>[S08_ActivityLevelVisitsWaivedDetail][5][NumberOfInstallations]</v>
      </c>
    </row>
    <row r="2209" spans="1:15" x14ac:dyDescent="0.3">
      <c r="A2209" t="s">
        <v>2277</v>
      </c>
      <c r="B2209" t="s">
        <v>2106</v>
      </c>
      <c r="C2209" t="s">
        <v>2107</v>
      </c>
      <c r="D2209">
        <v>0</v>
      </c>
      <c r="E2209" t="s">
        <v>1447</v>
      </c>
      <c r="F2209" t="s">
        <v>2107</v>
      </c>
      <c r="G2209" t="s">
        <v>1759</v>
      </c>
      <c r="H2209" t="s">
        <v>2279</v>
      </c>
      <c r="I2209" t="s">
        <v>2279</v>
      </c>
      <c r="J2209" t="s">
        <v>2279</v>
      </c>
      <c r="K2209" t="s">
        <v>2279</v>
      </c>
      <c r="L2209" t="s">
        <v>1419</v>
      </c>
      <c r="M2209" t="s">
        <v>2279</v>
      </c>
      <c r="N2209" t="s">
        <v>2279</v>
      </c>
      <c r="O2209" s="190" t="str">
        <f>"["&amp;$C2209&amp;"]["&amp;$D2209&amp;"]["&amp;$F2209&amp;"]"</f>
        <v>[VirtualVisitsActivityLevel][0][VirtualVisitsActivityLevel]</v>
      </c>
    </row>
    <row r="2210" spans="1:15" x14ac:dyDescent="0.3">
      <c r="A2210" t="s">
        <v>2277</v>
      </c>
      <c r="B2210" t="s">
        <v>2106</v>
      </c>
      <c r="C2210" t="s">
        <v>2108</v>
      </c>
      <c r="D2210">
        <v>1</v>
      </c>
      <c r="E2210" t="s">
        <v>1447</v>
      </c>
      <c r="F2210" t="s">
        <v>2010</v>
      </c>
      <c r="G2210" t="s">
        <v>1741</v>
      </c>
      <c r="H2210" t="s">
        <v>2431</v>
      </c>
      <c r="I2210" t="s">
        <v>2279</v>
      </c>
      <c r="J2210" t="s">
        <v>2279</v>
      </c>
      <c r="K2210" t="s">
        <v>2279</v>
      </c>
      <c r="L2210" t="s">
        <v>2279</v>
      </c>
      <c r="M2210" t="s">
        <v>2279</v>
      </c>
      <c r="N2210" t="s">
        <v>2279</v>
      </c>
      <c r="O2210" s="190" t="str">
        <f>"["&amp;$C2210&amp;"]["&amp;$D2210&amp;"]["&amp;$F2210&amp;"]"</f>
        <v>[S08_VirtualVisitsActivityLevelDetail][1][TypeForceMajeur]</v>
      </c>
    </row>
    <row r="2211" spans="1:15" x14ac:dyDescent="0.3">
      <c r="A2211" t="s">
        <v>2277</v>
      </c>
      <c r="B2211" t="s">
        <v>2106</v>
      </c>
      <c r="C2211" t="s">
        <v>2108</v>
      </c>
      <c r="D2211">
        <v>1</v>
      </c>
      <c r="E2211" t="s">
        <v>1447</v>
      </c>
      <c r="F2211" t="s">
        <v>2011</v>
      </c>
      <c r="G2211" t="s">
        <v>1748</v>
      </c>
      <c r="H2211" t="s">
        <v>2279</v>
      </c>
      <c r="I2211">
        <v>46</v>
      </c>
      <c r="J2211" t="s">
        <v>2279</v>
      </c>
      <c r="K2211" t="s">
        <v>2279</v>
      </c>
      <c r="L2211" t="s">
        <v>2279</v>
      </c>
      <c r="M2211" t="s">
        <v>2279</v>
      </c>
      <c r="N2211" t="s">
        <v>2279</v>
      </c>
      <c r="O2211" s="190" t="str">
        <f>"["&amp;$C2211&amp;"]["&amp;$D2211&amp;"]["&amp;$F2211&amp;"]"</f>
        <v>[S08_VirtualVisitsActivityLevelDetail][1][NumberOfInstallationsVV]</v>
      </c>
    </row>
    <row r="2212" spans="1:15" x14ac:dyDescent="0.3">
      <c r="A2212" t="s">
        <v>2277</v>
      </c>
      <c r="B2212" t="s">
        <v>2106</v>
      </c>
      <c r="C2212" t="s">
        <v>2108</v>
      </c>
      <c r="D2212">
        <v>1</v>
      </c>
      <c r="E2212" t="s">
        <v>1447</v>
      </c>
      <c r="F2212" t="s">
        <v>2012</v>
      </c>
      <c r="G2212" t="s">
        <v>1737</v>
      </c>
      <c r="H2212" t="s">
        <v>2279</v>
      </c>
      <c r="I2212" t="s">
        <v>2279</v>
      </c>
      <c r="J2212" t="s">
        <v>2279</v>
      </c>
      <c r="K2212" t="s">
        <v>2279</v>
      </c>
      <c r="L2212" t="s">
        <v>1473</v>
      </c>
      <c r="M2212" t="s">
        <v>2279</v>
      </c>
      <c r="N2212" t="s">
        <v>2279</v>
      </c>
      <c r="O2212" s="190" t="str">
        <f>"["&amp;$C2212&amp;"]["&amp;$D2212&amp;"]["&amp;$F2212&amp;"]"</f>
        <v>[S08_VirtualVisitsActivityLevelDetail][1][AuthorityApproval]</v>
      </c>
    </row>
    <row r="2213" spans="1:15" x14ac:dyDescent="0.3">
      <c r="A2213" t="s">
        <v>2277</v>
      </c>
      <c r="B2213" t="s">
        <v>2106</v>
      </c>
      <c r="C2213" t="s">
        <v>2108</v>
      </c>
      <c r="D2213">
        <v>1</v>
      </c>
      <c r="E2213" t="s">
        <v>1447</v>
      </c>
      <c r="F2213" t="s">
        <v>2013</v>
      </c>
      <c r="G2213" t="s">
        <v>1741</v>
      </c>
      <c r="H2213" t="s">
        <v>1419</v>
      </c>
      <c r="I2213" t="s">
        <v>2279</v>
      </c>
      <c r="J2213" t="s">
        <v>2279</v>
      </c>
      <c r="K2213" t="s">
        <v>2279</v>
      </c>
      <c r="L2213" t="s">
        <v>2279</v>
      </c>
      <c r="M2213" t="s">
        <v>2279</v>
      </c>
      <c r="N2213" t="s">
        <v>2279</v>
      </c>
      <c r="O2213" s="190" t="str">
        <f>"["&amp;$C2213&amp;"]["&amp;$D2213&amp;"]["&amp;$F2213&amp;"]"</f>
        <v>[S08_VirtualVisitsActivityLevelDetail][1][ConfirmationConditionsMet]</v>
      </c>
    </row>
    <row r="2214" spans="1:15" x14ac:dyDescent="0.3">
      <c r="A2214" t="s">
        <v>2277</v>
      </c>
      <c r="B2214" t="s">
        <v>2109</v>
      </c>
      <c r="C2214" t="s">
        <v>2110</v>
      </c>
      <c r="D2214">
        <v>1</v>
      </c>
      <c r="E2214" t="s">
        <v>1447</v>
      </c>
      <c r="F2214" t="s">
        <v>2115</v>
      </c>
      <c r="G2214" t="s">
        <v>1741</v>
      </c>
      <c r="H2214" t="s">
        <v>2523</v>
      </c>
      <c r="I2214" t="s">
        <v>2279</v>
      </c>
      <c r="J2214" t="s">
        <v>2279</v>
      </c>
      <c r="K2214" t="s">
        <v>2279</v>
      </c>
      <c r="L2214" t="s">
        <v>2279</v>
      </c>
      <c r="M2214" t="s">
        <v>2279</v>
      </c>
      <c r="N2214" t="s">
        <v>2279</v>
      </c>
      <c r="O2214" s="190" t="str">
        <f>"["&amp;$C2214&amp;"]["&amp;$D2214&amp;"]["&amp;$F2214&amp;"]"</f>
        <v>[S08_PenaltiesAllocation][1][OtherPenalty]</v>
      </c>
    </row>
    <row r="2215" spans="1:15" x14ac:dyDescent="0.3">
      <c r="A2215" t="s">
        <v>2277</v>
      </c>
      <c r="B2215" t="s">
        <v>2109</v>
      </c>
      <c r="C2215" t="s">
        <v>2110</v>
      </c>
      <c r="D2215">
        <v>2</v>
      </c>
      <c r="E2215" t="s">
        <v>1447</v>
      </c>
      <c r="F2215" t="s">
        <v>2115</v>
      </c>
      <c r="G2215" t="s">
        <v>1741</v>
      </c>
      <c r="H2215" t="s">
        <v>2523</v>
      </c>
      <c r="I2215" t="s">
        <v>2279</v>
      </c>
      <c r="J2215" t="s">
        <v>2279</v>
      </c>
      <c r="K2215" t="s">
        <v>2279</v>
      </c>
      <c r="L2215" t="s">
        <v>2279</v>
      </c>
      <c r="M2215" t="s">
        <v>2279</v>
      </c>
      <c r="N2215" t="s">
        <v>2279</v>
      </c>
      <c r="O2215" s="190" t="str">
        <f>"["&amp;$C2215&amp;"]["&amp;$D2215&amp;"]["&amp;$F2215&amp;"]"</f>
        <v>[S08_PenaltiesAllocation][2][OtherPenalty]</v>
      </c>
    </row>
    <row r="2216" spans="1:15" x14ac:dyDescent="0.3">
      <c r="A2216" t="s">
        <v>2277</v>
      </c>
      <c r="B2216" t="s">
        <v>2109</v>
      </c>
      <c r="C2216" t="s">
        <v>2110</v>
      </c>
      <c r="D2216">
        <v>3</v>
      </c>
      <c r="E2216" t="s">
        <v>1447</v>
      </c>
      <c r="F2216" t="s">
        <v>2115</v>
      </c>
      <c r="G2216" t="s">
        <v>1741</v>
      </c>
      <c r="H2216" t="s">
        <v>2523</v>
      </c>
      <c r="I2216" t="s">
        <v>2279</v>
      </c>
      <c r="J2216" t="s">
        <v>2279</v>
      </c>
      <c r="K2216" t="s">
        <v>2279</v>
      </c>
      <c r="L2216" t="s">
        <v>2279</v>
      </c>
      <c r="M2216" t="s">
        <v>2279</v>
      </c>
      <c r="N2216" t="s">
        <v>2279</v>
      </c>
      <c r="O2216" s="190" t="str">
        <f>"["&amp;$C2216&amp;"]["&amp;$D2216&amp;"]["&amp;$F2216&amp;"]"</f>
        <v>[S08_PenaltiesAllocation][3][OtherPenalty]</v>
      </c>
    </row>
    <row r="2217" spans="1:15" x14ac:dyDescent="0.3">
      <c r="A2217" t="s">
        <v>2277</v>
      </c>
      <c r="B2217" t="s">
        <v>2109</v>
      </c>
      <c r="C2217" t="s">
        <v>2110</v>
      </c>
      <c r="D2217">
        <v>4</v>
      </c>
      <c r="E2217" t="s">
        <v>1447</v>
      </c>
      <c r="F2217" t="s">
        <v>2115</v>
      </c>
      <c r="G2217" t="s">
        <v>1741</v>
      </c>
      <c r="H2217" t="s">
        <v>2523</v>
      </c>
      <c r="I2217" t="s">
        <v>2279</v>
      </c>
      <c r="J2217" t="s">
        <v>2279</v>
      </c>
      <c r="K2217" t="s">
        <v>2279</v>
      </c>
      <c r="L2217" t="s">
        <v>2279</v>
      </c>
      <c r="M2217" t="s">
        <v>2279</v>
      </c>
      <c r="N2217" t="s">
        <v>2279</v>
      </c>
      <c r="O2217" s="190" t="str">
        <f>"["&amp;$C2217&amp;"]["&amp;$D2217&amp;"]["&amp;$F2217&amp;"]"</f>
        <v>[S08_PenaltiesAllocation][4][OtherPenalty]</v>
      </c>
    </row>
    <row r="2218" spans="1:15" x14ac:dyDescent="0.3">
      <c r="A2218" t="s">
        <v>2277</v>
      </c>
      <c r="B2218" t="s">
        <v>2117</v>
      </c>
      <c r="C2218" t="s">
        <v>2118</v>
      </c>
      <c r="D2218">
        <v>1</v>
      </c>
      <c r="E2218" t="s">
        <v>1447</v>
      </c>
      <c r="F2218" t="s">
        <v>2119</v>
      </c>
      <c r="G2218" t="s">
        <v>1737</v>
      </c>
      <c r="H2218" t="s">
        <v>2279</v>
      </c>
      <c r="I2218" t="s">
        <v>2279</v>
      </c>
      <c r="J2218" t="s">
        <v>2279</v>
      </c>
      <c r="K2218" t="s">
        <v>2279</v>
      </c>
      <c r="L2218" t="s">
        <v>1233</v>
      </c>
      <c r="M2218" t="s">
        <v>2279</v>
      </c>
      <c r="N2218" t="s">
        <v>2279</v>
      </c>
      <c r="O2218" s="190" t="str">
        <f>"["&amp;$C2218&amp;"]["&amp;$D2218&amp;"]["&amp;$F2218&amp;"]"</f>
        <v>[S08_InfringementsIncurredAllocation][1][InfringementType]</v>
      </c>
    </row>
    <row r="2219" spans="1:15" x14ac:dyDescent="0.3">
      <c r="A2219" t="s">
        <v>2277</v>
      </c>
      <c r="B2219" t="s">
        <v>2117</v>
      </c>
      <c r="C2219" t="s">
        <v>2118</v>
      </c>
      <c r="D2219">
        <v>1</v>
      </c>
      <c r="E2219" t="s">
        <v>1447</v>
      </c>
      <c r="F2219" t="s">
        <v>2120</v>
      </c>
      <c r="G2219" t="s">
        <v>1806</v>
      </c>
      <c r="H2219" t="s">
        <v>2279</v>
      </c>
      <c r="I2219" t="s">
        <v>2279</v>
      </c>
      <c r="J2219">
        <v>0</v>
      </c>
      <c r="K2219" t="s">
        <v>2279</v>
      </c>
      <c r="L2219" t="s">
        <v>2279</v>
      </c>
      <c r="M2219" t="s">
        <v>2279</v>
      </c>
      <c r="N2219" t="s">
        <v>2279</v>
      </c>
      <c r="O2219" s="190" t="str">
        <f>"["&amp;$C2219&amp;"]["&amp;$D2219&amp;"]["&amp;$F2219&amp;"]"</f>
        <v>[S08_InfringementsIncurredAllocation][1][ActualFines]</v>
      </c>
    </row>
    <row r="2220" spans="1:15" x14ac:dyDescent="0.3">
      <c r="A2220" t="s">
        <v>2277</v>
      </c>
      <c r="B2220" t="s">
        <v>2117</v>
      </c>
      <c r="C2220" t="s">
        <v>2118</v>
      </c>
      <c r="D2220">
        <v>1</v>
      </c>
      <c r="E2220" t="s">
        <v>1447</v>
      </c>
      <c r="F2220" t="s">
        <v>2121</v>
      </c>
      <c r="G2220" t="s">
        <v>1806</v>
      </c>
      <c r="H2220" t="s">
        <v>2279</v>
      </c>
      <c r="I2220" t="s">
        <v>2279</v>
      </c>
      <c r="J2220">
        <v>0</v>
      </c>
      <c r="K2220" t="s">
        <v>2279</v>
      </c>
      <c r="L2220" t="s">
        <v>2279</v>
      </c>
      <c r="M2220" t="s">
        <v>2279</v>
      </c>
      <c r="N2220" t="s">
        <v>2279</v>
      </c>
      <c r="O2220" s="190" t="str">
        <f>"["&amp;$C2220&amp;"]["&amp;$D2220&amp;"]["&amp;$F2220&amp;"]"</f>
        <v>[S08_InfringementsIncurredAllocation][1][ActualImprisonment]</v>
      </c>
    </row>
    <row r="2221" spans="1:15" x14ac:dyDescent="0.3">
      <c r="A2221" t="s">
        <v>2277</v>
      </c>
      <c r="B2221" t="s">
        <v>2117</v>
      </c>
      <c r="C2221" t="s">
        <v>2118</v>
      </c>
      <c r="D2221">
        <v>1</v>
      </c>
      <c r="E2221" t="s">
        <v>1447</v>
      </c>
      <c r="F2221" t="s">
        <v>2122</v>
      </c>
      <c r="G2221" t="s">
        <v>1741</v>
      </c>
      <c r="H2221" t="s">
        <v>2523</v>
      </c>
      <c r="I2221" t="s">
        <v>2279</v>
      </c>
      <c r="J2221" t="s">
        <v>2279</v>
      </c>
      <c r="K2221" t="s">
        <v>2279</v>
      </c>
      <c r="L2221" t="s">
        <v>2279</v>
      </c>
      <c r="M2221" t="s">
        <v>2279</v>
      </c>
      <c r="N2221" t="s">
        <v>2279</v>
      </c>
      <c r="O2221" s="190" t="str">
        <f>"["&amp;$C2221&amp;"]["&amp;$D2221&amp;"]["&amp;$F2221&amp;"]"</f>
        <v>[S08_InfringementsIncurredAllocation][1][ACtualOtherPenalties]</v>
      </c>
    </row>
    <row r="2222" spans="1:15" x14ac:dyDescent="0.3">
      <c r="A2222" t="s">
        <v>2277</v>
      </c>
      <c r="B2222" t="s">
        <v>2117</v>
      </c>
      <c r="C2222" t="s">
        <v>2118</v>
      </c>
      <c r="D2222">
        <v>1</v>
      </c>
      <c r="E2222" t="s">
        <v>1447</v>
      </c>
      <c r="F2222" t="s">
        <v>2123</v>
      </c>
      <c r="G2222" t="s">
        <v>1759</v>
      </c>
      <c r="H2222" t="s">
        <v>2279</v>
      </c>
      <c r="I2222" t="s">
        <v>2279</v>
      </c>
      <c r="J2222" t="s">
        <v>2279</v>
      </c>
      <c r="K2222" t="s">
        <v>2279</v>
      </c>
      <c r="L2222" t="s">
        <v>1447</v>
      </c>
      <c r="M2222" t="s">
        <v>2279</v>
      </c>
      <c r="N2222" t="s">
        <v>2279</v>
      </c>
      <c r="O2222" s="190" t="str">
        <f>"["&amp;$C2222&amp;"]["&amp;$D2222&amp;"]["&amp;$F2222&amp;"]"</f>
        <v>[S08_InfringementsIncurredAllocation][1][OngoingProceedings]</v>
      </c>
    </row>
    <row r="2223" spans="1:15" x14ac:dyDescent="0.3">
      <c r="A2223" t="s">
        <v>2277</v>
      </c>
      <c r="B2223" t="s">
        <v>2117</v>
      </c>
      <c r="C2223" t="s">
        <v>2118</v>
      </c>
      <c r="D2223">
        <v>1</v>
      </c>
      <c r="E2223" t="s">
        <v>1447</v>
      </c>
      <c r="F2223" t="s">
        <v>2124</v>
      </c>
      <c r="G2223" t="s">
        <v>1759</v>
      </c>
      <c r="H2223" t="s">
        <v>2279</v>
      </c>
      <c r="I2223" t="s">
        <v>2279</v>
      </c>
      <c r="J2223" t="s">
        <v>2279</v>
      </c>
      <c r="K2223" t="s">
        <v>2279</v>
      </c>
      <c r="L2223" t="s">
        <v>1419</v>
      </c>
      <c r="M2223" t="s">
        <v>2279</v>
      </c>
      <c r="N2223" t="s">
        <v>2279</v>
      </c>
      <c r="O2223" s="190" t="str">
        <f>"["&amp;$C2223&amp;"]["&amp;$D2223&amp;"]["&amp;$F2223&amp;"]"</f>
        <v>[S08_InfringementsIncurredAllocation][1][PenaltyEnforcedWithinPeriod]</v>
      </c>
    </row>
    <row r="2224" spans="1:15" x14ac:dyDescent="0.3">
      <c r="A2224" t="s">
        <v>2277</v>
      </c>
      <c r="B2224" t="s">
        <v>2117</v>
      </c>
      <c r="C2224" t="s">
        <v>2125</v>
      </c>
      <c r="D2224">
        <v>0</v>
      </c>
      <c r="E2224" t="s">
        <v>1447</v>
      </c>
      <c r="F2224" t="s">
        <v>2125</v>
      </c>
      <c r="G2224" t="s">
        <v>1759</v>
      </c>
      <c r="H2224" t="s">
        <v>2279</v>
      </c>
      <c r="I2224" t="s">
        <v>2279</v>
      </c>
      <c r="J2224" t="s">
        <v>2279</v>
      </c>
      <c r="K2224" t="s">
        <v>2279</v>
      </c>
      <c r="L2224" t="s">
        <v>1447</v>
      </c>
      <c r="M2224" t="s">
        <v>2279</v>
      </c>
      <c r="N2224" t="s">
        <v>2279</v>
      </c>
      <c r="O2224" s="190" t="str">
        <f>"["&amp;$C2224&amp;"]["&amp;$D2224&amp;"]["&amp;$F2224&amp;"]"</f>
        <v>[PriorPenaltiesEnforced][0][PriorPenaltiesEnforced]</v>
      </c>
    </row>
    <row r="2225" spans="1:15" x14ac:dyDescent="0.3">
      <c r="A2225" t="s">
        <v>2277</v>
      </c>
      <c r="B2225" t="s">
        <v>2130</v>
      </c>
      <c r="C2225" t="s">
        <v>2131</v>
      </c>
      <c r="D2225">
        <v>0</v>
      </c>
      <c r="E2225" t="s">
        <v>1447</v>
      </c>
      <c r="F2225" t="s">
        <v>2131</v>
      </c>
      <c r="G2225" t="s">
        <v>1759</v>
      </c>
      <c r="H2225" t="s">
        <v>2279</v>
      </c>
      <c r="I2225" t="s">
        <v>2279</v>
      </c>
      <c r="J2225" t="s">
        <v>2279</v>
      </c>
      <c r="K2225" t="s">
        <v>2279</v>
      </c>
      <c r="L2225" t="s">
        <v>1447</v>
      </c>
      <c r="M2225" t="s">
        <v>2279</v>
      </c>
      <c r="N2225" t="s">
        <v>2279</v>
      </c>
      <c r="O2225" s="190" t="str">
        <f>"["&amp;$C2225&amp;"]["&amp;$D2225&amp;"]["&amp;$F2225&amp;"]"</f>
        <v>[InstallationOperatorFees][0][InstallationOperatorFees]</v>
      </c>
    </row>
    <row r="2226" spans="1:15" x14ac:dyDescent="0.3">
      <c r="A2226" t="s">
        <v>2277</v>
      </c>
      <c r="B2226" t="s">
        <v>2136</v>
      </c>
      <c r="C2226" t="s">
        <v>2137</v>
      </c>
      <c r="D2226">
        <v>0</v>
      </c>
      <c r="E2226" t="s">
        <v>1447</v>
      </c>
      <c r="F2226" t="s">
        <v>2137</v>
      </c>
      <c r="G2226" t="s">
        <v>1759</v>
      </c>
      <c r="H2226" t="s">
        <v>2279</v>
      </c>
      <c r="I2226" t="s">
        <v>2279</v>
      </c>
      <c r="J2226" t="s">
        <v>2279</v>
      </c>
      <c r="K2226" t="s">
        <v>2279</v>
      </c>
      <c r="L2226" t="s">
        <v>1447</v>
      </c>
      <c r="M2226" t="s">
        <v>2279</v>
      </c>
      <c r="N2226" t="s">
        <v>2279</v>
      </c>
      <c r="O2226" s="190" t="str">
        <f>"["&amp;$C2226&amp;"]["&amp;$D2226&amp;"]["&amp;$F2226&amp;"]"</f>
        <v>[AircraftOperatorFees][0][AircraftOperatorFees]</v>
      </c>
    </row>
    <row r="2227" spans="1:15" x14ac:dyDescent="0.3">
      <c r="A2227" t="s">
        <v>2277</v>
      </c>
      <c r="B2227" t="s">
        <v>2136</v>
      </c>
      <c r="C2227" t="s">
        <v>2140</v>
      </c>
      <c r="D2227">
        <v>1</v>
      </c>
      <c r="E2227" t="s">
        <v>1447</v>
      </c>
      <c r="F2227" t="s">
        <v>2141</v>
      </c>
      <c r="G2227" t="s">
        <v>1741</v>
      </c>
      <c r="H2227" t="s">
        <v>2524</v>
      </c>
      <c r="I2227" t="s">
        <v>2279</v>
      </c>
      <c r="J2227" t="s">
        <v>2279</v>
      </c>
      <c r="K2227" t="s">
        <v>2279</v>
      </c>
      <c r="L2227" t="s">
        <v>2279</v>
      </c>
      <c r="M2227" t="s">
        <v>2279</v>
      </c>
      <c r="N2227" t="s">
        <v>2279</v>
      </c>
      <c r="O2227" s="190" t="str">
        <f>"["&amp;$C2227&amp;"]["&amp;$D2227&amp;"]["&amp;$F2227&amp;"]"</f>
        <v>[S09_RegistryAccountOneOffFees][1][OneOffFeeReason]</v>
      </c>
    </row>
    <row r="2228" spans="1:15" x14ac:dyDescent="0.3">
      <c r="A2228" t="s">
        <v>2277</v>
      </c>
      <c r="B2228" t="s">
        <v>2136</v>
      </c>
      <c r="C2228" t="s">
        <v>2140</v>
      </c>
      <c r="D2228">
        <v>2</v>
      </c>
      <c r="E2228" t="s">
        <v>1447</v>
      </c>
      <c r="F2228" t="s">
        <v>2141</v>
      </c>
      <c r="G2228" t="s">
        <v>1741</v>
      </c>
      <c r="H2228" t="s">
        <v>2525</v>
      </c>
      <c r="I2228" t="s">
        <v>2279</v>
      </c>
      <c r="J2228" t="s">
        <v>2279</v>
      </c>
      <c r="K2228" t="s">
        <v>2279</v>
      </c>
      <c r="L2228" t="s">
        <v>2279</v>
      </c>
      <c r="M2228" t="s">
        <v>2279</v>
      </c>
      <c r="N2228" t="s">
        <v>2279</v>
      </c>
      <c r="O2228" s="190" t="str">
        <f>"["&amp;$C2228&amp;"]["&amp;$D2228&amp;"]["&amp;$F2228&amp;"]"</f>
        <v>[S09_RegistryAccountOneOffFees][2][OneOffFeeReason]</v>
      </c>
    </row>
    <row r="2229" spans="1:15" x14ac:dyDescent="0.3">
      <c r="A2229" t="s">
        <v>2277</v>
      </c>
      <c r="B2229" t="s">
        <v>2136</v>
      </c>
      <c r="C2229" t="s">
        <v>2140</v>
      </c>
      <c r="D2229">
        <v>3</v>
      </c>
      <c r="E2229" t="s">
        <v>1447</v>
      </c>
      <c r="F2229" t="s">
        <v>2141</v>
      </c>
      <c r="G2229" t="s">
        <v>1741</v>
      </c>
      <c r="H2229" t="s">
        <v>2526</v>
      </c>
      <c r="I2229" t="s">
        <v>2279</v>
      </c>
      <c r="J2229" t="s">
        <v>2279</v>
      </c>
      <c r="K2229" t="s">
        <v>2279</v>
      </c>
      <c r="L2229" t="s">
        <v>2279</v>
      </c>
      <c r="M2229" t="s">
        <v>2279</v>
      </c>
      <c r="N2229" t="s">
        <v>2279</v>
      </c>
      <c r="O2229" s="190" t="str">
        <f>"["&amp;$C2229&amp;"]["&amp;$D2229&amp;"]["&amp;$F2229&amp;"]"</f>
        <v>[S09_RegistryAccountOneOffFees][3][OneOffFeeReason]</v>
      </c>
    </row>
    <row r="2230" spans="1:15" x14ac:dyDescent="0.3">
      <c r="A2230" t="s">
        <v>2277</v>
      </c>
      <c r="B2230" t="s">
        <v>2136</v>
      </c>
      <c r="C2230" t="s">
        <v>2140</v>
      </c>
      <c r="D2230">
        <v>4</v>
      </c>
      <c r="E2230" t="s">
        <v>1447</v>
      </c>
      <c r="F2230" t="s">
        <v>2141</v>
      </c>
      <c r="G2230" t="s">
        <v>1741</v>
      </c>
      <c r="H2230" t="s">
        <v>2527</v>
      </c>
      <c r="I2230" t="s">
        <v>2279</v>
      </c>
      <c r="J2230" t="s">
        <v>2279</v>
      </c>
      <c r="K2230" t="s">
        <v>2279</v>
      </c>
      <c r="L2230" t="s">
        <v>2279</v>
      </c>
      <c r="M2230" t="s">
        <v>2279</v>
      </c>
      <c r="N2230" t="s">
        <v>2279</v>
      </c>
      <c r="O2230" s="190" t="str">
        <f>"["&amp;$C2230&amp;"]["&amp;$D2230&amp;"]["&amp;$F2230&amp;"]"</f>
        <v>[S09_RegistryAccountOneOffFees][4][OneOffFeeReason]</v>
      </c>
    </row>
    <row r="2231" spans="1:15" x14ac:dyDescent="0.3">
      <c r="A2231" t="s">
        <v>2277</v>
      </c>
      <c r="B2231" t="s">
        <v>2136</v>
      </c>
      <c r="C2231" t="s">
        <v>2140</v>
      </c>
      <c r="D2231">
        <v>1</v>
      </c>
      <c r="E2231" t="s">
        <v>1447</v>
      </c>
      <c r="F2231" t="s">
        <v>2142</v>
      </c>
      <c r="G2231" t="s">
        <v>1806</v>
      </c>
      <c r="H2231" t="s">
        <v>2279</v>
      </c>
      <c r="I2231" t="s">
        <v>2279</v>
      </c>
      <c r="J2231">
        <v>500</v>
      </c>
      <c r="K2231" t="s">
        <v>2279</v>
      </c>
      <c r="L2231" t="s">
        <v>2279</v>
      </c>
      <c r="M2231" t="s">
        <v>2279</v>
      </c>
      <c r="N2231" t="s">
        <v>2279</v>
      </c>
      <c r="O2231" s="190" t="str">
        <f>"["&amp;$C2231&amp;"]["&amp;$D2231&amp;"]["&amp;$F2231&amp;"]"</f>
        <v>[S09_RegistryAccountOneOffFees][1][OneOffFeeAmount]</v>
      </c>
    </row>
    <row r="2232" spans="1:15" x14ac:dyDescent="0.3">
      <c r="A2232" t="s">
        <v>2277</v>
      </c>
      <c r="B2232" t="s">
        <v>2136</v>
      </c>
      <c r="C2232" t="s">
        <v>2140</v>
      </c>
      <c r="D2232">
        <v>2</v>
      </c>
      <c r="E2232" t="s">
        <v>1447</v>
      </c>
      <c r="F2232" t="s">
        <v>2142</v>
      </c>
      <c r="G2232" t="s">
        <v>1806</v>
      </c>
      <c r="H2232" t="s">
        <v>2279</v>
      </c>
      <c r="I2232" t="s">
        <v>2279</v>
      </c>
      <c r="J2232">
        <v>500</v>
      </c>
      <c r="K2232" t="s">
        <v>2279</v>
      </c>
      <c r="L2232" t="s">
        <v>2279</v>
      </c>
      <c r="M2232" t="s">
        <v>2279</v>
      </c>
      <c r="N2232" t="s">
        <v>2279</v>
      </c>
      <c r="O2232" s="190" t="str">
        <f>"["&amp;$C2232&amp;"]["&amp;$D2232&amp;"]["&amp;$F2232&amp;"]"</f>
        <v>[S09_RegistryAccountOneOffFees][2][OneOffFeeAmount]</v>
      </c>
    </row>
    <row r="2233" spans="1:15" x14ac:dyDescent="0.3">
      <c r="A2233" t="s">
        <v>2277</v>
      </c>
      <c r="B2233" t="s">
        <v>2136</v>
      </c>
      <c r="C2233" t="s">
        <v>2140</v>
      </c>
      <c r="D2233">
        <v>3</v>
      </c>
      <c r="E2233" t="s">
        <v>1447</v>
      </c>
      <c r="F2233" t="s">
        <v>2142</v>
      </c>
      <c r="G2233" t="s">
        <v>1806</v>
      </c>
      <c r="H2233" t="s">
        <v>2279</v>
      </c>
      <c r="I2233" t="s">
        <v>2279</v>
      </c>
      <c r="J2233">
        <v>1100</v>
      </c>
      <c r="K2233" t="s">
        <v>2279</v>
      </c>
      <c r="L2233" t="s">
        <v>2279</v>
      </c>
      <c r="M2233" t="s">
        <v>2279</v>
      </c>
      <c r="N2233" t="s">
        <v>2279</v>
      </c>
      <c r="O2233" s="190" t="str">
        <f>"["&amp;$C2233&amp;"]["&amp;$D2233&amp;"]["&amp;$F2233&amp;"]"</f>
        <v>[S09_RegistryAccountOneOffFees][3][OneOffFeeAmount]</v>
      </c>
    </row>
    <row r="2234" spans="1:15" x14ac:dyDescent="0.3">
      <c r="A2234" t="s">
        <v>2277</v>
      </c>
      <c r="B2234" t="s">
        <v>2136</v>
      </c>
      <c r="C2234" t="s">
        <v>2140</v>
      </c>
      <c r="D2234">
        <v>4</v>
      </c>
      <c r="E2234" t="s">
        <v>1447</v>
      </c>
      <c r="F2234" t="s">
        <v>2142</v>
      </c>
      <c r="G2234" t="s">
        <v>1806</v>
      </c>
      <c r="H2234" t="s">
        <v>2279</v>
      </c>
      <c r="I2234" t="s">
        <v>2279</v>
      </c>
      <c r="J2234">
        <v>1100</v>
      </c>
      <c r="K2234" t="s">
        <v>2279</v>
      </c>
      <c r="L2234" t="s">
        <v>2279</v>
      </c>
      <c r="M2234" t="s">
        <v>2279</v>
      </c>
      <c r="N2234" t="s">
        <v>2279</v>
      </c>
      <c r="O2234" s="190" t="str">
        <f>"["&amp;$C2234&amp;"]["&amp;$D2234&amp;"]["&amp;$F2234&amp;"]"</f>
        <v>[S09_RegistryAccountOneOffFees][4][OneOffFeeAmount]</v>
      </c>
    </row>
    <row r="2235" spans="1:15" x14ac:dyDescent="0.3">
      <c r="A2235" t="s">
        <v>2277</v>
      </c>
      <c r="B2235" t="s">
        <v>2136</v>
      </c>
      <c r="C2235" t="s">
        <v>2143</v>
      </c>
      <c r="D2235">
        <v>1</v>
      </c>
      <c r="E2235" t="s">
        <v>1447</v>
      </c>
      <c r="F2235" t="s">
        <v>2144</v>
      </c>
      <c r="G2235" t="s">
        <v>1741</v>
      </c>
      <c r="H2235" t="s">
        <v>2528</v>
      </c>
      <c r="I2235" t="s">
        <v>2279</v>
      </c>
      <c r="J2235" t="s">
        <v>2279</v>
      </c>
      <c r="K2235" t="s">
        <v>2279</v>
      </c>
      <c r="L2235" t="s">
        <v>2279</v>
      </c>
      <c r="M2235" t="s">
        <v>2279</v>
      </c>
      <c r="N2235" t="s">
        <v>2279</v>
      </c>
      <c r="O2235" s="190" t="str">
        <f>"["&amp;$C2235&amp;"]["&amp;$D2235&amp;"]["&amp;$F2235&amp;"]"</f>
        <v>[S09_RegistryAccountAnnualFees][1][AnnualFeeReason]</v>
      </c>
    </row>
    <row r="2236" spans="1:15" x14ac:dyDescent="0.3">
      <c r="A2236" t="s">
        <v>2277</v>
      </c>
      <c r="B2236" t="s">
        <v>2136</v>
      </c>
      <c r="C2236" t="s">
        <v>2143</v>
      </c>
      <c r="D2236">
        <v>2</v>
      </c>
      <c r="E2236" t="s">
        <v>1447</v>
      </c>
      <c r="F2236" t="s">
        <v>2144</v>
      </c>
      <c r="G2236" t="s">
        <v>1741</v>
      </c>
      <c r="H2236" t="s">
        <v>2529</v>
      </c>
      <c r="I2236" t="s">
        <v>2279</v>
      </c>
      <c r="J2236" t="s">
        <v>2279</v>
      </c>
      <c r="K2236" t="s">
        <v>2279</v>
      </c>
      <c r="L2236" t="s">
        <v>2279</v>
      </c>
      <c r="M2236" t="s">
        <v>2279</v>
      </c>
      <c r="N2236" t="s">
        <v>2279</v>
      </c>
      <c r="O2236" s="190" t="str">
        <f>"["&amp;$C2236&amp;"]["&amp;$D2236&amp;"]["&amp;$F2236&amp;"]"</f>
        <v>[S09_RegistryAccountAnnualFees][2][AnnualFeeReason]</v>
      </c>
    </row>
    <row r="2237" spans="1:15" x14ac:dyDescent="0.3">
      <c r="A2237" t="s">
        <v>2277</v>
      </c>
      <c r="B2237" t="s">
        <v>2136</v>
      </c>
      <c r="C2237" t="s">
        <v>2143</v>
      </c>
      <c r="D2237">
        <v>3</v>
      </c>
      <c r="E2237" t="s">
        <v>1447</v>
      </c>
      <c r="F2237" t="s">
        <v>2144</v>
      </c>
      <c r="G2237" t="s">
        <v>1741</v>
      </c>
      <c r="H2237" t="s">
        <v>2530</v>
      </c>
      <c r="I2237" t="s">
        <v>2279</v>
      </c>
      <c r="J2237" t="s">
        <v>2279</v>
      </c>
      <c r="K2237" t="s">
        <v>2279</v>
      </c>
      <c r="L2237" t="s">
        <v>2279</v>
      </c>
      <c r="M2237" t="s">
        <v>2279</v>
      </c>
      <c r="N2237" t="s">
        <v>2279</v>
      </c>
      <c r="O2237" s="190" t="str">
        <f>"["&amp;$C2237&amp;"]["&amp;$D2237&amp;"]["&amp;$F2237&amp;"]"</f>
        <v>[S09_RegistryAccountAnnualFees][3][AnnualFeeReason]</v>
      </c>
    </row>
    <row r="2238" spans="1:15" x14ac:dyDescent="0.3">
      <c r="A2238" t="s">
        <v>2277</v>
      </c>
      <c r="B2238" t="s">
        <v>2136</v>
      </c>
      <c r="C2238" t="s">
        <v>2143</v>
      </c>
      <c r="D2238">
        <v>4</v>
      </c>
      <c r="E2238" t="s">
        <v>1447</v>
      </c>
      <c r="F2238" t="s">
        <v>2144</v>
      </c>
      <c r="G2238" t="s">
        <v>1741</v>
      </c>
      <c r="H2238" t="s">
        <v>2531</v>
      </c>
      <c r="I2238" t="s">
        <v>2279</v>
      </c>
      <c r="J2238" t="s">
        <v>2279</v>
      </c>
      <c r="K2238" t="s">
        <v>2279</v>
      </c>
      <c r="L2238" t="s">
        <v>2279</v>
      </c>
      <c r="M2238" t="s">
        <v>2279</v>
      </c>
      <c r="N2238" t="s">
        <v>2279</v>
      </c>
      <c r="O2238" s="190" t="str">
        <f>"["&amp;$C2238&amp;"]["&amp;$D2238&amp;"]["&amp;$F2238&amp;"]"</f>
        <v>[S09_RegistryAccountAnnualFees][4][AnnualFeeReason]</v>
      </c>
    </row>
    <row r="2239" spans="1:15" x14ac:dyDescent="0.3">
      <c r="A2239" t="s">
        <v>2277</v>
      </c>
      <c r="B2239" t="s">
        <v>2136</v>
      </c>
      <c r="C2239" t="s">
        <v>2143</v>
      </c>
      <c r="D2239">
        <v>5</v>
      </c>
      <c r="E2239" t="s">
        <v>1447</v>
      </c>
      <c r="F2239" t="s">
        <v>2144</v>
      </c>
      <c r="G2239" t="s">
        <v>1741</v>
      </c>
      <c r="H2239" t="s">
        <v>2532</v>
      </c>
      <c r="I2239" t="s">
        <v>2279</v>
      </c>
      <c r="J2239" t="s">
        <v>2279</v>
      </c>
      <c r="K2239" t="s">
        <v>2279</v>
      </c>
      <c r="L2239" t="s">
        <v>2279</v>
      </c>
      <c r="M2239" t="s">
        <v>2279</v>
      </c>
      <c r="N2239" t="s">
        <v>2279</v>
      </c>
      <c r="O2239" s="190" t="str">
        <f>"["&amp;$C2239&amp;"]["&amp;$D2239&amp;"]["&amp;$F2239&amp;"]"</f>
        <v>[S09_RegistryAccountAnnualFees][5][AnnualFeeReason]</v>
      </c>
    </row>
    <row r="2240" spans="1:15" x14ac:dyDescent="0.3">
      <c r="A2240" t="s">
        <v>2277</v>
      </c>
      <c r="B2240" t="s">
        <v>2136</v>
      </c>
      <c r="C2240" t="s">
        <v>2143</v>
      </c>
      <c r="D2240">
        <v>6</v>
      </c>
      <c r="E2240" t="s">
        <v>1447</v>
      </c>
      <c r="F2240" t="s">
        <v>2144</v>
      </c>
      <c r="G2240" t="s">
        <v>1741</v>
      </c>
      <c r="H2240" t="s">
        <v>2533</v>
      </c>
      <c r="I2240" t="s">
        <v>2279</v>
      </c>
      <c r="J2240" t="s">
        <v>2279</v>
      </c>
      <c r="K2240" t="s">
        <v>2279</v>
      </c>
      <c r="L2240" t="s">
        <v>2279</v>
      </c>
      <c r="M2240" t="s">
        <v>2279</v>
      </c>
      <c r="N2240" t="s">
        <v>2279</v>
      </c>
      <c r="O2240" s="190" t="str">
        <f>"["&amp;$C2240&amp;"]["&amp;$D2240&amp;"]["&amp;$F2240&amp;"]"</f>
        <v>[S09_RegistryAccountAnnualFees][6][AnnualFeeReason]</v>
      </c>
    </row>
    <row r="2241" spans="1:15" x14ac:dyDescent="0.3">
      <c r="A2241" t="s">
        <v>2277</v>
      </c>
      <c r="B2241" t="s">
        <v>2136</v>
      </c>
      <c r="C2241" t="s">
        <v>2143</v>
      </c>
      <c r="D2241">
        <v>7</v>
      </c>
      <c r="E2241" t="s">
        <v>1447</v>
      </c>
      <c r="F2241" t="s">
        <v>2144</v>
      </c>
      <c r="G2241" t="s">
        <v>1741</v>
      </c>
      <c r="H2241" t="s">
        <v>2534</v>
      </c>
      <c r="I2241" t="s">
        <v>2279</v>
      </c>
      <c r="J2241" t="s">
        <v>2279</v>
      </c>
      <c r="K2241" t="s">
        <v>2279</v>
      </c>
      <c r="L2241" t="s">
        <v>2279</v>
      </c>
      <c r="M2241" t="s">
        <v>2279</v>
      </c>
      <c r="N2241" t="s">
        <v>2279</v>
      </c>
      <c r="O2241" s="190" t="str">
        <f>"["&amp;$C2241&amp;"]["&amp;$D2241&amp;"]["&amp;$F2241&amp;"]"</f>
        <v>[S09_RegistryAccountAnnualFees][7][AnnualFeeReason]</v>
      </c>
    </row>
    <row r="2242" spans="1:15" x14ac:dyDescent="0.3">
      <c r="A2242" t="s">
        <v>2277</v>
      </c>
      <c r="B2242" t="s">
        <v>2136</v>
      </c>
      <c r="C2242" t="s">
        <v>2143</v>
      </c>
      <c r="D2242">
        <v>1</v>
      </c>
      <c r="E2242" t="s">
        <v>1447</v>
      </c>
      <c r="F2242" t="s">
        <v>2145</v>
      </c>
      <c r="G2242" t="s">
        <v>1806</v>
      </c>
      <c r="H2242" t="s">
        <v>2279</v>
      </c>
      <c r="I2242" t="s">
        <v>2279</v>
      </c>
      <c r="J2242">
        <v>150</v>
      </c>
      <c r="K2242" t="s">
        <v>2279</v>
      </c>
      <c r="L2242" t="s">
        <v>2279</v>
      </c>
      <c r="M2242" t="s">
        <v>2279</v>
      </c>
      <c r="N2242" t="s">
        <v>2279</v>
      </c>
      <c r="O2242" s="190" t="str">
        <f>"["&amp;$C2242&amp;"]["&amp;$D2242&amp;"]["&amp;$F2242&amp;"]"</f>
        <v>[S09_RegistryAccountAnnualFees][1][AnnualFeeAmount]</v>
      </c>
    </row>
    <row r="2243" spans="1:15" x14ac:dyDescent="0.3">
      <c r="A2243" t="s">
        <v>2277</v>
      </c>
      <c r="B2243" t="s">
        <v>2136</v>
      </c>
      <c r="C2243" t="s">
        <v>2143</v>
      </c>
      <c r="D2243">
        <v>2</v>
      </c>
      <c r="E2243" t="s">
        <v>1447</v>
      </c>
      <c r="F2243" t="s">
        <v>2145</v>
      </c>
      <c r="G2243" t="s">
        <v>1806</v>
      </c>
      <c r="H2243" t="s">
        <v>2279</v>
      </c>
      <c r="I2243" t="s">
        <v>2279</v>
      </c>
      <c r="J2243">
        <v>250</v>
      </c>
      <c r="K2243" t="s">
        <v>2279</v>
      </c>
      <c r="L2243" t="s">
        <v>2279</v>
      </c>
      <c r="M2243" t="s">
        <v>2279</v>
      </c>
      <c r="N2243" t="s">
        <v>2279</v>
      </c>
      <c r="O2243" s="190" t="str">
        <f>"["&amp;$C2243&amp;"]["&amp;$D2243&amp;"]["&amp;$F2243&amp;"]"</f>
        <v>[S09_RegistryAccountAnnualFees][2][AnnualFeeAmount]</v>
      </c>
    </row>
    <row r="2244" spans="1:15" x14ac:dyDescent="0.3">
      <c r="A2244" t="s">
        <v>2277</v>
      </c>
      <c r="B2244" t="s">
        <v>2136</v>
      </c>
      <c r="C2244" t="s">
        <v>2143</v>
      </c>
      <c r="D2244">
        <v>3</v>
      </c>
      <c r="E2244" t="s">
        <v>1447</v>
      </c>
      <c r="F2244" t="s">
        <v>2145</v>
      </c>
      <c r="G2244" t="s">
        <v>1806</v>
      </c>
      <c r="H2244" t="s">
        <v>2279</v>
      </c>
      <c r="I2244" t="s">
        <v>2279</v>
      </c>
      <c r="J2244">
        <v>250</v>
      </c>
      <c r="K2244" t="s">
        <v>2279</v>
      </c>
      <c r="L2244" t="s">
        <v>2279</v>
      </c>
      <c r="M2244" t="s">
        <v>2279</v>
      </c>
      <c r="N2244" t="s">
        <v>2279</v>
      </c>
      <c r="O2244" s="190" t="str">
        <f>"["&amp;$C2244&amp;"]["&amp;$D2244&amp;"]["&amp;$F2244&amp;"]"</f>
        <v>[S09_RegistryAccountAnnualFees][3][AnnualFeeAmount]</v>
      </c>
    </row>
    <row r="2245" spans="1:15" x14ac:dyDescent="0.3">
      <c r="A2245" t="s">
        <v>2277</v>
      </c>
      <c r="B2245" t="s">
        <v>2136</v>
      </c>
      <c r="C2245" t="s">
        <v>2143</v>
      </c>
      <c r="D2245">
        <v>4</v>
      </c>
      <c r="E2245" t="s">
        <v>1447</v>
      </c>
      <c r="F2245" t="s">
        <v>2145</v>
      </c>
      <c r="G2245" t="s">
        <v>1806</v>
      </c>
      <c r="H2245" t="s">
        <v>2279</v>
      </c>
      <c r="I2245" t="s">
        <v>2279</v>
      </c>
      <c r="J2245">
        <v>950</v>
      </c>
      <c r="K2245" t="s">
        <v>2279</v>
      </c>
      <c r="L2245" t="s">
        <v>2279</v>
      </c>
      <c r="M2245" t="s">
        <v>2279</v>
      </c>
      <c r="N2245" t="s">
        <v>2279</v>
      </c>
      <c r="O2245" s="190" t="str">
        <f>"["&amp;$C2245&amp;"]["&amp;$D2245&amp;"]["&amp;$F2245&amp;"]"</f>
        <v>[S09_RegistryAccountAnnualFees][4][AnnualFeeAmount]</v>
      </c>
    </row>
    <row r="2246" spans="1:15" x14ac:dyDescent="0.3">
      <c r="A2246" t="s">
        <v>2277</v>
      </c>
      <c r="B2246" t="s">
        <v>2136</v>
      </c>
      <c r="C2246" t="s">
        <v>2143</v>
      </c>
      <c r="D2246">
        <v>5</v>
      </c>
      <c r="E2246" t="s">
        <v>1447</v>
      </c>
      <c r="F2246" t="s">
        <v>2145</v>
      </c>
      <c r="G2246" t="s">
        <v>1806</v>
      </c>
      <c r="H2246" t="s">
        <v>2279</v>
      </c>
      <c r="I2246" t="s">
        <v>2279</v>
      </c>
      <c r="J2246">
        <v>950</v>
      </c>
      <c r="K2246" t="s">
        <v>2279</v>
      </c>
      <c r="L2246" t="s">
        <v>2279</v>
      </c>
      <c r="M2246" t="s">
        <v>2279</v>
      </c>
      <c r="N2246" t="s">
        <v>2279</v>
      </c>
      <c r="O2246" s="190" t="str">
        <f>"["&amp;$C2246&amp;"]["&amp;$D2246&amp;"]["&amp;$F2246&amp;"]"</f>
        <v>[S09_RegistryAccountAnnualFees][5][AnnualFeeAmount]</v>
      </c>
    </row>
    <row r="2247" spans="1:15" x14ac:dyDescent="0.3">
      <c r="A2247" t="s">
        <v>2277</v>
      </c>
      <c r="B2247" t="s">
        <v>2136</v>
      </c>
      <c r="C2247" t="s">
        <v>2143</v>
      </c>
      <c r="D2247">
        <v>6</v>
      </c>
      <c r="E2247" t="s">
        <v>1447</v>
      </c>
      <c r="F2247" t="s">
        <v>2145</v>
      </c>
      <c r="G2247" t="s">
        <v>1806</v>
      </c>
      <c r="H2247" t="s">
        <v>2279</v>
      </c>
      <c r="I2247" t="s">
        <v>2279</v>
      </c>
      <c r="J2247">
        <v>7.0000000000000001E-3</v>
      </c>
      <c r="K2247" t="s">
        <v>2279</v>
      </c>
      <c r="L2247" t="s">
        <v>2279</v>
      </c>
      <c r="M2247" t="s">
        <v>2279</v>
      </c>
      <c r="N2247" t="s">
        <v>2279</v>
      </c>
      <c r="O2247" s="190" t="str">
        <f>"["&amp;$C2247&amp;"]["&amp;$D2247&amp;"]["&amp;$F2247&amp;"]"</f>
        <v>[S09_RegistryAccountAnnualFees][6][AnnualFeeAmount]</v>
      </c>
    </row>
    <row r="2248" spans="1:15" x14ac:dyDescent="0.3">
      <c r="A2248" t="s">
        <v>2277</v>
      </c>
      <c r="B2248" t="s">
        <v>2136</v>
      </c>
      <c r="C2248" t="s">
        <v>2143</v>
      </c>
      <c r="D2248">
        <v>7</v>
      </c>
      <c r="E2248" t="s">
        <v>1447</v>
      </c>
      <c r="F2248" t="s">
        <v>2145</v>
      </c>
      <c r="G2248" t="s">
        <v>1806</v>
      </c>
      <c r="H2248" t="s">
        <v>2279</v>
      </c>
      <c r="I2248" t="s">
        <v>2279</v>
      </c>
      <c r="J2248">
        <v>0.02</v>
      </c>
      <c r="K2248" t="s">
        <v>2279</v>
      </c>
      <c r="L2248" t="s">
        <v>2279</v>
      </c>
      <c r="M2248" t="s">
        <v>2279</v>
      </c>
      <c r="N2248" t="s">
        <v>2279</v>
      </c>
      <c r="O2248" s="190" t="str">
        <f>"["&amp;$C2248&amp;"]["&amp;$D2248&amp;"]["&amp;$F2248&amp;"]"</f>
        <v>[S09_RegistryAccountAnnualFees][7][AnnualFeeAmount]</v>
      </c>
    </row>
    <row r="2249" spans="1:15" x14ac:dyDescent="0.3">
      <c r="A2249" t="s">
        <v>2277</v>
      </c>
      <c r="B2249" t="s">
        <v>2146</v>
      </c>
      <c r="C2249" t="s">
        <v>2147</v>
      </c>
      <c r="D2249">
        <v>1</v>
      </c>
      <c r="E2249" t="s">
        <v>1447</v>
      </c>
      <c r="F2249" t="s">
        <v>2148</v>
      </c>
      <c r="G2249" t="s">
        <v>1759</v>
      </c>
      <c r="H2249" t="s">
        <v>2279</v>
      </c>
      <c r="I2249" t="s">
        <v>2279</v>
      </c>
      <c r="J2249" t="s">
        <v>2279</v>
      </c>
      <c r="K2249" t="s">
        <v>2279</v>
      </c>
      <c r="L2249" t="s">
        <v>1419</v>
      </c>
      <c r="M2249" t="s">
        <v>2279</v>
      </c>
      <c r="N2249" t="s">
        <v>2279</v>
      </c>
      <c r="O2249" s="190" t="str">
        <f>"["&amp;$C2249&amp;"]["&amp;$D2249&amp;"]["&amp;$F2249&amp;"]"</f>
        <v>[S10_InstallationsComplianceMeasures][1][ComplianceMeasuresYesNo]</v>
      </c>
    </row>
    <row r="2250" spans="1:15" x14ac:dyDescent="0.3">
      <c r="A2250" t="s">
        <v>2277</v>
      </c>
      <c r="B2250" t="s">
        <v>2146</v>
      </c>
      <c r="C2250" t="s">
        <v>2147</v>
      </c>
      <c r="D2250">
        <v>2</v>
      </c>
      <c r="E2250" t="s">
        <v>1447</v>
      </c>
      <c r="F2250" t="s">
        <v>2148</v>
      </c>
      <c r="G2250" t="s">
        <v>1759</v>
      </c>
      <c r="H2250" t="s">
        <v>2279</v>
      </c>
      <c r="I2250" t="s">
        <v>2279</v>
      </c>
      <c r="J2250" t="s">
        <v>2279</v>
      </c>
      <c r="K2250" t="s">
        <v>2279</v>
      </c>
      <c r="L2250" t="s">
        <v>1419</v>
      </c>
      <c r="M2250" t="s">
        <v>2279</v>
      </c>
      <c r="N2250" t="s">
        <v>2279</v>
      </c>
      <c r="O2250" s="190" t="str">
        <f>"["&amp;$C2250&amp;"]["&amp;$D2250&amp;"]["&amp;$F2250&amp;"]"</f>
        <v>[S10_InstallationsComplianceMeasures][2][ComplianceMeasuresYesNo]</v>
      </c>
    </row>
    <row r="2251" spans="1:15" x14ac:dyDescent="0.3">
      <c r="A2251" t="s">
        <v>2277</v>
      </c>
      <c r="B2251" t="s">
        <v>2146</v>
      </c>
      <c r="C2251" t="s">
        <v>2147</v>
      </c>
      <c r="D2251">
        <v>3</v>
      </c>
      <c r="E2251" t="s">
        <v>1447</v>
      </c>
      <c r="F2251" t="s">
        <v>2148</v>
      </c>
      <c r="G2251" t="s">
        <v>1759</v>
      </c>
      <c r="H2251" t="s">
        <v>2279</v>
      </c>
      <c r="I2251" t="s">
        <v>2279</v>
      </c>
      <c r="J2251" t="s">
        <v>2279</v>
      </c>
      <c r="K2251" t="s">
        <v>2279</v>
      </c>
      <c r="L2251" t="s">
        <v>1419</v>
      </c>
      <c r="M2251" t="s">
        <v>2279</v>
      </c>
      <c r="N2251" t="s">
        <v>2279</v>
      </c>
      <c r="O2251" s="190" t="str">
        <f>"["&amp;$C2251&amp;"]["&amp;$D2251&amp;"]["&amp;$F2251&amp;"]"</f>
        <v>[S10_InstallationsComplianceMeasures][3][ComplianceMeasuresYesNo]</v>
      </c>
    </row>
    <row r="2252" spans="1:15" x14ac:dyDescent="0.3">
      <c r="A2252" t="s">
        <v>2277</v>
      </c>
      <c r="B2252" t="s">
        <v>2146</v>
      </c>
      <c r="C2252" t="s">
        <v>2147</v>
      </c>
      <c r="D2252">
        <v>4</v>
      </c>
      <c r="E2252" t="s">
        <v>1447</v>
      </c>
      <c r="F2252" t="s">
        <v>2148</v>
      </c>
      <c r="G2252" t="s">
        <v>1759</v>
      </c>
      <c r="H2252" t="s">
        <v>2279</v>
      </c>
      <c r="I2252" t="s">
        <v>2279</v>
      </c>
      <c r="J2252" t="s">
        <v>2279</v>
      </c>
      <c r="K2252" t="s">
        <v>2279</v>
      </c>
      <c r="L2252" t="s">
        <v>1447</v>
      </c>
      <c r="M2252" t="s">
        <v>2279</v>
      </c>
      <c r="N2252" t="s">
        <v>2279</v>
      </c>
      <c r="O2252" s="190" t="str">
        <f>"["&amp;$C2252&amp;"]["&amp;$D2252&amp;"]["&amp;$F2252&amp;"]"</f>
        <v>[S10_InstallationsComplianceMeasures][4][ComplianceMeasuresYesNo]</v>
      </c>
    </row>
    <row r="2253" spans="1:15" x14ac:dyDescent="0.3">
      <c r="A2253" t="s">
        <v>2277</v>
      </c>
      <c r="B2253" t="s">
        <v>2146</v>
      </c>
      <c r="C2253" t="s">
        <v>2147</v>
      </c>
      <c r="D2253">
        <v>3</v>
      </c>
      <c r="E2253" t="s">
        <v>1447</v>
      </c>
      <c r="F2253" t="s">
        <v>2149</v>
      </c>
      <c r="G2253" t="s">
        <v>1791</v>
      </c>
      <c r="H2253" t="s">
        <v>2279</v>
      </c>
      <c r="I2253" t="s">
        <v>2279</v>
      </c>
      <c r="J2253" t="s">
        <v>2279</v>
      </c>
      <c r="K2253" t="s">
        <v>2535</v>
      </c>
      <c r="L2253" t="s">
        <v>2279</v>
      </c>
      <c r="M2253" t="s">
        <v>2279</v>
      </c>
      <c r="N2253" t="s">
        <v>2279</v>
      </c>
      <c r="O2253" s="190" t="str">
        <f>"["&amp;$C2253&amp;"]["&amp;$D2253&amp;"]["&amp;$F2253&amp;"]"</f>
        <v>[S10_InstallationsComplianceMeasures][3][ComplianceMeasuresComment]</v>
      </c>
    </row>
    <row r="2254" spans="1:15" x14ac:dyDescent="0.3">
      <c r="A2254" t="s">
        <v>2277</v>
      </c>
      <c r="B2254" t="s">
        <v>2151</v>
      </c>
      <c r="C2254" t="s">
        <v>2152</v>
      </c>
      <c r="D2254">
        <v>1</v>
      </c>
      <c r="E2254" t="s">
        <v>1447</v>
      </c>
      <c r="F2254" t="s">
        <v>2115</v>
      </c>
      <c r="G2254" t="s">
        <v>1791</v>
      </c>
      <c r="H2254" t="s">
        <v>2279</v>
      </c>
      <c r="I2254" t="s">
        <v>2279</v>
      </c>
      <c r="J2254" t="s">
        <v>2279</v>
      </c>
      <c r="K2254" t="s">
        <v>2536</v>
      </c>
      <c r="L2254" t="s">
        <v>2279</v>
      </c>
      <c r="M2254" t="s">
        <v>2279</v>
      </c>
      <c r="N2254" t="s">
        <v>2279</v>
      </c>
      <c r="O2254" s="190" t="str">
        <f>"["&amp;$C2254&amp;"]["&amp;$D2254&amp;"]["&amp;$F2254&amp;"]"</f>
        <v>[S10_InstallationsInfringementPenalties][1][OtherPenalty]</v>
      </c>
    </row>
    <row r="2255" spans="1:15" x14ac:dyDescent="0.3">
      <c r="A2255" t="s">
        <v>2277</v>
      </c>
      <c r="B2255" t="s">
        <v>2151</v>
      </c>
      <c r="C2255" t="s">
        <v>2152</v>
      </c>
      <c r="D2255">
        <v>2</v>
      </c>
      <c r="E2255" t="s">
        <v>1447</v>
      </c>
      <c r="F2255" t="s">
        <v>2115</v>
      </c>
      <c r="G2255" t="s">
        <v>1791</v>
      </c>
      <c r="H2255" t="s">
        <v>2279</v>
      </c>
      <c r="I2255" t="s">
        <v>2279</v>
      </c>
      <c r="J2255" t="s">
        <v>2279</v>
      </c>
      <c r="K2255" t="s">
        <v>2425</v>
      </c>
      <c r="L2255" t="s">
        <v>2279</v>
      </c>
      <c r="M2255" t="s">
        <v>2279</v>
      </c>
      <c r="N2255" t="s">
        <v>2279</v>
      </c>
      <c r="O2255" s="190" t="str">
        <f>"["&amp;$C2255&amp;"]["&amp;$D2255&amp;"]["&amp;$F2255&amp;"]"</f>
        <v>[S10_InstallationsInfringementPenalties][2][OtherPenalty]</v>
      </c>
    </row>
    <row r="2256" spans="1:15" x14ac:dyDescent="0.3">
      <c r="A2256" t="s">
        <v>2277</v>
      </c>
      <c r="B2256" t="s">
        <v>2151</v>
      </c>
      <c r="C2256" t="s">
        <v>2152</v>
      </c>
      <c r="D2256">
        <v>3</v>
      </c>
      <c r="E2256" t="s">
        <v>1447</v>
      </c>
      <c r="F2256" t="s">
        <v>2115</v>
      </c>
      <c r="G2256" t="s">
        <v>1791</v>
      </c>
      <c r="H2256" t="s">
        <v>2279</v>
      </c>
      <c r="I2256" t="s">
        <v>2279</v>
      </c>
      <c r="J2256" t="s">
        <v>2279</v>
      </c>
      <c r="K2256" t="s">
        <v>2425</v>
      </c>
      <c r="L2256" t="s">
        <v>2279</v>
      </c>
      <c r="M2256" t="s">
        <v>2279</v>
      </c>
      <c r="N2256" t="s">
        <v>2279</v>
      </c>
      <c r="O2256" s="190" t="str">
        <f>"["&amp;$C2256&amp;"]["&amp;$D2256&amp;"]["&amp;$F2256&amp;"]"</f>
        <v>[S10_InstallationsInfringementPenalties][3][OtherPenalty]</v>
      </c>
    </row>
    <row r="2257" spans="1:15" x14ac:dyDescent="0.3">
      <c r="A2257" t="s">
        <v>2277</v>
      </c>
      <c r="B2257" t="s">
        <v>2151</v>
      </c>
      <c r="C2257" t="s">
        <v>2152</v>
      </c>
      <c r="D2257">
        <v>4</v>
      </c>
      <c r="E2257" t="s">
        <v>1447</v>
      </c>
      <c r="F2257" t="s">
        <v>2115</v>
      </c>
      <c r="G2257" t="s">
        <v>1791</v>
      </c>
      <c r="H2257" t="s">
        <v>2279</v>
      </c>
      <c r="I2257" t="s">
        <v>2279</v>
      </c>
      <c r="J2257" t="s">
        <v>2279</v>
      </c>
      <c r="K2257" t="s">
        <v>2425</v>
      </c>
      <c r="L2257" t="s">
        <v>2279</v>
      </c>
      <c r="M2257" t="s">
        <v>2279</v>
      </c>
      <c r="N2257" t="s">
        <v>2279</v>
      </c>
      <c r="O2257" s="190" t="str">
        <f>"["&amp;$C2257&amp;"]["&amp;$D2257&amp;"]["&amp;$F2257&amp;"]"</f>
        <v>[S10_InstallationsInfringementPenalties][4][OtherPenalty]</v>
      </c>
    </row>
    <row r="2258" spans="1:15" x14ac:dyDescent="0.3">
      <c r="A2258" t="s">
        <v>2277</v>
      </c>
      <c r="B2258" t="s">
        <v>2151</v>
      </c>
      <c r="C2258" t="s">
        <v>2152</v>
      </c>
      <c r="D2258">
        <v>5</v>
      </c>
      <c r="E2258" t="s">
        <v>1447</v>
      </c>
      <c r="F2258" t="s">
        <v>2115</v>
      </c>
      <c r="G2258" t="s">
        <v>1791</v>
      </c>
      <c r="H2258" t="s">
        <v>2279</v>
      </c>
      <c r="I2258" t="s">
        <v>2279</v>
      </c>
      <c r="J2258" t="s">
        <v>2279</v>
      </c>
      <c r="K2258" t="s">
        <v>2425</v>
      </c>
      <c r="L2258" t="s">
        <v>2279</v>
      </c>
      <c r="M2258" t="s">
        <v>2279</v>
      </c>
      <c r="N2258" t="s">
        <v>2279</v>
      </c>
      <c r="O2258" s="190" t="str">
        <f>"["&amp;$C2258&amp;"]["&amp;$D2258&amp;"]["&amp;$F2258&amp;"]"</f>
        <v>[S10_InstallationsInfringementPenalties][5][OtherPenalty]</v>
      </c>
    </row>
    <row r="2259" spans="1:15" x14ac:dyDescent="0.3">
      <c r="A2259" t="s">
        <v>2277</v>
      </c>
      <c r="B2259" t="s">
        <v>2151</v>
      </c>
      <c r="C2259" t="s">
        <v>2152</v>
      </c>
      <c r="D2259">
        <v>6</v>
      </c>
      <c r="E2259" t="s">
        <v>1447</v>
      </c>
      <c r="F2259" t="s">
        <v>2115</v>
      </c>
      <c r="G2259" t="s">
        <v>1791</v>
      </c>
      <c r="H2259" t="s">
        <v>2279</v>
      </c>
      <c r="I2259" t="s">
        <v>2279</v>
      </c>
      <c r="J2259" t="s">
        <v>2279</v>
      </c>
      <c r="K2259" t="s">
        <v>2425</v>
      </c>
      <c r="L2259" t="s">
        <v>2279</v>
      </c>
      <c r="M2259" t="s">
        <v>2279</v>
      </c>
      <c r="N2259" t="s">
        <v>2279</v>
      </c>
      <c r="O2259" s="190" t="str">
        <f>"["&amp;$C2259&amp;"]["&amp;$D2259&amp;"]["&amp;$F2259&amp;"]"</f>
        <v>[S10_InstallationsInfringementPenalties][6][OtherPenalty]</v>
      </c>
    </row>
    <row r="2260" spans="1:15" x14ac:dyDescent="0.3">
      <c r="A2260" t="s">
        <v>2277</v>
      </c>
      <c r="B2260" t="s">
        <v>2151</v>
      </c>
      <c r="C2260" t="s">
        <v>2152</v>
      </c>
      <c r="D2260">
        <v>7</v>
      </c>
      <c r="E2260" t="s">
        <v>1447</v>
      </c>
      <c r="F2260" t="s">
        <v>2115</v>
      </c>
      <c r="G2260" t="s">
        <v>1791</v>
      </c>
      <c r="H2260" t="s">
        <v>2279</v>
      </c>
      <c r="I2260" t="s">
        <v>2279</v>
      </c>
      <c r="J2260" t="s">
        <v>2279</v>
      </c>
      <c r="K2260" t="s">
        <v>2425</v>
      </c>
      <c r="L2260" t="s">
        <v>2279</v>
      </c>
      <c r="M2260" t="s">
        <v>2279</v>
      </c>
      <c r="N2260" t="s">
        <v>2279</v>
      </c>
      <c r="O2260" s="190" t="str">
        <f>"["&amp;$C2260&amp;"]["&amp;$D2260&amp;"]["&amp;$F2260&amp;"]"</f>
        <v>[S10_InstallationsInfringementPenalties][7][OtherPenalty]</v>
      </c>
    </row>
    <row r="2261" spans="1:15" x14ac:dyDescent="0.3">
      <c r="A2261" t="s">
        <v>2277</v>
      </c>
      <c r="B2261" t="s">
        <v>2151</v>
      </c>
      <c r="C2261" t="s">
        <v>2152</v>
      </c>
      <c r="D2261">
        <v>8</v>
      </c>
      <c r="E2261" t="s">
        <v>1447</v>
      </c>
      <c r="F2261" t="s">
        <v>2115</v>
      </c>
      <c r="G2261" t="s">
        <v>1791</v>
      </c>
      <c r="H2261" t="s">
        <v>2279</v>
      </c>
      <c r="I2261" t="s">
        <v>2279</v>
      </c>
      <c r="J2261" t="s">
        <v>2279</v>
      </c>
      <c r="K2261" t="s">
        <v>2537</v>
      </c>
      <c r="L2261" t="s">
        <v>2279</v>
      </c>
      <c r="M2261" t="s">
        <v>2279</v>
      </c>
      <c r="N2261" t="s">
        <v>2279</v>
      </c>
      <c r="O2261" s="190" t="str">
        <f>"["&amp;$C2261&amp;"]["&amp;$D2261&amp;"]["&amp;$F2261&amp;"]"</f>
        <v>[S10_InstallationsInfringementPenalties][8][OtherPenalty]</v>
      </c>
    </row>
    <row r="2262" spans="1:15" x14ac:dyDescent="0.3">
      <c r="A2262" t="s">
        <v>2277</v>
      </c>
      <c r="B2262" t="s">
        <v>2151</v>
      </c>
      <c r="C2262" t="s">
        <v>2152</v>
      </c>
      <c r="D2262">
        <v>9</v>
      </c>
      <c r="E2262" t="s">
        <v>1447</v>
      </c>
      <c r="F2262" t="s">
        <v>2115</v>
      </c>
      <c r="G2262" t="s">
        <v>1791</v>
      </c>
      <c r="H2262" t="s">
        <v>2279</v>
      </c>
      <c r="I2262" t="s">
        <v>2279</v>
      </c>
      <c r="J2262" t="s">
        <v>2279</v>
      </c>
      <c r="K2262" t="s">
        <v>2425</v>
      </c>
      <c r="L2262" t="s">
        <v>2279</v>
      </c>
      <c r="M2262" t="s">
        <v>2279</v>
      </c>
      <c r="N2262" t="s">
        <v>2279</v>
      </c>
      <c r="O2262" s="190" t="str">
        <f>"["&amp;$C2262&amp;"]["&amp;$D2262&amp;"]["&amp;$F2262&amp;"]"</f>
        <v>[S10_InstallationsInfringementPenalties][9][OtherPenalty]</v>
      </c>
    </row>
    <row r="2263" spans="1:15" x14ac:dyDescent="0.3">
      <c r="A2263" t="s">
        <v>2277</v>
      </c>
      <c r="B2263" t="s">
        <v>2151</v>
      </c>
      <c r="C2263" t="s">
        <v>2152</v>
      </c>
      <c r="D2263">
        <v>10</v>
      </c>
      <c r="E2263" t="s">
        <v>1447</v>
      </c>
      <c r="F2263" t="s">
        <v>2115</v>
      </c>
      <c r="G2263" t="s">
        <v>1791</v>
      </c>
      <c r="H2263" t="s">
        <v>2279</v>
      </c>
      <c r="I2263" t="s">
        <v>2279</v>
      </c>
      <c r="J2263" t="s">
        <v>2279</v>
      </c>
      <c r="K2263" t="s">
        <v>2425</v>
      </c>
      <c r="L2263" t="s">
        <v>2279</v>
      </c>
      <c r="M2263" t="s">
        <v>2279</v>
      </c>
      <c r="N2263" t="s">
        <v>2279</v>
      </c>
      <c r="O2263" s="190" t="str">
        <f>"["&amp;$C2263&amp;"]["&amp;$D2263&amp;"]["&amp;$F2263&amp;"]"</f>
        <v>[S10_InstallationsInfringementPenalties][10][OtherPenalty]</v>
      </c>
    </row>
    <row r="2264" spans="1:15" x14ac:dyDescent="0.3">
      <c r="A2264" t="s">
        <v>2277</v>
      </c>
      <c r="B2264" t="s">
        <v>2151</v>
      </c>
      <c r="C2264" t="s">
        <v>2152</v>
      </c>
      <c r="D2264">
        <v>11</v>
      </c>
      <c r="E2264" t="s">
        <v>1447</v>
      </c>
      <c r="F2264" t="s">
        <v>2115</v>
      </c>
      <c r="G2264" t="s">
        <v>1791</v>
      </c>
      <c r="H2264" t="s">
        <v>2279</v>
      </c>
      <c r="I2264" t="s">
        <v>2279</v>
      </c>
      <c r="J2264" t="s">
        <v>2279</v>
      </c>
      <c r="K2264" t="s">
        <v>2537</v>
      </c>
      <c r="L2264" t="s">
        <v>2279</v>
      </c>
      <c r="M2264" t="s">
        <v>2279</v>
      </c>
      <c r="N2264" t="s">
        <v>2279</v>
      </c>
      <c r="O2264" s="190" t="str">
        <f>"["&amp;$C2264&amp;"]["&amp;$D2264&amp;"]["&amp;$F2264&amp;"]"</f>
        <v>[S10_InstallationsInfringementPenalties][11][OtherPenalty]</v>
      </c>
    </row>
    <row r="2265" spans="1:15" x14ac:dyDescent="0.3">
      <c r="A2265" t="s">
        <v>2277</v>
      </c>
      <c r="B2265" t="s">
        <v>2151</v>
      </c>
      <c r="C2265" t="s">
        <v>2153</v>
      </c>
      <c r="D2265">
        <v>0</v>
      </c>
      <c r="E2265" t="s">
        <v>1447</v>
      </c>
      <c r="F2265" t="s">
        <v>2153</v>
      </c>
      <c r="G2265" t="s">
        <v>1741</v>
      </c>
      <c r="H2265" t="s">
        <v>2538</v>
      </c>
      <c r="I2265" t="s">
        <v>2279</v>
      </c>
      <c r="J2265" t="s">
        <v>2279</v>
      </c>
      <c r="K2265" t="s">
        <v>2279</v>
      </c>
      <c r="L2265" t="s">
        <v>2279</v>
      </c>
      <c r="M2265" t="s">
        <v>2279</v>
      </c>
      <c r="N2265" t="s">
        <v>2279</v>
      </c>
      <c r="O2265" s="190" t="str">
        <f>"["&amp;$C2265&amp;"]["&amp;$D2265&amp;"]["&amp;$F2265&amp;"]"</f>
        <v>[InstallationsNationalLaw][0][InstallationsNationalLaw]</v>
      </c>
    </row>
    <row r="2266" spans="1:15" x14ac:dyDescent="0.3">
      <c r="A2266" t="s">
        <v>2277</v>
      </c>
      <c r="B2266" t="s">
        <v>2154</v>
      </c>
      <c r="C2266" t="s">
        <v>2155</v>
      </c>
      <c r="D2266">
        <v>1</v>
      </c>
      <c r="E2266" t="s">
        <v>1447</v>
      </c>
      <c r="F2266" t="s">
        <v>2119</v>
      </c>
      <c r="G2266" t="s">
        <v>1737</v>
      </c>
      <c r="H2266" t="s">
        <v>2279</v>
      </c>
      <c r="I2266" t="s">
        <v>2279</v>
      </c>
      <c r="J2266" t="s">
        <v>2279</v>
      </c>
      <c r="K2266" t="s">
        <v>2279</v>
      </c>
      <c r="L2266" t="s">
        <v>1294</v>
      </c>
      <c r="M2266" t="s">
        <v>2279</v>
      </c>
      <c r="N2266" t="s">
        <v>2279</v>
      </c>
      <c r="O2266" s="190" t="str">
        <f>"["&amp;$C2266&amp;"]["&amp;$D2266&amp;"]["&amp;$F2266&amp;"]"</f>
        <v>[S10_InstallationsPenaltiesImposed][1][InfringementType]</v>
      </c>
    </row>
    <row r="2267" spans="1:15" x14ac:dyDescent="0.3">
      <c r="A2267" t="s">
        <v>2277</v>
      </c>
      <c r="B2267" t="s">
        <v>2154</v>
      </c>
      <c r="C2267" t="s">
        <v>2155</v>
      </c>
      <c r="D2267">
        <v>2</v>
      </c>
      <c r="E2267" t="s">
        <v>1447</v>
      </c>
      <c r="F2267" t="s">
        <v>2119</v>
      </c>
      <c r="G2267" t="s">
        <v>1737</v>
      </c>
      <c r="H2267" t="s">
        <v>2279</v>
      </c>
      <c r="I2267" t="s">
        <v>2279</v>
      </c>
      <c r="J2267" t="s">
        <v>2279</v>
      </c>
      <c r="K2267" t="s">
        <v>2279</v>
      </c>
      <c r="L2267" t="s">
        <v>1297</v>
      </c>
      <c r="M2267" t="s">
        <v>2279</v>
      </c>
      <c r="N2267" t="s">
        <v>2279</v>
      </c>
      <c r="O2267" s="190" t="str">
        <f>"["&amp;$C2267&amp;"]["&amp;$D2267&amp;"]["&amp;$F2267&amp;"]"</f>
        <v>[S10_InstallationsPenaltiesImposed][2][InfringementType]</v>
      </c>
    </row>
    <row r="2268" spans="1:15" x14ac:dyDescent="0.3">
      <c r="A2268" t="s">
        <v>2277</v>
      </c>
      <c r="B2268" t="s">
        <v>2154</v>
      </c>
      <c r="C2268" t="s">
        <v>2155</v>
      </c>
      <c r="D2268">
        <v>3</v>
      </c>
      <c r="E2268" t="s">
        <v>1447</v>
      </c>
      <c r="F2268" t="s">
        <v>2119</v>
      </c>
      <c r="G2268" t="s">
        <v>1737</v>
      </c>
      <c r="H2268" t="s">
        <v>2279</v>
      </c>
      <c r="I2268" t="s">
        <v>2279</v>
      </c>
      <c r="J2268" t="s">
        <v>2279</v>
      </c>
      <c r="K2268" t="s">
        <v>2279</v>
      </c>
      <c r="L2268" t="s">
        <v>1291</v>
      </c>
      <c r="M2268" t="s">
        <v>2279</v>
      </c>
      <c r="N2268" t="s">
        <v>2279</v>
      </c>
      <c r="O2268" s="190" t="str">
        <f>"["&amp;$C2268&amp;"]["&amp;$D2268&amp;"]["&amp;$F2268&amp;"]"</f>
        <v>[S10_InstallationsPenaltiesImposed][3][InfringementType]</v>
      </c>
    </row>
    <row r="2269" spans="1:15" x14ac:dyDescent="0.3">
      <c r="A2269" t="s">
        <v>2277</v>
      </c>
      <c r="B2269" t="s">
        <v>2154</v>
      </c>
      <c r="C2269" t="s">
        <v>2155</v>
      </c>
      <c r="D2269">
        <v>4</v>
      </c>
      <c r="E2269" t="s">
        <v>1447</v>
      </c>
      <c r="F2269" t="s">
        <v>2119</v>
      </c>
      <c r="G2269" t="s">
        <v>1737</v>
      </c>
      <c r="H2269" t="s">
        <v>2279</v>
      </c>
      <c r="I2269" t="s">
        <v>2279</v>
      </c>
      <c r="J2269" t="s">
        <v>2279</v>
      </c>
      <c r="K2269" t="s">
        <v>2279</v>
      </c>
      <c r="L2269" t="s">
        <v>1292</v>
      </c>
      <c r="M2269" t="s">
        <v>2279</v>
      </c>
      <c r="N2269" t="s">
        <v>2279</v>
      </c>
      <c r="O2269" s="190" t="str">
        <f>"["&amp;$C2269&amp;"]["&amp;$D2269&amp;"]["&amp;$F2269&amp;"]"</f>
        <v>[S10_InstallationsPenaltiesImposed][4][InfringementType]</v>
      </c>
    </row>
    <row r="2270" spans="1:15" x14ac:dyDescent="0.3">
      <c r="A2270" t="s">
        <v>2277</v>
      </c>
      <c r="B2270" t="s">
        <v>2154</v>
      </c>
      <c r="C2270" t="s">
        <v>2155</v>
      </c>
      <c r="D2270">
        <v>1</v>
      </c>
      <c r="E2270" t="s">
        <v>1447</v>
      </c>
      <c r="F2270" t="s">
        <v>2120</v>
      </c>
      <c r="G2270" t="s">
        <v>1806</v>
      </c>
      <c r="H2270" t="s">
        <v>2279</v>
      </c>
      <c r="I2270" t="s">
        <v>2279</v>
      </c>
      <c r="J2270">
        <v>0</v>
      </c>
      <c r="K2270" t="s">
        <v>2279</v>
      </c>
      <c r="L2270" t="s">
        <v>2279</v>
      </c>
      <c r="M2270" t="s">
        <v>2279</v>
      </c>
      <c r="N2270" t="s">
        <v>2279</v>
      </c>
      <c r="O2270" s="190" t="str">
        <f>"["&amp;$C2270&amp;"]["&amp;$D2270&amp;"]["&amp;$F2270&amp;"]"</f>
        <v>[S10_InstallationsPenaltiesImposed][1][ActualFines]</v>
      </c>
    </row>
    <row r="2271" spans="1:15" x14ac:dyDescent="0.3">
      <c r="A2271" t="s">
        <v>2277</v>
      </c>
      <c r="B2271" t="s">
        <v>2154</v>
      </c>
      <c r="C2271" t="s">
        <v>2155</v>
      </c>
      <c r="D2271">
        <v>2</v>
      </c>
      <c r="E2271" t="s">
        <v>1447</v>
      </c>
      <c r="F2271" t="s">
        <v>2120</v>
      </c>
      <c r="G2271" t="s">
        <v>1806</v>
      </c>
      <c r="H2271" t="s">
        <v>2279</v>
      </c>
      <c r="I2271" t="s">
        <v>2279</v>
      </c>
      <c r="J2271">
        <v>0</v>
      </c>
      <c r="K2271" t="s">
        <v>2279</v>
      </c>
      <c r="L2271" t="s">
        <v>2279</v>
      </c>
      <c r="M2271" t="s">
        <v>2279</v>
      </c>
      <c r="N2271" t="s">
        <v>2279</v>
      </c>
      <c r="O2271" s="190" t="str">
        <f>"["&amp;$C2271&amp;"]["&amp;$D2271&amp;"]["&amp;$F2271&amp;"]"</f>
        <v>[S10_InstallationsPenaltiesImposed][2][ActualFines]</v>
      </c>
    </row>
    <row r="2272" spans="1:15" x14ac:dyDescent="0.3">
      <c r="A2272" t="s">
        <v>2277</v>
      </c>
      <c r="B2272" t="s">
        <v>2154</v>
      </c>
      <c r="C2272" t="s">
        <v>2155</v>
      </c>
      <c r="D2272">
        <v>3</v>
      </c>
      <c r="E2272" t="s">
        <v>1447</v>
      </c>
      <c r="F2272" t="s">
        <v>2120</v>
      </c>
      <c r="G2272" t="s">
        <v>1806</v>
      </c>
      <c r="H2272" t="s">
        <v>2279</v>
      </c>
      <c r="I2272" t="s">
        <v>2279</v>
      </c>
      <c r="J2272">
        <v>0</v>
      </c>
      <c r="K2272" t="s">
        <v>2279</v>
      </c>
      <c r="L2272" t="s">
        <v>2279</v>
      </c>
      <c r="M2272" t="s">
        <v>2279</v>
      </c>
      <c r="N2272" t="s">
        <v>2279</v>
      </c>
      <c r="O2272" s="190" t="str">
        <f>"["&amp;$C2272&amp;"]["&amp;$D2272&amp;"]["&amp;$F2272&amp;"]"</f>
        <v>[S10_InstallationsPenaltiesImposed][3][ActualFines]</v>
      </c>
    </row>
    <row r="2273" spans="1:15" x14ac:dyDescent="0.3">
      <c r="A2273" t="s">
        <v>2277</v>
      </c>
      <c r="B2273" t="s">
        <v>2154</v>
      </c>
      <c r="C2273" t="s">
        <v>2155</v>
      </c>
      <c r="D2273">
        <v>4</v>
      </c>
      <c r="E2273" t="s">
        <v>1447</v>
      </c>
      <c r="F2273" t="s">
        <v>2120</v>
      </c>
      <c r="G2273" t="s">
        <v>1806</v>
      </c>
      <c r="H2273" t="s">
        <v>2279</v>
      </c>
      <c r="I2273" t="s">
        <v>2279</v>
      </c>
      <c r="J2273">
        <v>0</v>
      </c>
      <c r="K2273" t="s">
        <v>2279</v>
      </c>
      <c r="L2273" t="s">
        <v>2279</v>
      </c>
      <c r="M2273" t="s">
        <v>2279</v>
      </c>
      <c r="N2273" t="s">
        <v>2279</v>
      </c>
      <c r="O2273" s="190" t="str">
        <f>"["&amp;$C2273&amp;"]["&amp;$D2273&amp;"]["&amp;$F2273&amp;"]"</f>
        <v>[S10_InstallationsPenaltiesImposed][4][ActualFines]</v>
      </c>
    </row>
    <row r="2274" spans="1:15" x14ac:dyDescent="0.3">
      <c r="A2274" t="s">
        <v>2277</v>
      </c>
      <c r="B2274" t="s">
        <v>2154</v>
      </c>
      <c r="C2274" t="s">
        <v>2155</v>
      </c>
      <c r="D2274">
        <v>1</v>
      </c>
      <c r="E2274" t="s">
        <v>1447</v>
      </c>
      <c r="F2274" t="s">
        <v>2121</v>
      </c>
      <c r="G2274" t="s">
        <v>1806</v>
      </c>
      <c r="H2274" t="s">
        <v>2279</v>
      </c>
      <c r="I2274" t="s">
        <v>2279</v>
      </c>
      <c r="J2274">
        <v>0</v>
      </c>
      <c r="K2274" t="s">
        <v>2279</v>
      </c>
      <c r="L2274" t="s">
        <v>2279</v>
      </c>
      <c r="M2274" t="s">
        <v>2279</v>
      </c>
      <c r="N2274" t="s">
        <v>2279</v>
      </c>
      <c r="O2274" s="190" t="str">
        <f>"["&amp;$C2274&amp;"]["&amp;$D2274&amp;"]["&amp;$F2274&amp;"]"</f>
        <v>[S10_InstallationsPenaltiesImposed][1][ActualImprisonment]</v>
      </c>
    </row>
    <row r="2275" spans="1:15" x14ac:dyDescent="0.3">
      <c r="A2275" t="s">
        <v>2277</v>
      </c>
      <c r="B2275" t="s">
        <v>2154</v>
      </c>
      <c r="C2275" t="s">
        <v>2155</v>
      </c>
      <c r="D2275">
        <v>2</v>
      </c>
      <c r="E2275" t="s">
        <v>1447</v>
      </c>
      <c r="F2275" t="s">
        <v>2121</v>
      </c>
      <c r="G2275" t="s">
        <v>1806</v>
      </c>
      <c r="H2275" t="s">
        <v>2279</v>
      </c>
      <c r="I2275" t="s">
        <v>2279</v>
      </c>
      <c r="J2275">
        <v>0</v>
      </c>
      <c r="K2275" t="s">
        <v>2279</v>
      </c>
      <c r="L2275" t="s">
        <v>2279</v>
      </c>
      <c r="M2275" t="s">
        <v>2279</v>
      </c>
      <c r="N2275" t="s">
        <v>2279</v>
      </c>
      <c r="O2275" s="190" t="str">
        <f>"["&amp;$C2275&amp;"]["&amp;$D2275&amp;"]["&amp;$F2275&amp;"]"</f>
        <v>[S10_InstallationsPenaltiesImposed][2][ActualImprisonment]</v>
      </c>
    </row>
    <row r="2276" spans="1:15" x14ac:dyDescent="0.3">
      <c r="A2276" t="s">
        <v>2277</v>
      </c>
      <c r="B2276" t="s">
        <v>2154</v>
      </c>
      <c r="C2276" t="s">
        <v>2155</v>
      </c>
      <c r="D2276">
        <v>3</v>
      </c>
      <c r="E2276" t="s">
        <v>1447</v>
      </c>
      <c r="F2276" t="s">
        <v>2121</v>
      </c>
      <c r="G2276" t="s">
        <v>1806</v>
      </c>
      <c r="H2276" t="s">
        <v>2279</v>
      </c>
      <c r="I2276" t="s">
        <v>2279</v>
      </c>
      <c r="J2276">
        <v>0</v>
      </c>
      <c r="K2276" t="s">
        <v>2279</v>
      </c>
      <c r="L2276" t="s">
        <v>2279</v>
      </c>
      <c r="M2276" t="s">
        <v>2279</v>
      </c>
      <c r="N2276" t="s">
        <v>2279</v>
      </c>
      <c r="O2276" s="190" t="str">
        <f>"["&amp;$C2276&amp;"]["&amp;$D2276&amp;"]["&amp;$F2276&amp;"]"</f>
        <v>[S10_InstallationsPenaltiesImposed][3][ActualImprisonment]</v>
      </c>
    </row>
    <row r="2277" spans="1:15" x14ac:dyDescent="0.3">
      <c r="A2277" t="s">
        <v>2277</v>
      </c>
      <c r="B2277" t="s">
        <v>2154</v>
      </c>
      <c r="C2277" t="s">
        <v>2155</v>
      </c>
      <c r="D2277">
        <v>4</v>
      </c>
      <c r="E2277" t="s">
        <v>1447</v>
      </c>
      <c r="F2277" t="s">
        <v>2121</v>
      </c>
      <c r="G2277" t="s">
        <v>1806</v>
      </c>
      <c r="H2277" t="s">
        <v>2279</v>
      </c>
      <c r="I2277" t="s">
        <v>2279</v>
      </c>
      <c r="J2277">
        <v>0</v>
      </c>
      <c r="K2277" t="s">
        <v>2279</v>
      </c>
      <c r="L2277" t="s">
        <v>2279</v>
      </c>
      <c r="M2277" t="s">
        <v>2279</v>
      </c>
      <c r="N2277" t="s">
        <v>2279</v>
      </c>
      <c r="O2277" s="190" t="str">
        <f>"["&amp;$C2277&amp;"]["&amp;$D2277&amp;"]["&amp;$F2277&amp;"]"</f>
        <v>[S10_InstallationsPenaltiesImposed][4][ActualImprisonment]</v>
      </c>
    </row>
    <row r="2278" spans="1:15" x14ac:dyDescent="0.3">
      <c r="A2278" t="s">
        <v>2277</v>
      </c>
      <c r="B2278" t="s">
        <v>2154</v>
      </c>
      <c r="C2278" t="s">
        <v>2155</v>
      </c>
      <c r="D2278">
        <v>1</v>
      </c>
      <c r="E2278" t="s">
        <v>1447</v>
      </c>
      <c r="F2278" t="s">
        <v>2122</v>
      </c>
      <c r="G2278" t="s">
        <v>1791</v>
      </c>
      <c r="H2278" t="s">
        <v>2279</v>
      </c>
      <c r="I2278" t="s">
        <v>2279</v>
      </c>
      <c r="J2278" t="s">
        <v>2279</v>
      </c>
      <c r="K2278" t="s">
        <v>2537</v>
      </c>
      <c r="L2278" t="s">
        <v>2279</v>
      </c>
      <c r="M2278" t="s">
        <v>2279</v>
      </c>
      <c r="N2278" t="s">
        <v>2279</v>
      </c>
      <c r="O2278" s="190" t="str">
        <f>"["&amp;$C2278&amp;"]["&amp;$D2278&amp;"]["&amp;$F2278&amp;"]"</f>
        <v>[S10_InstallationsPenaltiesImposed][1][ACtualOtherPenalties]</v>
      </c>
    </row>
    <row r="2279" spans="1:15" x14ac:dyDescent="0.3">
      <c r="A2279" t="s">
        <v>2277</v>
      </c>
      <c r="B2279" t="s">
        <v>2154</v>
      </c>
      <c r="C2279" t="s">
        <v>2155</v>
      </c>
      <c r="D2279">
        <v>2</v>
      </c>
      <c r="E2279" t="s">
        <v>1447</v>
      </c>
      <c r="F2279" t="s">
        <v>2122</v>
      </c>
      <c r="G2279" t="s">
        <v>1791</v>
      </c>
      <c r="H2279" t="s">
        <v>2279</v>
      </c>
      <c r="I2279" t="s">
        <v>2279</v>
      </c>
      <c r="J2279" t="s">
        <v>2279</v>
      </c>
      <c r="K2279" t="s">
        <v>2537</v>
      </c>
      <c r="L2279" t="s">
        <v>2279</v>
      </c>
      <c r="M2279" t="s">
        <v>2279</v>
      </c>
      <c r="N2279" t="s">
        <v>2279</v>
      </c>
      <c r="O2279" s="190" t="str">
        <f>"["&amp;$C2279&amp;"]["&amp;$D2279&amp;"]["&amp;$F2279&amp;"]"</f>
        <v>[S10_InstallationsPenaltiesImposed][2][ACtualOtherPenalties]</v>
      </c>
    </row>
    <row r="2280" spans="1:15" x14ac:dyDescent="0.3">
      <c r="A2280" t="s">
        <v>2277</v>
      </c>
      <c r="B2280" t="s">
        <v>2154</v>
      </c>
      <c r="C2280" t="s">
        <v>2155</v>
      </c>
      <c r="D2280">
        <v>3</v>
      </c>
      <c r="E2280" t="s">
        <v>1447</v>
      </c>
      <c r="F2280" t="s">
        <v>2122</v>
      </c>
      <c r="G2280" t="s">
        <v>1791</v>
      </c>
      <c r="H2280" t="s">
        <v>2279</v>
      </c>
      <c r="I2280" t="s">
        <v>2279</v>
      </c>
      <c r="J2280" t="s">
        <v>2279</v>
      </c>
      <c r="K2280" t="s">
        <v>2425</v>
      </c>
      <c r="L2280" t="s">
        <v>2279</v>
      </c>
      <c r="M2280" t="s">
        <v>2279</v>
      </c>
      <c r="N2280" t="s">
        <v>2279</v>
      </c>
      <c r="O2280" s="190" t="str">
        <f>"["&amp;$C2280&amp;"]["&amp;$D2280&amp;"]["&amp;$F2280&amp;"]"</f>
        <v>[S10_InstallationsPenaltiesImposed][3][ACtualOtherPenalties]</v>
      </c>
    </row>
    <row r="2281" spans="1:15" x14ac:dyDescent="0.3">
      <c r="A2281" t="s">
        <v>2277</v>
      </c>
      <c r="B2281" t="s">
        <v>2154</v>
      </c>
      <c r="C2281" t="s">
        <v>2155</v>
      </c>
      <c r="D2281">
        <v>4</v>
      </c>
      <c r="E2281" t="s">
        <v>1447</v>
      </c>
      <c r="F2281" t="s">
        <v>2122</v>
      </c>
      <c r="G2281" t="s">
        <v>1791</v>
      </c>
      <c r="H2281" t="s">
        <v>2279</v>
      </c>
      <c r="I2281" t="s">
        <v>2279</v>
      </c>
      <c r="J2281" t="s">
        <v>2279</v>
      </c>
      <c r="K2281" t="s">
        <v>2425</v>
      </c>
      <c r="L2281" t="s">
        <v>2279</v>
      </c>
      <c r="M2281" t="s">
        <v>2279</v>
      </c>
      <c r="N2281" t="s">
        <v>2279</v>
      </c>
      <c r="O2281" s="190" t="str">
        <f>"["&amp;$C2281&amp;"]["&amp;$D2281&amp;"]["&amp;$F2281&amp;"]"</f>
        <v>[S10_InstallationsPenaltiesImposed][4][ACtualOtherPenalties]</v>
      </c>
    </row>
    <row r="2282" spans="1:15" x14ac:dyDescent="0.3">
      <c r="A2282" t="s">
        <v>2277</v>
      </c>
      <c r="B2282" t="s">
        <v>2154</v>
      </c>
      <c r="C2282" t="s">
        <v>2155</v>
      </c>
      <c r="D2282">
        <v>1</v>
      </c>
      <c r="E2282" t="s">
        <v>1447</v>
      </c>
      <c r="F2282" t="s">
        <v>2123</v>
      </c>
      <c r="G2282" t="s">
        <v>1759</v>
      </c>
      <c r="H2282" t="s">
        <v>2279</v>
      </c>
      <c r="I2282" t="s">
        <v>2279</v>
      </c>
      <c r="J2282" t="s">
        <v>2279</v>
      </c>
      <c r="K2282" t="s">
        <v>2279</v>
      </c>
      <c r="L2282" t="s">
        <v>1447</v>
      </c>
      <c r="M2282" t="s">
        <v>2279</v>
      </c>
      <c r="N2282" t="s">
        <v>2279</v>
      </c>
      <c r="O2282" s="190" t="str">
        <f>"["&amp;$C2282&amp;"]["&amp;$D2282&amp;"]["&amp;$F2282&amp;"]"</f>
        <v>[S10_InstallationsPenaltiesImposed][1][OngoingProceedings]</v>
      </c>
    </row>
    <row r="2283" spans="1:15" x14ac:dyDescent="0.3">
      <c r="A2283" t="s">
        <v>2277</v>
      </c>
      <c r="B2283" t="s">
        <v>2154</v>
      </c>
      <c r="C2283" t="s">
        <v>2155</v>
      </c>
      <c r="D2283">
        <v>2</v>
      </c>
      <c r="E2283" t="s">
        <v>1447</v>
      </c>
      <c r="F2283" t="s">
        <v>2123</v>
      </c>
      <c r="G2283" t="s">
        <v>1759</v>
      </c>
      <c r="H2283" t="s">
        <v>2279</v>
      </c>
      <c r="I2283" t="s">
        <v>2279</v>
      </c>
      <c r="J2283" t="s">
        <v>2279</v>
      </c>
      <c r="K2283" t="s">
        <v>2279</v>
      </c>
      <c r="L2283" t="s">
        <v>1447</v>
      </c>
      <c r="M2283" t="s">
        <v>2279</v>
      </c>
      <c r="N2283" t="s">
        <v>2279</v>
      </c>
      <c r="O2283" s="190" t="str">
        <f>"["&amp;$C2283&amp;"]["&amp;$D2283&amp;"]["&amp;$F2283&amp;"]"</f>
        <v>[S10_InstallationsPenaltiesImposed][2][OngoingProceedings]</v>
      </c>
    </row>
    <row r="2284" spans="1:15" x14ac:dyDescent="0.3">
      <c r="A2284" t="s">
        <v>2277</v>
      </c>
      <c r="B2284" t="s">
        <v>2154</v>
      </c>
      <c r="C2284" t="s">
        <v>2155</v>
      </c>
      <c r="D2284">
        <v>3</v>
      </c>
      <c r="E2284" t="s">
        <v>1447</v>
      </c>
      <c r="F2284" t="s">
        <v>2123</v>
      </c>
      <c r="G2284" t="s">
        <v>1759</v>
      </c>
      <c r="H2284" t="s">
        <v>2279</v>
      </c>
      <c r="I2284" t="s">
        <v>2279</v>
      </c>
      <c r="J2284" t="s">
        <v>2279</v>
      </c>
      <c r="K2284" t="s">
        <v>2279</v>
      </c>
      <c r="L2284" t="s">
        <v>1447</v>
      </c>
      <c r="M2284" t="s">
        <v>2279</v>
      </c>
      <c r="N2284" t="s">
        <v>2279</v>
      </c>
      <c r="O2284" s="190" t="str">
        <f>"["&amp;$C2284&amp;"]["&amp;$D2284&amp;"]["&amp;$F2284&amp;"]"</f>
        <v>[S10_InstallationsPenaltiesImposed][3][OngoingProceedings]</v>
      </c>
    </row>
    <row r="2285" spans="1:15" x14ac:dyDescent="0.3">
      <c r="A2285" t="s">
        <v>2277</v>
      </c>
      <c r="B2285" t="s">
        <v>2154</v>
      </c>
      <c r="C2285" t="s">
        <v>2155</v>
      </c>
      <c r="D2285">
        <v>4</v>
      </c>
      <c r="E2285" t="s">
        <v>1447</v>
      </c>
      <c r="F2285" t="s">
        <v>2123</v>
      </c>
      <c r="G2285" t="s">
        <v>1759</v>
      </c>
      <c r="H2285" t="s">
        <v>2279</v>
      </c>
      <c r="I2285" t="s">
        <v>2279</v>
      </c>
      <c r="J2285" t="s">
        <v>2279</v>
      </c>
      <c r="K2285" t="s">
        <v>2279</v>
      </c>
      <c r="L2285" t="s">
        <v>1447</v>
      </c>
      <c r="M2285" t="s">
        <v>2279</v>
      </c>
      <c r="N2285" t="s">
        <v>2279</v>
      </c>
      <c r="O2285" s="190" t="str">
        <f>"["&amp;$C2285&amp;"]["&amp;$D2285&amp;"]["&amp;$F2285&amp;"]"</f>
        <v>[S10_InstallationsPenaltiesImposed][4][OngoingProceedings]</v>
      </c>
    </row>
    <row r="2286" spans="1:15" x14ac:dyDescent="0.3">
      <c r="A2286" t="s">
        <v>2277</v>
      </c>
      <c r="B2286" t="s">
        <v>2154</v>
      </c>
      <c r="C2286" t="s">
        <v>2155</v>
      </c>
      <c r="D2286">
        <v>1</v>
      </c>
      <c r="E2286" t="s">
        <v>1447</v>
      </c>
      <c r="F2286" t="s">
        <v>2124</v>
      </c>
      <c r="G2286" t="s">
        <v>1759</v>
      </c>
      <c r="H2286" t="s">
        <v>2279</v>
      </c>
      <c r="I2286" t="s">
        <v>2279</v>
      </c>
      <c r="J2286" t="s">
        <v>2279</v>
      </c>
      <c r="K2286" t="s">
        <v>2279</v>
      </c>
      <c r="L2286" t="s">
        <v>1419</v>
      </c>
      <c r="M2286" t="s">
        <v>2279</v>
      </c>
      <c r="N2286" t="s">
        <v>2279</v>
      </c>
      <c r="O2286" s="190" t="str">
        <f>"["&amp;$C2286&amp;"]["&amp;$D2286&amp;"]["&amp;$F2286&amp;"]"</f>
        <v>[S10_InstallationsPenaltiesImposed][1][PenaltyEnforcedWithinPeriod]</v>
      </c>
    </row>
    <row r="2287" spans="1:15" x14ac:dyDescent="0.3">
      <c r="A2287" t="s">
        <v>2277</v>
      </c>
      <c r="B2287" t="s">
        <v>2154</v>
      </c>
      <c r="C2287" t="s">
        <v>2155</v>
      </c>
      <c r="D2287">
        <v>2</v>
      </c>
      <c r="E2287" t="s">
        <v>1447</v>
      </c>
      <c r="F2287" t="s">
        <v>2124</v>
      </c>
      <c r="G2287" t="s">
        <v>1759</v>
      </c>
      <c r="H2287" t="s">
        <v>2279</v>
      </c>
      <c r="I2287" t="s">
        <v>2279</v>
      </c>
      <c r="J2287" t="s">
        <v>2279</v>
      </c>
      <c r="K2287" t="s">
        <v>2279</v>
      </c>
      <c r="L2287" t="s">
        <v>1419</v>
      </c>
      <c r="M2287" t="s">
        <v>2279</v>
      </c>
      <c r="N2287" t="s">
        <v>2279</v>
      </c>
      <c r="O2287" s="190" t="str">
        <f>"["&amp;$C2287&amp;"]["&amp;$D2287&amp;"]["&amp;$F2287&amp;"]"</f>
        <v>[S10_InstallationsPenaltiesImposed][2][PenaltyEnforcedWithinPeriod]</v>
      </c>
    </row>
    <row r="2288" spans="1:15" x14ac:dyDescent="0.3">
      <c r="A2288" t="s">
        <v>2277</v>
      </c>
      <c r="B2288" t="s">
        <v>2154</v>
      </c>
      <c r="C2288" t="s">
        <v>2155</v>
      </c>
      <c r="D2288">
        <v>3</v>
      </c>
      <c r="E2288" t="s">
        <v>1447</v>
      </c>
      <c r="F2288" t="s">
        <v>2124</v>
      </c>
      <c r="G2288" t="s">
        <v>1759</v>
      </c>
      <c r="H2288" t="s">
        <v>2279</v>
      </c>
      <c r="I2288" t="s">
        <v>2279</v>
      </c>
      <c r="J2288" t="s">
        <v>2279</v>
      </c>
      <c r="K2288" t="s">
        <v>2279</v>
      </c>
      <c r="L2288" t="s">
        <v>1419</v>
      </c>
      <c r="M2288" t="s">
        <v>2279</v>
      </c>
      <c r="N2288" t="s">
        <v>2279</v>
      </c>
      <c r="O2288" s="190" t="str">
        <f>"["&amp;$C2288&amp;"]["&amp;$D2288&amp;"]["&amp;$F2288&amp;"]"</f>
        <v>[S10_InstallationsPenaltiesImposed][3][PenaltyEnforcedWithinPeriod]</v>
      </c>
    </row>
    <row r="2289" spans="1:15" x14ac:dyDescent="0.3">
      <c r="A2289" t="s">
        <v>2277</v>
      </c>
      <c r="B2289" t="s">
        <v>2154</v>
      </c>
      <c r="C2289" t="s">
        <v>2155</v>
      </c>
      <c r="D2289">
        <v>4</v>
      </c>
      <c r="E2289" t="s">
        <v>1447</v>
      </c>
      <c r="F2289" t="s">
        <v>2124</v>
      </c>
      <c r="G2289" t="s">
        <v>1759</v>
      </c>
      <c r="H2289" t="s">
        <v>2279</v>
      </c>
      <c r="I2289" t="s">
        <v>2279</v>
      </c>
      <c r="J2289" t="s">
        <v>2279</v>
      </c>
      <c r="K2289" t="s">
        <v>2279</v>
      </c>
      <c r="L2289" t="s">
        <v>1419</v>
      </c>
      <c r="M2289" t="s">
        <v>2279</v>
      </c>
      <c r="N2289" t="s">
        <v>2279</v>
      </c>
      <c r="O2289" s="190" t="str">
        <f>"["&amp;$C2289&amp;"]["&amp;$D2289&amp;"]["&amp;$F2289&amp;"]"</f>
        <v>[S10_InstallationsPenaltiesImposed][4][PenaltyEnforcedWithinPeriod]</v>
      </c>
    </row>
    <row r="2290" spans="1:15" x14ac:dyDescent="0.3">
      <c r="A2290" t="s">
        <v>2277</v>
      </c>
      <c r="B2290" t="s">
        <v>2154</v>
      </c>
      <c r="C2290" t="s">
        <v>2156</v>
      </c>
      <c r="D2290">
        <v>0</v>
      </c>
      <c r="E2290" t="s">
        <v>1447</v>
      </c>
      <c r="F2290" t="s">
        <v>2156</v>
      </c>
      <c r="G2290" t="s">
        <v>1759</v>
      </c>
      <c r="H2290" t="s">
        <v>2279</v>
      </c>
      <c r="I2290" t="s">
        <v>2279</v>
      </c>
      <c r="J2290" t="s">
        <v>2279</v>
      </c>
      <c r="K2290" t="s">
        <v>2279</v>
      </c>
      <c r="L2290" t="s">
        <v>1447</v>
      </c>
      <c r="M2290" t="s">
        <v>2279</v>
      </c>
      <c r="N2290" t="s">
        <v>2279</v>
      </c>
      <c r="O2290" s="190" t="str">
        <f>"["&amp;$C2290&amp;"]["&amp;$D2290&amp;"]["&amp;$F2290&amp;"]"</f>
        <v>[InstallationsPriorPenaltiesEnforced][0][InstallationsPriorPenaltiesEnforced]</v>
      </c>
    </row>
    <row r="2291" spans="1:15" x14ac:dyDescent="0.3">
      <c r="A2291" t="s">
        <v>2277</v>
      </c>
      <c r="B2291" t="s">
        <v>2160</v>
      </c>
      <c r="C2291" t="s">
        <v>2161</v>
      </c>
      <c r="D2291">
        <v>1</v>
      </c>
      <c r="E2291" t="s">
        <v>1447</v>
      </c>
      <c r="F2291" t="s">
        <v>2148</v>
      </c>
      <c r="G2291" t="s">
        <v>1759</v>
      </c>
      <c r="H2291" t="s">
        <v>2279</v>
      </c>
      <c r="I2291" t="s">
        <v>2279</v>
      </c>
      <c r="J2291" t="s">
        <v>2279</v>
      </c>
      <c r="K2291" t="s">
        <v>2279</v>
      </c>
      <c r="L2291" t="s">
        <v>1447</v>
      </c>
      <c r="M2291" t="s">
        <v>2279</v>
      </c>
      <c r="N2291" t="s">
        <v>2279</v>
      </c>
      <c r="O2291" s="190" t="str">
        <f>"["&amp;$C2291&amp;"]["&amp;$D2291&amp;"]["&amp;$F2291&amp;"]"</f>
        <v>[S10_AircraftComplianceMeasures][1][ComplianceMeasuresYesNo]</v>
      </c>
    </row>
    <row r="2292" spans="1:15" x14ac:dyDescent="0.3">
      <c r="A2292" t="s">
        <v>2277</v>
      </c>
      <c r="B2292" t="s">
        <v>2160</v>
      </c>
      <c r="C2292" t="s">
        <v>2161</v>
      </c>
      <c r="D2292">
        <v>2</v>
      </c>
      <c r="E2292" t="s">
        <v>1447</v>
      </c>
      <c r="F2292" t="s">
        <v>2148</v>
      </c>
      <c r="G2292" t="s">
        <v>1759</v>
      </c>
      <c r="H2292" t="s">
        <v>2279</v>
      </c>
      <c r="I2292" t="s">
        <v>2279</v>
      </c>
      <c r="J2292" t="s">
        <v>2279</v>
      </c>
      <c r="K2292" t="s">
        <v>2279</v>
      </c>
      <c r="L2292" t="s">
        <v>1447</v>
      </c>
      <c r="M2292" t="s">
        <v>2279</v>
      </c>
      <c r="N2292" t="s">
        <v>2279</v>
      </c>
      <c r="O2292" s="190" t="str">
        <f>"["&amp;$C2292&amp;"]["&amp;$D2292&amp;"]["&amp;$F2292&amp;"]"</f>
        <v>[S10_AircraftComplianceMeasures][2][ComplianceMeasuresYesNo]</v>
      </c>
    </row>
    <row r="2293" spans="1:15" x14ac:dyDescent="0.3">
      <c r="A2293" t="s">
        <v>2277</v>
      </c>
      <c r="B2293" t="s">
        <v>2160</v>
      </c>
      <c r="C2293" t="s">
        <v>2161</v>
      </c>
      <c r="D2293">
        <v>3</v>
      </c>
      <c r="E2293" t="s">
        <v>1447</v>
      </c>
      <c r="F2293" t="s">
        <v>2148</v>
      </c>
      <c r="G2293" t="s">
        <v>1759</v>
      </c>
      <c r="H2293" t="s">
        <v>2279</v>
      </c>
      <c r="I2293" t="s">
        <v>2279</v>
      </c>
      <c r="J2293" t="s">
        <v>2279</v>
      </c>
      <c r="K2293" t="s">
        <v>2279</v>
      </c>
      <c r="L2293" t="s">
        <v>1447</v>
      </c>
      <c r="M2293" t="s">
        <v>2279</v>
      </c>
      <c r="N2293" t="s">
        <v>2279</v>
      </c>
      <c r="O2293" s="190" t="str">
        <f>"["&amp;$C2293&amp;"]["&amp;$D2293&amp;"]["&amp;$F2293&amp;"]"</f>
        <v>[S10_AircraftComplianceMeasures][3][ComplianceMeasuresYesNo]</v>
      </c>
    </row>
    <row r="2294" spans="1:15" x14ac:dyDescent="0.3">
      <c r="A2294" t="s">
        <v>2277</v>
      </c>
      <c r="B2294" t="s">
        <v>2160</v>
      </c>
      <c r="C2294" t="s">
        <v>2161</v>
      </c>
      <c r="D2294">
        <v>4</v>
      </c>
      <c r="E2294" t="s">
        <v>1447</v>
      </c>
      <c r="F2294" t="s">
        <v>2148</v>
      </c>
      <c r="G2294" t="s">
        <v>1759</v>
      </c>
      <c r="H2294" t="s">
        <v>2279</v>
      </c>
      <c r="I2294" t="s">
        <v>2279</v>
      </c>
      <c r="J2294" t="s">
        <v>2279</v>
      </c>
      <c r="K2294" t="s">
        <v>2279</v>
      </c>
      <c r="L2294" t="s">
        <v>1447</v>
      </c>
      <c r="M2294" t="s">
        <v>2279</v>
      </c>
      <c r="N2294" t="s">
        <v>2279</v>
      </c>
      <c r="O2294" s="190" t="str">
        <f>"["&amp;$C2294&amp;"]["&amp;$D2294&amp;"]["&amp;$F2294&amp;"]"</f>
        <v>[S10_AircraftComplianceMeasures][4][ComplianceMeasuresYesNo]</v>
      </c>
    </row>
    <row r="2295" spans="1:15" x14ac:dyDescent="0.3">
      <c r="A2295" t="s">
        <v>2277</v>
      </c>
      <c r="B2295" t="s">
        <v>2160</v>
      </c>
      <c r="C2295" t="s">
        <v>2161</v>
      </c>
      <c r="D2295">
        <v>5</v>
      </c>
      <c r="E2295" t="s">
        <v>1447</v>
      </c>
      <c r="F2295" t="s">
        <v>2148</v>
      </c>
      <c r="G2295" t="s">
        <v>1759</v>
      </c>
      <c r="H2295" t="s">
        <v>2279</v>
      </c>
      <c r="I2295" t="s">
        <v>2279</v>
      </c>
      <c r="J2295" t="s">
        <v>2279</v>
      </c>
      <c r="K2295" t="s">
        <v>2279</v>
      </c>
      <c r="L2295" t="s">
        <v>1447</v>
      </c>
      <c r="M2295" t="s">
        <v>2279</v>
      </c>
      <c r="N2295" t="s">
        <v>2279</v>
      </c>
      <c r="O2295" s="190" t="str">
        <f>"["&amp;$C2295&amp;"]["&amp;$D2295&amp;"]["&amp;$F2295&amp;"]"</f>
        <v>[S10_AircraftComplianceMeasures][5][ComplianceMeasuresYesNo]</v>
      </c>
    </row>
    <row r="2296" spans="1:15" x14ac:dyDescent="0.3">
      <c r="A2296" t="s">
        <v>2277</v>
      </c>
      <c r="B2296" t="s">
        <v>2165</v>
      </c>
      <c r="C2296" t="s">
        <v>2167</v>
      </c>
      <c r="D2296">
        <v>0</v>
      </c>
      <c r="E2296" t="s">
        <v>1447</v>
      </c>
      <c r="F2296" t="s">
        <v>2167</v>
      </c>
      <c r="G2296" t="s">
        <v>1759</v>
      </c>
      <c r="H2296" t="s">
        <v>2279</v>
      </c>
      <c r="I2296" t="s">
        <v>2279</v>
      </c>
      <c r="J2296" t="s">
        <v>2279</v>
      </c>
      <c r="K2296" t="s">
        <v>2279</v>
      </c>
      <c r="L2296" t="s">
        <v>1447</v>
      </c>
      <c r="M2296" t="s">
        <v>2279</v>
      </c>
      <c r="N2296" t="s">
        <v>2279</v>
      </c>
      <c r="O2296" s="190" t="str">
        <f>"["&amp;$C2296&amp;"]["&amp;$D2296&amp;"]["&amp;$F2296&amp;"]"</f>
        <v>[AircraftPriorPenaltiesEnforced][0][AircraftPriorPenaltiesEnforced]</v>
      </c>
    </row>
    <row r="2297" spans="1:15" x14ac:dyDescent="0.3">
      <c r="A2297" t="s">
        <v>2277</v>
      </c>
      <c r="B2297" t="s">
        <v>2174</v>
      </c>
      <c r="C2297" t="s">
        <v>2175</v>
      </c>
      <c r="D2297">
        <v>0</v>
      </c>
      <c r="E2297" t="s">
        <v>1447</v>
      </c>
      <c r="F2297" t="s">
        <v>2175</v>
      </c>
      <c r="G2297" t="s">
        <v>1741</v>
      </c>
      <c r="H2297" t="s">
        <v>2539</v>
      </c>
      <c r="I2297" t="s">
        <v>2279</v>
      </c>
      <c r="J2297" t="s">
        <v>2279</v>
      </c>
      <c r="K2297" t="s">
        <v>2279</v>
      </c>
      <c r="L2297" t="s">
        <v>2279</v>
      </c>
      <c r="M2297" t="s">
        <v>2279</v>
      </c>
      <c r="N2297" t="s">
        <v>2279</v>
      </c>
      <c r="O2297" s="190" t="str">
        <f>"["&amp;$C2297&amp;"]["&amp;$D2297&amp;"]["&amp;$F2297&amp;"]"</f>
        <v>[LegalNatureOfEmissionAllowance][0][LegalNatureOfEmissionAllowance]</v>
      </c>
    </row>
    <row r="2298" spans="1:15" x14ac:dyDescent="0.3">
      <c r="A2298" t="s">
        <v>2277</v>
      </c>
      <c r="B2298" t="s">
        <v>2176</v>
      </c>
      <c r="C2298" t="s">
        <v>2177</v>
      </c>
      <c r="D2298">
        <v>0</v>
      </c>
      <c r="E2298" t="s">
        <v>1447</v>
      </c>
      <c r="F2298" t="s">
        <v>2177</v>
      </c>
      <c r="G2298" t="s">
        <v>1741</v>
      </c>
      <c r="H2298" t="s">
        <v>2540</v>
      </c>
      <c r="I2298" t="s">
        <v>2279</v>
      </c>
      <c r="J2298" t="s">
        <v>2279</v>
      </c>
      <c r="K2298" t="s">
        <v>2279</v>
      </c>
      <c r="L2298" t="s">
        <v>2279</v>
      </c>
      <c r="M2298" t="s">
        <v>2279</v>
      </c>
      <c r="N2298" t="s">
        <v>2279</v>
      </c>
      <c r="O2298" s="190" t="str">
        <f>"["&amp;$C2298&amp;"]["&amp;$D2298&amp;"]["&amp;$F2298&amp;"]"</f>
        <v>[AccountingTreatmentOfEmissionAllowances][0][AccountingTreatmentOfEmissionAllowances]</v>
      </c>
    </row>
    <row r="2299" spans="1:15" x14ac:dyDescent="0.3">
      <c r="A2299" t="s">
        <v>2277</v>
      </c>
      <c r="B2299" t="s">
        <v>2178</v>
      </c>
      <c r="C2299" t="s">
        <v>2179</v>
      </c>
      <c r="D2299">
        <v>0</v>
      </c>
      <c r="E2299" t="s">
        <v>1447</v>
      </c>
      <c r="F2299" t="s">
        <v>2179</v>
      </c>
      <c r="G2299" t="s">
        <v>1759</v>
      </c>
      <c r="H2299" t="s">
        <v>2279</v>
      </c>
      <c r="I2299" t="s">
        <v>2279</v>
      </c>
      <c r="J2299" t="s">
        <v>2279</v>
      </c>
      <c r="K2299" t="s">
        <v>2279</v>
      </c>
      <c r="L2299" t="s">
        <v>1447</v>
      </c>
      <c r="M2299" t="s">
        <v>2279</v>
      </c>
      <c r="N2299" t="s">
        <v>2279</v>
      </c>
      <c r="O2299" s="190" t="str">
        <f>"["&amp;$C2299&amp;"]["&amp;$D2299&amp;"]["&amp;$F2299&amp;"]"</f>
        <v>[VATdueEmissionAllowancesIssuance][0][VATdueEmissionAllowancesIssuance]</v>
      </c>
    </row>
    <row r="2300" spans="1:15" x14ac:dyDescent="0.3">
      <c r="A2300" t="s">
        <v>2277</v>
      </c>
      <c r="B2300" t="s">
        <v>2181</v>
      </c>
      <c r="C2300" t="s">
        <v>2182</v>
      </c>
      <c r="D2300">
        <v>0</v>
      </c>
      <c r="E2300" t="s">
        <v>1447</v>
      </c>
      <c r="F2300" t="s">
        <v>2182</v>
      </c>
      <c r="G2300" t="s">
        <v>1759</v>
      </c>
      <c r="H2300" t="s">
        <v>2279</v>
      </c>
      <c r="I2300" t="s">
        <v>2279</v>
      </c>
      <c r="J2300" t="s">
        <v>2279</v>
      </c>
      <c r="K2300" t="s">
        <v>2279</v>
      </c>
      <c r="L2300" t="s">
        <v>1447</v>
      </c>
      <c r="M2300" t="s">
        <v>2279</v>
      </c>
      <c r="N2300" t="s">
        <v>2279</v>
      </c>
      <c r="O2300" s="190" t="str">
        <f>"["&amp;$C2300&amp;"]["&amp;$D2300&amp;"]["&amp;$F2300&amp;"]"</f>
        <v>[EmissionAllowancesTaxed][0][EmissionAllowancesTaxed]</v>
      </c>
    </row>
    <row r="2301" spans="1:15" x14ac:dyDescent="0.3">
      <c r="A2301" t="s">
        <v>2277</v>
      </c>
      <c r="B2301" t="s">
        <v>2186</v>
      </c>
      <c r="C2301" t="s">
        <v>2187</v>
      </c>
      <c r="D2301">
        <v>1</v>
      </c>
      <c r="E2301" t="s">
        <v>1447</v>
      </c>
      <c r="F2301" t="s">
        <v>2188</v>
      </c>
      <c r="G2301" t="s">
        <v>1741</v>
      </c>
      <c r="H2301" t="s">
        <v>2541</v>
      </c>
      <c r="I2301" t="s">
        <v>2279</v>
      </c>
      <c r="J2301" t="s">
        <v>2279</v>
      </c>
      <c r="K2301" t="s">
        <v>2279</v>
      </c>
      <c r="L2301" t="s">
        <v>2279</v>
      </c>
      <c r="M2301" t="s">
        <v>2279</v>
      </c>
      <c r="N2301" t="s">
        <v>2279</v>
      </c>
      <c r="O2301" s="190" t="str">
        <f>"["&amp;$C2301&amp;"]["&amp;$D2301&amp;"]["&amp;$F2301&amp;"]"</f>
        <v>[S12_FraudFreeAllocationOfAllowances][1][DetailsOfProceduresInNationalLaw]</v>
      </c>
    </row>
    <row r="2302" spans="1:15" x14ac:dyDescent="0.3">
      <c r="A2302" t="s">
        <v>2277</v>
      </c>
      <c r="B2302" t="s">
        <v>2186</v>
      </c>
      <c r="C2302" t="s">
        <v>2187</v>
      </c>
      <c r="D2302">
        <v>2</v>
      </c>
      <c r="E2302" t="s">
        <v>1447</v>
      </c>
      <c r="F2302" t="s">
        <v>2188</v>
      </c>
      <c r="G2302" t="s">
        <v>1741</v>
      </c>
      <c r="H2302" t="s">
        <v>2542</v>
      </c>
      <c r="I2302" t="s">
        <v>2279</v>
      </c>
      <c r="J2302" t="s">
        <v>2279</v>
      </c>
      <c r="K2302" t="s">
        <v>2279</v>
      </c>
      <c r="L2302" t="s">
        <v>2279</v>
      </c>
      <c r="M2302" t="s">
        <v>2279</v>
      </c>
      <c r="N2302" t="s">
        <v>2279</v>
      </c>
      <c r="O2302" s="190" t="str">
        <f>"["&amp;$C2302&amp;"]["&amp;$D2302&amp;"]["&amp;$F2302&amp;"]"</f>
        <v>[S12_FraudFreeAllocationOfAllowances][2][DetailsOfProceduresInNationalLaw]</v>
      </c>
    </row>
    <row r="2303" spans="1:15" x14ac:dyDescent="0.3">
      <c r="A2303" t="s">
        <v>2277</v>
      </c>
      <c r="B2303" t="s">
        <v>2186</v>
      </c>
      <c r="C2303" t="s">
        <v>2187</v>
      </c>
      <c r="D2303">
        <v>6</v>
      </c>
      <c r="E2303" t="s">
        <v>1447</v>
      </c>
      <c r="F2303" t="s">
        <v>2188</v>
      </c>
      <c r="G2303" t="s">
        <v>1741</v>
      </c>
      <c r="H2303" t="s">
        <v>2543</v>
      </c>
      <c r="I2303" t="s">
        <v>2279</v>
      </c>
      <c r="J2303" t="s">
        <v>2279</v>
      </c>
      <c r="K2303" t="s">
        <v>2279</v>
      </c>
      <c r="L2303" t="s">
        <v>2279</v>
      </c>
      <c r="M2303" t="s">
        <v>2279</v>
      </c>
      <c r="N2303" t="s">
        <v>2279</v>
      </c>
      <c r="O2303" s="190" t="str">
        <f>"["&amp;$C2303&amp;"]["&amp;$D2303&amp;"]["&amp;$F2303&amp;"]"</f>
        <v>[S12_FraudFreeAllocationOfAllowances][6][DetailsOfProceduresInNationalLaw]</v>
      </c>
    </row>
    <row r="2304" spans="1:15" x14ac:dyDescent="0.3">
      <c r="A2304" t="s">
        <v>2277</v>
      </c>
      <c r="B2304" t="s">
        <v>2189</v>
      </c>
      <c r="C2304" t="s">
        <v>2190</v>
      </c>
      <c r="D2304">
        <v>1</v>
      </c>
      <c r="E2304" t="s">
        <v>1447</v>
      </c>
      <c r="F2304" t="s">
        <v>2191</v>
      </c>
      <c r="G2304" t="s">
        <v>1741</v>
      </c>
      <c r="H2304" t="s">
        <v>2544</v>
      </c>
      <c r="I2304" t="s">
        <v>2279</v>
      </c>
      <c r="J2304" t="s">
        <v>2279</v>
      </c>
      <c r="K2304" t="s">
        <v>2279</v>
      </c>
      <c r="L2304" t="s">
        <v>2279</v>
      </c>
      <c r="M2304" t="s">
        <v>2279</v>
      </c>
      <c r="N2304" t="s">
        <v>2279</v>
      </c>
      <c r="O2304" s="190" t="str">
        <f>"["&amp;$C2304&amp;"]["&amp;$D2304&amp;"]["&amp;$F2304&amp;"]"</f>
        <v>[S12_CompetentAuthoritiesAwareOfFraud][1][DetailsOfArrangementsAndProcedures]</v>
      </c>
    </row>
    <row r="2305" spans="1:15" x14ac:dyDescent="0.3">
      <c r="A2305" t="s">
        <v>2277</v>
      </c>
      <c r="B2305" t="s">
        <v>2189</v>
      </c>
      <c r="C2305" t="s">
        <v>2190</v>
      </c>
      <c r="D2305">
        <v>2</v>
      </c>
      <c r="E2305" t="s">
        <v>1447</v>
      </c>
      <c r="F2305" t="s">
        <v>2191</v>
      </c>
      <c r="G2305" t="s">
        <v>1741</v>
      </c>
      <c r="H2305" t="s">
        <v>2545</v>
      </c>
      <c r="I2305" t="s">
        <v>2279</v>
      </c>
      <c r="J2305" t="s">
        <v>2279</v>
      </c>
      <c r="K2305" t="s">
        <v>2279</v>
      </c>
      <c r="L2305" t="s">
        <v>2279</v>
      </c>
      <c r="M2305" t="s">
        <v>2279</v>
      </c>
      <c r="N2305" t="s">
        <v>2279</v>
      </c>
      <c r="O2305" s="190" t="str">
        <f>"["&amp;$C2305&amp;"]["&amp;$D2305&amp;"]["&amp;$F2305&amp;"]"</f>
        <v>[S12_CompetentAuthoritiesAwareOfFraud][2][DetailsOfArrangementsAndProcedures]</v>
      </c>
    </row>
    <row r="2306" spans="1:15" x14ac:dyDescent="0.3">
      <c r="A2306" t="s">
        <v>2277</v>
      </c>
      <c r="B2306" t="s">
        <v>2189</v>
      </c>
      <c r="C2306" t="s">
        <v>2190</v>
      </c>
      <c r="D2306">
        <v>3</v>
      </c>
      <c r="E2306" t="s">
        <v>1447</v>
      </c>
      <c r="F2306" t="s">
        <v>2191</v>
      </c>
      <c r="G2306" t="s">
        <v>1741</v>
      </c>
      <c r="H2306" t="s">
        <v>2545</v>
      </c>
      <c r="I2306" t="s">
        <v>2279</v>
      </c>
      <c r="J2306" t="s">
        <v>2279</v>
      </c>
      <c r="K2306" t="s">
        <v>2279</v>
      </c>
      <c r="L2306" t="s">
        <v>2279</v>
      </c>
      <c r="M2306" t="s">
        <v>2279</v>
      </c>
      <c r="N2306" t="s">
        <v>2279</v>
      </c>
      <c r="O2306" s="190" t="str">
        <f>"["&amp;$C2306&amp;"]["&amp;$D2306&amp;"]["&amp;$F2306&amp;"]"</f>
        <v>[S12_CompetentAuthoritiesAwareOfFraud][3][DetailsOfArrangementsAndProcedures]</v>
      </c>
    </row>
    <row r="2307" spans="1:15" x14ac:dyDescent="0.3">
      <c r="A2307" t="s">
        <v>2277</v>
      </c>
      <c r="B2307" t="s">
        <v>2189</v>
      </c>
      <c r="C2307" t="s">
        <v>2190</v>
      </c>
      <c r="D2307">
        <v>4</v>
      </c>
      <c r="E2307" t="s">
        <v>1447</v>
      </c>
      <c r="F2307" t="s">
        <v>2191</v>
      </c>
      <c r="G2307" t="s">
        <v>1741</v>
      </c>
      <c r="H2307" t="s">
        <v>2545</v>
      </c>
      <c r="I2307" t="s">
        <v>2279</v>
      </c>
      <c r="J2307" t="s">
        <v>2279</v>
      </c>
      <c r="K2307" t="s">
        <v>2279</v>
      </c>
      <c r="L2307" t="s">
        <v>2279</v>
      </c>
      <c r="M2307" t="s">
        <v>2279</v>
      </c>
      <c r="N2307" t="s">
        <v>2279</v>
      </c>
      <c r="O2307" s="190" t="str">
        <f>"["&amp;$C2307&amp;"]["&amp;$D2307&amp;"]["&amp;$F2307&amp;"]"</f>
        <v>[S12_CompetentAuthoritiesAwareOfFraud][4][DetailsOfArrangementsAndProcedures]</v>
      </c>
    </row>
    <row r="2308" spans="1:15" x14ac:dyDescent="0.3">
      <c r="A2308" t="s">
        <v>2277</v>
      </c>
      <c r="B2308" t="s">
        <v>2192</v>
      </c>
      <c r="C2308" t="s">
        <v>2193</v>
      </c>
      <c r="D2308">
        <v>1</v>
      </c>
      <c r="E2308" t="s">
        <v>1447</v>
      </c>
      <c r="F2308" t="s">
        <v>2194</v>
      </c>
      <c r="G2308" t="s">
        <v>1748</v>
      </c>
      <c r="H2308" t="s">
        <v>2279</v>
      </c>
      <c r="I2308">
        <v>0</v>
      </c>
      <c r="J2308" t="s">
        <v>2279</v>
      </c>
      <c r="K2308" t="s">
        <v>2279</v>
      </c>
      <c r="L2308" t="s">
        <v>2279</v>
      </c>
      <c r="M2308" t="s">
        <v>2279</v>
      </c>
      <c r="N2308" t="s">
        <v>2279</v>
      </c>
      <c r="O2308" s="190" t="str">
        <f>"["&amp;$C2308&amp;"]["&amp;$D2308&amp;"]["&amp;$F2308&amp;"]"</f>
        <v>[S12_InformationOnFraudActivities][1][NumberOfActivities]</v>
      </c>
    </row>
    <row r="2309" spans="1:15" x14ac:dyDescent="0.3">
      <c r="A2309" t="s">
        <v>2277</v>
      </c>
      <c r="B2309" t="s">
        <v>2192</v>
      </c>
      <c r="C2309" t="s">
        <v>2193</v>
      </c>
      <c r="D2309">
        <v>2</v>
      </c>
      <c r="E2309" t="s">
        <v>1447</v>
      </c>
      <c r="F2309" t="s">
        <v>2194</v>
      </c>
      <c r="G2309" t="s">
        <v>1748</v>
      </c>
      <c r="H2309" t="s">
        <v>2279</v>
      </c>
      <c r="I2309">
        <v>0</v>
      </c>
      <c r="J2309" t="s">
        <v>2279</v>
      </c>
      <c r="K2309" t="s">
        <v>2279</v>
      </c>
      <c r="L2309" t="s">
        <v>2279</v>
      </c>
      <c r="M2309" t="s">
        <v>2279</v>
      </c>
      <c r="N2309" t="s">
        <v>2279</v>
      </c>
      <c r="O2309" s="190" t="str">
        <f>"["&amp;$C2309&amp;"]["&amp;$D2309&amp;"]["&amp;$F2309&amp;"]"</f>
        <v>[S12_InformationOnFraudActivities][2][NumberOfActivities]</v>
      </c>
    </row>
    <row r="2310" spans="1:15" x14ac:dyDescent="0.3">
      <c r="A2310" t="s">
        <v>2277</v>
      </c>
      <c r="B2310" t="s">
        <v>2192</v>
      </c>
      <c r="C2310" t="s">
        <v>2193</v>
      </c>
      <c r="D2310">
        <v>3</v>
      </c>
      <c r="E2310" t="s">
        <v>1447</v>
      </c>
      <c r="F2310" t="s">
        <v>2194</v>
      </c>
      <c r="G2310" t="s">
        <v>1748</v>
      </c>
      <c r="H2310" t="s">
        <v>2279</v>
      </c>
      <c r="I2310">
        <v>0</v>
      </c>
      <c r="J2310" t="s">
        <v>2279</v>
      </c>
      <c r="K2310" t="s">
        <v>2279</v>
      </c>
      <c r="L2310" t="s">
        <v>2279</v>
      </c>
      <c r="M2310" t="s">
        <v>2279</v>
      </c>
      <c r="N2310" t="s">
        <v>2279</v>
      </c>
      <c r="O2310" s="190" t="str">
        <f>"["&amp;$C2310&amp;"]["&amp;$D2310&amp;"]["&amp;$F2310&amp;"]"</f>
        <v>[S12_InformationOnFraudActivities][3][NumberOfActivities]</v>
      </c>
    </row>
    <row r="2311" spans="1:15" x14ac:dyDescent="0.3">
      <c r="A2311" t="s">
        <v>2277</v>
      </c>
      <c r="B2311" t="s">
        <v>2192</v>
      </c>
      <c r="C2311" t="s">
        <v>2193</v>
      </c>
      <c r="D2311">
        <v>4</v>
      </c>
      <c r="E2311" t="s">
        <v>1447</v>
      </c>
      <c r="F2311" t="s">
        <v>2194</v>
      </c>
      <c r="G2311" t="s">
        <v>1748</v>
      </c>
      <c r="H2311" t="s">
        <v>2279</v>
      </c>
      <c r="I2311">
        <v>0</v>
      </c>
      <c r="J2311" t="s">
        <v>2279</v>
      </c>
      <c r="K2311" t="s">
        <v>2279</v>
      </c>
      <c r="L2311" t="s">
        <v>2279</v>
      </c>
      <c r="M2311" t="s">
        <v>2279</v>
      </c>
      <c r="N2311" t="s">
        <v>2279</v>
      </c>
      <c r="O2311" s="190" t="str">
        <f>"["&amp;$C2311&amp;"]["&amp;$D2311&amp;"]["&amp;$F2311&amp;"]"</f>
        <v>[S12_InformationOnFraudActivities][4][NumberOfActivities]</v>
      </c>
    </row>
    <row r="2312" spans="1:15" x14ac:dyDescent="0.3">
      <c r="A2312" t="s">
        <v>2277</v>
      </c>
      <c r="B2312" t="s">
        <v>2195</v>
      </c>
      <c r="C2312" t="s">
        <v>2196</v>
      </c>
      <c r="D2312">
        <v>3</v>
      </c>
      <c r="E2312" t="s">
        <v>1447</v>
      </c>
      <c r="F2312" t="s">
        <v>2197</v>
      </c>
      <c r="G2312" t="s">
        <v>1791</v>
      </c>
      <c r="H2312" t="s">
        <v>2279</v>
      </c>
      <c r="I2312" t="s">
        <v>2279</v>
      </c>
      <c r="J2312" t="s">
        <v>2279</v>
      </c>
      <c r="K2312" t="s">
        <v>2546</v>
      </c>
      <c r="L2312" t="s">
        <v>2279</v>
      </c>
      <c r="M2312" t="s">
        <v>2279</v>
      </c>
      <c r="N2312" t="s">
        <v>2279</v>
      </c>
      <c r="O2312" s="190" t="str">
        <f>"["&amp;$C2312&amp;"]["&amp;$D2312&amp;"]["&amp;$F2312&amp;"]"</f>
        <v>[S13_AnyOtherIssues][3][OtherInformationOrIssues]</v>
      </c>
    </row>
    <row r="2313" spans="1:15" x14ac:dyDescent="0.3">
      <c r="A2313" t="s">
        <v>2277</v>
      </c>
      <c r="B2313" t="s">
        <v>2195</v>
      </c>
      <c r="C2313" t="s">
        <v>2196</v>
      </c>
      <c r="D2313">
        <v>12</v>
      </c>
      <c r="E2313" t="s">
        <v>1447</v>
      </c>
      <c r="F2313" t="s">
        <v>2197</v>
      </c>
      <c r="G2313" t="s">
        <v>1791</v>
      </c>
      <c r="H2313" t="s">
        <v>2279</v>
      </c>
      <c r="I2313" t="s">
        <v>2279</v>
      </c>
      <c r="J2313" t="s">
        <v>2279</v>
      </c>
      <c r="K2313" t="s">
        <v>2547</v>
      </c>
      <c r="L2313" t="s">
        <v>2279</v>
      </c>
      <c r="M2313" t="s">
        <v>2279</v>
      </c>
      <c r="N2313" t="s">
        <v>2279</v>
      </c>
      <c r="O2313" s="190" t="str">
        <f>"["&amp;$C2313&amp;"]["&amp;$D2313&amp;"]["&amp;$F2313&amp;"]"</f>
        <v>[S13_AnyOtherIssues][12][OtherInformationOrIssues]</v>
      </c>
    </row>
    <row r="2314" spans="1:15" x14ac:dyDescent="0.3">
      <c r="A2314" t="s">
        <v>2277</v>
      </c>
      <c r="B2314" t="s">
        <v>2195</v>
      </c>
      <c r="C2314" t="s">
        <v>2196</v>
      </c>
      <c r="D2314">
        <v>13</v>
      </c>
      <c r="E2314" t="s">
        <v>1447</v>
      </c>
      <c r="F2314" t="s">
        <v>2197</v>
      </c>
      <c r="G2314" t="s">
        <v>1791</v>
      </c>
      <c r="H2314" t="s">
        <v>2279</v>
      </c>
      <c r="I2314" t="s">
        <v>2279</v>
      </c>
      <c r="J2314" t="s">
        <v>2279</v>
      </c>
      <c r="K2314" t="s">
        <v>2548</v>
      </c>
      <c r="L2314" t="s">
        <v>2279</v>
      </c>
      <c r="M2314" t="s">
        <v>2279</v>
      </c>
      <c r="N2314" t="s">
        <v>2279</v>
      </c>
      <c r="O2314" s="190" t="str">
        <f>"["&amp;$C2314&amp;"]["&amp;$D2314&amp;"]["&amp;$F2314&amp;"]"</f>
        <v>[S13_AnyOtherIssues][13][OtherInformationOrIssues]</v>
      </c>
    </row>
    <row r="2315" spans="1:15" x14ac:dyDescent="0.3">
      <c r="A2315" t="s">
        <v>2277</v>
      </c>
      <c r="B2315" t="s">
        <v>2195</v>
      </c>
      <c r="C2315" t="s">
        <v>2196</v>
      </c>
      <c r="D2315">
        <v>14</v>
      </c>
      <c r="E2315" t="s">
        <v>1447</v>
      </c>
      <c r="F2315" t="s">
        <v>2197</v>
      </c>
      <c r="G2315" t="s">
        <v>1791</v>
      </c>
      <c r="H2315" t="s">
        <v>2279</v>
      </c>
      <c r="I2315" t="s">
        <v>2279</v>
      </c>
      <c r="J2315" t="s">
        <v>2279</v>
      </c>
      <c r="K2315" t="s">
        <v>2549</v>
      </c>
      <c r="L2315" t="s">
        <v>2279</v>
      </c>
      <c r="M2315" t="s">
        <v>2279</v>
      </c>
      <c r="N2315" t="s">
        <v>2279</v>
      </c>
      <c r="O2315" s="190" t="str">
        <f>"["&amp;$C2315&amp;"]["&amp;$D2315&amp;"]["&amp;$F2315&amp;"]"</f>
        <v>[S13_AnyOtherIssues][14][OtherInformationOrIssues]</v>
      </c>
    </row>
    <row r="2316" spans="1:15" x14ac:dyDescent="0.3">
      <c r="A2316" t="s">
        <v>2277</v>
      </c>
      <c r="B2316" t="s">
        <v>2195</v>
      </c>
      <c r="C2316" t="s">
        <v>2196</v>
      </c>
      <c r="D2316">
        <v>15</v>
      </c>
      <c r="E2316" t="s">
        <v>1447</v>
      </c>
      <c r="F2316" t="s">
        <v>2197</v>
      </c>
      <c r="G2316" t="s">
        <v>1791</v>
      </c>
      <c r="H2316" t="s">
        <v>2279</v>
      </c>
      <c r="I2316" t="s">
        <v>2279</v>
      </c>
      <c r="J2316" t="s">
        <v>2279</v>
      </c>
      <c r="K2316" t="s">
        <v>2550</v>
      </c>
      <c r="L2316" t="s">
        <v>2279</v>
      </c>
      <c r="M2316" t="s">
        <v>2279</v>
      </c>
      <c r="N2316" t="s">
        <v>2279</v>
      </c>
      <c r="O2316" s="190" t="str">
        <f>"["&amp;$C2316&amp;"]["&amp;$D2316&amp;"]["&amp;$F2316&amp;"]"</f>
        <v>[S13_AnyOtherIssues][15][OtherInformationOrIssues]</v>
      </c>
    </row>
    <row r="2317" spans="1:15" x14ac:dyDescent="0.3">
      <c r="A2317" t="s">
        <v>2277</v>
      </c>
      <c r="B2317" t="s">
        <v>2195</v>
      </c>
      <c r="C2317" t="s">
        <v>2196</v>
      </c>
      <c r="D2317">
        <v>16</v>
      </c>
      <c r="E2317" t="s">
        <v>1447</v>
      </c>
      <c r="F2317" t="s">
        <v>2197</v>
      </c>
      <c r="G2317" t="s">
        <v>1791</v>
      </c>
      <c r="H2317" t="s">
        <v>2279</v>
      </c>
      <c r="I2317" t="s">
        <v>2279</v>
      </c>
      <c r="J2317" t="s">
        <v>2279</v>
      </c>
      <c r="K2317" t="s">
        <v>2551</v>
      </c>
      <c r="L2317" t="s">
        <v>2279</v>
      </c>
      <c r="M2317" t="s">
        <v>2279</v>
      </c>
      <c r="N2317" t="s">
        <v>2279</v>
      </c>
      <c r="O2317" s="190" t="str">
        <f>"["&amp;$C2317&amp;"]["&amp;$D2317&amp;"]["&amp;$F2317&amp;"]"</f>
        <v>[S13_AnyOtherIssues][16][OtherInformationOrIssues]</v>
      </c>
    </row>
    <row r="2318" spans="1:15" x14ac:dyDescent="0.3">
      <c r="A2318" t="s">
        <v>2277</v>
      </c>
      <c r="B2318" t="s">
        <v>2195</v>
      </c>
      <c r="C2318" t="s">
        <v>2196</v>
      </c>
      <c r="D2318">
        <v>35</v>
      </c>
      <c r="E2318" t="s">
        <v>1447</v>
      </c>
      <c r="F2318" t="s">
        <v>2197</v>
      </c>
      <c r="G2318" t="s">
        <v>1791</v>
      </c>
      <c r="H2318" t="s">
        <v>2279</v>
      </c>
      <c r="I2318" t="s">
        <v>2279</v>
      </c>
      <c r="J2318" t="s">
        <v>2279</v>
      </c>
      <c r="K2318" t="s">
        <v>2552</v>
      </c>
      <c r="L2318" t="s">
        <v>2279</v>
      </c>
      <c r="M2318" t="s">
        <v>2279</v>
      </c>
      <c r="N2318" t="s">
        <v>2279</v>
      </c>
      <c r="O2318" s="190" t="str">
        <f>"["&amp;$C2318&amp;"]["&amp;$D2318&amp;"]["&amp;$F2318&amp;"]"</f>
        <v>[S13_AnyOtherIssues][35][OtherInformationOrIssues]</v>
      </c>
    </row>
    <row r="2319" spans="1:15" x14ac:dyDescent="0.3">
      <c r="A2319" t="s">
        <v>2277</v>
      </c>
      <c r="B2319" t="s">
        <v>2195</v>
      </c>
      <c r="C2319" t="s">
        <v>2196</v>
      </c>
      <c r="D2319">
        <v>36</v>
      </c>
      <c r="E2319" t="s">
        <v>1447</v>
      </c>
      <c r="F2319" t="s">
        <v>2197</v>
      </c>
      <c r="G2319" t="s">
        <v>1791</v>
      </c>
      <c r="H2319" t="s">
        <v>2279</v>
      </c>
      <c r="I2319" t="s">
        <v>2279</v>
      </c>
      <c r="J2319" t="s">
        <v>2279</v>
      </c>
      <c r="K2319" t="s">
        <v>2553</v>
      </c>
      <c r="L2319" t="s">
        <v>2279</v>
      </c>
      <c r="M2319" t="s">
        <v>2279</v>
      </c>
      <c r="N2319" t="s">
        <v>2279</v>
      </c>
      <c r="O2319" s="190" t="str">
        <f>"["&amp;$C2319&amp;"]["&amp;$D2319&amp;"]["&amp;$F2319&amp;"]"</f>
        <v>[S13_AnyOtherIssues][36][OtherInformationOrIssues]</v>
      </c>
    </row>
    <row r="2320" spans="1:15" x14ac:dyDescent="0.3">
      <c r="A2320" t="s">
        <v>2277</v>
      </c>
      <c r="B2320" t="s">
        <v>2195</v>
      </c>
      <c r="C2320" t="s">
        <v>2196</v>
      </c>
      <c r="D2320">
        <v>47</v>
      </c>
      <c r="E2320" t="s">
        <v>1447</v>
      </c>
      <c r="F2320" t="s">
        <v>2197</v>
      </c>
      <c r="G2320" t="s">
        <v>1791</v>
      </c>
      <c r="H2320" t="s">
        <v>2279</v>
      </c>
      <c r="I2320" t="s">
        <v>2279</v>
      </c>
      <c r="J2320" t="s">
        <v>2279</v>
      </c>
      <c r="K2320" t="s">
        <v>2554</v>
      </c>
      <c r="L2320" t="s">
        <v>2279</v>
      </c>
      <c r="M2320" t="s">
        <v>2279</v>
      </c>
      <c r="N2320" t="s">
        <v>2279</v>
      </c>
      <c r="O2320" s="190" t="str">
        <f>"["&amp;$C2320&amp;"]["&amp;$D2320&amp;"]["&amp;$F2320&amp;"]"</f>
        <v>[S13_AnyOtherIssues][47][OtherInformationOrIssues]</v>
      </c>
    </row>
    <row r="2321" spans="1:15" x14ac:dyDescent="0.3">
      <c r="A2321" t="s">
        <v>2277</v>
      </c>
      <c r="B2321" t="s">
        <v>2195</v>
      </c>
      <c r="C2321" t="s">
        <v>2196</v>
      </c>
      <c r="D2321">
        <v>50</v>
      </c>
      <c r="E2321" t="s">
        <v>1447</v>
      </c>
      <c r="F2321" t="s">
        <v>2197</v>
      </c>
      <c r="G2321" t="s">
        <v>1791</v>
      </c>
      <c r="H2321" t="s">
        <v>2279</v>
      </c>
      <c r="I2321" t="s">
        <v>2279</v>
      </c>
      <c r="J2321" t="s">
        <v>2279</v>
      </c>
      <c r="K2321" t="s">
        <v>2555</v>
      </c>
      <c r="L2321" t="s">
        <v>2279</v>
      </c>
      <c r="M2321" t="s">
        <v>2279</v>
      </c>
      <c r="N2321" t="s">
        <v>2279</v>
      </c>
      <c r="O2321" s="190" t="str">
        <f>"["&amp;$C2321&amp;"]["&amp;$D2321&amp;"]["&amp;$F2321&amp;"]"</f>
        <v>[S13_AnyOtherIssues][50][OtherInformationOrIssues]</v>
      </c>
    </row>
    <row r="2322" spans="1:15" x14ac:dyDescent="0.3">
      <c r="A2322" t="s">
        <v>2277</v>
      </c>
      <c r="B2322" t="s">
        <v>2195</v>
      </c>
      <c r="C2322" t="s">
        <v>2196</v>
      </c>
      <c r="D2322">
        <v>51</v>
      </c>
      <c r="E2322" t="s">
        <v>1447</v>
      </c>
      <c r="F2322" t="s">
        <v>2197</v>
      </c>
      <c r="G2322" t="s">
        <v>1791</v>
      </c>
      <c r="H2322" t="s">
        <v>2279</v>
      </c>
      <c r="I2322" t="s">
        <v>2279</v>
      </c>
      <c r="J2322" t="s">
        <v>2279</v>
      </c>
      <c r="K2322" t="s">
        <v>2556</v>
      </c>
      <c r="L2322" t="s">
        <v>2279</v>
      </c>
      <c r="M2322" t="s">
        <v>2279</v>
      </c>
      <c r="N2322" t="s">
        <v>2279</v>
      </c>
      <c r="O2322" s="190" t="str">
        <f>"["&amp;$C2322&amp;"]["&amp;$D2322&amp;"]["&amp;$F2322&amp;"]"</f>
        <v>[S13_AnyOtherIssues][51][OtherInformationOrIssues]</v>
      </c>
    </row>
    <row r="2323" spans="1:15" x14ac:dyDescent="0.3">
      <c r="A2323" t="s">
        <v>2277</v>
      </c>
      <c r="B2323" t="s">
        <v>2195</v>
      </c>
      <c r="C2323" t="s">
        <v>2196</v>
      </c>
      <c r="D2323">
        <v>52</v>
      </c>
      <c r="E2323" t="s">
        <v>1447</v>
      </c>
      <c r="F2323" t="s">
        <v>2197</v>
      </c>
      <c r="G2323" t="s">
        <v>1791</v>
      </c>
      <c r="H2323" t="s">
        <v>2279</v>
      </c>
      <c r="I2323" t="s">
        <v>2279</v>
      </c>
      <c r="J2323" t="s">
        <v>2279</v>
      </c>
      <c r="K2323" t="s">
        <v>2556</v>
      </c>
      <c r="L2323" t="s">
        <v>2279</v>
      </c>
      <c r="M2323" t="s">
        <v>2279</v>
      </c>
      <c r="N2323" t="s">
        <v>2279</v>
      </c>
      <c r="O2323" s="190" t="str">
        <f>"["&amp;$C2323&amp;"]["&amp;$D2323&amp;"]["&amp;$F2323&amp;"]"</f>
        <v>[S13_AnyOtherIssues][52][OtherInformationOrIssues]</v>
      </c>
    </row>
    <row r="2324" spans="1:15" x14ac:dyDescent="0.3">
      <c r="A2324" t="s">
        <v>2277</v>
      </c>
      <c r="B2324" t="s">
        <v>2195</v>
      </c>
      <c r="C2324" t="s">
        <v>2196</v>
      </c>
      <c r="D2324">
        <v>53</v>
      </c>
      <c r="E2324" t="s">
        <v>1447</v>
      </c>
      <c r="F2324" t="s">
        <v>2197</v>
      </c>
      <c r="G2324" t="s">
        <v>1791</v>
      </c>
      <c r="H2324" t="s">
        <v>2279</v>
      </c>
      <c r="I2324" t="s">
        <v>2279</v>
      </c>
      <c r="J2324" t="s">
        <v>2279</v>
      </c>
      <c r="K2324" t="s">
        <v>2553</v>
      </c>
      <c r="L2324" t="s">
        <v>2279</v>
      </c>
      <c r="M2324" t="s">
        <v>2279</v>
      </c>
      <c r="N2324" t="s">
        <v>2279</v>
      </c>
      <c r="O2324" s="190" t="str">
        <f>"["&amp;$C2324&amp;"]["&amp;$D2324&amp;"]["&amp;$F2324&amp;"]"</f>
        <v>[S13_AnyOtherIssues][53][OtherInformationOrIssues]</v>
      </c>
    </row>
    <row r="2325" spans="1:15" x14ac:dyDescent="0.3">
      <c r="A2325" t="s">
        <v>2277</v>
      </c>
      <c r="B2325" t="s">
        <v>2195</v>
      </c>
      <c r="C2325" t="s">
        <v>2196</v>
      </c>
      <c r="D2325">
        <v>54</v>
      </c>
      <c r="E2325" t="s">
        <v>1447</v>
      </c>
      <c r="F2325" t="s">
        <v>2197</v>
      </c>
      <c r="G2325" t="s">
        <v>1791</v>
      </c>
      <c r="H2325" t="s">
        <v>2279</v>
      </c>
      <c r="I2325" t="s">
        <v>2279</v>
      </c>
      <c r="J2325" t="s">
        <v>2279</v>
      </c>
      <c r="K2325" t="s">
        <v>2557</v>
      </c>
      <c r="L2325" t="s">
        <v>2279</v>
      </c>
      <c r="M2325" t="s">
        <v>2279</v>
      </c>
      <c r="N2325" t="s">
        <v>2279</v>
      </c>
      <c r="O2325" s="190" t="str">
        <f>"["&amp;$C2325&amp;"]["&amp;$D2325&amp;"]["&amp;$F2325&amp;"]"</f>
        <v>[S13_AnyOtherIssues][54][OtherInformationOrIssues]</v>
      </c>
    </row>
    <row r="2326" spans="1:15" x14ac:dyDescent="0.3">
      <c r="A2326" t="s">
        <v>2277</v>
      </c>
      <c r="B2326" t="s">
        <v>2195</v>
      </c>
      <c r="C2326" t="s">
        <v>2196</v>
      </c>
      <c r="D2326">
        <v>71</v>
      </c>
      <c r="E2326" t="s">
        <v>1447</v>
      </c>
      <c r="F2326" t="s">
        <v>2197</v>
      </c>
      <c r="G2326" t="s">
        <v>1791</v>
      </c>
      <c r="H2326" t="s">
        <v>2279</v>
      </c>
      <c r="I2326" t="s">
        <v>2279</v>
      </c>
      <c r="J2326" t="s">
        <v>2279</v>
      </c>
      <c r="K2326" t="s">
        <v>2558</v>
      </c>
      <c r="L2326" t="s">
        <v>2279</v>
      </c>
      <c r="M2326" t="s">
        <v>2279</v>
      </c>
      <c r="N2326" t="s">
        <v>2279</v>
      </c>
      <c r="O2326" s="190" t="str">
        <f>"["&amp;$C2326&amp;"]["&amp;$D2326&amp;"]["&amp;$F2326&amp;"]"</f>
        <v>[S13_AnyOtherIssues][71][OtherInformationOrIssues]</v>
      </c>
    </row>
    <row r="2327" spans="1:15" x14ac:dyDescent="0.3">
      <c r="A2327" t="s">
        <v>2277</v>
      </c>
      <c r="B2327" t="s">
        <v>2195</v>
      </c>
      <c r="C2327" t="s">
        <v>2196</v>
      </c>
      <c r="D2327">
        <v>72</v>
      </c>
      <c r="E2327" t="s">
        <v>1447</v>
      </c>
      <c r="F2327" t="s">
        <v>2197</v>
      </c>
      <c r="G2327" t="s">
        <v>1791</v>
      </c>
      <c r="H2327" t="s">
        <v>2279</v>
      </c>
      <c r="I2327" t="s">
        <v>2279</v>
      </c>
      <c r="J2327" t="s">
        <v>2279</v>
      </c>
      <c r="K2327" t="s">
        <v>2559</v>
      </c>
      <c r="L2327" t="s">
        <v>2279</v>
      </c>
      <c r="M2327" t="s">
        <v>2279</v>
      </c>
      <c r="N2327" t="s">
        <v>2279</v>
      </c>
      <c r="O2327" s="190" t="str">
        <f>"["&amp;$C2327&amp;"]["&amp;$D2327&amp;"]["&amp;$F2327&amp;"]"</f>
        <v>[S13_AnyOtherIssues][72][OtherInformationOrIssues]</v>
      </c>
    </row>
    <row r="2328" spans="1:15" x14ac:dyDescent="0.3">
      <c r="A2328" t="s">
        <v>2277</v>
      </c>
      <c r="B2328" t="s">
        <v>2195</v>
      </c>
      <c r="C2328" t="s">
        <v>2196</v>
      </c>
      <c r="D2328">
        <v>3</v>
      </c>
      <c r="E2328" t="s">
        <v>1447</v>
      </c>
      <c r="F2328" t="s">
        <v>2198</v>
      </c>
      <c r="G2328" t="s">
        <v>1737</v>
      </c>
      <c r="H2328" t="s">
        <v>2279</v>
      </c>
      <c r="I2328" t="s">
        <v>2279</v>
      </c>
      <c r="J2328" t="s">
        <v>2279</v>
      </c>
      <c r="K2328" t="s">
        <v>2279</v>
      </c>
      <c r="L2328" t="s">
        <v>1444</v>
      </c>
      <c r="M2328" t="s">
        <v>2279</v>
      </c>
      <c r="N2328" t="s">
        <v>2279</v>
      </c>
      <c r="O2328" s="190" t="str">
        <f>"["&amp;$C2328&amp;"]["&amp;$D2328&amp;"]["&amp;$F2328&amp;"]"</f>
        <v>[S13_AnyOtherIssues][3][QuestionnaireSubQuestion]</v>
      </c>
    </row>
    <row r="2329" spans="1:15" x14ac:dyDescent="0.3">
      <c r="A2329" t="s">
        <v>2277</v>
      </c>
      <c r="B2329" t="s">
        <v>2195</v>
      </c>
      <c r="C2329" t="s">
        <v>2196</v>
      </c>
      <c r="D2329">
        <v>12</v>
      </c>
      <c r="E2329" t="s">
        <v>1447</v>
      </c>
      <c r="F2329" t="s">
        <v>2198</v>
      </c>
      <c r="G2329" t="s">
        <v>1737</v>
      </c>
      <c r="H2329" t="s">
        <v>2279</v>
      </c>
      <c r="I2329" t="s">
        <v>2279</v>
      </c>
      <c r="J2329" t="s">
        <v>2279</v>
      </c>
      <c r="K2329" t="s">
        <v>2279</v>
      </c>
      <c r="L2329" t="s">
        <v>1606</v>
      </c>
      <c r="M2329" t="s">
        <v>2279</v>
      </c>
      <c r="N2329" t="s">
        <v>2279</v>
      </c>
      <c r="O2329" s="190" t="str">
        <f>"["&amp;$C2329&amp;"]["&amp;$D2329&amp;"]["&amp;$F2329&amp;"]"</f>
        <v>[S13_AnyOtherIssues][12][QuestionnaireSubQuestion]</v>
      </c>
    </row>
    <row r="2330" spans="1:15" x14ac:dyDescent="0.3">
      <c r="A2330" t="s">
        <v>2277</v>
      </c>
      <c r="B2330" t="s">
        <v>2195</v>
      </c>
      <c r="C2330" t="s">
        <v>2196</v>
      </c>
      <c r="D2330">
        <v>13</v>
      </c>
      <c r="E2330" t="s">
        <v>1447</v>
      </c>
      <c r="F2330" t="s">
        <v>2198</v>
      </c>
      <c r="G2330" t="s">
        <v>1737</v>
      </c>
      <c r="H2330" t="s">
        <v>2279</v>
      </c>
      <c r="I2330" t="s">
        <v>2279</v>
      </c>
      <c r="J2330" t="s">
        <v>2279</v>
      </c>
      <c r="K2330" t="s">
        <v>2279</v>
      </c>
      <c r="L2330" t="s">
        <v>1611</v>
      </c>
      <c r="M2330" t="s">
        <v>2279</v>
      </c>
      <c r="N2330" t="s">
        <v>2279</v>
      </c>
      <c r="O2330" s="190" t="str">
        <f>"["&amp;$C2330&amp;"]["&amp;$D2330&amp;"]["&amp;$F2330&amp;"]"</f>
        <v>[S13_AnyOtherIssues][13][QuestionnaireSubQuestion]</v>
      </c>
    </row>
    <row r="2331" spans="1:15" x14ac:dyDescent="0.3">
      <c r="A2331" t="s">
        <v>2277</v>
      </c>
      <c r="B2331" t="s">
        <v>2195</v>
      </c>
      <c r="C2331" t="s">
        <v>2196</v>
      </c>
      <c r="D2331">
        <v>14</v>
      </c>
      <c r="E2331" t="s">
        <v>1447</v>
      </c>
      <c r="F2331" t="s">
        <v>2198</v>
      </c>
      <c r="G2331" t="s">
        <v>1737</v>
      </c>
      <c r="H2331" t="s">
        <v>2279</v>
      </c>
      <c r="I2331" t="s">
        <v>2279</v>
      </c>
      <c r="J2331" t="s">
        <v>2279</v>
      </c>
      <c r="K2331" t="s">
        <v>2279</v>
      </c>
      <c r="L2331" t="s">
        <v>1616</v>
      </c>
      <c r="M2331" t="s">
        <v>2279</v>
      </c>
      <c r="N2331" t="s">
        <v>2279</v>
      </c>
      <c r="O2331" s="190" t="str">
        <f>"["&amp;$C2331&amp;"]["&amp;$D2331&amp;"]["&amp;$F2331&amp;"]"</f>
        <v>[S13_AnyOtherIssues][14][QuestionnaireSubQuestion]</v>
      </c>
    </row>
    <row r="2332" spans="1:15" x14ac:dyDescent="0.3">
      <c r="A2332" t="s">
        <v>2277</v>
      </c>
      <c r="B2332" t="s">
        <v>2195</v>
      </c>
      <c r="C2332" t="s">
        <v>2196</v>
      </c>
      <c r="D2332">
        <v>15</v>
      </c>
      <c r="E2332" t="s">
        <v>1447</v>
      </c>
      <c r="F2332" t="s">
        <v>2198</v>
      </c>
      <c r="G2332" t="s">
        <v>1737</v>
      </c>
      <c r="H2332" t="s">
        <v>2279</v>
      </c>
      <c r="I2332" t="s">
        <v>2279</v>
      </c>
      <c r="J2332" t="s">
        <v>2279</v>
      </c>
      <c r="K2332" t="s">
        <v>2279</v>
      </c>
      <c r="L2332" t="s">
        <v>1635</v>
      </c>
      <c r="M2332" t="s">
        <v>2279</v>
      </c>
      <c r="N2332" t="s">
        <v>2279</v>
      </c>
      <c r="O2332" s="190" t="str">
        <f>"["&amp;$C2332&amp;"]["&amp;$D2332&amp;"]["&amp;$F2332&amp;"]"</f>
        <v>[S13_AnyOtherIssues][15][QuestionnaireSubQuestion]</v>
      </c>
    </row>
    <row r="2333" spans="1:15" x14ac:dyDescent="0.3">
      <c r="A2333" t="s">
        <v>2277</v>
      </c>
      <c r="B2333" t="s">
        <v>2195</v>
      </c>
      <c r="C2333" t="s">
        <v>2196</v>
      </c>
      <c r="D2333">
        <v>16</v>
      </c>
      <c r="E2333" t="s">
        <v>1447</v>
      </c>
      <c r="F2333" t="s">
        <v>2198</v>
      </c>
      <c r="G2333" t="s">
        <v>1737</v>
      </c>
      <c r="H2333" t="s">
        <v>2279</v>
      </c>
      <c r="I2333" t="s">
        <v>2279</v>
      </c>
      <c r="J2333" t="s">
        <v>2279</v>
      </c>
      <c r="K2333" t="s">
        <v>2279</v>
      </c>
      <c r="L2333" t="s">
        <v>1650</v>
      </c>
      <c r="M2333" t="s">
        <v>2279</v>
      </c>
      <c r="N2333" t="s">
        <v>2279</v>
      </c>
      <c r="O2333" s="190" t="str">
        <f>"["&amp;$C2333&amp;"]["&amp;$D2333&amp;"]["&amp;$F2333&amp;"]"</f>
        <v>[S13_AnyOtherIssues][16][QuestionnaireSubQuestion]</v>
      </c>
    </row>
    <row r="2334" spans="1:15" x14ac:dyDescent="0.3">
      <c r="A2334" t="s">
        <v>2277</v>
      </c>
      <c r="B2334" t="s">
        <v>2195</v>
      </c>
      <c r="C2334" t="s">
        <v>2196</v>
      </c>
      <c r="D2334">
        <v>35</v>
      </c>
      <c r="E2334" t="s">
        <v>1447</v>
      </c>
      <c r="F2334" t="s">
        <v>2198</v>
      </c>
      <c r="G2334" t="s">
        <v>1737</v>
      </c>
      <c r="H2334" t="s">
        <v>2279</v>
      </c>
      <c r="I2334" t="s">
        <v>2279</v>
      </c>
      <c r="J2334" t="s">
        <v>2279</v>
      </c>
      <c r="K2334" t="s">
        <v>2279</v>
      </c>
      <c r="L2334" t="s">
        <v>1679</v>
      </c>
      <c r="M2334" t="s">
        <v>2279</v>
      </c>
      <c r="N2334" t="s">
        <v>2279</v>
      </c>
      <c r="O2334" s="190" t="str">
        <f>"["&amp;$C2334&amp;"]["&amp;$D2334&amp;"]["&amp;$F2334&amp;"]"</f>
        <v>[S13_AnyOtherIssues][35][QuestionnaireSubQuestion]</v>
      </c>
    </row>
    <row r="2335" spans="1:15" x14ac:dyDescent="0.3">
      <c r="A2335" t="s">
        <v>2277</v>
      </c>
      <c r="B2335" t="s">
        <v>2195</v>
      </c>
      <c r="C2335" t="s">
        <v>2196</v>
      </c>
      <c r="D2335">
        <v>36</v>
      </c>
      <c r="E2335" t="s">
        <v>1447</v>
      </c>
      <c r="F2335" t="s">
        <v>2198</v>
      </c>
      <c r="G2335" t="s">
        <v>1737</v>
      </c>
      <c r="H2335" t="s">
        <v>2279</v>
      </c>
      <c r="I2335" t="s">
        <v>2279</v>
      </c>
      <c r="J2335" t="s">
        <v>2279</v>
      </c>
      <c r="K2335" t="s">
        <v>2279</v>
      </c>
      <c r="L2335" t="s">
        <v>1680</v>
      </c>
      <c r="M2335" t="s">
        <v>2279</v>
      </c>
      <c r="N2335" t="s">
        <v>2279</v>
      </c>
      <c r="O2335" s="190" t="str">
        <f>"["&amp;$C2335&amp;"]["&amp;$D2335&amp;"]["&amp;$F2335&amp;"]"</f>
        <v>[S13_AnyOtherIssues][36][QuestionnaireSubQuestion]</v>
      </c>
    </row>
    <row r="2336" spans="1:15" x14ac:dyDescent="0.3">
      <c r="A2336" t="s">
        <v>2277</v>
      </c>
      <c r="B2336" t="s">
        <v>2195</v>
      </c>
      <c r="C2336" t="s">
        <v>2196</v>
      </c>
      <c r="D2336">
        <v>47</v>
      </c>
      <c r="E2336" t="s">
        <v>1447</v>
      </c>
      <c r="F2336" t="s">
        <v>2198</v>
      </c>
      <c r="G2336" t="s">
        <v>1737</v>
      </c>
      <c r="H2336" t="s">
        <v>2279</v>
      </c>
      <c r="I2336" t="s">
        <v>2279</v>
      </c>
      <c r="J2336" t="s">
        <v>2279</v>
      </c>
      <c r="K2336" t="s">
        <v>2279</v>
      </c>
      <c r="L2336" t="s">
        <v>1690</v>
      </c>
      <c r="M2336" t="s">
        <v>2279</v>
      </c>
      <c r="N2336" t="s">
        <v>2279</v>
      </c>
      <c r="O2336" s="190" t="str">
        <f>"["&amp;$C2336&amp;"]["&amp;$D2336&amp;"]["&amp;$F2336&amp;"]"</f>
        <v>[S13_AnyOtherIssues][47][QuestionnaireSubQuestion]</v>
      </c>
    </row>
    <row r="2337" spans="1:15" x14ac:dyDescent="0.3">
      <c r="A2337" t="s">
        <v>2277</v>
      </c>
      <c r="B2337" t="s">
        <v>2195</v>
      </c>
      <c r="C2337" t="s">
        <v>2196</v>
      </c>
      <c r="D2337">
        <v>50</v>
      </c>
      <c r="E2337" t="s">
        <v>1447</v>
      </c>
      <c r="F2337" t="s">
        <v>2198</v>
      </c>
      <c r="G2337" t="s">
        <v>1737</v>
      </c>
      <c r="H2337" t="s">
        <v>2279</v>
      </c>
      <c r="I2337" t="s">
        <v>2279</v>
      </c>
      <c r="J2337" t="s">
        <v>2279</v>
      </c>
      <c r="K2337" t="s">
        <v>2279</v>
      </c>
      <c r="L2337" t="s">
        <v>1694</v>
      </c>
      <c r="M2337" t="s">
        <v>2279</v>
      </c>
      <c r="N2337" t="s">
        <v>2279</v>
      </c>
      <c r="O2337" s="190" t="str">
        <f>"["&amp;$C2337&amp;"]["&amp;$D2337&amp;"]["&amp;$F2337&amp;"]"</f>
        <v>[S13_AnyOtherIssues][50][QuestionnaireSubQuestion]</v>
      </c>
    </row>
    <row r="2338" spans="1:15" x14ac:dyDescent="0.3">
      <c r="A2338" t="s">
        <v>2277</v>
      </c>
      <c r="B2338" t="s">
        <v>2195</v>
      </c>
      <c r="C2338" t="s">
        <v>2196</v>
      </c>
      <c r="D2338">
        <v>51</v>
      </c>
      <c r="E2338" t="s">
        <v>1447</v>
      </c>
      <c r="F2338" t="s">
        <v>2198</v>
      </c>
      <c r="G2338" t="s">
        <v>1737</v>
      </c>
      <c r="H2338" t="s">
        <v>2279</v>
      </c>
      <c r="I2338" t="s">
        <v>2279</v>
      </c>
      <c r="J2338" t="s">
        <v>2279</v>
      </c>
      <c r="K2338" t="s">
        <v>2279</v>
      </c>
      <c r="L2338" t="s">
        <v>1698</v>
      </c>
      <c r="M2338" t="s">
        <v>2279</v>
      </c>
      <c r="N2338" t="s">
        <v>2279</v>
      </c>
      <c r="O2338" s="190" t="str">
        <f>"["&amp;$C2338&amp;"]["&amp;$D2338&amp;"]["&amp;$F2338&amp;"]"</f>
        <v>[S13_AnyOtherIssues][51][QuestionnaireSubQuestion]</v>
      </c>
    </row>
    <row r="2339" spans="1:15" x14ac:dyDescent="0.3">
      <c r="A2339" t="s">
        <v>2277</v>
      </c>
      <c r="B2339" t="s">
        <v>2195</v>
      </c>
      <c r="C2339" t="s">
        <v>2196</v>
      </c>
      <c r="D2339">
        <v>52</v>
      </c>
      <c r="E2339" t="s">
        <v>1447</v>
      </c>
      <c r="F2339" t="s">
        <v>2198</v>
      </c>
      <c r="G2339" t="s">
        <v>1737</v>
      </c>
      <c r="H2339" t="s">
        <v>2279</v>
      </c>
      <c r="I2339" t="s">
        <v>2279</v>
      </c>
      <c r="J2339" t="s">
        <v>2279</v>
      </c>
      <c r="K2339" t="s">
        <v>2279</v>
      </c>
      <c r="L2339" t="s">
        <v>1699</v>
      </c>
      <c r="M2339" t="s">
        <v>2279</v>
      </c>
      <c r="N2339" t="s">
        <v>2279</v>
      </c>
      <c r="O2339" s="190" t="str">
        <f>"["&amp;$C2339&amp;"]["&amp;$D2339&amp;"]["&amp;$F2339&amp;"]"</f>
        <v>[S13_AnyOtherIssues][52][QuestionnaireSubQuestion]</v>
      </c>
    </row>
    <row r="2340" spans="1:15" x14ac:dyDescent="0.3">
      <c r="A2340" t="s">
        <v>2277</v>
      </c>
      <c r="B2340" t="s">
        <v>2195</v>
      </c>
      <c r="C2340" t="s">
        <v>2196</v>
      </c>
      <c r="D2340">
        <v>53</v>
      </c>
      <c r="E2340" t="s">
        <v>1447</v>
      </c>
      <c r="F2340" t="s">
        <v>2198</v>
      </c>
      <c r="G2340" t="s">
        <v>1737</v>
      </c>
      <c r="H2340" t="s">
        <v>2279</v>
      </c>
      <c r="I2340" t="s">
        <v>2279</v>
      </c>
      <c r="J2340" t="s">
        <v>2279</v>
      </c>
      <c r="K2340" t="s">
        <v>2279</v>
      </c>
      <c r="L2340" t="s">
        <v>1702</v>
      </c>
      <c r="M2340" t="s">
        <v>2279</v>
      </c>
      <c r="N2340" t="s">
        <v>2279</v>
      </c>
      <c r="O2340" s="190" t="str">
        <f>"["&amp;$C2340&amp;"]["&amp;$D2340&amp;"]["&amp;$F2340&amp;"]"</f>
        <v>[S13_AnyOtherIssues][53][QuestionnaireSubQuestion]</v>
      </c>
    </row>
    <row r="2341" spans="1:15" x14ac:dyDescent="0.3">
      <c r="A2341" t="s">
        <v>2277</v>
      </c>
      <c r="B2341" t="s">
        <v>2195</v>
      </c>
      <c r="C2341" t="s">
        <v>2196</v>
      </c>
      <c r="D2341">
        <v>54</v>
      </c>
      <c r="E2341" t="s">
        <v>1447</v>
      </c>
      <c r="F2341" t="s">
        <v>2198</v>
      </c>
      <c r="G2341" t="s">
        <v>1737</v>
      </c>
      <c r="H2341" t="s">
        <v>2279</v>
      </c>
      <c r="I2341" t="s">
        <v>2279</v>
      </c>
      <c r="J2341" t="s">
        <v>2279</v>
      </c>
      <c r="K2341" t="s">
        <v>2279</v>
      </c>
      <c r="L2341" t="s">
        <v>1705</v>
      </c>
      <c r="M2341" t="s">
        <v>2279</v>
      </c>
      <c r="N2341" t="s">
        <v>2279</v>
      </c>
      <c r="O2341" s="190" t="str">
        <f>"["&amp;$C2341&amp;"]["&amp;$D2341&amp;"]["&amp;$F2341&amp;"]"</f>
        <v>[S13_AnyOtherIssues][54][QuestionnaireSubQuestion]</v>
      </c>
    </row>
    <row r="2342" spans="1:15" x14ac:dyDescent="0.3">
      <c r="A2342" t="s">
        <v>2277</v>
      </c>
      <c r="B2342" t="s">
        <v>2195</v>
      </c>
      <c r="C2342" t="s">
        <v>2196</v>
      </c>
      <c r="D2342">
        <v>71</v>
      </c>
      <c r="E2342" t="s">
        <v>1447</v>
      </c>
      <c r="F2342" t="s">
        <v>2198</v>
      </c>
      <c r="G2342" t="s">
        <v>1737</v>
      </c>
      <c r="H2342" t="s">
        <v>2279</v>
      </c>
      <c r="I2342" t="s">
        <v>2279</v>
      </c>
      <c r="J2342" t="s">
        <v>2279</v>
      </c>
      <c r="K2342" t="s">
        <v>2279</v>
      </c>
      <c r="L2342" t="s">
        <v>1714</v>
      </c>
      <c r="M2342" t="s">
        <v>2279</v>
      </c>
      <c r="N2342" t="s">
        <v>2279</v>
      </c>
      <c r="O2342" s="190" t="str">
        <f>"["&amp;$C2342&amp;"]["&amp;$D2342&amp;"]["&amp;$F2342&amp;"]"</f>
        <v>[S13_AnyOtherIssues][71][QuestionnaireSubQuestion]</v>
      </c>
    </row>
    <row r="2343" spans="1:15" x14ac:dyDescent="0.3">
      <c r="A2343" t="s">
        <v>2277</v>
      </c>
      <c r="B2343" t="s">
        <v>2195</v>
      </c>
      <c r="C2343" t="s">
        <v>2196</v>
      </c>
      <c r="D2343">
        <v>72</v>
      </c>
      <c r="E2343" t="s">
        <v>1447</v>
      </c>
      <c r="F2343" t="s">
        <v>2198</v>
      </c>
      <c r="G2343" t="s">
        <v>1737</v>
      </c>
      <c r="H2343" t="s">
        <v>2279</v>
      </c>
      <c r="I2343" t="s">
        <v>2279</v>
      </c>
      <c r="J2343" t="s">
        <v>2279</v>
      </c>
      <c r="K2343" t="s">
        <v>2279</v>
      </c>
      <c r="L2343" t="s">
        <v>1715</v>
      </c>
      <c r="M2343" t="s">
        <v>2279</v>
      </c>
      <c r="N2343" t="s">
        <v>2279</v>
      </c>
      <c r="O2343" s="190" t="str">
        <f>"["&amp;$C2343&amp;"]["&amp;$D2343&amp;"]["&amp;$F2343&amp;"]"</f>
        <v>[S13_AnyOtherIssues][72][QuestionnaireSubQuestion]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Ministère de la transition énergétique</v>
      </c>
      <c r="F5" s="244"/>
      <c r="G5" s="244"/>
      <c r="H5" s="244"/>
      <c r="I5" s="245"/>
    </row>
    <row r="6" spans="1:9" s="69" customFormat="1" ht="14.4" x14ac:dyDescent="0.3">
      <c r="A6" s="68"/>
      <c r="C6" s="251" t="s">
        <v>654</v>
      </c>
      <c r="D6" s="250"/>
      <c r="E6" s="243" t="str">
        <f>_xlfn.CONCAT(_xlfn.XLOOKUP("[S01_InstitutionDetails][0][ContactPersonName]",Submission!$O:$O,Submission!$H:$N,""))</f>
        <v>Anaïs Vedovati</v>
      </c>
      <c r="F6" s="244"/>
      <c r="G6" s="244"/>
      <c r="H6" s="244"/>
      <c r="I6" s="245"/>
    </row>
    <row r="7" spans="1:9" s="69" customFormat="1" ht="14.4" x14ac:dyDescent="0.3">
      <c r="A7" s="68"/>
      <c r="C7" s="251" t="s">
        <v>655</v>
      </c>
      <c r="D7" s="250"/>
      <c r="E7" s="243" t="str">
        <f>_xlfn.CONCAT(_xlfn.XLOOKUP("[S01_InstitutionDetails][0][ContactPersonJobTitle]",Submission!$O:$O,Submission!$H:$N,""))</f>
        <v>Policy Officer</v>
      </c>
      <c r="F7" s="244"/>
      <c r="G7" s="244"/>
      <c r="H7" s="244"/>
      <c r="I7" s="245"/>
    </row>
    <row r="8" spans="1:9" s="69" customFormat="1" ht="14.4" x14ac:dyDescent="0.3">
      <c r="A8" s="68"/>
      <c r="C8" s="251" t="s">
        <v>656</v>
      </c>
      <c r="D8" s="250"/>
      <c r="E8" s="243" t="str">
        <f>_xlfn.CONCAT(_xlfn.XLOOKUP("[S01_InstitutionDetails][0][Address]",Submission!$O:$O,Submission!$H:$N,""))</f>
        <v>Tour Séquoia 92055 La Défense CEDEX</v>
      </c>
      <c r="F8" s="244"/>
      <c r="G8" s="244"/>
      <c r="H8" s="244"/>
      <c r="I8" s="245"/>
    </row>
    <row r="9" spans="1:9" s="69" customFormat="1" ht="14.4" x14ac:dyDescent="0.3">
      <c r="A9" s="68"/>
      <c r="C9" s="251" t="s">
        <v>657</v>
      </c>
      <c r="D9" s="250"/>
      <c r="E9" s="246" t="str">
        <f>_xlfn.CONCAT(_xlfn.XLOOKUP("[S01_InstitutionDetails][0][InternationalTelephoneNumber]",Submission!$O:$O,Submission!$H:$N,""))</f>
        <v>+33 (0)1 40 81 97 71</v>
      </c>
      <c r="F9" s="247"/>
      <c r="G9" s="247"/>
      <c r="H9" s="247"/>
      <c r="I9" s="248"/>
    </row>
    <row r="10" spans="1:9" s="69" customFormat="1" ht="14.4" x14ac:dyDescent="0.3">
      <c r="A10" s="68"/>
      <c r="C10" s="251" t="s">
        <v>658</v>
      </c>
      <c r="D10" s="250"/>
      <c r="E10" s="252" t="str">
        <f>_xlfn.CONCAT(_xlfn.XLOOKUP("[S01_InstitutionDetails][0][EMail]",Submission!$O:$O,Submission!$H:$N,""))</f>
        <v>anais.vedovati@developpement-durable.gouv.fr</v>
      </c>
      <c r="F10" s="244"/>
      <c r="G10" s="244"/>
      <c r="H10" s="244"/>
      <c r="I10" s="245"/>
    </row>
    <row r="11" spans="1:9" s="79" customFormat="1" ht="14.4" x14ac:dyDescent="0.3">
      <c r="A11" s="78"/>
      <c r="C11" s="249" t="s">
        <v>2229</v>
      </c>
      <c r="D11" s="250"/>
      <c r="E11" s="243" t="str">
        <f>_xlfn.CONCAT(_xlfn.XLOOKUP("[S01_InstitutionDetails][0][ReportingYear]",Submission!$O:$O,Submission!$H:$N,""))</f>
        <v>2021</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Anaïs VEDOVATI (Direction générale de l'énergie et du climat)</v>
      </c>
      <c r="D7" s="72" t="str">
        <f>_xlfn.CONCAT(_xlfn.XLOOKUP("[S02_CompetentAuthority][1][CAAbbreviation]",Submission!$O:$O,Submission!$H:$N,""))</f>
        <v>MTE-DGEC</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+33 1 40 81 97 71</v>
      </c>
      <c r="H7" s="83" t="str">
        <f>_xlfn.CONCAT(_xlfn.XLOOKUP("[S02_CompetentAuthority][1][CAEmail]",Submission!$O:$O,Submission!$H:$N,""))</f>
        <v>anais.vedovati@developpement-durable.gouv.fr</v>
      </c>
      <c r="I7" s="72" t="str">
        <f>_xlfn.CONCAT(_xlfn.XLOOKUP("[S02_CompetentAuthority][1][CAWebsite]",Submission!$O:$O,Submission!$H:$N,""))</f>
        <v>https://www.ecologie.gouv.fr/</v>
      </c>
      <c r="J7" s="79"/>
    </row>
    <row r="8" spans="1:11" s="58" customFormat="1" ht="15.9" customHeight="1" x14ac:dyDescent="0.3">
      <c r="B8" s="79"/>
      <c r="C8" s="71" t="str">
        <f>_xlfn.CONCAT(_xlfn.XLOOKUP("[S02_CompetentAuthority][2][CAName]",Submission!$O:$O,Submission!$H:$N,""))</f>
        <v>Anne-Laure FAUQUET (Direction générale de l'énergie et du climat)</v>
      </c>
      <c r="D8" s="72" t="str">
        <f>_xlfn.CONCAT(_xlfn.XLOOKUP("[S02_CompetentAuthority][2][CAAbbreviation]",Submission!$O:$O,Submission!$H:$N,""))</f>
        <v>MTE-DGEC</v>
      </c>
      <c r="E8" s="72" t="str">
        <f>_xlfn.CONCAT(_xlfn.XLOOKUP("[S02_CompetentAuthority][2][CAType]",Submission!$O:$O,Submission!$H:$N,""))</f>
        <v>Central competent authority</v>
      </c>
      <c r="F8" s="105" t="str">
        <f>_xlfn.CONCAT(_xlfn.XLOOKUP("[S02_CompetentAuthority][2][CANumber]",Submission!$O:$O,Submission!$H:$N,""))</f>
        <v/>
      </c>
      <c r="G8" s="177" t="str">
        <f>_xlfn.CONCAT(_xlfn.XLOOKUP("[S02_CompetentAuthority][2][CATelephone]",Submission!$O:$O,Submission!$H:$N,""))</f>
        <v>+33 1 40 81 70 71</v>
      </c>
      <c r="H8" s="83" t="str">
        <f>_xlfn.CONCAT(_xlfn.XLOOKUP("[S02_CompetentAuthority][2][CAEmail]",Submission!$O:$O,Submission!$H:$N,""))</f>
        <v>anne-laure.fauquet@developpement-durable.gouv.fr</v>
      </c>
      <c r="I8" s="72" t="str">
        <f>_xlfn.CONCAT(_xlfn.XLOOKUP("[S02_CompetentAuthority][2][CAWebsite]",Submission!$O:$O,Submission!$H:$N,""))</f>
        <v>https://www.ecologie.gouv.fr/</v>
      </c>
      <c r="J8" s="79"/>
    </row>
    <row r="9" spans="1:11" s="58" customFormat="1" ht="15.9" customHeight="1" x14ac:dyDescent="0.3">
      <c r="B9" s="79"/>
      <c r="C9" s="71" t="str">
        <f>_xlfn.CONCAT(_xlfn.XLOOKUP("[S02_CompetentAuthority][3][CAName]",Submission!$O:$O,Submission!$H:$N,""))</f>
        <v>Direction générale de l'aviation civile</v>
      </c>
      <c r="D9" s="72" t="str">
        <f>_xlfn.CONCAT(_xlfn.XLOOKUP("[S02_CompetentAuthority][3][CAAbbreviation]",Submission!$O:$O,Submission!$H:$N,""))</f>
        <v>MTE-DGAC</v>
      </c>
      <c r="E9" s="72" t="str">
        <f>_xlfn.CONCAT(_xlfn.XLOOKUP("[S02_CompetentAuthority][3][CAType]",Submission!$O:$O,Submission!$H:$N,""))</f>
        <v>Central competent authority</v>
      </c>
      <c r="F9" s="105" t="str">
        <f>_xlfn.CONCAT(_xlfn.XLOOKUP("[S02_CompetentAuthority][3][CANumber]",Submission!$O:$O,Submission!$H:$N,""))</f>
        <v/>
      </c>
      <c r="G9" s="177" t="str">
        <f>_xlfn.CONCAT(_xlfn.XLOOKUP("[S02_CompetentAuthority][3][CATelephone]",Submission!$O:$O,Submission!$H:$N,""))</f>
        <v>+33 1 58 09 41 90</v>
      </c>
      <c r="H9" s="83" t="str">
        <f>_xlfn.CONCAT(_xlfn.XLOOKUP("[S02_CompetentAuthority][3][CAEmail]",Submission!$O:$O,Submission!$H:$N,""))</f>
        <v/>
      </c>
      <c r="I9" s="72" t="str">
        <f>_xlfn.CONCAT(_xlfn.XLOOKUP("[S02_CompetentAuthority][3][CAWebsite]",Submission!$O:$O,Submission!$H:$N,""))</f>
        <v>https://www.ecologie.gouv.fr/</v>
      </c>
      <c r="J9" s="79"/>
    </row>
    <row r="10" spans="1:11" s="58" customFormat="1" ht="15.9" customHeight="1" x14ac:dyDescent="0.3">
      <c r="B10" s="79"/>
      <c r="C10" s="71" t="str">
        <f>_xlfn.CONCAT(_xlfn.XLOOKUP("[S02_CompetentAuthority][4][CAName]",Submission!$O:$O,Submission!$H:$N,""))</f>
        <v>Cécile COSSON</v>
      </c>
      <c r="D10" s="72" t="str">
        <f>_xlfn.CONCAT(_xlfn.XLOOKUP("[S02_CompetentAuthority][4][CAAbbreviation]",Submission!$O:$O,Submission!$H:$N,""))</f>
        <v>COFRAC</v>
      </c>
      <c r="E10" s="72" t="str">
        <f>_xlfn.CONCAT(_xlfn.XLOOKUP("[S02_CompetentAuthority][4][CAType]",Submission!$O:$O,Submission!$H:$N,""))</f>
        <v>Other</v>
      </c>
      <c r="F10" s="105" t="str">
        <f>_xlfn.CONCAT(_xlfn.XLOOKUP("[S02_CompetentAuthority][4][CANumber]",Submission!$O:$O,Submission!$H:$N,""))</f>
        <v/>
      </c>
      <c r="G10" s="177" t="str">
        <f>_xlfn.CONCAT(_xlfn.XLOOKUP("[S02_CompetentAuthority][4][CATelephone]",Submission!$O:$O,Submission!$H:$N,""))</f>
        <v>+33 1 44 68 64 69</v>
      </c>
      <c r="H10" s="83" t="str">
        <f>_xlfn.CONCAT(_xlfn.XLOOKUP("[S02_CompetentAuthority][4][CAEmail]",Submission!$O:$O,Submission!$H:$N,""))</f>
        <v>cecile.cosson@cofrac.fr</v>
      </c>
      <c r="I10" s="72" t="str">
        <f>_xlfn.CONCAT(_xlfn.XLOOKUP("[S02_CompetentAuthority][4][CAWebsite]",Submission!$O:$O,Submission!$H:$N,""))</f>
        <v>www.cofrac.fr</v>
      </c>
      <c r="J10" s="79"/>
    </row>
    <row r="11" spans="1:11" s="58" customFormat="1" ht="41.4" x14ac:dyDescent="0.3">
      <c r="B11" s="79"/>
      <c r="C11" s="71" t="str">
        <f>_xlfn.CONCAT(_xlfn.XLOOKUP("[S02_CompetentAuthority][5][CAName]",Submission!$O:$O,Submission!$H:$N,""))</f>
        <v>Guillaume DELAGE</v>
      </c>
      <c r="D11" s="72" t="str">
        <f>_xlfn.CONCAT(_xlfn.XLOOKUP("[S02_CompetentAuthority][5][CAAbbreviation]",Submission!$O:$O,Submission!$H:$N,""))</f>
        <v>COFRAC</v>
      </c>
      <c r="E11" s="72" t="str">
        <f>_xlfn.CONCAT(_xlfn.XLOOKUP("[S02_CompetentAuthority][5][CAType]",Submission!$O:$O,Submission!$H:$N,""))</f>
        <v>Other</v>
      </c>
      <c r="F11" s="105" t="str">
        <f>_xlfn.CONCAT(_xlfn.XLOOKUP("[S02_CompetentAuthority][5][CANumber]",Submission!$O:$O,Submission!$H:$N,""))</f>
        <v/>
      </c>
      <c r="G11" s="177" t="str">
        <f>_xlfn.CONCAT(_xlfn.XLOOKUP("[S02_CompetentAuthority][5][CATelephone]",Submission!$O:$O,Submission!$H:$N,""))</f>
        <v>+33 1 44 68 64 69</v>
      </c>
      <c r="H11" s="83" t="str">
        <f>_xlfn.CONCAT(_xlfn.XLOOKUP("[S02_CompetentAuthority][5][CAEmail]",Submission!$O:$O,Submission!$H:$N,""))</f>
        <v>guillaume.delage@cofrac.fr</v>
      </c>
      <c r="I11" s="72" t="str">
        <f>_xlfn.CONCAT(_xlfn.XLOOKUP("[S02_CompetentAuthority][5][CAWebsite]",Submission!$O:$O,Submission!$H:$N,""))</f>
        <v>www.cofrac.fr</v>
      </c>
      <c r="J11" s="79"/>
    </row>
    <row r="12" spans="1:11" s="58" customFormat="1" ht="15.6" hidden="1" outlineLevel="1" x14ac:dyDescent="0.3">
      <c r="B12" s="79"/>
      <c r="C12" s="71" t="str">
        <f>_xlfn.CONCAT(_xlfn.XLOOKUP("[S02_CompetentAuthority][6][CAName]",Submission!$O:$O,Submission!$H:$N,""))</f>
        <v>Philippe CASSAN</v>
      </c>
      <c r="D12" s="72" t="str">
        <f>_xlfn.CONCAT(_xlfn.XLOOKUP("[S02_CompetentAuthority][6][CAAbbreviation]",Submission!$O:$O,Submission!$H:$N,""))</f>
        <v>COFRAC</v>
      </c>
      <c r="E12" s="72" t="str">
        <f>_xlfn.CONCAT(_xlfn.XLOOKUP("[S02_CompetentAuthority][6][CAType]",Submission!$O:$O,Submission!$H:$N,""))</f>
        <v>Other</v>
      </c>
      <c r="F12" s="103" t="str">
        <f>_xlfn.CONCAT(_xlfn.XLOOKUP("[S02_CompetentAuthority][6][CANumber]",Submission!$O:$O,Submission!$H:$N,""))</f>
        <v/>
      </c>
      <c r="G12" s="177" t="str">
        <f>_xlfn.CONCAT(_xlfn.XLOOKUP("[S02_CompetentAuthority][6][CATelephone]",Submission!$O:$O,Submission!$H:$N,""))</f>
        <v>+33 1 44 68 64 69</v>
      </c>
      <c r="H12" s="83" t="str">
        <f>_xlfn.CONCAT(_xlfn.XLOOKUP("[S02_CompetentAuthority][6][CAEmail]",Submission!$O:$O,Submission!$H:$N,""))</f>
        <v>philippe.cassan@cofrac.fr</v>
      </c>
      <c r="I12" s="72" t="str">
        <f>_xlfn.CONCAT(_xlfn.XLOOKUP("[S02_CompetentAuthority][6][CAWebsite]",Submission!$O:$O,Submission!$H:$N,""))</f>
        <v>www.cofrac.fr</v>
      </c>
      <c r="J12" s="79"/>
    </row>
    <row r="13" spans="1:11" s="58" customFormat="1" ht="27.6" hidden="1" outlineLevel="1" x14ac:dyDescent="0.3">
      <c r="B13" s="79"/>
      <c r="C13" s="71" t="str">
        <f>_xlfn.CONCAT(_xlfn.XLOOKUP("[S02_CompetentAuthority][7][CAName]",Submission!$O:$O,Submission!$H:$N,""))</f>
        <v>Malick MBATH</v>
      </c>
      <c r="D13" s="72" t="str">
        <f>_xlfn.CONCAT(_xlfn.XLOOKUP("[S02_CompetentAuthority][7][CAAbbreviation]",Submission!$O:$O,Submission!$H:$N,""))</f>
        <v>CDC</v>
      </c>
      <c r="E13" s="72" t="str">
        <f>_xlfn.CONCAT(_xlfn.XLOOKUP("[S02_CompetentAuthority][7][CAType]",Submission!$O:$O,Submission!$H:$N,""))</f>
        <v>Other</v>
      </c>
      <c r="F13" s="103" t="str">
        <f>_xlfn.CONCAT(_xlfn.XLOOKUP("[S02_CompetentAuthority][7][CANumber]",Submission!$O:$O,Submission!$H:$N,""))</f>
        <v/>
      </c>
      <c r="G13" s="177" t="str">
        <f>_xlfn.CONCAT(_xlfn.XLOOKUP("[S02_CompetentAuthority][7][CATelephone]",Submission!$O:$O,Submission!$H:$N,""))</f>
        <v>+33 6 13 01 67 10</v>
      </c>
      <c r="H13" s="83" t="str">
        <f>_xlfn.CONCAT(_xlfn.XLOOKUP("[S02_CompetentAuthority][7][CAEmail]",Submission!$O:$O,Submission!$H:$N,""))</f>
        <v>malick.mbath@caissedesdepots.fr</v>
      </c>
      <c r="I13" s="72" t="str">
        <f>_xlfn.CONCAT(_xlfn.XLOOKUP("[S02_CompetentAuthority][7][CAWebsite]",Submission!$O:$O,Submission!$H:$N,""))</f>
        <v>https://politiques-sociales.caissedesdepots.fr/SERINGAS/accueil-seringas</v>
      </c>
      <c r="J13" s="79"/>
    </row>
    <row r="14" spans="1:11" s="58" customFormat="1" ht="15.6" hidden="1" outlineLevel="1" x14ac:dyDescent="0.3">
      <c r="B14" s="79"/>
      <c r="C14" s="71" t="str">
        <f>_xlfn.CONCAT(_xlfn.XLOOKUP("[S02_CompetentAuthority][8][CAName]",Submission!$O:$O,Submission!$H:$N,""))</f>
        <v>Autorité de sûreté nucléaire</v>
      </c>
      <c r="D14" s="72" t="str">
        <f>_xlfn.CONCAT(_xlfn.XLOOKUP("[S02_CompetentAuthority][8][CAAbbreviation]",Submission!$O:$O,Submission!$H:$N,""))</f>
        <v>ASN</v>
      </c>
      <c r="E14" s="72" t="str">
        <f>_xlfn.CONCAT(_xlfn.XLOOKUP("[S02_CompetentAuthority][8][CAType]",Submission!$O:$O,Submission!$H:$N,""))</f>
        <v>Central competent authority</v>
      </c>
      <c r="F14" s="103" t="str">
        <f>_xlfn.CONCAT(_xlfn.XLOOKUP("[S02_CompetentAuthority][8][CANumber]",Submission!$O:$O,Submission!$H:$N,""))</f>
        <v/>
      </c>
      <c r="G14" s="177" t="str">
        <f>_xlfn.CONCAT(_xlfn.XLOOKUP("[S02_CompetentAuthority][8][CATelephone]",Submission!$O:$O,Submission!$H:$N,""))</f>
        <v>/</v>
      </c>
      <c r="H14" s="83" t="str">
        <f>_xlfn.CONCAT(_xlfn.XLOOKUP("[S02_CompetentAuthority][8][CAEmail]",Submission!$O:$O,Submission!$H:$N,""))</f>
        <v>/</v>
      </c>
      <c r="I14" s="72" t="str">
        <f>_xlfn.CONCAT(_xlfn.XLOOKUP("[S02_CompetentAuthority][8][CAWebsite]",Submission!$O:$O,Submission!$H:$N,""))</f>
        <v>https://www.asn.fr/</v>
      </c>
      <c r="J14" s="79"/>
    </row>
    <row r="15" spans="1:11" s="58" customFormat="1" ht="15.6" hidden="1" outlineLevel="1" x14ac:dyDescent="0.3">
      <c r="B15" s="79"/>
      <c r="C15" s="71" t="str">
        <f>_xlfn.CONCAT(_xlfn.XLOOKUP("[S02_CompetentAuthority][9][CAName]",Submission!$O:$O,Submission!$H:$N,""))</f>
        <v>Direction générale des entreprises</v>
      </c>
      <c r="D15" s="72" t="str">
        <f>_xlfn.CONCAT(_xlfn.XLOOKUP("[S02_CompetentAuthority][9][CAAbbreviation]",Submission!$O:$O,Submission!$H:$N,""))</f>
        <v>DGE</v>
      </c>
      <c r="E15" s="72" t="str">
        <f>_xlfn.CONCAT(_xlfn.XLOOKUP("[S02_CompetentAuthority][9][CAType]",Submission!$O:$O,Submission!$H:$N,""))</f>
        <v>Other</v>
      </c>
      <c r="F15" s="103" t="str">
        <f>_xlfn.CONCAT(_xlfn.XLOOKUP("[S02_CompetentAuthority][9][CANumber]",Submission!$O:$O,Submission!$H:$N,""))</f>
        <v/>
      </c>
      <c r="G15" s="177" t="str">
        <f>_xlfn.CONCAT(_xlfn.XLOOKUP("[S02_CompetentAuthority][9][CATelephone]",Submission!$O:$O,Submission!$H:$N,""))</f>
        <v>/</v>
      </c>
      <c r="H15" s="83" t="str">
        <f>_xlfn.CONCAT(_xlfn.XLOOKUP("[S02_CompetentAuthority][9][CAEmail]",Submission!$O:$O,Submission!$H:$N,""))</f>
        <v>/</v>
      </c>
      <c r="I15" s="72" t="str">
        <f>_xlfn.CONCAT(_xlfn.XLOOKUP("[S02_CompetentAuthority][9][CAWebsite]",Submission!$O:$O,Submission!$H:$N,""))</f>
        <v>https://www.entreprises.gouv.fr/fr</v>
      </c>
      <c r="J15" s="79"/>
    </row>
    <row r="16" spans="1:11" s="58" customFormat="1" ht="15.6" hidden="1" outlineLevel="1" x14ac:dyDescent="0.3">
      <c r="B16" s="79"/>
      <c r="C16" s="71" t="str">
        <f>_xlfn.CONCAT(_xlfn.XLOOKUP("[S02_CompetentAuthority][10][CAName]",Submission!$O:$O,Submission!$H:$N,""))</f>
        <v>Agence France Trésor</v>
      </c>
      <c r="D16" s="72" t="str">
        <f>_xlfn.CONCAT(_xlfn.XLOOKUP("[S02_CompetentAuthority][10][CAAbbreviation]",Submission!$O:$O,Submission!$H:$N,""))</f>
        <v>AFT</v>
      </c>
      <c r="E16" s="72" t="str">
        <f>_xlfn.CONCAT(_xlfn.XLOOKUP("[S02_CompetentAuthority][10][CAType]",Submission!$O:$O,Submission!$H:$N,""))</f>
        <v>Other</v>
      </c>
      <c r="F16" s="103" t="str">
        <f>_xlfn.CONCAT(_xlfn.XLOOKUP("[S02_CompetentAuthority][10][CANumber]",Submission!$O:$O,Submission!$H:$N,""))</f>
        <v/>
      </c>
      <c r="G16" s="177" t="str">
        <f>_xlfn.CONCAT(_xlfn.XLOOKUP("[S02_CompetentAuthority][10][CATelephone]",Submission!$O:$O,Submission!$H:$N,""))</f>
        <v>/</v>
      </c>
      <c r="H16" s="83" t="str">
        <f>_xlfn.CONCAT(_xlfn.XLOOKUP("[S02_CompetentAuthority][10][CAEmail]",Submission!$O:$O,Submission!$H:$N,""))</f>
        <v>/</v>
      </c>
      <c r="I16" s="72" t="str">
        <f>_xlfn.CONCAT(_xlfn.XLOOKUP("[S02_CompetentAuthority][10][CAWebsite]",Submission!$O:$O,Submission!$H:$N,""))</f>
        <v>https://www.aft.gouv.fr/</v>
      </c>
      <c r="J16" s="79"/>
    </row>
    <row r="17" spans="2:11" s="58" customFormat="1" ht="15.6" hidden="1" outlineLevel="1" x14ac:dyDescent="0.3">
      <c r="B17" s="79"/>
      <c r="C17" s="71" t="str">
        <f>_xlfn.CONCAT(_xlfn.XLOOKUP("[S02_CompetentAuthority][11][CAName]",Submission!$O:$O,Submission!$H:$N,""))</f>
        <v>Directions Régionales de l'Aménagement et du Logement</v>
      </c>
      <c r="D17" s="72" t="str">
        <f>_xlfn.CONCAT(_xlfn.XLOOKUP("[S02_CompetentAuthority][11][CAAbbreviation]",Submission!$O:$O,Submission!$H:$N,""))</f>
        <v>DREAL</v>
      </c>
      <c r="E17" s="72" t="str">
        <f>_xlfn.CONCAT(_xlfn.XLOOKUP("[S02_CompetentAuthority][11][CAType]",Submission!$O:$O,Submission!$H:$N,""))</f>
        <v>Regional competent authority</v>
      </c>
      <c r="F17" s="103" t="str">
        <f>_xlfn.CONCAT(_xlfn.XLOOKUP("[S02_CompetentAuthority][11][CANumber]",Submission!$O:$O,Submission!$H:$N,""))</f>
        <v>13</v>
      </c>
      <c r="G17" s="177" t="str">
        <f>_xlfn.CONCAT(_xlfn.XLOOKUP("[S02_CompetentAuthority][11][CATelephone]",Submission!$O:$O,Submission!$H:$N,""))</f>
        <v>/</v>
      </c>
      <c r="H17" s="83" t="str">
        <f>_xlfn.CONCAT(_xlfn.XLOOKUP("[S02_CompetentAuthority][11][CAEmail]",Submission!$O:$O,Submission!$H:$N,""))</f>
        <v>/</v>
      </c>
      <c r="I17" s="72" t="str">
        <f>_xlfn.CONCAT(_xlfn.XLOOKUP("[S02_CompetentAuthority][11][CAWebsite]",Submission!$O:$O,Submission!$H:$N,""))</f>
        <v>/</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Yes</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Comité français d'accréditation
COSSON Cécile  / DELAGE Guillaume / CASSAN Philippe</v>
      </c>
      <c r="D39" s="289"/>
      <c r="E39" s="72" t="str">
        <f>_xlfn.CONCAT(_xlfn.XLOOKUP("[S02_AccreditationBody][1][AccBodyAbbreviation]",Submission!$O:$O,Submission!$H:$N,""))</f>
        <v>COFRAC</v>
      </c>
      <c r="F39" s="177" t="str">
        <f>_xlfn.CONCAT(_xlfn.XLOOKUP("[S02_AccreditationBody][1][AccBodyTelephone]",Submission!$O:$O,Submission!$H:$N,""))</f>
        <v>+33 1 44 68 64 69</v>
      </c>
      <c r="G39" s="77" t="str">
        <f>_xlfn.CONCAT(_xlfn.XLOOKUP("[S02_AccreditationBody][1][AccBodyEmail]",Submission!$O:$O,Submission!$H:$N,""))</f>
        <v>cecile.cosson@cofrac.fr / philippe.cassan@cofrac.fr / guillaume.delage@cofrac.fr</v>
      </c>
      <c r="H39" s="292" t="str">
        <f>_xlfn.CONCAT(_xlfn.XLOOKUP("[S02_AccreditationBody][1][AccBodyWebsite]",Submission!$O:$O,Submission!$H:$N,""))</f>
        <v>https://www.cofrac.fr/</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 xml:space="preserve">Caisse des dépôts et consignations
MBATH Malick </v>
      </c>
      <c r="D49" s="289"/>
      <c r="E49" s="72" t="str">
        <f>_xlfn.CONCAT(_xlfn.XLOOKUP("[S02_RegistryAdministrator][1][RegAdminAbbreviation]",Submission!$O:$O,Submission!$H:$N,""))</f>
        <v>CDC</v>
      </c>
      <c r="F49" s="177" t="str">
        <f>_xlfn.CONCAT(_xlfn.XLOOKUP("[S02_RegistryAdministrator][1][RegAdminTelephone]",Submission!$O:$O,Submission!$H:$N,""))</f>
        <v>+33 6 13 01 67 10</v>
      </c>
      <c r="G49" s="77" t="str">
        <f>_xlfn.CONCAT(_xlfn.XLOOKUP("[S02_RegistryAdministrator][1][RegAdminEmail]",Submission!$O:$O,Submission!$H:$N,""))</f>
        <v>malick.mbath@caissedesdepots.fr</v>
      </c>
      <c r="H49" s="292" t="str">
        <f>_xlfn.CONCAT(_xlfn.XLOOKUP("[S02_RegistryAdministrator][1][RegAdminWebsite]",Submission!$O:$O,Submission!$H:$N,""))</f>
        <v>https://politiques-sociales.caissedesdepots.fr/SERINGAS/accueil-seringas</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DREAL, ASN</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DREAL, ASN</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DREAL, ASN</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DREAL, ASN</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MTE-DGAC</v>
      </c>
      <c r="I58" s="256"/>
    </row>
    <row r="59" spans="1:9" s="79" customFormat="1" ht="28.95" customHeight="1" x14ac:dyDescent="0.3">
      <c r="A59" s="78"/>
      <c r="C59" s="251" t="s">
        <v>691</v>
      </c>
      <c r="D59" s="272"/>
      <c r="E59" s="273"/>
      <c r="F59" s="255" t="str">
        <f>_xlfn.CONCAT(_xlfn.XLOOKUP("[S02_CompetentAuthorityRoles][6][CAForInstallationTask]",Submission!$O:$O,Submission!$H:$N,""))</f>
        <v>AFT</v>
      </c>
      <c r="G59" s="256"/>
      <c r="H59" s="255" t="str">
        <f>_xlfn.CONCAT(_xlfn.XLOOKUP("[S02_CompetentAuthorityRoles][6][CAForAviationTask]",Submission!$O:$O,Submission!$H:$N,""))</f>
        <v/>
      </c>
      <c r="I59" s="256"/>
    </row>
    <row r="60" spans="1:9" s="79" customFormat="1" ht="28.95" customHeight="1" x14ac:dyDescent="0.3">
      <c r="A60" s="78"/>
      <c r="C60" s="251" t="s">
        <v>42</v>
      </c>
      <c r="D60" s="272"/>
      <c r="E60" s="273"/>
      <c r="F60" s="255" t="str">
        <f>_xlfn.CONCAT(_xlfn.XLOOKUP("[S02_CompetentAuthorityRoles][7][CAForInstallationTask]",Submission!$O:$O,Submission!$H:$N,""))</f>
        <v>CDC</v>
      </c>
      <c r="G60" s="256"/>
      <c r="H60" s="255" t="str">
        <f>_xlfn.CONCAT(_xlfn.XLOOKUP("[S02_CompetentAuthorityRoles][7][CAForAviationTask]",Submission!$O:$O,Submission!$H:$N,""))</f>
        <v>MTE-DGAC</v>
      </c>
      <c r="I60" s="256"/>
    </row>
    <row r="61" spans="1:9" s="79" customFormat="1" ht="28.95" customHeight="1" x14ac:dyDescent="0.3">
      <c r="A61" s="78"/>
      <c r="C61" s="251" t="s">
        <v>692</v>
      </c>
      <c r="D61" s="272"/>
      <c r="E61" s="273"/>
      <c r="F61" s="255" t="str">
        <f>_xlfn.CONCAT(_xlfn.XLOOKUP("[S02_CompetentAuthorityRoles][8][CAForInstallationTask]",Submission!$O:$O,Submission!$H:$N,""))</f>
        <v>DREAL, ASN</v>
      </c>
      <c r="G61" s="256"/>
      <c r="H61" s="255" t="str">
        <f>_xlfn.CONCAT(_xlfn.XLOOKUP("[S02_CompetentAuthorityRoles][8][CAForAviationTask]",Submission!$O:$O,Submission!$H:$N,""))</f>
        <v>MTE-DGAC</v>
      </c>
      <c r="I61" s="256"/>
    </row>
    <row r="62" spans="1:9" s="79" customFormat="1" ht="28.95" customHeight="1" x14ac:dyDescent="0.3">
      <c r="A62" s="78"/>
      <c r="C62" s="251" t="s">
        <v>693</v>
      </c>
      <c r="D62" s="272"/>
      <c r="E62" s="273"/>
      <c r="F62" s="255" t="str">
        <f>_xlfn.CONCAT(_xlfn.XLOOKUP("[S02_CompetentAuthorityRoles][9][CAForInstallationTask]",Submission!$O:$O,Submission!$H:$N,""))</f>
        <v>DREAL, ASN</v>
      </c>
      <c r="G62" s="256"/>
      <c r="H62" s="255" t="str">
        <f>_xlfn.CONCAT(_xlfn.XLOOKUP("[S02_CompetentAuthorityRoles][9][CAForAviationTask]",Submission!$O:$O,Submission!$H:$N,""))</f>
        <v>MTE-DGAC</v>
      </c>
      <c r="I62" s="256"/>
    </row>
    <row r="63" spans="1:9" s="79" customFormat="1" ht="28.95" customHeight="1" x14ac:dyDescent="0.3">
      <c r="A63" s="78"/>
      <c r="C63" s="251" t="s">
        <v>694</v>
      </c>
      <c r="D63" s="272"/>
      <c r="E63" s="273"/>
      <c r="F63" s="255" t="str">
        <f>_xlfn.CONCAT(_xlfn.XLOOKUP("[S02_CompetentAuthorityRoles][10][CAForInstallationTask]",Submission!$O:$O,Submission!$H:$N,""))</f>
        <v>DREAL, ASN</v>
      </c>
      <c r="G63" s="256"/>
      <c r="H63" s="255" t="str">
        <f>_xlfn.CONCAT(_xlfn.XLOOKUP("[S02_CompetentAuthorityRoles][10][CAForAviationTask]",Submission!$O:$O,Submission!$H:$N,""))</f>
        <v>MTE-DGAC</v>
      </c>
      <c r="I63" s="256"/>
    </row>
    <row r="64" spans="1:9" s="79" customFormat="1" ht="28.95" customHeight="1" x14ac:dyDescent="0.3">
      <c r="A64" s="78"/>
      <c r="C64" s="251" t="s">
        <v>46</v>
      </c>
      <c r="D64" s="272"/>
      <c r="E64" s="273"/>
      <c r="F64" s="255" t="str">
        <f>_xlfn.CONCAT(_xlfn.XLOOKUP("[S02_CompetentAuthorityRoles][11][CAForInstallationTask]",Submission!$O:$O,Submission!$H:$N,""))</f>
        <v>DREAL, ASN</v>
      </c>
      <c r="G64" s="256"/>
      <c r="H64" s="255" t="str">
        <f>_xlfn.CONCAT(_xlfn.XLOOKUP("[S02_CompetentAuthorityRoles][11][CAForAviationTask]",Submission!$O:$O,Submission!$H:$N,""))</f>
        <v>MTE-DGAC</v>
      </c>
      <c r="I64" s="256"/>
    </row>
    <row r="65" spans="1:9" s="79" customFormat="1" ht="28.95" customHeight="1" x14ac:dyDescent="0.3">
      <c r="A65" s="78"/>
      <c r="C65" s="251" t="s">
        <v>695</v>
      </c>
      <c r="D65" s="272"/>
      <c r="E65" s="273"/>
      <c r="F65" s="255" t="str">
        <f>_xlfn.CONCAT(_xlfn.XLOOKUP("[S02_CompetentAuthorityRoles][12][CAForInstallationTask]",Submission!$O:$O,Submission!$H:$N,""))</f>
        <v>/</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MTE-DGEC, DREAL</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Direction générale de l'énergie et du climat (for installations)
Direction générale de l'aviation civile (for aircrafts)</v>
      </c>
      <c r="D82" s="254"/>
      <c r="E82" s="254"/>
      <c r="F82" s="254"/>
      <c r="G82" s="254" t="str">
        <f>_xlfn.CONCAT(_xlfn.XLOOKUP("[S02_CAFocalPoint][0][CAArt70Abbrev]",Submission!$O:$O,Submission!$H:$N,""))</f>
        <v>MTE-DGEC
MTE-DGAC</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No</v>
      </c>
      <c r="H86" s="258" t="str">
        <f>_xlfn.CONCAT(_xlfn.XLOOKUP("[S02_CompetentAuthorityCoordination][1][CACoordinationComment]",Submission!$O:$O,Submission!$H:$N,""))</f>
        <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Yes</v>
      </c>
      <c r="H87" s="258" t="str">
        <f>_xlfn.CONCAT(_xlfn.XLOOKUP("[S02_CompetentAuthorityCoordination][2][CACoordinationComment]",Submission!$O:$O,Submission!$H:$N,""))</f>
        <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Yes</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Yes</v>
      </c>
      <c r="H89" s="258" t="str">
        <f>_xlfn.CONCAT(_xlfn.XLOOKUP("[S02_CompetentAuthorityCoordination][4][CACoordinationComment]",Submission!$O:$O,Submission!$H:$N,""))</f>
        <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Yes</v>
      </c>
      <c r="H90" s="258" t="str">
        <f>_xlfn.CONCAT(_xlfn.XLOOKUP("[S02_CompetentAuthorityCoordination][5][CACoordinationComment]",Submission!$O:$O,Submission!$H:$N,""))</f>
        <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Yes</v>
      </c>
      <c r="H91" s="258" t="str">
        <f>_xlfn.CONCAT(_xlfn.XLOOKUP("[S02_CompetentAuthorityCoordination][6][CACoordinationComment]",Submission!$O:$O,Submission!$H:$N,""))</f>
        <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Yes</v>
      </c>
      <c r="H100" s="274" t="str">
        <f>_xlfn.CONCAT(_xlfn.XLOOKUP("[S02_InformationExchangeAccBodyAndCA][1][InfoExchangeComment]",Submission!$O:$O,Submission!$H:$N,""))</f>
        <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Yes</v>
      </c>
      <c r="H101" s="274" t="str">
        <f>_xlfn.CONCAT(_xlfn.XLOOKUP("[S02_InformationExchangeAccBodyAndCA][2][InfoExchangeComment]",Submission!$O:$O,Submission!$H:$N,""))</f>
        <v>The working group meetings usually occur twice a year (one before the campaigns to discuss important issues to harmonize the implementatino, and one after the campaigns to get feedbacks)</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Yes</v>
      </c>
      <c r="H102" s="274" t="str">
        <f>_xlfn.CONCAT(_xlfn.XLOOKUP("[S02_InformationExchangeAccBodyAndCA][3][InfoExchangeComment]",Submission!$O:$O,Submission!$H:$N,""))</f>
        <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1040</v>
      </c>
      <c r="H7" s="305"/>
      <c r="I7" s="306"/>
    </row>
    <row r="8" spans="1:9" s="7" customFormat="1" ht="15" customHeight="1" x14ac:dyDescent="0.3">
      <c r="A8" s="8"/>
      <c r="C8" s="301" t="s">
        <v>727</v>
      </c>
      <c r="D8" s="302"/>
      <c r="E8" s="302"/>
      <c r="F8" s="303"/>
      <c r="G8" s="304" t="str">
        <f>_xlfn.CONCAT(_xlfn.XLOOKUP("[S03_EmittingInstallations][2][NumberOfInstallations]",Submission!$O:$O,Submission!$H:$N,""))</f>
        <v>810</v>
      </c>
      <c r="H8" s="305"/>
      <c r="I8" s="306"/>
    </row>
    <row r="9" spans="1:9" s="7" customFormat="1" ht="15" customHeight="1" x14ac:dyDescent="0.3">
      <c r="A9" s="8"/>
      <c r="C9" s="301" t="s">
        <v>728</v>
      </c>
      <c r="D9" s="302"/>
      <c r="E9" s="302"/>
      <c r="F9" s="303"/>
      <c r="G9" s="304" t="str">
        <f>_xlfn.CONCAT(_xlfn.XLOOKUP("[S03_EmittingInstallations][3][NumberOfInstallations]",Submission!$O:$O,Submission!$H:$N,""))</f>
        <v>186</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44</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598</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Yes</v>
      </c>
      <c r="I16" s="300"/>
    </row>
    <row r="17" spans="3:9" s="11" customFormat="1" ht="14.4" x14ac:dyDescent="0.3">
      <c r="C17" s="296" t="s">
        <v>735</v>
      </c>
      <c r="D17" s="297"/>
      <c r="E17" s="297"/>
      <c r="F17" s="297"/>
      <c r="G17" s="298"/>
      <c r="H17" s="299" t="str">
        <f>_xlfn.CONCAT(_xlfn.XLOOKUP("[S03_ActivityPermits][3][ActivityPermitsIssued]",Submission!$O:$O,Submission!$H:$N,""))</f>
        <v>Yes</v>
      </c>
      <c r="I17" s="300"/>
    </row>
    <row r="18" spans="3:9" s="11" customFormat="1" ht="14.4" x14ac:dyDescent="0.3">
      <c r="C18" s="296" t="s">
        <v>736</v>
      </c>
      <c r="D18" s="297"/>
      <c r="E18" s="297"/>
      <c r="F18" s="297"/>
      <c r="G18" s="298"/>
      <c r="H18" s="299" t="str">
        <f>_xlfn.CONCAT(_xlfn.XLOOKUP("[S03_ActivityPermits][4][ActivityPermitsIssued]",Submission!$O:$O,Submission!$H:$N,""))</f>
        <v>Yes</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Yes</v>
      </c>
      <c r="I21" s="300"/>
    </row>
    <row r="22" spans="3:9" s="11" customFormat="1" ht="14.4" x14ac:dyDescent="0.3">
      <c r="C22" s="296" t="s">
        <v>740</v>
      </c>
      <c r="D22" s="297"/>
      <c r="E22" s="297"/>
      <c r="F22" s="297"/>
      <c r="G22" s="298"/>
      <c r="H22" s="299" t="str">
        <f>_xlfn.CONCAT(_xlfn.XLOOKUP("[S03_ActivityPermits][8][ActivityPermitsIssued]",Submission!$O:$O,Submission!$H:$N,""))</f>
        <v>Yes</v>
      </c>
      <c r="I22" s="300"/>
    </row>
    <row r="23" spans="3:9" s="11" customFormat="1" ht="14.4" x14ac:dyDescent="0.3">
      <c r="C23" s="296" t="s">
        <v>741</v>
      </c>
      <c r="D23" s="297"/>
      <c r="E23" s="297"/>
      <c r="F23" s="297"/>
      <c r="G23" s="298"/>
      <c r="H23" s="299" t="str">
        <f>_xlfn.CONCAT(_xlfn.XLOOKUP("[S03_ActivityPermits][9][ActivityPermitsIssued]",Submission!$O:$O,Submission!$H:$N,""))</f>
        <v>Yes</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Yes</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Yes</v>
      </c>
      <c r="I28" s="300"/>
    </row>
    <row r="29" spans="3:9" s="11" customFormat="1" ht="14.4" x14ac:dyDescent="0.3">
      <c r="C29" s="296" t="s">
        <v>747</v>
      </c>
      <c r="D29" s="297"/>
      <c r="E29" s="297"/>
      <c r="F29" s="297"/>
      <c r="G29" s="298"/>
      <c r="H29" s="299" t="str">
        <f>_xlfn.CONCAT(_xlfn.XLOOKUP("[S03_ActivityPermits][15][ActivityPermitsIssued]",Submission!$O:$O,Submission!$H:$N,""))</f>
        <v>Yes</v>
      </c>
      <c r="I29" s="300"/>
    </row>
    <row r="30" spans="3:9" s="11" customFormat="1" ht="14.4" x14ac:dyDescent="0.3">
      <c r="C30" s="296" t="s">
        <v>748</v>
      </c>
      <c r="D30" s="297"/>
      <c r="E30" s="297"/>
      <c r="F30" s="297"/>
      <c r="G30" s="298"/>
      <c r="H30" s="299" t="str">
        <f>_xlfn.CONCAT(_xlfn.XLOOKUP("[S03_ActivityPermits][16][ActivityPermitsIssued]",Submission!$O:$O,Submission!$H:$N,""))</f>
        <v>Yes</v>
      </c>
      <c r="I30" s="300"/>
    </row>
    <row r="31" spans="3:9" s="11" customFormat="1" ht="14.4" x14ac:dyDescent="0.3">
      <c r="C31" s="296" t="s">
        <v>749</v>
      </c>
      <c r="D31" s="297"/>
      <c r="E31" s="297"/>
      <c r="F31" s="297"/>
      <c r="G31" s="298"/>
      <c r="H31" s="299" t="str">
        <f>_xlfn.CONCAT(_xlfn.XLOOKUP("[S03_ActivityPermits][17][ActivityPermitsIssued]",Submission!$O:$O,Submission!$H:$N,""))</f>
        <v>Yes</v>
      </c>
      <c r="I31" s="300"/>
    </row>
    <row r="32" spans="3:9" s="11" customFormat="1" ht="14.4" x14ac:dyDescent="0.3">
      <c r="C32" s="296" t="s">
        <v>750</v>
      </c>
      <c r="D32" s="297"/>
      <c r="E32" s="297"/>
      <c r="F32" s="297"/>
      <c r="G32" s="298"/>
      <c r="H32" s="299" t="str">
        <f>_xlfn.CONCAT(_xlfn.XLOOKUP("[S03_ActivityPermits][18][ActivityPermitsIssued]",Submission!$O:$O,Submission!$H:$N,""))</f>
        <v>Yes</v>
      </c>
      <c r="I32" s="300"/>
    </row>
    <row r="33" spans="1:9" s="11" customFormat="1" ht="14.4" x14ac:dyDescent="0.3">
      <c r="C33" s="296" t="s">
        <v>751</v>
      </c>
      <c r="D33" s="297"/>
      <c r="E33" s="297"/>
      <c r="F33" s="297"/>
      <c r="G33" s="298"/>
      <c r="H33" s="299" t="str">
        <f>_xlfn.CONCAT(_xlfn.XLOOKUP("[S03_ActivityPermits][19][ActivityPermitsIssued]",Submission!$O:$O,Submission!$H:$N,""))</f>
        <v>Yes</v>
      </c>
      <c r="I33" s="300"/>
    </row>
    <row r="34" spans="1:9" s="11" customFormat="1" ht="14.4" x14ac:dyDescent="0.3">
      <c r="C34" s="296" t="s">
        <v>752</v>
      </c>
      <c r="D34" s="297"/>
      <c r="E34" s="297"/>
      <c r="F34" s="297"/>
      <c r="G34" s="298"/>
      <c r="H34" s="299" t="str">
        <f>_xlfn.CONCAT(_xlfn.XLOOKUP("[S03_ActivityPermits][20][ActivityPermitsIssued]",Submission!$O:$O,Submission!$H:$N,""))</f>
        <v>Yes</v>
      </c>
      <c r="I34" s="300"/>
    </row>
    <row r="35" spans="1:9" s="11" customFormat="1" ht="14.4" x14ac:dyDescent="0.3">
      <c r="C35" s="296" t="s">
        <v>753</v>
      </c>
      <c r="D35" s="297"/>
      <c r="E35" s="297"/>
      <c r="F35" s="297"/>
      <c r="G35" s="298"/>
      <c r="H35" s="299" t="str">
        <f>_xlfn.CONCAT(_xlfn.XLOOKUP("[S03_ActivityPermits][21][ActivityPermitsIssued]",Submission!$O:$O,Submission!$H:$N,""))</f>
        <v>Yes</v>
      </c>
      <c r="I35" s="300"/>
    </row>
    <row r="36" spans="1:9" s="11" customFormat="1" ht="14.4" x14ac:dyDescent="0.3">
      <c r="C36" s="296" t="s">
        <v>754</v>
      </c>
      <c r="D36" s="297"/>
      <c r="E36" s="297"/>
      <c r="F36" s="297"/>
      <c r="G36" s="298"/>
      <c r="H36" s="299" t="str">
        <f>_xlfn.CONCAT(_xlfn.XLOOKUP("[S03_ActivityPermits][22][ActivityPermitsIssued]",Submission!$O:$O,Submission!$H:$N,""))</f>
        <v>Yes</v>
      </c>
      <c r="I36" s="300"/>
    </row>
    <row r="37" spans="1:9" s="11" customFormat="1" ht="14.4" x14ac:dyDescent="0.3">
      <c r="C37" s="296" t="s">
        <v>755</v>
      </c>
      <c r="D37" s="297"/>
      <c r="E37" s="297"/>
      <c r="F37" s="297"/>
      <c r="G37" s="298"/>
      <c r="H37" s="299" t="str">
        <f>_xlfn.CONCAT(_xlfn.XLOOKUP("[S03_ActivityPermits][23][ActivityPermitsIssued]",Submission!$O:$O,Submission!$H:$N,""))</f>
        <v>Yes</v>
      </c>
      <c r="I37" s="300"/>
    </row>
    <row r="38" spans="1:9" s="11" customFormat="1" ht="15" x14ac:dyDescent="0.3">
      <c r="C38" s="296" t="s">
        <v>756</v>
      </c>
      <c r="D38" s="297"/>
      <c r="E38" s="297"/>
      <c r="F38" s="297"/>
      <c r="G38" s="298"/>
      <c r="H38" s="299" t="str">
        <f>_xlfn.CONCAT(_xlfn.XLOOKUP("[S03_ActivityPermits][24][ActivityPermitsIssued]",Submission!$O:$O,Submission!$H:$N,""))</f>
        <v>Yes</v>
      </c>
      <c r="I38" s="300"/>
    </row>
    <row r="39" spans="1:9" s="11" customFormat="1" ht="15" x14ac:dyDescent="0.3">
      <c r="C39" s="296" t="s">
        <v>757</v>
      </c>
      <c r="D39" s="297"/>
      <c r="E39" s="297"/>
      <c r="F39" s="297"/>
      <c r="G39" s="298"/>
      <c r="H39" s="299" t="str">
        <f>_xlfn.CONCAT(_xlfn.XLOOKUP("[S03_ActivityPermits][25][ActivityPermitsIssued]",Submission!$O:$O,Submission!$H:$N,""))</f>
        <v>Yes</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Yes</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Article 27</v>
      </c>
      <c r="D51" s="340"/>
      <c r="E51" s="341"/>
      <c r="F51" s="346" t="str">
        <f>_xlfn.CONCAT(_xlfn.XLOOKUP("[S03_InstallationsExcludedArt27Detail][1][InstallationsExcludedEmissions]",Submission!$O:$O,Submission!$H:$N,""))</f>
        <v>20952</v>
      </c>
      <c r="G51" s="326"/>
      <c r="H51" s="325" t="str">
        <f>_xlfn.CONCAT(_xlfn.XLOOKUP("[S03_InstallationsExcludedArt27Detail][1][InstallationsExceededThreshold]",Submission!$O:$O,Submission!$H:$N,""))</f>
        <v>0</v>
      </c>
      <c r="I51" s="326"/>
    </row>
    <row r="52" spans="1:12" s="7" customFormat="1" ht="14.4" x14ac:dyDescent="0.3">
      <c r="A52" s="8"/>
      <c r="C52" s="299" t="str">
        <f>_xlfn.CONCAT(_xlfn.XLOOKUP("[S03_InstallationsExcludedArt27Detail][2][ExclusionArticle]",Submission!$O:$O,Submission!$H:$N,""))</f>
        <v>Article 27a (1)</v>
      </c>
      <c r="D52" s="340"/>
      <c r="E52" s="341"/>
      <c r="F52" s="325" t="str">
        <f>_xlfn.CONCAT(_xlfn.XLOOKUP("[S03_InstallationsExcludedArt27Detail][2][InstallationsExcludedEmissions]",Submission!$O:$O,Submission!$H:$N,""))</f>
        <v>16992</v>
      </c>
      <c r="G52" s="326"/>
      <c r="H52" s="325" t="str">
        <f>_xlfn.CONCAT(_xlfn.XLOOKUP("[S03_InstallationsExcludedArt27Detail][2][InstallationsExceededThreshold]",Submission!$O:$O,Submission!$H:$N,""))</f>
        <v>0</v>
      </c>
      <c r="I52" s="326"/>
    </row>
    <row r="53" spans="1:12" s="7" customFormat="1" ht="14.4" x14ac:dyDescent="0.3">
      <c r="A53" s="8"/>
      <c r="C53" s="299" t="str">
        <f>_xlfn.CONCAT(_xlfn.XLOOKUP("[S03_InstallationsExcludedArt27Detail][3][ExclusionArticle]",Submission!$O:$O,Submission!$H:$N,""))</f>
        <v>Article 27a (3)</v>
      </c>
      <c r="D53" s="340"/>
      <c r="E53" s="341"/>
      <c r="F53" s="325" t="str">
        <f>_xlfn.CONCAT(_xlfn.XLOOKUP("[S03_InstallationsExcludedArt27Detail][3][InstallationsExcludedEmissions]",Submission!$O:$O,Submission!$H:$N,""))</f>
        <v>0</v>
      </c>
      <c r="G53" s="326"/>
      <c r="H53" s="325" t="str">
        <f>_xlfn.CONCAT(_xlfn.XLOOKUP("[S03_InstallationsExcludedArt27Detail][3][InstallationsExceededThreshold]",Submission!$O:$O,Submission!$H:$N,""))</f>
        <v>0</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0</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0</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38</v>
      </c>
      <c r="H64" s="132" t="str">
        <f>_xlfn.CONCAT(_xlfn.XLOOKUP("[S03_AircraftAnnex1Activities][1][NumberNonCommercialOperators]",Submission!$O:$O,Submission!$H:$N,""))</f>
        <v>1</v>
      </c>
      <c r="I64" s="132" t="str">
        <f>_xlfn.CONCAT(_xlfn.XLOOKUP("[S03_AircraftAnnex1Activities][1][NumberTotalOperators]",Submission!$O:$O,Submission!$H:$N,""))</f>
        <v>39</v>
      </c>
    </row>
    <row r="65" spans="3:9" ht="15.9" customHeight="1" x14ac:dyDescent="0.3">
      <c r="C65" s="322" t="s">
        <v>782</v>
      </c>
      <c r="D65" s="323"/>
      <c r="E65" s="323"/>
      <c r="F65" s="324"/>
      <c r="G65" s="132" t="str">
        <f>_xlfn.CONCAT(_xlfn.XLOOKUP("[S03_AircraftAnnex1Activities][2][NumberCommercialOperators]",Submission!$O:$O,Submission!$H:$N,""))</f>
        <v>8</v>
      </c>
      <c r="H65" s="132" t="str">
        <f>_xlfn.CONCAT(_xlfn.XLOOKUP("[S03_AircraftAnnex1Activities][2][NumberNonCommercialOperators]",Submission!$O:$O,Submission!$H:$N,""))</f>
        <v>36</v>
      </c>
      <c r="I65" s="132" t="str">
        <f>_xlfn.CONCAT(_xlfn.XLOOKUP("[S03_AircraftAnnex1Activities][2][NumberTotalOperators]",Submission!$O:$O,Submission!$H:$N,""))</f>
        <v>44</v>
      </c>
    </row>
    <row r="66" spans="3:9" ht="15.9" customHeight="1" x14ac:dyDescent="0.3">
      <c r="C66" s="322" t="s">
        <v>780</v>
      </c>
      <c r="D66" s="323"/>
      <c r="E66" s="323"/>
      <c r="F66" s="324"/>
      <c r="G66" s="132" t="str">
        <f>_xlfn.CONCAT(_xlfn.XLOOKUP("[S03_AircraftAnnex1Activities][3][NumberCommercialOperators]",Submission!$O:$O,Submission!$H:$N,""))</f>
        <v>46</v>
      </c>
      <c r="H66" s="132" t="str">
        <f>_xlfn.CONCAT(_xlfn.XLOOKUP("[S03_AircraftAnnex1Activities][3][NumberNonCommercialOperators]",Submission!$O:$O,Submission!$H:$N,""))</f>
        <v>37</v>
      </c>
      <c r="I66" s="132" t="str">
        <f>_xlfn.CONCAT(_xlfn.XLOOKUP("[S03_AircraftAnnex1Activities][3][NumberTotalOperators]",Submission!$O:$O,Submission!$H:$N,""))</f>
        <v>83</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Yes</v>
      </c>
      <c r="H8" s="258" t="str">
        <f>_xlfn.CONCAT(_xlfn.XLOOKUP("[S04_IEDProcedureRequirementsIntegratedYes][1][IntegrationComments]",Submission!$O:$O,Submission!$H:$N,""))</f>
        <v/>
      </c>
      <c r="I8" s="260"/>
    </row>
    <row r="9" spans="1:9" s="58" customFormat="1" ht="31.95" customHeight="1" x14ac:dyDescent="0.3">
      <c r="A9" s="75"/>
      <c r="C9" s="249" t="s">
        <v>789</v>
      </c>
      <c r="D9" s="272"/>
      <c r="E9" s="272"/>
      <c r="F9" s="273"/>
      <c r="G9" s="63" t="str">
        <f>_xlfn.CONCAT(_xlfn.XLOOKUP("[S04_IEDProcedureRequirementsIntegratedYes][2][IntegrationYesNo]",Submission!$O:$O,Submission!$H:$N,""))</f>
        <v/>
      </c>
      <c r="H9" s="258" t="str">
        <f>_xlfn.CONCAT(_xlfn.XLOOKUP("[S04_IEDProcedureRequirementsIntegratedYes][2][IntegrationComments]",Submission!$O:$O,Submission!$H:$N,""))</f>
        <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
      </c>
      <c r="H10" s="258" t="str">
        <f>_xlfn.CONCAT(_xlfn.XLOOKUP("[S04_IEDProcedureRequirementsIntegratedYes][3][IntegrationComments]",Submission!$O:$O,Submission!$H:$N,""))</f>
        <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Yes</v>
      </c>
      <c r="H11" s="258" t="str">
        <f>_xlfn.CONCAT(_xlfn.XLOOKUP("[S04_IEDProcedureRequirementsIntegratedYes][4][IntegrationComments]",Submission!$O:$O,Submission!$H:$N,""))</f>
        <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Yes</v>
      </c>
      <c r="H12" s="258" t="str">
        <f>_xlfn.CONCAT(_xlfn.XLOOKUP("[S04_IEDProcedureRequirementsIntegratedYes][5][IntegrationComments]",Submission!$O:$O,Submission!$H:$N,""))</f>
        <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No</v>
      </c>
      <c r="H13" s="258" t="str">
        <f>_xlfn.CONCAT(_xlfn.XLOOKUP("[S04_IEDProcedureRequirementsIntegratedYes][6][IntegrationComments]",Submission!$O:$O,Submission!$H:$N,""))</f>
        <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No</v>
      </c>
      <c r="H15" s="258" t="str">
        <f>_xlfn.CONCAT(_xlfn.XLOOKUP("[S04_IEDProcedureRequirementsIntegratedYes][8][IntegrationComments]",Submission!$O:$O,Submission!$H:$N,""))</f>
        <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IED and ETS legislation do not contain provisions for withdrawing permits but the operation of the installation may be suspended in case of infringment.</v>
      </c>
      <c r="H19" s="349"/>
      <c r="I19" s="350"/>
    </row>
    <row r="20" spans="1:9" ht="15.9" customHeight="1" x14ac:dyDescent="0.3">
      <c r="C20" s="301" t="s">
        <v>797</v>
      </c>
      <c r="D20" s="332"/>
      <c r="E20" s="332"/>
      <c r="F20" s="347"/>
      <c r="G20" s="348" t="str">
        <f>_xlfn.CONCAT(_xlfn.XLOOKUP("[S04_NationalLawPermitUpdate][2][PermitUpdateNationalLawDetail]",Submission!$O:$O,Submission!$H:$N,""))</f>
        <v>There is no case of expiration of a permit in the French legislation</v>
      </c>
      <c r="H20" s="349"/>
      <c r="I20" s="350"/>
    </row>
    <row r="21" spans="1:9" ht="15.9" customHeight="1" x14ac:dyDescent="0.3">
      <c r="C21" s="301" t="s">
        <v>134</v>
      </c>
      <c r="D21" s="332"/>
      <c r="E21" s="332"/>
      <c r="F21" s="347"/>
      <c r="G21" s="348" t="str">
        <f>_xlfn.CONCAT(_xlfn.XLOOKUP("[S04_NationalLawPermitUpdate][3][PermitUpdateNationalLawDetail]",Submission!$O:$O,Submission!$H:$N,""))</f>
        <v>When there is a physical change and the change is significant</v>
      </c>
      <c r="H21" s="349"/>
      <c r="I21" s="350"/>
    </row>
    <row r="22" spans="1:9" ht="15.9" customHeight="1" x14ac:dyDescent="0.3">
      <c r="C22" s="301" t="s">
        <v>136</v>
      </c>
      <c r="D22" s="332"/>
      <c r="E22" s="332"/>
      <c r="F22" s="347"/>
      <c r="G22" s="348" t="str">
        <f>_xlfn.CONCAT(_xlfn.XLOOKUP("[S04_NationalLawPermitUpdate][4][PermitUpdateNationalLawDetail]",Submission!$O:$O,Submission!$H:$N,""))</f>
        <v>When there is a physical change and the change is significant</v>
      </c>
      <c r="H22" s="349"/>
      <c r="I22" s="350"/>
    </row>
    <row r="23" spans="1:9" ht="15.9" customHeight="1" x14ac:dyDescent="0.3">
      <c r="C23" s="301" t="s">
        <v>138</v>
      </c>
      <c r="D23" s="332"/>
      <c r="E23" s="332"/>
      <c r="F23" s="347"/>
      <c r="G23" s="348" t="str">
        <f>_xlfn.CONCAT(_xlfn.XLOOKUP("[S04_NationalLawPermitUpdate][5][PermitUpdateNationalLawDetail]",Submission!$O:$O,Submission!$H:$N,""))</f>
        <v>A permit is never changed due to a change of monitoring plans</v>
      </c>
      <c r="H23" s="349"/>
      <c r="I23" s="350"/>
    </row>
    <row r="24" spans="1:9" ht="15.9" customHeight="1" x14ac:dyDescent="0.3">
      <c r="C24" s="301" t="s">
        <v>798</v>
      </c>
      <c r="D24" s="332"/>
      <c r="E24" s="332"/>
      <c r="F24" s="347"/>
      <c r="G24" s="348" t="str">
        <f>_xlfn.CONCAT(_xlfn.XLOOKUP("[S04_NationalLawPermitUpdate][6][PermitUpdateNationalLawDetail]",Submission!$O:$O,Submission!$H:$N,""))</f>
        <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0</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Yes</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Modalities for approval of monitoring plans / default emission factors at national level / reporting deadlines for emissions / use of the reporting platform</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Yes</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Assessing monitoring plans and annual emission reports</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EU ETS data are used for compiling the GHG inventory, for the major part of ETS sectors (which are estimated in bottom-up in the inventory) except for some sectors (for instance district heating, or food industry) where data come usually from another source (national statistics).</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GHG inventory compilers compare EU ETS emission reports and the national energy balance. EU ETS emissions reports can also be used to add special fuels which are not in the national energy balance</v>
      </c>
      <c r="I17" s="394"/>
    </row>
    <row r="18" spans="1:9" s="58" customFormat="1" ht="32.4" customHeight="1" x14ac:dyDescent="0.3">
      <c r="C18" s="382" t="s">
        <v>817</v>
      </c>
      <c r="D18" s="382"/>
      <c r="E18" s="382"/>
      <c r="F18" s="382"/>
      <c r="G18" s="47" t="str">
        <f>_xlfn.CONCAT(_xlfn.XLOOKUP("[MeasuresStreamline][3][MeasuresStreamlineYesNo]",Submission!$O:$O,Submission!$H:$N,""))</f>
        <v>Yes</v>
      </c>
      <c r="H18" s="394" t="str">
        <f>_xlfn.CONCAT(_xlfn.XLOOKUP("[MeasuresStreamline][3][MeasuresStreamlineComments]",Submission!$O:$O,Submission!$H:$N,""))</f>
        <v xml:space="preserve">On the French reporting platform, automatic checks were implemented that compare some E-PRTR and EU ETS data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EU ETS data are used as validation : the data are compared with other data available for GHG inventory preparation (for instance combustion emissions for LCP or MCP Directives).
EU ETS data are used as quality assurance : it enables to check the completeness of emissions from industries, and more generally to check the consistency of the data (for instance, checking that calculation factors are correct in comparison to the IPCC default factors...)</v>
      </c>
      <c r="I19" s="394"/>
    </row>
    <row r="20" spans="1:9" s="58" customFormat="1" ht="32.4" customHeight="1" x14ac:dyDescent="0.3">
      <c r="C20" s="382" t="s">
        <v>819</v>
      </c>
      <c r="D20" s="382"/>
      <c r="E20" s="382"/>
      <c r="F20" s="382"/>
      <c r="G20" s="47" t="str">
        <f>_xlfn.CONCAT(_xlfn.XLOOKUP("[MeasuresStreamline][5][MeasuresStreamlineYesNo]",Submission!$O:$O,Submission!$H:$N,""))</f>
        <v>Yes</v>
      </c>
      <c r="H20" s="394" t="str">
        <f>_xlfn.CONCAT(_xlfn.XLOOKUP("[MeasuresStreamline][5][MeasuresStreamlineComments]",Submission!$O:$O,Submission!$H:$N,""))</f>
        <v>The same online reporting platform is used by operators to report EU ETS data, but also E-PRTR, LCP/MCP, and IED data</v>
      </c>
      <c r="I20" s="394"/>
    </row>
    <row r="21" spans="1:9" s="58" customFormat="1" ht="32.4" customHeight="1" x14ac:dyDescent="0.3">
      <c r="C21" s="382" t="s">
        <v>820</v>
      </c>
      <c r="D21" s="382"/>
      <c r="E21" s="382"/>
      <c r="F21" s="382"/>
      <c r="G21" s="47" t="str">
        <f>_xlfn.CONCAT(_xlfn.XLOOKUP("[MeasuresStreamline][6][MeasuresStreamlineYesNo]",Submission!$O:$O,Submission!$H:$N,""))</f>
        <v>Yes</v>
      </c>
      <c r="H21" s="394" t="str">
        <f>_xlfn.CONCAT(_xlfn.XLOOKUP("[MeasuresStreamline][6][MeasuresStreamlineComments]",Submission!$O:$O,Submission!$H:$N,""))</f>
        <v>GHG inventory compilers are linked by contract (as a State Operator) to E-PRTR and EU ETS competent authorities</v>
      </c>
      <c r="I21" s="394"/>
    </row>
    <row r="22" spans="1:9" s="58" customFormat="1" ht="32.4" customHeight="1" x14ac:dyDescent="0.3">
      <c r="A22" s="75"/>
      <c r="C22" s="249" t="s">
        <v>821</v>
      </c>
      <c r="D22" s="272"/>
      <c r="E22" s="272"/>
      <c r="F22" s="273"/>
      <c r="G22" s="47" t="str">
        <f>_xlfn.CONCAT(_xlfn.XLOOKUP("[MeasuresStreamline][7][MeasuresStreamlineYesNo]",Submission!$O:$O,Submission!$H:$N,""))</f>
        <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
      </c>
      <c r="G29" s="364"/>
      <c r="H29" s="388" t="str">
        <f>_xlfn.CONCAT(_xlfn.XLOOKUP("[S05_MSCustomisedTemplatesMRR1][2][HowTemplateSpecific]",Submission!$O:$O,Submission!$H:$N,""))</f>
        <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In Phase 4, the use of templates developped by the Commission is mandatory (by ministerial order), in Excel format.</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Yes</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We added a specific part on EU ETS in the French reporting tool used already by operators to report their national emissions for other legislations. All requirements in Article 75(1) and (2) are implemented in the French online reporting platform.</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75914.4558396823</v>
      </c>
      <c r="G53" s="378"/>
      <c r="H53" s="375" t="str">
        <f>_xlfn.CONCAT(_xlfn.XLOOKUP("[S05_InstallationFuelConsEmissions][1][FuelAnnualEmissions]",Submission!$O:$O,Submission!$H:$N,""))</f>
        <v>7112009.83819791</v>
      </c>
      <c r="I53" s="376"/>
    </row>
    <row r="54" spans="1:9" ht="15.9" customHeight="1" x14ac:dyDescent="0.3">
      <c r="C54" s="251" t="s">
        <v>197</v>
      </c>
      <c r="D54" s="257"/>
      <c r="E54" s="250"/>
      <c r="F54" s="377" t="str">
        <f>_xlfn.CONCAT(_xlfn.XLOOKUP("[S05_InstallationFuelConsEmissions][2][FuelConsumption]",Submission!$O:$O,Submission!$H:$N,""))</f>
        <v>1508.81994414163</v>
      </c>
      <c r="G54" s="378"/>
      <c r="H54" s="375" t="str">
        <f>_xlfn.CONCAT(_xlfn.XLOOKUP("[S05_InstallationFuelConsEmissions][2][FuelAnnualEmissions]",Submission!$O:$O,Submission!$H:$N,""))</f>
        <v>147936.75333096</v>
      </c>
      <c r="I54" s="376"/>
    </row>
    <row r="55" spans="1:9" ht="15.9" customHeight="1" x14ac:dyDescent="0.3">
      <c r="C55" s="251" t="s">
        <v>199</v>
      </c>
      <c r="D55" s="257"/>
      <c r="E55" s="250"/>
      <c r="F55" s="377" t="str">
        <f>_xlfn.CONCAT(_xlfn.XLOOKUP("[S05_InstallationFuelConsEmissions][3][FuelConsumption]",Submission!$O:$O,Submission!$H:$N,""))</f>
        <v>0</v>
      </c>
      <c r="G55" s="378"/>
      <c r="H55" s="375" t="str">
        <f>_xlfn.CONCAT(_xlfn.XLOOKUP("[S05_InstallationFuelConsEmissions][3][FuelAnnualEmissions]",Submission!$O:$O,Submission!$H:$N,""))</f>
        <v>0</v>
      </c>
      <c r="I55" s="376"/>
    </row>
    <row r="56" spans="1:9" ht="15.9" customHeight="1" x14ac:dyDescent="0.3">
      <c r="C56" s="251" t="s">
        <v>201</v>
      </c>
      <c r="D56" s="257"/>
      <c r="E56" s="250"/>
      <c r="F56" s="377" t="str">
        <f>_xlfn.CONCAT(_xlfn.XLOOKUP("[S05_InstallationFuelConsEmissions][4][FuelConsumption]",Submission!$O:$O,Submission!$H:$N,""))</f>
        <v>5905.77799939666</v>
      </c>
      <c r="G56" s="378"/>
      <c r="H56" s="375" t="str">
        <f>_xlfn.CONCAT(_xlfn.XLOOKUP("[S05_InstallationFuelConsEmissions][4][FuelAnnualEmissions]",Submission!$O:$O,Submission!$H:$N,""))</f>
        <v>581645.6407413</v>
      </c>
      <c r="I56" s="376"/>
    </row>
    <row r="57" spans="1:9" ht="15.9" customHeight="1" x14ac:dyDescent="0.3">
      <c r="C57" s="251" t="s">
        <v>846</v>
      </c>
      <c r="D57" s="257"/>
      <c r="E57" s="250"/>
      <c r="F57" s="377" t="str">
        <f>_xlfn.CONCAT(_xlfn.XLOOKUP("[S05_InstallationFuelConsEmissions][5][FuelConsumption]",Submission!$O:$O,Submission!$H:$N,""))</f>
        <v>550331.434834017</v>
      </c>
      <c r="G57" s="378"/>
      <c r="H57" s="375" t="str">
        <f>_xlfn.CONCAT(_xlfn.XLOOKUP("[S05_InstallationFuelConsEmissions][5][FuelAnnualEmissions]",Submission!$O:$O,Submission!$H:$N,""))</f>
        <v>30851902.0889028</v>
      </c>
      <c r="I57" s="376"/>
    </row>
    <row r="58" spans="1:9" ht="15.9" customHeight="1" x14ac:dyDescent="0.3">
      <c r="C58" s="251" t="s">
        <v>847</v>
      </c>
      <c r="D58" s="257"/>
      <c r="E58" s="250"/>
      <c r="F58" s="377" t="str">
        <f>_xlfn.CONCAT(_xlfn.XLOOKUP("[S05_InstallationFuelConsEmissions][6][FuelConsumption]",Submission!$O:$O,Submission!$H:$N,""))</f>
        <v>1200.8468611</v>
      </c>
      <c r="G58" s="378"/>
      <c r="H58" s="375" t="str">
        <f>_xlfn.CONCAT(_xlfn.XLOOKUP("[S05_InstallationFuelConsEmissions][6][FuelAnnualEmissions]",Submission!$O:$O,Submission!$H:$N,""))</f>
        <v>52141.724811</v>
      </c>
      <c r="I58" s="376"/>
    </row>
    <row r="59" spans="1:9" ht="15.9" customHeight="1" x14ac:dyDescent="0.3">
      <c r="C59" s="251" t="s">
        <v>848</v>
      </c>
      <c r="D59" s="257"/>
      <c r="E59" s="250"/>
      <c r="F59" s="377" t="str">
        <f>_xlfn.CONCAT(_xlfn.XLOOKUP("[S05_InstallationFuelConsEmissions][7][FuelConsumption]",Submission!$O:$O,Submission!$H:$N,""))</f>
        <v>14684.493015</v>
      </c>
      <c r="G59" s="378"/>
      <c r="H59" s="375" t="str">
        <f>_xlfn.CONCAT(_xlfn.XLOOKUP("[S05_InstallationFuelConsEmissions][7][FuelAnnualEmissions]",Submission!$O:$O,Submission!$H:$N,""))</f>
        <v>3721387.6007</v>
      </c>
      <c r="I59" s="376"/>
    </row>
    <row r="60" spans="1:9" ht="15.9" customHeight="1" x14ac:dyDescent="0.3">
      <c r="C60" s="251" t="s">
        <v>207</v>
      </c>
      <c r="D60" s="257"/>
      <c r="E60" s="250"/>
      <c r="F60" s="377" t="str">
        <f>_xlfn.CONCAT(_xlfn.XLOOKUP("[S05_InstallationFuelConsEmissions][8][FuelConsumption]",Submission!$O:$O,Submission!$H:$N,""))</f>
        <v>94500.2539377691</v>
      </c>
      <c r="G60" s="378"/>
      <c r="H60" s="375" t="str">
        <f>_xlfn.CONCAT(_xlfn.XLOOKUP("[S05_InstallationFuelConsEmissions][8][FuelAnnualEmissions]",Submission!$O:$O,Submission!$H:$N,""))</f>
        <v>5139274.65495011</v>
      </c>
      <c r="I60" s="376"/>
    </row>
    <row r="61" spans="1:9" ht="15.9" customHeight="1" x14ac:dyDescent="0.3">
      <c r="C61" s="251" t="s">
        <v>849</v>
      </c>
      <c r="D61" s="257"/>
      <c r="E61" s="250"/>
      <c r="F61" s="377" t="str">
        <f>_xlfn.CONCAT(_xlfn.XLOOKUP("[S05_InstallationFuelConsEmissions][9][FuelConsumption]",Submission!$O:$O,Submission!$H:$N,""))</f>
        <v>33963.5599627077</v>
      </c>
      <c r="G61" s="378"/>
      <c r="H61" s="375" t="str">
        <f>_xlfn.CONCAT(_xlfn.XLOOKUP("[S05_InstallationFuelConsEmissions][9][FuelAnnualEmissions]",Submission!$O:$O,Submission!$H:$N,""))</f>
        <v>2600261.45937995</v>
      </c>
      <c r="I61" s="376"/>
    </row>
    <row r="62" spans="1:9" ht="15.9" customHeight="1" x14ac:dyDescent="0.3">
      <c r="C62" s="251" t="s">
        <v>211</v>
      </c>
      <c r="D62" s="257"/>
      <c r="E62" s="250"/>
      <c r="F62" s="377" t="str">
        <f>_xlfn.CONCAT(_xlfn.XLOOKUP("[S05_InstallationFuelConsEmissions][10][FuelConsumption]",Submission!$O:$O,Submission!$H:$N,""))</f>
        <v>1210.49998833365</v>
      </c>
      <c r="G62" s="378"/>
      <c r="H62" s="375" t="str">
        <f>_xlfn.CONCAT(_xlfn.XLOOKUP("[S05_InstallationFuelConsEmissions][10][FuelAnnualEmissions]",Submission!$O:$O,Submission!$H:$N,""))</f>
        <v>76387.072835653</v>
      </c>
      <c r="I62" s="376"/>
    </row>
    <row r="63" spans="1:9" ht="15.9" customHeight="1" x14ac:dyDescent="0.3">
      <c r="C63" s="251" t="s">
        <v>212</v>
      </c>
      <c r="D63" s="257"/>
      <c r="E63" s="250"/>
      <c r="F63" s="377" t="str">
        <f>_xlfn.CONCAT(_xlfn.XLOOKUP("[S05_InstallationFuelConsEmissions][11][FuelConsumption]",Submission!$O:$O,Submission!$H:$N,""))</f>
        <v>17534.86526595</v>
      </c>
      <c r="G63" s="378"/>
      <c r="H63" s="375" t="str">
        <f>_xlfn.CONCAT(_xlfn.XLOOKUP("[S05_InstallationFuelConsEmissions][11][FuelAnnualEmissions]",Submission!$O:$O,Submission!$H:$N,""))</f>
        <v>1644529.12112093</v>
      </c>
      <c r="I63" s="376"/>
    </row>
    <row r="64" spans="1:9" ht="15.9" customHeight="1" x14ac:dyDescent="0.3">
      <c r="C64" s="251" t="s">
        <v>850</v>
      </c>
      <c r="D64" s="257"/>
      <c r="E64" s="250"/>
      <c r="F64" s="377" t="str">
        <f>_xlfn.CONCAT(_xlfn.XLOOKUP("[S05_InstallationFuelConsEmissions][12][FuelConsumption]",Submission!$O:$O,Submission!$H:$N,""))</f>
        <v>133560.076882691</v>
      </c>
      <c r="G64" s="378"/>
      <c r="H64" s="375" t="str">
        <f>_xlfn.CONCAT(_xlfn.XLOOKUP("[S05_InstallationFuelConsEmissions][12][FuelAnnualEmissions]",Submission!$O:$O,Submission!$H:$N,""))</f>
        <v>8294172.63315936</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1A1a - Energy - Public Electricity and Heat Production</v>
      </c>
      <c r="D69" s="366"/>
      <c r="E69" s="365" t="str">
        <f>_xlfn.CONCAT(_xlfn.XLOOKUP("[S05_AggregateTotalEmissionsByCRF][1][CRFCategory2]",Submission!$O:$O,Submission!$H:$N,""))</f>
        <v/>
      </c>
      <c r="F69" s="366"/>
      <c r="G69" s="126" t="str">
        <f>_xlfn.CONCAT(_xlfn.XLOOKUP("[S05_AggregateTotalEmissionsByCRF][1][TotalEmissionsTCo2e]",Submission!$O:$O,Submission!$H:$N,""))</f>
        <v>23342682.6022882</v>
      </c>
      <c r="H69" s="126" t="str">
        <f>_xlfn.CONCAT(_xlfn.XLOOKUP("[S05_AggregateTotalEmissionsByCRF][1][TotalCombustionEmissionsTCo2e]",Submission!$O:$O,Submission!$H:$N,""))</f>
        <v>23342682.6022882</v>
      </c>
      <c r="I69" s="126" t="str">
        <f>_xlfn.CONCAT(_xlfn.XLOOKUP("[S05_AggregateTotalEmissionsByCRF][1][TotalProcessEmissionsTCo2e]",Submission!$O:$O,Submission!$H:$N,""))</f>
        <v/>
      </c>
    </row>
    <row r="70" spans="1:14" ht="16.2" customHeight="1" x14ac:dyDescent="0.3">
      <c r="C70" s="365" t="str">
        <f>_xlfn.CONCAT(_xlfn.XLOOKUP("[S05_AggregateTotalEmissionsByCRF][2][CRFCategory1]",Submission!$O:$O,Submission!$H:$N,""))</f>
        <v>1A1b - Energy - Petroleum Refining</v>
      </c>
      <c r="D70" s="366"/>
      <c r="E70" s="367" t="str">
        <f>_xlfn.CONCAT(_xlfn.XLOOKUP("[S05_AggregateTotalEmissionsByCRF][2][CRFCategory2]",Submission!$O:$O,Submission!$H:$N,""))</f>
        <v/>
      </c>
      <c r="F70" s="368"/>
      <c r="G70" s="126" t="str">
        <f>_xlfn.CONCAT(_xlfn.XLOOKUP("[S05_AggregateTotalEmissionsByCRF][2][TotalEmissionsTCo2e]",Submission!$O:$O,Submission!$H:$N,""))</f>
        <v>5469480.40454253</v>
      </c>
      <c r="H70" s="126" t="str">
        <f>_xlfn.CONCAT(_xlfn.XLOOKUP("[S05_AggregateTotalEmissionsByCRF][2][TotalCombustionEmissionsTCo2e]",Submission!$O:$O,Submission!$H:$N,""))</f>
        <v>5469480.40454253</v>
      </c>
      <c r="I70" s="126" t="str">
        <f>_xlfn.CONCAT(_xlfn.XLOOKUP("[S05_AggregateTotalEmissionsByCRF][2][TotalProcessEmissionsTCo2e]",Submission!$O:$O,Submission!$H:$N,""))</f>
        <v/>
      </c>
    </row>
    <row r="71" spans="1:14" ht="16.2" customHeight="1" x14ac:dyDescent="0.3">
      <c r="C71" s="365" t="str">
        <f>_xlfn.CONCAT(_xlfn.XLOOKUP("[S05_AggregateTotalEmissionsByCRF][3][CRFCategory1]",Submission!$O:$O,Submission!$H:$N,""))</f>
        <v>1A2a - Energy - Iron and Steel</v>
      </c>
      <c r="D71" s="366"/>
      <c r="E71" s="367" t="str">
        <f>_xlfn.CONCAT(_xlfn.XLOOKUP("[S05_AggregateTotalEmissionsByCRF][3][CRFCategory2]",Submission!$O:$O,Submission!$H:$N,""))</f>
        <v/>
      </c>
      <c r="F71" s="368"/>
      <c r="G71" s="126" t="str">
        <f>_xlfn.CONCAT(_xlfn.XLOOKUP("[S05_AggregateTotalEmissionsByCRF][3][TotalEmissionsTCo2e]",Submission!$O:$O,Submission!$H:$N,""))</f>
        <v>197702.560088931</v>
      </c>
      <c r="H71" s="126" t="str">
        <f>_xlfn.CONCAT(_xlfn.XLOOKUP("[S05_AggregateTotalEmissionsByCRF][3][TotalCombustionEmissionsTCo2e]",Submission!$O:$O,Submission!$H:$N,""))</f>
        <v>197702.560088931</v>
      </c>
      <c r="I71" s="126" t="str">
        <f>_xlfn.CONCAT(_xlfn.XLOOKUP("[S05_AggregateTotalEmissionsByCRF][3][TotalProcessEmissionsTCo2e]",Submission!$O:$O,Submission!$H:$N,""))</f>
        <v/>
      </c>
    </row>
    <row r="72" spans="1:14" ht="16.2" customHeight="1" x14ac:dyDescent="0.3">
      <c r="C72" s="365" t="str">
        <f>_xlfn.CONCAT(_xlfn.XLOOKUP("[S05_AggregateTotalEmissionsByCRF][4][CRFCategory1]",Submission!$O:$O,Submission!$H:$N,""))</f>
        <v>1A2b - Energy - Non-Ferrous Metals</v>
      </c>
      <c r="D72" s="366"/>
      <c r="E72" s="367" t="str">
        <f>_xlfn.CONCAT(_xlfn.XLOOKUP("[S05_AggregateTotalEmissionsByCRF][4][CRFCategory2]",Submission!$O:$O,Submission!$H:$N,""))</f>
        <v/>
      </c>
      <c r="F72" s="368"/>
      <c r="G72" s="126" t="str">
        <f>_xlfn.CONCAT(_xlfn.XLOOKUP("[S05_AggregateTotalEmissionsByCRF][4][TotalEmissionsTCo2e]",Submission!$O:$O,Submission!$H:$N,""))</f>
        <v>445534.531318727</v>
      </c>
      <c r="H72" s="126" t="str">
        <f>_xlfn.CONCAT(_xlfn.XLOOKUP("[S05_AggregateTotalEmissionsByCRF][4][TotalCombustionEmissionsTCo2e]",Submission!$O:$O,Submission!$H:$N,""))</f>
        <v>445534.531318727</v>
      </c>
      <c r="I72" s="126" t="str">
        <f>_xlfn.CONCAT(_xlfn.XLOOKUP("[S05_AggregateTotalEmissionsByCRF][4][TotalProcessEmissionsTCo2e]",Submission!$O:$O,Submission!$H:$N,""))</f>
        <v/>
      </c>
    </row>
    <row r="73" spans="1:14" ht="16.2" customHeight="1" x14ac:dyDescent="0.3">
      <c r="C73" s="365" t="str">
        <f>_xlfn.CONCAT(_xlfn.XLOOKUP("[S05_AggregateTotalEmissionsByCRF][5][CRFCategory1]",Submission!$O:$O,Submission!$H:$N,""))</f>
        <v>1A2c - Energy - Chemicals</v>
      </c>
      <c r="D73" s="366"/>
      <c r="E73" s="367" t="str">
        <f>_xlfn.CONCAT(_xlfn.XLOOKUP("[S05_AggregateTotalEmissionsByCRF][5][CRFCategory2]",Submission!$O:$O,Submission!$H:$N,""))</f>
        <v/>
      </c>
      <c r="F73" s="368"/>
      <c r="G73" s="126" t="str">
        <f>_xlfn.CONCAT(_xlfn.XLOOKUP("[S05_AggregateTotalEmissionsByCRF][5][TotalEmissionsTCo2e]",Submission!$O:$O,Submission!$H:$N,""))</f>
        <v>8022976.17532282</v>
      </c>
      <c r="H73" s="126" t="str">
        <f>_xlfn.CONCAT(_xlfn.XLOOKUP("[S05_AggregateTotalEmissionsByCRF][5][TotalCombustionEmissionsTCo2e]",Submission!$O:$O,Submission!$H:$N,""))</f>
        <v>8022976.17532282</v>
      </c>
      <c r="I73" s="126" t="str">
        <f>_xlfn.CONCAT(_xlfn.XLOOKUP("[S05_AggregateTotalEmissionsByCRF][5][TotalProcessEmissionsTCo2e]",Submission!$O:$O,Submission!$H:$N,""))</f>
        <v/>
      </c>
    </row>
    <row r="74" spans="1:14" ht="16.2" customHeight="1" x14ac:dyDescent="0.3">
      <c r="C74" s="365" t="str">
        <f>_xlfn.CONCAT(_xlfn.XLOOKUP("[S05_AggregateTotalEmissionsByCRF][6][CRFCategory1]",Submission!$O:$O,Submission!$H:$N,""))</f>
        <v>1A2d - Energy - Pulp, Paper and Print</v>
      </c>
      <c r="D74" s="366"/>
      <c r="E74" s="367" t="str">
        <f>_xlfn.CONCAT(_xlfn.XLOOKUP("[S05_AggregateTotalEmissionsByCRF][6][CRFCategory2]",Submission!$O:$O,Submission!$H:$N,""))</f>
        <v/>
      </c>
      <c r="F74" s="368"/>
      <c r="G74" s="126" t="str">
        <f>_xlfn.CONCAT(_xlfn.XLOOKUP("[S05_AggregateTotalEmissionsByCRF][6][TotalEmissionsTCo2e]",Submission!$O:$O,Submission!$H:$N,""))</f>
        <v>1807161.28948719</v>
      </c>
      <c r="H74" s="126" t="str">
        <f>_xlfn.CONCAT(_xlfn.XLOOKUP("[S05_AggregateTotalEmissionsByCRF][6][TotalCombustionEmissionsTCo2e]",Submission!$O:$O,Submission!$H:$N,""))</f>
        <v>1807161.28948719</v>
      </c>
      <c r="I74" s="126" t="str">
        <f>_xlfn.CONCAT(_xlfn.XLOOKUP("[S05_AggregateTotalEmissionsByCRF][6][TotalProcessEmissionsTCo2e]",Submission!$O:$O,Submission!$H:$N,""))</f>
        <v/>
      </c>
    </row>
    <row r="75" spans="1:14" ht="16.2" customHeight="1" x14ac:dyDescent="0.3">
      <c r="C75" s="365" t="str">
        <f>_xlfn.CONCAT(_xlfn.XLOOKUP("[S05_AggregateTotalEmissionsByCRF][7][CRFCategory1]",Submission!$O:$O,Submission!$H:$N,""))</f>
        <v>1A2e - Energy - Food Processing, Beverages and Tobacco</v>
      </c>
      <c r="D75" s="366"/>
      <c r="E75" s="367" t="str">
        <f>_xlfn.CONCAT(_xlfn.XLOOKUP("[S05_AggregateTotalEmissionsByCRF][7][CRFCategory2]",Submission!$O:$O,Submission!$H:$N,""))</f>
        <v/>
      </c>
      <c r="F75" s="368"/>
      <c r="G75" s="126" t="str">
        <f>_xlfn.CONCAT(_xlfn.XLOOKUP("[S05_AggregateTotalEmissionsByCRF][7][TotalEmissionsTCo2e]",Submission!$O:$O,Submission!$H:$N,""))</f>
        <v>5027160.91362418</v>
      </c>
      <c r="H75" s="126" t="str">
        <f>_xlfn.CONCAT(_xlfn.XLOOKUP("[S05_AggregateTotalEmissionsByCRF][7][TotalCombustionEmissionsTCo2e]",Submission!$O:$O,Submission!$H:$N,""))</f>
        <v>5027160.91362418</v>
      </c>
      <c r="I75" s="126" t="str">
        <f>_xlfn.CONCAT(_xlfn.XLOOKUP("[S05_AggregateTotalEmissionsByCRF][7][TotalProcessEmissionsTCo2e]",Submission!$O:$O,Submission!$H:$N,""))</f>
        <v/>
      </c>
    </row>
    <row r="76" spans="1:14" ht="16.2" customHeight="1" x14ac:dyDescent="0.3">
      <c r="C76" s="365" t="str">
        <f>_xlfn.CONCAT(_xlfn.XLOOKUP("[S05_AggregateTotalEmissionsByCRF][8][CRFCategory1]",Submission!$O:$O,Submission!$H:$N,""))</f>
        <v>1A2g - Energy - Other Manufacturing Industries and Construction</v>
      </c>
      <c r="D76" s="366"/>
      <c r="E76" s="367" t="str">
        <f>_xlfn.CONCAT(_xlfn.XLOOKUP("[S05_AggregateTotalEmissionsByCRF][8][CRFCategory2]",Submission!$O:$O,Submission!$H:$N,""))</f>
        <v/>
      </c>
      <c r="F76" s="368"/>
      <c r="G76" s="126" t="str">
        <f>_xlfn.CONCAT(_xlfn.XLOOKUP("[S05_AggregateTotalEmissionsByCRF][8][TotalEmissionsTCo2e]",Submission!$O:$O,Submission!$H:$N,""))</f>
        <v>1220867.9753403</v>
      </c>
      <c r="H76" s="126" t="str">
        <f>_xlfn.CONCAT(_xlfn.XLOOKUP("[S05_AggregateTotalEmissionsByCRF][8][TotalCombustionEmissionsTCo2e]",Submission!$O:$O,Submission!$H:$N,""))</f>
        <v>1220867.9753403</v>
      </c>
      <c r="I76" s="126" t="str">
        <f>_xlfn.CONCAT(_xlfn.XLOOKUP("[S05_AggregateTotalEmissionsByCRF][8][TotalProcessEmissionsTCo2e]",Submission!$O:$O,Submission!$H:$N,""))</f>
        <v/>
      </c>
    </row>
    <row r="77" spans="1:14" ht="16.2" customHeight="1" x14ac:dyDescent="0.3">
      <c r="C77" s="365" t="str">
        <f>_xlfn.CONCAT(_xlfn.XLOOKUP("[S05_AggregateTotalEmissionsByCRF][9][CRFCategory1]",Submission!$O:$O,Submission!$H:$N,""))</f>
        <v>1A3e - Energy - Other Transportation (pipeline transport)</v>
      </c>
      <c r="D77" s="366"/>
      <c r="E77" s="367" t="str">
        <f>_xlfn.CONCAT(_xlfn.XLOOKUP("[S05_AggregateTotalEmissionsByCRF][9][CRFCategory2]",Submission!$O:$O,Submission!$H:$N,""))</f>
        <v/>
      </c>
      <c r="F77" s="368"/>
      <c r="G77" s="126" t="str">
        <f>_xlfn.CONCAT(_xlfn.XLOOKUP("[S05_AggregateTotalEmissionsByCRF][9][TotalEmissionsTCo2e]",Submission!$O:$O,Submission!$H:$N,""))</f>
        <v>324307.846496124</v>
      </c>
      <c r="H77" s="126" t="str">
        <f>_xlfn.CONCAT(_xlfn.XLOOKUP("[S05_AggregateTotalEmissionsByCRF][9][TotalCombustionEmissionsTCo2e]",Submission!$O:$O,Submission!$H:$N,""))</f>
        <v>324307.846496124</v>
      </c>
      <c r="I77" s="126" t="str">
        <f>_xlfn.CONCAT(_xlfn.XLOOKUP("[S05_AggregateTotalEmissionsByCRF][9][TotalProcessEmissionsTCo2e]",Submission!$O:$O,Submission!$H:$N,""))</f>
        <v/>
      </c>
    </row>
    <row r="78" spans="1:14" ht="16.2" customHeight="1" x14ac:dyDescent="0.3">
      <c r="C78" s="365" t="str">
        <f>_xlfn.CONCAT(_xlfn.XLOOKUP("[S05_AggregateTotalEmissionsByCRF][10][CRFCategory1]",Submission!$O:$O,Submission!$H:$N,""))</f>
        <v>1A4a - Energy - Commercial/Institutional</v>
      </c>
      <c r="D78" s="366"/>
      <c r="E78" s="367" t="str">
        <f>_xlfn.CONCAT(_xlfn.XLOOKUP("[S05_AggregateTotalEmissionsByCRF][10][CRFCategory2]",Submission!$O:$O,Submission!$H:$N,""))</f>
        <v/>
      </c>
      <c r="F78" s="368"/>
      <c r="G78" s="126" t="str">
        <f>_xlfn.CONCAT(_xlfn.XLOOKUP("[S05_AggregateTotalEmissionsByCRF][10][TotalEmissionsTCo2e]",Submission!$O:$O,Submission!$H:$N,""))</f>
        <v>218951.965475295</v>
      </c>
      <c r="H78" s="126" t="str">
        <f>_xlfn.CONCAT(_xlfn.XLOOKUP("[S05_AggregateTotalEmissionsByCRF][10][TotalCombustionEmissionsTCo2e]",Submission!$O:$O,Submission!$H:$N,""))</f>
        <v>218951.965475295</v>
      </c>
      <c r="I78" s="126" t="str">
        <f>_xlfn.CONCAT(_xlfn.XLOOKUP("[S05_AggregateTotalEmissionsByCRF][10][TotalProcessEmissionsTCo2e]",Submission!$O:$O,Submission!$H:$N,""))</f>
        <v/>
      </c>
    </row>
    <row r="79" spans="1:14" ht="16.2" customHeight="1" x14ac:dyDescent="0.3">
      <c r="C79" s="365" t="str">
        <f>_xlfn.CONCAT(_xlfn.XLOOKUP("[S05_AggregateTotalEmissionsByCRF][11][CRFCategory1]",Submission!$O:$O,Submission!$H:$N,""))</f>
        <v>1B2a - Energy - Fugitive - Oil</v>
      </c>
      <c r="D79" s="366"/>
      <c r="E79" s="367" t="str">
        <f>_xlfn.CONCAT(_xlfn.XLOOKUP("[S05_AggregateTotalEmissionsByCRF][11][CRFCategory2]",Submission!$O:$O,Submission!$H:$N,""))</f>
        <v/>
      </c>
      <c r="F79" s="368"/>
      <c r="G79" s="126" t="str">
        <f>_xlfn.CONCAT(_xlfn.XLOOKUP("[S05_AggregateTotalEmissionsByCRF][11][TotalEmissionsTCo2e]",Submission!$O:$O,Submission!$H:$N,""))</f>
        <v>1878837.50359231</v>
      </c>
      <c r="H79" s="126" t="str">
        <f>_xlfn.CONCAT(_xlfn.XLOOKUP("[S05_AggregateTotalEmissionsByCRF][11][TotalCombustionEmissionsTCo2e]",Submission!$O:$O,Submission!$H:$N,""))</f>
        <v>1878837.50359231</v>
      </c>
      <c r="I79" s="126" t="str">
        <f>_xlfn.CONCAT(_xlfn.XLOOKUP("[S05_AggregateTotalEmissionsByCRF][11][TotalProcessEmissionsTCo2e]",Submission!$O:$O,Submission!$H:$N,""))</f>
        <v/>
      </c>
    </row>
    <row r="80" spans="1:14" ht="16.2" customHeight="1" x14ac:dyDescent="0.3">
      <c r="C80" s="365" t="str">
        <f>_xlfn.CONCAT(_xlfn.XLOOKUP("[S05_AggregateTotalEmissionsByCRF][12][CRFCategory1]",Submission!$O:$O,Submission!$H:$N,""))</f>
        <v>1B2c - Energy - Fugitive - Venting and Flaring</v>
      </c>
      <c r="D80" s="366"/>
      <c r="E80" s="367" t="str">
        <f>_xlfn.CONCAT(_xlfn.XLOOKUP("[S05_AggregateTotalEmissionsByCRF][12][CRFCategory2]",Submission!$O:$O,Submission!$H:$N,""))</f>
        <v/>
      </c>
      <c r="F80" s="368"/>
      <c r="G80" s="126" t="str">
        <f>_xlfn.CONCAT(_xlfn.XLOOKUP("[S05_AggregateTotalEmissionsByCRF][12][TotalEmissionsTCo2e]",Submission!$O:$O,Submission!$H:$N,""))</f>
        <v>356486.729723593</v>
      </c>
      <c r="H80" s="126" t="str">
        <f>_xlfn.CONCAT(_xlfn.XLOOKUP("[S05_AggregateTotalEmissionsByCRF][12][TotalCombustionEmissionsTCo2e]",Submission!$O:$O,Submission!$H:$N,""))</f>
        <v>356486.729723593</v>
      </c>
      <c r="I80" s="126" t="str">
        <f>_xlfn.CONCAT(_xlfn.XLOOKUP("[S05_AggregateTotalEmissionsByCRF][12][TotalProcessEmissionsTCo2e]",Submission!$O:$O,Submission!$H:$N,""))</f>
        <v/>
      </c>
    </row>
    <row r="81" spans="3:9" ht="16.2" customHeight="1" x14ac:dyDescent="0.3">
      <c r="C81" s="365" t="str">
        <f>_xlfn.CONCAT(_xlfn.XLOOKUP("[S05_AggregateTotalEmissionsByCRF][13][CRFCategory1]",Submission!$O:$O,Submission!$H:$N,""))</f>
        <v>1A2f - Energy - Non-metallic minerals</v>
      </c>
      <c r="D81" s="366"/>
      <c r="E81" s="367" t="str">
        <f>_xlfn.CONCAT(_xlfn.XLOOKUP("[S05_AggregateTotalEmissionsByCRF][13][CRFCategory2]",Submission!$O:$O,Submission!$H:$N,""))</f>
        <v/>
      </c>
      <c r="F81" s="368"/>
      <c r="G81" s="126" t="str">
        <f>_xlfn.CONCAT(_xlfn.XLOOKUP("[S05_AggregateTotalEmissionsByCRF][13][TotalEmissionsTCo2e]",Submission!$O:$O,Submission!$H:$N,""))</f>
        <v>7616942.42006997</v>
      </c>
      <c r="H81" s="126" t="str">
        <f>_xlfn.CONCAT(_xlfn.XLOOKUP("[S05_AggregateTotalEmissionsByCRF][13][TotalCombustionEmissionsTCo2e]",Submission!$O:$O,Submission!$H:$N,""))</f>
        <v>7616942.42006997</v>
      </c>
      <c r="I81" s="126" t="str">
        <f>_xlfn.CONCAT(_xlfn.XLOOKUP("[S05_AggregateTotalEmissionsByCRF][13][TotalProcessEmissionsTCo2e]",Submission!$O:$O,Submission!$H:$N,""))</f>
        <v/>
      </c>
    </row>
    <row r="82" spans="3:9" ht="16.2" customHeight="1" x14ac:dyDescent="0.3">
      <c r="C82" s="365" t="str">
        <f>_xlfn.CONCAT(_xlfn.XLOOKUP("[S05_AggregateTotalEmissionsByCRF][14][CRFCategory1]",Submission!$O:$O,Submission!$H:$N,""))</f>
        <v/>
      </c>
      <c r="D82" s="366"/>
      <c r="E82" s="367" t="str">
        <f>_xlfn.CONCAT(_xlfn.XLOOKUP("[S05_AggregateTotalEmissionsByCRF][14][CRFCategory2]",Submission!$O:$O,Submission!$H:$N,""))</f>
        <v>2A1 - Process - Cement Production</v>
      </c>
      <c r="F82" s="368"/>
      <c r="G82" s="126" t="str">
        <f>_xlfn.CONCAT(_xlfn.XLOOKUP("[S05_AggregateTotalEmissionsByCRF][14][TotalEmissionsTCo2e]",Submission!$O:$O,Submission!$H:$N,""))</f>
        <v>6625189.38944748</v>
      </c>
      <c r="H82" s="126" t="str">
        <f>_xlfn.CONCAT(_xlfn.XLOOKUP("[S05_AggregateTotalEmissionsByCRF][14][TotalCombustionEmissionsTCo2e]",Submission!$O:$O,Submission!$H:$N,""))</f>
        <v/>
      </c>
      <c r="I82" s="126" t="str">
        <f>_xlfn.CONCAT(_xlfn.XLOOKUP("[S05_AggregateTotalEmissionsByCRF][14][TotalProcessEmissionsTCo2e]",Submission!$O:$O,Submission!$H:$N,""))</f>
        <v>6625189.38944748</v>
      </c>
    </row>
    <row r="83" spans="3:9" ht="16.2" customHeight="1" x14ac:dyDescent="0.3">
      <c r="C83" s="365" t="str">
        <f>_xlfn.CONCAT(_xlfn.XLOOKUP("[S05_AggregateTotalEmissionsByCRF][15][CRFCategory1]",Submission!$O:$O,Submission!$H:$N,""))</f>
        <v/>
      </c>
      <c r="D83" s="366"/>
      <c r="E83" s="367" t="str">
        <f>_xlfn.CONCAT(_xlfn.XLOOKUP("[S05_AggregateTotalEmissionsByCRF][15][CRFCategory2]",Submission!$O:$O,Submission!$H:$N,""))</f>
        <v>2A2 - Process - Lime Production</v>
      </c>
      <c r="F83" s="368"/>
      <c r="G83" s="126" t="str">
        <f>_xlfn.CONCAT(_xlfn.XLOOKUP("[S05_AggregateTotalEmissionsByCRF][15][TotalEmissionsTCo2e]",Submission!$O:$O,Submission!$H:$N,""))</f>
        <v>1852738.56500981</v>
      </c>
      <c r="H83" s="126" t="str">
        <f>_xlfn.CONCAT(_xlfn.XLOOKUP("[S05_AggregateTotalEmissionsByCRF][15][TotalCombustionEmissionsTCo2e]",Submission!$O:$O,Submission!$H:$N,""))</f>
        <v/>
      </c>
      <c r="I83" s="126" t="str">
        <f>_xlfn.CONCAT(_xlfn.XLOOKUP("[S05_AggregateTotalEmissionsByCRF][15][TotalProcessEmissionsTCo2e]",Submission!$O:$O,Submission!$H:$N,""))</f>
        <v>1852738.56500981</v>
      </c>
    </row>
    <row r="84" spans="3:9" ht="16.2" customHeight="1" x14ac:dyDescent="0.3">
      <c r="C84" s="365" t="str">
        <f>_xlfn.CONCAT(_xlfn.XLOOKUP("[S05_AggregateTotalEmissionsByCRF][16][CRFCategory1]",Submission!$O:$O,Submission!$H:$N,""))</f>
        <v/>
      </c>
      <c r="D84" s="366"/>
      <c r="E84" s="367" t="str">
        <f>_xlfn.CONCAT(_xlfn.XLOOKUP("[S05_AggregateTotalEmissionsByCRF][16][CRFCategory2]",Submission!$O:$O,Submission!$H:$N,""))</f>
        <v>2A3 - Process - Glass production</v>
      </c>
      <c r="F84" s="368"/>
      <c r="G84" s="126" t="str">
        <f>_xlfn.CONCAT(_xlfn.XLOOKUP("[S05_AggregateTotalEmissionsByCRF][16][TotalEmissionsTCo2e]",Submission!$O:$O,Submission!$H:$N,""))</f>
        <v>496065.726877697</v>
      </c>
      <c r="H84" s="126" t="str">
        <f>_xlfn.CONCAT(_xlfn.XLOOKUP("[S05_AggregateTotalEmissionsByCRF][16][TotalCombustionEmissionsTCo2e]",Submission!$O:$O,Submission!$H:$N,""))</f>
        <v/>
      </c>
      <c r="I84" s="126" t="str">
        <f>_xlfn.CONCAT(_xlfn.XLOOKUP("[S05_AggregateTotalEmissionsByCRF][16][TotalProcessEmissionsTCo2e]",Submission!$O:$O,Submission!$H:$N,""))</f>
        <v>496065.726877697</v>
      </c>
    </row>
    <row r="85" spans="3:9" ht="16.2" customHeight="1" x14ac:dyDescent="0.3">
      <c r="C85" s="365" t="str">
        <f>_xlfn.CONCAT(_xlfn.XLOOKUP("[S05_AggregateTotalEmissionsByCRF][17][CRFCategory1]",Submission!$O:$O,Submission!$H:$N,""))</f>
        <v/>
      </c>
      <c r="D85" s="366"/>
      <c r="E85" s="367" t="str">
        <f>_xlfn.CONCAT(_xlfn.XLOOKUP("[S05_AggregateTotalEmissionsByCRF][17][CRFCategory2]",Submission!$O:$O,Submission!$H:$N,""))</f>
        <v>2A4 - Process - Other Process Uses of Carbonates</v>
      </c>
      <c r="F85" s="368"/>
      <c r="G85" s="126" t="str">
        <f>_xlfn.CONCAT(_xlfn.XLOOKUP("[S05_AggregateTotalEmissionsByCRF][17][TotalEmissionsTCo2e]",Submission!$O:$O,Submission!$H:$N,""))</f>
        <v>161936.314385673</v>
      </c>
      <c r="H85" s="126" t="str">
        <f>_xlfn.CONCAT(_xlfn.XLOOKUP("[S05_AggregateTotalEmissionsByCRF][17][TotalCombustionEmissionsTCo2e]",Submission!$O:$O,Submission!$H:$N,""))</f>
        <v/>
      </c>
      <c r="I85" s="126" t="str">
        <f>_xlfn.CONCAT(_xlfn.XLOOKUP("[S05_AggregateTotalEmissionsByCRF][17][TotalProcessEmissionsTCo2e]",Submission!$O:$O,Submission!$H:$N,""))</f>
        <v>161936.314385673</v>
      </c>
    </row>
    <row r="86" spans="3:9" ht="16.2" customHeight="1" x14ac:dyDescent="0.3">
      <c r="C86" s="365" t="str">
        <f>_xlfn.CONCAT(_xlfn.XLOOKUP("[S05_AggregateTotalEmissionsByCRF][18][CRFCategory1]",Submission!$O:$O,Submission!$H:$N,""))</f>
        <v/>
      </c>
      <c r="D86" s="366"/>
      <c r="E86" s="367" t="str">
        <f>_xlfn.CONCAT(_xlfn.XLOOKUP("[S05_AggregateTotalEmissionsByCRF][18][CRFCategory2]",Submission!$O:$O,Submission!$H:$N,""))</f>
        <v>2B1 - Process - Ammonia Production</v>
      </c>
      <c r="F86" s="368"/>
      <c r="G86" s="126" t="str">
        <f>_xlfn.CONCAT(_xlfn.XLOOKUP("[S05_AggregateTotalEmissionsByCRF][18][TotalEmissionsTCo2e]",Submission!$O:$O,Submission!$H:$N,""))</f>
        <v>1569232.28923711</v>
      </c>
      <c r="H86" s="126" t="str">
        <f>_xlfn.CONCAT(_xlfn.XLOOKUP("[S05_AggregateTotalEmissionsByCRF][18][TotalCombustionEmissionsTCo2e]",Submission!$O:$O,Submission!$H:$N,""))</f>
        <v/>
      </c>
      <c r="I86" s="126" t="str">
        <f>_xlfn.CONCAT(_xlfn.XLOOKUP("[S05_AggregateTotalEmissionsByCRF][18][TotalProcessEmissionsTCo2e]",Submission!$O:$O,Submission!$H:$N,""))</f>
        <v>1569232.28923711</v>
      </c>
    </row>
    <row r="87" spans="3:9" ht="16.2" customHeight="1" x14ac:dyDescent="0.3">
      <c r="C87" s="365" t="str">
        <f>_xlfn.CONCAT(_xlfn.XLOOKUP("[S05_AggregateTotalEmissionsByCRF][19][CRFCategory1]",Submission!$O:$O,Submission!$H:$N,""))</f>
        <v/>
      </c>
      <c r="D87" s="366"/>
      <c r="E87" s="367" t="str">
        <f>_xlfn.CONCAT(_xlfn.XLOOKUP("[S05_AggregateTotalEmissionsByCRF][19][CRFCategory2]",Submission!$O:$O,Submission!$H:$N,""))</f>
        <v xml:space="preserve">2B2 - Process - Nitric Acid Production </v>
      </c>
      <c r="F87" s="368"/>
      <c r="G87" s="126" t="str">
        <f>_xlfn.CONCAT(_xlfn.XLOOKUP("[S05_AggregateTotalEmissionsByCRF][19][TotalEmissionsTCo2e]",Submission!$O:$O,Submission!$H:$N,""))</f>
        <v>462480.577954234</v>
      </c>
      <c r="H87" s="126" t="str">
        <f>_xlfn.CONCAT(_xlfn.XLOOKUP("[S05_AggregateTotalEmissionsByCRF][19][TotalCombustionEmissionsTCo2e]",Submission!$O:$O,Submission!$H:$N,""))</f>
        <v/>
      </c>
      <c r="I87" s="126" t="str">
        <f>_xlfn.CONCAT(_xlfn.XLOOKUP("[S05_AggregateTotalEmissionsByCRF][19][TotalProcessEmissionsTCo2e]",Submission!$O:$O,Submission!$H:$N,""))</f>
        <v>462480.577954234</v>
      </c>
    </row>
    <row r="88" spans="3:9" ht="16.2" customHeight="1" x14ac:dyDescent="0.3">
      <c r="C88" s="365" t="str">
        <f>_xlfn.CONCAT(_xlfn.XLOOKUP("[S05_AggregateTotalEmissionsByCRF][20][CRFCategory1]",Submission!$O:$O,Submission!$H:$N,""))</f>
        <v/>
      </c>
      <c r="D88" s="366"/>
      <c r="E88" s="367" t="str">
        <f>_xlfn.CONCAT(_xlfn.XLOOKUP("[S05_AggregateTotalEmissionsByCRF][20][CRFCategory2]",Submission!$O:$O,Submission!$H:$N,""))</f>
        <v>2B3 - Process - Adipic Acid Production</v>
      </c>
      <c r="F88" s="368"/>
      <c r="G88" s="126" t="str">
        <f>_xlfn.CONCAT(_xlfn.XLOOKUP("[S05_AggregateTotalEmissionsByCRF][20][TotalEmissionsTCo2e]",Submission!$O:$O,Submission!$H:$N,""))</f>
        <v>24391.9551731889</v>
      </c>
      <c r="H88" s="126" t="str">
        <f>_xlfn.CONCAT(_xlfn.XLOOKUP("[S05_AggregateTotalEmissionsByCRF][20][TotalCombustionEmissionsTCo2e]",Submission!$O:$O,Submission!$H:$N,""))</f>
        <v/>
      </c>
      <c r="I88" s="126" t="str">
        <f>_xlfn.CONCAT(_xlfn.XLOOKUP("[S05_AggregateTotalEmissionsByCRF][20][TotalProcessEmissionsTCo2e]",Submission!$O:$O,Submission!$H:$N,""))</f>
        <v>24391.9551731889</v>
      </c>
    </row>
    <row r="89" spans="3:9" ht="16.2" customHeight="1" x14ac:dyDescent="0.3">
      <c r="C89" s="365" t="str">
        <f>_xlfn.CONCAT(_xlfn.XLOOKUP("[S05_AggregateTotalEmissionsByCRF][21][CRFCategory1]",Submission!$O:$O,Submission!$H:$N,""))</f>
        <v/>
      </c>
      <c r="D89" s="366"/>
      <c r="E89" s="367" t="str">
        <f>_xlfn.CONCAT(_xlfn.XLOOKUP("[S05_AggregateTotalEmissionsByCRF][21][CRFCategory2]",Submission!$O:$O,Submission!$H:$N,""))</f>
        <v xml:space="preserve">2B4 - Process - Caprolactam, Glyoxal and Glyoxylic Acid Production </v>
      </c>
      <c r="F89" s="368"/>
      <c r="G89" s="126" t="str">
        <f>_xlfn.CONCAT(_xlfn.XLOOKUP("[S05_AggregateTotalEmissionsByCRF][21][TotalEmissionsTCo2e]",Submission!$O:$O,Submission!$H:$N,""))</f>
        <v>111059.14353145</v>
      </c>
      <c r="H89" s="126" t="str">
        <f>_xlfn.CONCAT(_xlfn.XLOOKUP("[S05_AggregateTotalEmissionsByCRF][21][TotalCombustionEmissionsTCo2e]",Submission!$O:$O,Submission!$H:$N,""))</f>
        <v/>
      </c>
      <c r="I89" s="126" t="str">
        <f>_xlfn.CONCAT(_xlfn.XLOOKUP("[S05_AggregateTotalEmissionsByCRF][21][TotalProcessEmissionsTCo2e]",Submission!$O:$O,Submission!$H:$N,""))</f>
        <v>111059.14353145</v>
      </c>
    </row>
    <row r="90" spans="3:9" ht="16.2" customHeight="1" x14ac:dyDescent="0.3">
      <c r="C90" s="365" t="str">
        <f>_xlfn.CONCAT(_xlfn.XLOOKUP("[S05_AggregateTotalEmissionsByCRF][22][CRFCategory1]",Submission!$O:$O,Submission!$H:$N,""))</f>
        <v/>
      </c>
      <c r="D90" s="366"/>
      <c r="E90" s="367" t="str">
        <f>_xlfn.CONCAT(_xlfn.XLOOKUP("[S05_AggregateTotalEmissionsByCRF][22][CRFCategory2]",Submission!$O:$O,Submission!$H:$N,""))</f>
        <v xml:space="preserve">2B5 - Process - Carbide Production </v>
      </c>
      <c r="F90" s="368"/>
      <c r="G90" s="126" t="str">
        <f>_xlfn.CONCAT(_xlfn.XLOOKUP("[S05_AggregateTotalEmissionsByCRF][22][TotalEmissionsTCo2e]",Submission!$O:$O,Submission!$H:$N,""))</f>
        <v>786.034579515991</v>
      </c>
      <c r="H90" s="126" t="str">
        <f>_xlfn.CONCAT(_xlfn.XLOOKUP("[S05_AggregateTotalEmissionsByCRF][22][TotalCombustionEmissionsTCo2e]",Submission!$O:$O,Submission!$H:$N,""))</f>
        <v/>
      </c>
      <c r="I90" s="126" t="str">
        <f>_xlfn.CONCAT(_xlfn.XLOOKUP("[S05_AggregateTotalEmissionsByCRF][22][TotalProcessEmissionsTCo2e]",Submission!$O:$O,Submission!$H:$N,""))</f>
        <v>786.034579515991</v>
      </c>
    </row>
    <row r="91" spans="3:9" ht="16.2" customHeight="1" x14ac:dyDescent="0.3">
      <c r="C91" s="365" t="str">
        <f>_xlfn.CONCAT(_xlfn.XLOOKUP("[S05_AggregateTotalEmissionsByCRF][23][CRFCategory1]",Submission!$O:$O,Submission!$H:$N,""))</f>
        <v/>
      </c>
      <c r="D91" s="366"/>
      <c r="E91" s="367" t="str">
        <f>_xlfn.CONCAT(_xlfn.XLOOKUP("[S05_AggregateTotalEmissionsByCRF][23][CRFCategory2]",Submission!$O:$O,Submission!$H:$N,""))</f>
        <v>2B6 - Process - Titanium Dioxide Production</v>
      </c>
      <c r="F91" s="368"/>
      <c r="G91" s="126" t="str">
        <f>_xlfn.CONCAT(_xlfn.XLOOKUP("[S05_AggregateTotalEmissionsByCRF][23][TotalEmissionsTCo2e]",Submission!$O:$O,Submission!$H:$N,""))</f>
        <v>6847.96139042728</v>
      </c>
      <c r="H91" s="126" t="str">
        <f>_xlfn.CONCAT(_xlfn.XLOOKUP("[S05_AggregateTotalEmissionsByCRF][23][TotalCombustionEmissionsTCo2e]",Submission!$O:$O,Submission!$H:$N,""))</f>
        <v/>
      </c>
      <c r="I91" s="126" t="str">
        <f>_xlfn.CONCAT(_xlfn.XLOOKUP("[S05_AggregateTotalEmissionsByCRF][23][TotalProcessEmissionsTCo2e]",Submission!$O:$O,Submission!$H:$N,""))</f>
        <v>6847.96139042728</v>
      </c>
    </row>
    <row r="92" spans="3:9" ht="16.2" customHeight="1" x14ac:dyDescent="0.3">
      <c r="C92" s="365" t="str">
        <f>_xlfn.CONCAT(_xlfn.XLOOKUP("[S05_AggregateTotalEmissionsByCRF][24][CRFCategory1]",Submission!$O:$O,Submission!$H:$N,""))</f>
        <v/>
      </c>
      <c r="D92" s="366"/>
      <c r="E92" s="367" t="str">
        <f>_xlfn.CONCAT(_xlfn.XLOOKUP("[S05_AggregateTotalEmissionsByCRF][24][CRFCategory2]",Submission!$O:$O,Submission!$H:$N,""))</f>
        <v xml:space="preserve">2B7 - Process - Soda Ash Production </v>
      </c>
      <c r="F92" s="368"/>
      <c r="G92" s="126" t="str">
        <f>_xlfn.CONCAT(_xlfn.XLOOKUP("[S05_AggregateTotalEmissionsByCRF][24][TotalEmissionsTCo2e]",Submission!$O:$O,Submission!$H:$N,""))</f>
        <v>262352.850768771</v>
      </c>
      <c r="H92" s="126" t="str">
        <f>_xlfn.CONCAT(_xlfn.XLOOKUP("[S05_AggregateTotalEmissionsByCRF][24][TotalCombustionEmissionsTCo2e]",Submission!$O:$O,Submission!$H:$N,""))</f>
        <v/>
      </c>
      <c r="I92" s="126" t="str">
        <f>_xlfn.CONCAT(_xlfn.XLOOKUP("[S05_AggregateTotalEmissionsByCRF][24][TotalProcessEmissionsTCo2e]",Submission!$O:$O,Submission!$H:$N,""))</f>
        <v>262352.850768771</v>
      </c>
    </row>
    <row r="93" spans="3:9" ht="16.2" customHeight="1" x14ac:dyDescent="0.3">
      <c r="C93" s="365" t="str">
        <f>_xlfn.CONCAT(_xlfn.XLOOKUP("[S05_AggregateTotalEmissionsByCRF][25][CRFCategory1]",Submission!$O:$O,Submission!$H:$N,""))</f>
        <v/>
      </c>
      <c r="D93" s="366"/>
      <c r="E93" s="367" t="str">
        <f>_xlfn.CONCAT(_xlfn.XLOOKUP("[S05_AggregateTotalEmissionsByCRF][25][CRFCategory2]",Submission!$O:$O,Submission!$H:$N,""))</f>
        <v>2B8 - Process - Petrochemical and Carbon Black Production</v>
      </c>
      <c r="F93" s="368"/>
      <c r="G93" s="126" t="str">
        <f>_xlfn.CONCAT(_xlfn.XLOOKUP("[S05_AggregateTotalEmissionsByCRF][25][TotalEmissionsTCo2e]",Submission!$O:$O,Submission!$H:$N,""))</f>
        <v>151590.371751767</v>
      </c>
      <c r="H93" s="126" t="str">
        <f>_xlfn.CONCAT(_xlfn.XLOOKUP("[S05_AggregateTotalEmissionsByCRF][25][TotalCombustionEmissionsTCo2e]",Submission!$O:$O,Submission!$H:$N,""))</f>
        <v/>
      </c>
      <c r="I93" s="126" t="str">
        <f>_xlfn.CONCAT(_xlfn.XLOOKUP("[S05_AggregateTotalEmissionsByCRF][25][TotalProcessEmissionsTCo2e]",Submission!$O:$O,Submission!$H:$N,""))</f>
        <v>151590.371751767</v>
      </c>
    </row>
    <row r="94" spans="3:9" ht="16.2" customHeight="1" x14ac:dyDescent="0.3">
      <c r="C94" s="365" t="str">
        <f>_xlfn.CONCAT(_xlfn.XLOOKUP("[S05_AggregateTotalEmissionsByCRF][26][CRFCategory1]",Submission!$O:$O,Submission!$H:$N,""))</f>
        <v/>
      </c>
      <c r="D94" s="366"/>
      <c r="E94" s="367" t="str">
        <f>_xlfn.CONCAT(_xlfn.XLOOKUP("[S05_AggregateTotalEmissionsByCRF][26][CRFCategory2]",Submission!$O:$O,Submission!$H:$N,""))</f>
        <v>2B10 - Process - Other Chemical Industry</v>
      </c>
      <c r="F94" s="368"/>
      <c r="G94" s="126" t="str">
        <f>_xlfn.CONCAT(_xlfn.XLOOKUP("[S05_AggregateTotalEmissionsByCRF][26][TotalEmissionsTCo2e]",Submission!$O:$O,Submission!$H:$N,""))</f>
        <v>4273671.38837705</v>
      </c>
      <c r="H94" s="126" t="str">
        <f>_xlfn.CONCAT(_xlfn.XLOOKUP("[S05_AggregateTotalEmissionsByCRF][26][TotalCombustionEmissionsTCo2e]",Submission!$O:$O,Submission!$H:$N,""))</f>
        <v/>
      </c>
      <c r="I94" s="126" t="str">
        <f>_xlfn.CONCAT(_xlfn.XLOOKUP("[S05_AggregateTotalEmissionsByCRF][26][TotalProcessEmissionsTCo2e]",Submission!$O:$O,Submission!$H:$N,""))</f>
        <v>4273671.38837705</v>
      </c>
    </row>
    <row r="95" spans="3:9" ht="16.2" customHeight="1" x14ac:dyDescent="0.3">
      <c r="C95" s="365" t="str">
        <f>_xlfn.CONCAT(_xlfn.XLOOKUP("[S05_AggregateTotalEmissionsByCRF][27][CRFCategory1]",Submission!$O:$O,Submission!$H:$N,""))</f>
        <v/>
      </c>
      <c r="D95" s="366"/>
      <c r="E95" s="367" t="str">
        <f>_xlfn.CONCAT(_xlfn.XLOOKUP("[S05_AggregateTotalEmissionsByCRF][27][CRFCategory2]",Submission!$O:$O,Submission!$H:$N,""))</f>
        <v>2C1 - Process - Iron and Steel Production</v>
      </c>
      <c r="F95" s="368"/>
      <c r="G95" s="126" t="str">
        <f>_xlfn.CONCAT(_xlfn.XLOOKUP("[S05_AggregateTotalEmissionsByCRF][27][TotalEmissionsTCo2e]",Submission!$O:$O,Submission!$H:$N,""))</f>
        <v>14467076.4189389</v>
      </c>
      <c r="H95" s="126" t="str">
        <f>_xlfn.CONCAT(_xlfn.XLOOKUP("[S05_AggregateTotalEmissionsByCRF][27][TotalCombustionEmissionsTCo2e]",Submission!$O:$O,Submission!$H:$N,""))</f>
        <v/>
      </c>
      <c r="I95" s="126" t="str">
        <f>_xlfn.CONCAT(_xlfn.XLOOKUP("[S05_AggregateTotalEmissionsByCRF][27][TotalProcessEmissionsTCo2e]",Submission!$O:$O,Submission!$H:$N,""))</f>
        <v>14467076.4189389</v>
      </c>
    </row>
    <row r="96" spans="3:9" ht="16.2" customHeight="1" x14ac:dyDescent="0.3">
      <c r="C96" s="365" t="str">
        <f>_xlfn.CONCAT(_xlfn.XLOOKUP("[S05_AggregateTotalEmissionsByCRF][28][CRFCategory1]",Submission!$O:$O,Submission!$H:$N,""))</f>
        <v/>
      </c>
      <c r="D96" s="366"/>
      <c r="E96" s="367" t="str">
        <f>_xlfn.CONCAT(_xlfn.XLOOKUP("[S05_AggregateTotalEmissionsByCRF][28][CRFCategory2]",Submission!$O:$O,Submission!$H:$N,""))</f>
        <v>2C2 - Process - Ferroalloys Production</v>
      </c>
      <c r="F96" s="368"/>
      <c r="G96" s="126" t="str">
        <f>_xlfn.CONCAT(_xlfn.XLOOKUP("[S05_AggregateTotalEmissionsByCRF][28][TotalEmissionsTCo2e]",Submission!$O:$O,Submission!$H:$N,""))</f>
        <v>487017.253374445</v>
      </c>
      <c r="H96" s="126" t="str">
        <f>_xlfn.CONCAT(_xlfn.XLOOKUP("[S05_AggregateTotalEmissionsByCRF][28][TotalCombustionEmissionsTCo2e]",Submission!$O:$O,Submission!$H:$N,""))</f>
        <v/>
      </c>
      <c r="I96" s="126" t="str">
        <f>_xlfn.CONCAT(_xlfn.XLOOKUP("[S05_AggregateTotalEmissionsByCRF][28][TotalProcessEmissionsTCo2e]",Submission!$O:$O,Submission!$H:$N,""))</f>
        <v>487017.253374445</v>
      </c>
    </row>
    <row r="97" spans="3:9" ht="16.2" customHeight="1" x14ac:dyDescent="0.3">
      <c r="C97" s="365" t="str">
        <f>_xlfn.CONCAT(_xlfn.XLOOKUP("[S05_AggregateTotalEmissionsByCRF][29][CRFCategory1]",Submission!$O:$O,Submission!$H:$N,""))</f>
        <v/>
      </c>
      <c r="D97" s="366"/>
      <c r="E97" s="367" t="str">
        <f>_xlfn.CONCAT(_xlfn.XLOOKUP("[S05_AggregateTotalEmissionsByCRF][29][CRFCategory2]",Submission!$O:$O,Submission!$H:$N,""))</f>
        <v>2C3 - Process - Aluminium Production</v>
      </c>
      <c r="F97" s="368"/>
      <c r="G97" s="126" t="str">
        <f>_xlfn.CONCAT(_xlfn.XLOOKUP("[S05_AggregateTotalEmissionsByCRF][29][TotalEmissionsTCo2e]",Submission!$O:$O,Submission!$H:$N,""))</f>
        <v>779141.92066014</v>
      </c>
      <c r="H97" s="126" t="str">
        <f>_xlfn.CONCAT(_xlfn.XLOOKUP("[S05_AggregateTotalEmissionsByCRF][29][TotalCombustionEmissionsTCo2e]",Submission!$O:$O,Submission!$H:$N,""))</f>
        <v/>
      </c>
      <c r="I97" s="126" t="str">
        <f>_xlfn.CONCAT(_xlfn.XLOOKUP("[S05_AggregateTotalEmissionsByCRF][29][TotalProcessEmissionsTCo2e]",Submission!$O:$O,Submission!$H:$N,""))</f>
        <v>779141.92066014</v>
      </c>
    </row>
    <row r="98" spans="3:9" ht="16.2" customHeight="1" x14ac:dyDescent="0.3">
      <c r="C98" s="365" t="str">
        <f>_xlfn.CONCAT(_xlfn.XLOOKUP("[S05_AggregateTotalEmissionsByCRF][30][CRFCategory1]",Submission!$O:$O,Submission!$H:$N,""))</f>
        <v/>
      </c>
      <c r="D98" s="366"/>
      <c r="E98" s="367" t="str">
        <f>_xlfn.CONCAT(_xlfn.XLOOKUP("[S05_AggregateTotalEmissionsByCRF][30][CRFCategory2]",Submission!$O:$O,Submission!$H:$N,""))</f>
        <v xml:space="preserve">2C6 - Process - Zinc Production </v>
      </c>
      <c r="F98" s="368"/>
      <c r="G98" s="126" t="str">
        <f>_xlfn.CONCAT(_xlfn.XLOOKUP("[S05_AggregateTotalEmissionsByCRF][30][TotalEmissionsTCo2e]",Submission!$O:$O,Submission!$H:$N,""))</f>
        <v>74411.5174390547</v>
      </c>
      <c r="H98" s="126" t="str">
        <f>_xlfn.CONCAT(_xlfn.XLOOKUP("[S05_AggregateTotalEmissionsByCRF][30][TotalCombustionEmissionsTCo2e]",Submission!$O:$O,Submission!$H:$N,""))</f>
        <v/>
      </c>
      <c r="I98" s="126" t="str">
        <f>_xlfn.CONCAT(_xlfn.XLOOKUP("[S05_AggregateTotalEmissionsByCRF][30][TotalProcessEmissionsTCo2e]",Submission!$O:$O,Submission!$H:$N,""))</f>
        <v>74411.5174390547</v>
      </c>
    </row>
    <row r="99" spans="3:9" ht="16.2" customHeight="1" x14ac:dyDescent="0.3">
      <c r="C99" s="365" t="str">
        <f>_xlfn.CONCAT(_xlfn.XLOOKUP("[S05_AggregateTotalEmissionsByCRF][31][CRFCategory1]",Submission!$O:$O,Submission!$H:$N,""))</f>
        <v/>
      </c>
      <c r="D99" s="366"/>
      <c r="E99" s="367" t="str">
        <f>_xlfn.CONCAT(_xlfn.XLOOKUP("[S05_AggregateTotalEmissionsByCRF][31][CRFCategory2]",Submission!$O:$O,Submission!$H:$N,""))</f>
        <v>2C7 - Process - Other Metal Industry</v>
      </c>
      <c r="F99" s="368"/>
      <c r="G99" s="126" t="str">
        <f>_xlfn.CONCAT(_xlfn.XLOOKUP("[S05_AggregateTotalEmissionsByCRF][31][TotalEmissionsTCo2e]",Submission!$O:$O,Submission!$H:$N,""))</f>
        <v>11692.5239853329</v>
      </c>
      <c r="H99" s="126" t="str">
        <f>_xlfn.CONCAT(_xlfn.XLOOKUP("[S05_AggregateTotalEmissionsByCRF][31][TotalCombustionEmissionsTCo2e]",Submission!$O:$O,Submission!$H:$N,""))</f>
        <v/>
      </c>
      <c r="I99" s="126" t="str">
        <f>_xlfn.CONCAT(_xlfn.XLOOKUP("[S05_AggregateTotalEmissionsByCRF][31][TotalProcessEmissionsTCo2e]",Submission!$O:$O,Submission!$H:$N,""))</f>
        <v>11692.5239853329</v>
      </c>
    </row>
    <row r="100" spans="3:9" ht="16.2" customHeight="1" x14ac:dyDescent="0.3">
      <c r="C100" s="365" t="str">
        <f>_xlfn.CONCAT(_xlfn.XLOOKUP("[S05_AggregateTotalEmissionsByCRF][32][CRFCategory1]",Submission!$O:$O,Submission!$H:$N,""))</f>
        <v/>
      </c>
      <c r="D100" s="366"/>
      <c r="E100" s="367" t="str">
        <f>_xlfn.CONCAT(_xlfn.XLOOKUP("[S05_AggregateTotalEmissionsByCRF][32][CRFCategory2]",Submission!$O:$O,Submission!$H:$N,""))</f>
        <v>2G - Process - Other Product Manufacture and Use</v>
      </c>
      <c r="F100" s="368"/>
      <c r="G100" s="126" t="str">
        <f>_xlfn.CONCAT(_xlfn.XLOOKUP("[S05_AggregateTotalEmissionsByCRF][32][TotalEmissionsTCo2e]",Submission!$O:$O,Submission!$H:$N,""))</f>
        <v>4331.48120591019</v>
      </c>
      <c r="H100" s="126" t="str">
        <f>_xlfn.CONCAT(_xlfn.XLOOKUP("[S05_AggregateTotalEmissionsByCRF][32][TotalCombustionEmissionsTCo2e]",Submission!$O:$O,Submission!$H:$N,""))</f>
        <v/>
      </c>
      <c r="I100" s="126" t="str">
        <f>_xlfn.CONCAT(_xlfn.XLOOKUP("[S05_AggregateTotalEmissionsByCRF][32][TotalProcessEmissionsTCo2e]",Submission!$O:$O,Submission!$H:$N,""))</f>
        <v>4331.48120591019</v>
      </c>
    </row>
    <row r="101" spans="3:9" ht="16.2" hidden="1" customHeight="1" outlineLevel="1" x14ac:dyDescent="0.3">
      <c r="C101" s="365" t="str">
        <f>_xlfn.CONCAT(_xlfn.XLOOKUP("[S05_AggregateTotalEmissionsByCRF][33][CRFCategory1]",Submission!$O:$O,Submission!$H:$N,""))</f>
        <v/>
      </c>
      <c r="D101" s="366"/>
      <c r="E101" s="367" t="str">
        <f>_xlfn.CONCAT(_xlfn.XLOOKUP("[S05_AggregateTotalEmissionsByCRF][33][CRFCategory2]",Submission!$O:$O,Submission!$H:$N,""))</f>
        <v>2H - Process - Other Industrial Process and Product Use</v>
      </c>
      <c r="F101" s="368"/>
      <c r="G101" s="126" t="str">
        <f>_xlfn.CONCAT(_xlfn.XLOOKUP("[S05_AggregateTotalEmissionsByCRF][33][TotalEmissionsTCo2e]",Submission!$O:$O,Submission!$H:$N,""))</f>
        <v>57211.3008012536</v>
      </c>
      <c r="H101" s="126" t="str">
        <f>_xlfn.CONCAT(_xlfn.XLOOKUP("[S05_AggregateTotalEmissionsByCRF][33][TotalCombustionEmissionsTCo2e]",Submission!$O:$O,Submission!$H:$N,""))</f>
        <v/>
      </c>
      <c r="I101" s="126" t="str">
        <f>_xlfn.CONCAT(_xlfn.XLOOKUP("[S05_AggregateTotalEmissionsByCRF][33][TotalProcessEmissionsTCo2e]",Submission!$O:$O,Submission!$H:$N,""))</f>
        <v>57211.3008012536</v>
      </c>
    </row>
    <row r="102" spans="3:9" ht="16.2" hidden="1" customHeight="1" outlineLevel="1" x14ac:dyDescent="0.3">
      <c r="C102" s="365" t="str">
        <f>_xlfn.CONCAT(_xlfn.XLOOKUP("[S05_AggregateTotalEmissionsByCRF][34][CRFCategory1]",Submission!$O:$O,Submission!$H:$N,""))</f>
        <v/>
      </c>
      <c r="D102" s="366"/>
      <c r="E102" s="367" t="str">
        <f>_xlfn.CONCAT(_xlfn.XLOOKUP("[S05_AggregateTotalEmissionsByCRF][34][CRFCategory2]",Submission!$O:$O,Submission!$H:$N,""))</f>
        <v/>
      </c>
      <c r="F102" s="368"/>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65" t="str">
        <f>_xlfn.CONCAT(_xlfn.XLOOKUP("[S05_AggregateTotalEmissionsByCRF][35][CRFCategory1]",Submission!$O:$O,Submission!$H:$N,""))</f>
        <v/>
      </c>
      <c r="D103" s="366"/>
      <c r="E103" s="367" t="str">
        <f>_xlfn.CONCAT(_xlfn.XLOOKUP("[S05_AggregateTotalEmissionsByCRF][35][CRFCategory2]",Submission!$O:$O,Submission!$H:$N,""))</f>
        <v/>
      </c>
      <c r="F103" s="368"/>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65" t="str">
        <f>_xlfn.CONCAT(_xlfn.XLOOKUP("[S05_AggregateTotalEmissionsByCRF][36][CRFCategory1]",Submission!$O:$O,Submission!$H:$N,""))</f>
        <v/>
      </c>
      <c r="D104" s="366"/>
      <c r="E104" s="367" t="str">
        <f>_xlfn.CONCAT(_xlfn.XLOOKUP("[S05_AggregateTotalEmissionsByCRF][36][CRFCategory2]",Submission!$O:$O,Submission!$H:$N,""))</f>
        <v/>
      </c>
      <c r="F104" s="368"/>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65" t="str">
        <f>_xlfn.CONCAT(_xlfn.XLOOKUP("[S05_AggregateTotalEmissionsByCRF][37][CRFCategory1]",Submission!$O:$O,Submission!$H:$N,""))</f>
        <v/>
      </c>
      <c r="D105" s="366"/>
      <c r="E105" s="367" t="str">
        <f>_xlfn.CONCAT(_xlfn.XLOOKUP("[S05_AggregateTotalEmissionsByCRF][37][CRFCategory2]",Submission!$O:$O,Submission!$H:$N,""))</f>
        <v/>
      </c>
      <c r="F105" s="368"/>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65" t="str">
        <f>_xlfn.CONCAT(_xlfn.XLOOKUP("[S05_AggregateTotalEmissionsByCRF][38][CRFCategory1]",Submission!$O:$O,Submission!$H:$N,""))</f>
        <v/>
      </c>
      <c r="D106" s="366"/>
      <c r="E106" s="367" t="str">
        <f>_xlfn.CONCAT(_xlfn.XLOOKUP("[S05_AggregateTotalEmissionsByCRF][38][CRFCategory2]",Submission!$O:$O,Submission!$H:$N,""))</f>
        <v/>
      </c>
      <c r="F106" s="368"/>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65" t="str">
        <f>_xlfn.CONCAT(_xlfn.XLOOKUP("[S05_AggregateTotalEmissionsByCRF][39][CRFCategory1]",Submission!$O:$O,Submission!$H:$N,""))</f>
        <v/>
      </c>
      <c r="D107" s="366"/>
      <c r="E107" s="367" t="str">
        <f>_xlfn.CONCAT(_xlfn.XLOOKUP("[S05_AggregateTotalEmissionsByCRF][39][CRFCategory2]",Submission!$O:$O,Submission!$H:$N,""))</f>
        <v/>
      </c>
      <c r="F107" s="368"/>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65" t="str">
        <f>_xlfn.CONCAT(_xlfn.XLOOKUP("[S05_AggregateTotalEmissionsByCRF][40][CRFCategory1]",Submission!$O:$O,Submission!$H:$N,""))</f>
        <v/>
      </c>
      <c r="D108" s="366"/>
      <c r="E108" s="367" t="str">
        <f>_xlfn.CONCAT(_xlfn.XLOOKUP("[S05_AggregateTotalEmissionsByCRF][40][CRFCategory2]",Submission!$O:$O,Submission!$H:$N,""))</f>
        <v/>
      </c>
      <c r="F108" s="368"/>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65" t="str">
        <f>_xlfn.CONCAT(_xlfn.XLOOKUP("[S05_AggregateTotalEmissionsByCRF][41][CRFCategory1]",Submission!$O:$O,Submission!$H:$N,""))</f>
        <v/>
      </c>
      <c r="D109" s="366"/>
      <c r="E109" s="367" t="str">
        <f>_xlfn.CONCAT(_xlfn.XLOOKUP("[S05_AggregateTotalEmissionsByCRF][41][CRFCategory2]",Submission!$O:$O,Submission!$H:$N,""))</f>
        <v/>
      </c>
      <c r="F109" s="368"/>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
      </c>
      <c r="F110" s="368"/>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
      </c>
      <c r="F111" s="368"/>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
      </c>
      <c r="F112" s="368"/>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
      </c>
      <c r="F113" s="368"/>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
      </c>
      <c r="D203" s="414"/>
      <c r="E203" s="414"/>
      <c r="F203" s="414"/>
      <c r="G203" s="364"/>
      <c r="H203" s="123" t="str">
        <f>_xlfn.CONCAT(_xlfn.XLOOKUP("[S05_DefaultValues][1][FuelMaterialType]",Submission!$O:$O,Submission!$H:$N,""))</f>
        <v/>
      </c>
      <c r="I203" s="106" t="str">
        <f>_xlfn.CONCAT(_xlfn.XLOOKUP("[S05_DefaultValues][1][InstallationNumber]",Submission!$O:$O,Submission!$H:$N,""))</f>
        <v/>
      </c>
    </row>
    <row r="204" spans="1:9" ht="15.9" customHeight="1" x14ac:dyDescent="0.3">
      <c r="A204" s="13"/>
      <c r="B204" s="34"/>
      <c r="C204" s="274" t="str">
        <f>_xlfn.CONCAT(_xlfn.XLOOKUP("[S05_DefaultValues][2][InstallationCategory]",Submission!$O:$O,Submission!$H:$N,""))</f>
        <v/>
      </c>
      <c r="D204" s="414"/>
      <c r="E204" s="414"/>
      <c r="F204" s="414"/>
      <c r="G204" s="364"/>
      <c r="H204" s="123" t="str">
        <f>_xlfn.CONCAT(_xlfn.XLOOKUP("[S05_DefaultValues][2][FuelMaterialType]",Submission!$O:$O,Submission!$H:$N,""))</f>
        <v/>
      </c>
      <c r="I204" s="106" t="str">
        <f>_xlfn.CONCAT(_xlfn.XLOOKUP("[S05_DefaultValues][2][InstallationNumber]",Submission!$O:$O,Submission!$H:$N,""))</f>
        <v/>
      </c>
    </row>
    <row r="205" spans="1:9" ht="15.9" customHeight="1" x14ac:dyDescent="0.3">
      <c r="A205" s="13"/>
      <c r="B205" s="34"/>
      <c r="C205" s="274" t="str">
        <f>_xlfn.CONCAT(_xlfn.XLOOKUP("[S05_DefaultValues][3][InstallationCategory]",Submission!$O:$O,Submission!$H:$N,""))</f>
        <v/>
      </c>
      <c r="D205" s="414"/>
      <c r="E205" s="414"/>
      <c r="F205" s="414"/>
      <c r="G205" s="364"/>
      <c r="H205" s="123" t="str">
        <f>_xlfn.CONCAT(_xlfn.XLOOKUP("[S05_DefaultValues][3][FuelMaterialType]",Submission!$O:$O,Submission!$H:$N,""))</f>
        <v/>
      </c>
      <c r="I205" s="106" t="str">
        <f>_xlfn.CONCAT(_xlfn.XLOOKUP("[S05_DefaultValues][3][InstallationNumber]",Submission!$O:$O,Submission!$H:$N,""))</f>
        <v/>
      </c>
    </row>
    <row r="206" spans="1:9" ht="15.9" customHeight="1" x14ac:dyDescent="0.3">
      <c r="A206" s="13"/>
      <c r="B206" s="34"/>
      <c r="C206" s="274" t="str">
        <f>_xlfn.CONCAT(_xlfn.XLOOKUP("[S05_DefaultValues][4][InstallationCategory]",Submission!$O:$O,Submission!$H:$N,""))</f>
        <v/>
      </c>
      <c r="D206" s="414"/>
      <c r="E206" s="414"/>
      <c r="F206" s="414"/>
      <c r="G206" s="364"/>
      <c r="H206" s="123" t="str">
        <f>_xlfn.CONCAT(_xlfn.XLOOKUP("[S05_DefaultValues][4][FuelMaterialType]",Submission!$O:$O,Submission!$H:$N,""))</f>
        <v/>
      </c>
      <c r="I206" s="106" t="str">
        <f>_xlfn.CONCAT(_xlfn.XLOOKUP("[S05_DefaultValues][4][InstallationNumber]",Submission!$O:$O,Submission!$H:$N,""))</f>
        <v/>
      </c>
    </row>
    <row r="207" spans="1:9" ht="15.9" customHeight="1" x14ac:dyDescent="0.3">
      <c r="A207" s="13"/>
      <c r="B207" s="34"/>
      <c r="C207" s="274" t="str">
        <f>_xlfn.CONCAT(_xlfn.XLOOKUP("[S05_DefaultValues][5][InstallationCategory]",Submission!$O:$O,Submission!$H:$N,""))</f>
        <v/>
      </c>
      <c r="D207" s="414"/>
      <c r="E207" s="414"/>
      <c r="F207" s="414"/>
      <c r="G207" s="364"/>
      <c r="H207" s="123" t="str">
        <f>_xlfn.CONCAT(_xlfn.XLOOKUP("[S05_DefaultValues][5][FuelMaterialType]",Submission!$O:$O,Submission!$H:$N,""))</f>
        <v/>
      </c>
      <c r="I207" s="106" t="str">
        <f>_xlfn.CONCAT(_xlfn.XLOOKUP("[S05_DefaultValues][5][InstallationNumber]",Submission!$O:$O,Submission!$H:$N,""))</f>
        <v/>
      </c>
    </row>
    <row r="208" spans="1:9" ht="15.9" customHeight="1" x14ac:dyDescent="0.3">
      <c r="A208" s="13"/>
      <c r="B208" s="34"/>
      <c r="C208" s="274" t="str">
        <f>_xlfn.CONCAT(_xlfn.XLOOKUP("[S05_DefaultValues][6][InstallationCategory]",Submission!$O:$O,Submission!$H:$N,""))</f>
        <v/>
      </c>
      <c r="D208" s="414"/>
      <c r="E208" s="414"/>
      <c r="F208" s="414"/>
      <c r="G208" s="364"/>
      <c r="H208" s="123" t="str">
        <f>_xlfn.CONCAT(_xlfn.XLOOKUP("[S05_DefaultValues][6][FuelMaterialType]",Submission!$O:$O,Submission!$H:$N,""))</f>
        <v/>
      </c>
      <c r="I208" s="106" t="str">
        <f>_xlfn.CONCAT(_xlfn.XLOOKUP("[S05_DefaultValues][6][InstallationNumber]",Submission!$O:$O,Submission!$H:$N,""))</f>
        <v/>
      </c>
    </row>
    <row r="209" spans="1:9" ht="15.9" customHeight="1" x14ac:dyDescent="0.3">
      <c r="A209" s="13"/>
      <c r="B209" s="34"/>
      <c r="C209" s="274" t="str">
        <f>_xlfn.CONCAT(_xlfn.XLOOKUP("[S05_DefaultValues][7][InstallationCategory]",Submission!$O:$O,Submission!$H:$N,""))</f>
        <v/>
      </c>
      <c r="D209" s="414"/>
      <c r="E209" s="414"/>
      <c r="F209" s="414"/>
      <c r="G209" s="364"/>
      <c r="H209" s="123" t="str">
        <f>_xlfn.CONCAT(_xlfn.XLOOKUP("[S05_DefaultValues][7][FuelMaterialType]",Submission!$O:$O,Submission!$H:$N,""))</f>
        <v/>
      </c>
      <c r="I209" s="106" t="str">
        <f>_xlfn.CONCAT(_xlfn.XLOOKUP("[S05_DefaultValues][7][InstallationNumber]",Submission!$O:$O,Submission!$H:$N,""))</f>
        <v/>
      </c>
    </row>
    <row r="210" spans="1:9" ht="15.9" customHeight="1" x14ac:dyDescent="0.3">
      <c r="A210" s="13"/>
      <c r="B210" s="34"/>
      <c r="C210" s="274" t="str">
        <f>_xlfn.CONCAT(_xlfn.XLOOKUP("[S05_DefaultValues][8][InstallationCategory]",Submission!$O:$O,Submission!$H:$N,""))</f>
        <v/>
      </c>
      <c r="D210" s="414"/>
      <c r="E210" s="414"/>
      <c r="F210" s="414"/>
      <c r="G210" s="364"/>
      <c r="H210" s="123" t="str">
        <f>_xlfn.CONCAT(_xlfn.XLOOKUP("[S05_DefaultValues][8][FuelMaterialType]",Submission!$O:$O,Submission!$H:$N,""))</f>
        <v/>
      </c>
      <c r="I210" s="106" t="str">
        <f>_xlfn.CONCAT(_xlfn.XLOOKUP("[S05_DefaultValues][8][InstallationNumber]",Submission!$O:$O,Submission!$H:$N,""))</f>
        <v/>
      </c>
    </row>
    <row r="211" spans="1:9" ht="15.9" customHeight="1" x14ac:dyDescent="0.3">
      <c r="A211" s="13"/>
      <c r="B211" s="34"/>
      <c r="C211" s="274" t="str">
        <f>_xlfn.CONCAT(_xlfn.XLOOKUP("[S05_DefaultValues][9][InstallationCategory]",Submission!$O:$O,Submission!$H:$N,""))</f>
        <v/>
      </c>
      <c r="D211" s="414"/>
      <c r="E211" s="414"/>
      <c r="F211" s="414"/>
      <c r="G211" s="364"/>
      <c r="H211" s="123" t="str">
        <f>_xlfn.CONCAT(_xlfn.XLOOKUP("[S05_DefaultValues][9][FuelMaterialType]",Submission!$O:$O,Submission!$H:$N,""))</f>
        <v/>
      </c>
      <c r="I211" s="106" t="str">
        <f>_xlfn.CONCAT(_xlfn.XLOOKUP("[S05_DefaultValues][9][InstallationNumber]",Submission!$O:$O,Submission!$H:$N,""))</f>
        <v/>
      </c>
    </row>
    <row r="212" spans="1:9" ht="15.9" customHeight="1" x14ac:dyDescent="0.3">
      <c r="A212" s="13"/>
      <c r="B212" s="34"/>
      <c r="C212" s="274" t="str">
        <f>_xlfn.CONCAT(_xlfn.XLOOKUP("[S05_DefaultValues][10][InstallationCategory]",Submission!$O:$O,Submission!$H:$N,""))</f>
        <v/>
      </c>
      <c r="D212" s="414"/>
      <c r="E212" s="414"/>
      <c r="F212" s="414"/>
      <c r="G212" s="364"/>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74" t="str">
        <f>_xlfn.CONCAT(_xlfn.XLOOKUP("[S05_DefaultValues][11][InstallationCategory]",Submission!$O:$O,Submission!$H:$N,""))</f>
        <v/>
      </c>
      <c r="D213" s="414"/>
      <c r="E213" s="414"/>
      <c r="F213" s="414"/>
      <c r="G213" s="364"/>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74" t="str">
        <f>_xlfn.CONCAT(_xlfn.XLOOKUP("[S05_DefaultValues][12][InstallationCategory]",Submission!$O:$O,Submission!$H:$N,""))</f>
        <v/>
      </c>
      <c r="D214" s="414"/>
      <c r="E214" s="414"/>
      <c r="F214" s="414"/>
      <c r="G214" s="364"/>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74" t="str">
        <f>_xlfn.CONCAT(_xlfn.XLOOKUP("[S05_DefaultValues][13][InstallationCategory]",Submission!$O:$O,Submission!$H:$N,""))</f>
        <v/>
      </c>
      <c r="D215" s="414"/>
      <c r="E215" s="414"/>
      <c r="F215" s="414"/>
      <c r="G215" s="364"/>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74" t="str">
        <f>_xlfn.CONCAT(_xlfn.XLOOKUP("[S05_DefaultValues][14][InstallationCategory]",Submission!$O:$O,Submission!$H:$N,""))</f>
        <v/>
      </c>
      <c r="D216" s="414"/>
      <c r="E216" s="414"/>
      <c r="F216" s="414"/>
      <c r="G216" s="364"/>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74" t="str">
        <f>_xlfn.CONCAT(_xlfn.XLOOKUP("[S05_DefaultValues][15][InstallationCategory]",Submission!$O:$O,Submission!$H:$N,""))</f>
        <v/>
      </c>
      <c r="D217" s="414"/>
      <c r="E217" s="414"/>
      <c r="F217" s="414"/>
      <c r="G217" s="364"/>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74" t="str">
        <f>_xlfn.CONCAT(_xlfn.XLOOKUP("[S05_DefaultValues][16][InstallationCategory]",Submission!$O:$O,Submission!$H:$N,""))</f>
        <v/>
      </c>
      <c r="D218" s="414"/>
      <c r="E218" s="414"/>
      <c r="F218" s="414"/>
      <c r="G218" s="364"/>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74" t="str">
        <f>_xlfn.CONCAT(_xlfn.XLOOKUP("[S05_DefaultValues][17][InstallationCategory]",Submission!$O:$O,Submission!$H:$N,""))</f>
        <v/>
      </c>
      <c r="D219" s="414"/>
      <c r="E219" s="414"/>
      <c r="F219" s="414"/>
      <c r="G219" s="364"/>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74" t="str">
        <f>_xlfn.CONCAT(_xlfn.XLOOKUP("[S05_DefaultValues][18][InstallationCategory]",Submission!$O:$O,Submission!$H:$N,""))</f>
        <v/>
      </c>
      <c r="D220" s="414"/>
      <c r="E220" s="414"/>
      <c r="F220" s="414"/>
      <c r="G220" s="364"/>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74" t="str">
        <f>_xlfn.CONCAT(_xlfn.XLOOKUP("[S05_DefaultValues][19][InstallationCategory]",Submission!$O:$O,Submission!$H:$N,""))</f>
        <v/>
      </c>
      <c r="D221" s="414"/>
      <c r="E221" s="414"/>
      <c r="F221" s="414"/>
      <c r="G221" s="364"/>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74" t="str">
        <f>_xlfn.CONCAT(_xlfn.XLOOKUP("[S05_DefaultValues][20][InstallationCategory]",Submission!$O:$O,Submission!$H:$N,""))</f>
        <v/>
      </c>
      <c r="D222" s="414"/>
      <c r="E222" s="414"/>
      <c r="F222" s="414"/>
      <c r="G222" s="364"/>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74" t="str">
        <f>_xlfn.CONCAT(_xlfn.XLOOKUP("[S05_DefaultValues][21][InstallationCategory]",Submission!$O:$O,Submission!$H:$N,""))</f>
        <v/>
      </c>
      <c r="D223" s="414"/>
      <c r="E223" s="414"/>
      <c r="F223" s="414"/>
      <c r="G223" s="364"/>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74" t="str">
        <f>_xlfn.CONCAT(_xlfn.XLOOKUP("[S05_DefaultValues][22][InstallationCategory]",Submission!$O:$O,Submission!$H:$N,""))</f>
        <v/>
      </c>
      <c r="D224" s="414"/>
      <c r="E224" s="414"/>
      <c r="F224" s="414"/>
      <c r="G224" s="364"/>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74" t="str">
        <f>_xlfn.CONCAT(_xlfn.XLOOKUP("[S05_DefaultValues][23][InstallationCategory]",Submission!$O:$O,Submission!$H:$N,""))</f>
        <v/>
      </c>
      <c r="D225" s="414"/>
      <c r="E225" s="414"/>
      <c r="F225" s="414"/>
      <c r="G225" s="364"/>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74" t="str">
        <f>_xlfn.CONCAT(_xlfn.XLOOKUP("[S05_DefaultValues][24][InstallationCategory]",Submission!$O:$O,Submission!$H:$N,""))</f>
        <v/>
      </c>
      <c r="D226" s="414"/>
      <c r="E226" s="414"/>
      <c r="F226" s="414"/>
      <c r="G226" s="364"/>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74" t="str">
        <f>_xlfn.CONCAT(_xlfn.XLOOKUP("[S05_DefaultValues][25][InstallationCategory]",Submission!$O:$O,Submission!$H:$N,""))</f>
        <v/>
      </c>
      <c r="D227" s="414"/>
      <c r="E227" s="414"/>
      <c r="F227" s="414"/>
      <c r="G227" s="364"/>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74" t="str">
        <f>_xlfn.CONCAT(_xlfn.XLOOKUP("[S05_DefaultValues][26][InstallationCategory]",Submission!$O:$O,Submission!$H:$N,""))</f>
        <v/>
      </c>
      <c r="D228" s="414"/>
      <c r="E228" s="414"/>
      <c r="F228" s="414"/>
      <c r="G228" s="364"/>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74" t="str">
        <f>_xlfn.CONCAT(_xlfn.XLOOKUP("[S05_DefaultValues][27][InstallationCategory]",Submission!$O:$O,Submission!$H:$N,""))</f>
        <v/>
      </c>
      <c r="D229" s="414"/>
      <c r="E229" s="414"/>
      <c r="F229" s="414"/>
      <c r="G229" s="364"/>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74" t="str">
        <f>_xlfn.CONCAT(_xlfn.XLOOKUP("[S05_DefaultValues][28][InstallationCategory]",Submission!$O:$O,Submission!$H:$N,""))</f>
        <v/>
      </c>
      <c r="D230" s="414"/>
      <c r="E230" s="414"/>
      <c r="F230" s="414"/>
      <c r="G230" s="364"/>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74" t="str">
        <f>_xlfn.CONCAT(_xlfn.XLOOKUP("[S05_DefaultValues][29][InstallationCategory]",Submission!$O:$O,Submission!$H:$N,""))</f>
        <v/>
      </c>
      <c r="D231" s="414"/>
      <c r="E231" s="414"/>
      <c r="F231" s="414"/>
      <c r="G231" s="364"/>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74" t="str">
        <f>_xlfn.CONCAT(_xlfn.XLOOKUP("[S05_DefaultValues][30][InstallationCategory]",Submission!$O:$O,Submission!$H:$N,""))</f>
        <v/>
      </c>
      <c r="D232" s="414"/>
      <c r="E232" s="414"/>
      <c r="F232" s="414"/>
      <c r="G232" s="364"/>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74" t="str">
        <f>_xlfn.CONCAT(_xlfn.XLOOKUP("[S05_DefaultValues][31][InstallationCategory]",Submission!$O:$O,Submission!$H:$N,""))</f>
        <v/>
      </c>
      <c r="D233" s="414"/>
      <c r="E233" s="414"/>
      <c r="F233" s="414"/>
      <c r="G233" s="364"/>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74" t="str">
        <f>_xlfn.CONCAT(_xlfn.XLOOKUP("[S05_DefaultValues][32][InstallationCategory]",Submission!$O:$O,Submission!$H:$N,""))</f>
        <v/>
      </c>
      <c r="D234" s="414"/>
      <c r="E234" s="414"/>
      <c r="F234" s="414"/>
      <c r="G234" s="364"/>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74" t="str">
        <f>_xlfn.CONCAT(_xlfn.XLOOKUP("[S05_DefaultValues][33][InstallationCategory]",Submission!$O:$O,Submission!$H:$N,""))</f>
        <v/>
      </c>
      <c r="D235" s="414"/>
      <c r="E235" s="414"/>
      <c r="F235" s="414"/>
      <c r="G235" s="364"/>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74" t="str">
        <f>_xlfn.CONCAT(_xlfn.XLOOKUP("[S05_DefaultValues][34][InstallationCategory]",Submission!$O:$O,Submission!$H:$N,""))</f>
        <v/>
      </c>
      <c r="D236" s="414"/>
      <c r="E236" s="414"/>
      <c r="F236" s="414"/>
      <c r="G236" s="364"/>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74" t="str">
        <f>_xlfn.CONCAT(_xlfn.XLOOKUP("[S05_DefaultValues][35][InstallationCategory]",Submission!$O:$O,Submission!$H:$N,""))</f>
        <v/>
      </c>
      <c r="D237" s="414"/>
      <c r="E237" s="414"/>
      <c r="F237" s="414"/>
      <c r="G237" s="364"/>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74" t="str">
        <f>_xlfn.CONCAT(_xlfn.XLOOKUP("[S05_DefaultValues][36][InstallationCategory]",Submission!$O:$O,Submission!$H:$N,""))</f>
        <v/>
      </c>
      <c r="D238" s="414"/>
      <c r="E238" s="414"/>
      <c r="F238" s="414"/>
      <c r="G238" s="364"/>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74" t="str">
        <f>_xlfn.CONCAT(_xlfn.XLOOKUP("[S05_DefaultValues][37][InstallationCategory]",Submission!$O:$O,Submission!$H:$N,""))</f>
        <v/>
      </c>
      <c r="D239" s="414"/>
      <c r="E239" s="414"/>
      <c r="F239" s="414"/>
      <c r="G239" s="364"/>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74" t="str">
        <f>_xlfn.CONCAT(_xlfn.XLOOKUP("[S05_DefaultValues][38][InstallationCategory]",Submission!$O:$O,Submission!$H:$N,""))</f>
        <v/>
      </c>
      <c r="D240" s="414"/>
      <c r="E240" s="414"/>
      <c r="F240" s="414"/>
      <c r="G240" s="364"/>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74" t="str">
        <f>_xlfn.CONCAT(_xlfn.XLOOKUP("[S05_DefaultValues][39][InstallationCategory]",Submission!$O:$O,Submission!$H:$N,""))</f>
        <v/>
      </c>
      <c r="D241" s="414"/>
      <c r="E241" s="414"/>
      <c r="F241" s="414"/>
      <c r="G241" s="364"/>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74" t="str">
        <f>_xlfn.CONCAT(_xlfn.XLOOKUP("[S05_DefaultValues][40][InstallationCategory]",Submission!$O:$O,Submission!$H:$N,""))</f>
        <v/>
      </c>
      <c r="D242" s="414"/>
      <c r="E242" s="414"/>
      <c r="F242" s="414"/>
      <c r="G242" s="364"/>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74" t="str">
        <f>_xlfn.CONCAT(_xlfn.XLOOKUP("[S05_DefaultValues][41][InstallationCategory]",Submission!$O:$O,Submission!$H:$N,""))</f>
        <v/>
      </c>
      <c r="D243" s="414"/>
      <c r="E243" s="414"/>
      <c r="F243" s="414"/>
      <c r="G243" s="364"/>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74" t="str">
        <f>_xlfn.CONCAT(_xlfn.XLOOKUP("[S05_DefaultValues][42][InstallationCategory]",Submission!$O:$O,Submission!$H:$N,""))</f>
        <v/>
      </c>
      <c r="D244" s="414"/>
      <c r="E244" s="414"/>
      <c r="F244" s="414"/>
      <c r="G244" s="364"/>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74" t="str">
        <f>_xlfn.CONCAT(_xlfn.XLOOKUP("[S05_DefaultValues][43][InstallationCategory]",Submission!$O:$O,Submission!$H:$N,""))</f>
        <v/>
      </c>
      <c r="D245" s="414"/>
      <c r="E245" s="414"/>
      <c r="F245" s="414"/>
      <c r="G245" s="364"/>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74" t="str">
        <f>_xlfn.CONCAT(_xlfn.XLOOKUP("[S05_DefaultValues][44][InstallationCategory]",Submission!$O:$O,Submission!$H:$N,""))</f>
        <v/>
      </c>
      <c r="D246" s="414"/>
      <c r="E246" s="414"/>
      <c r="F246" s="414"/>
      <c r="G246" s="364"/>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74" t="str">
        <f>_xlfn.CONCAT(_xlfn.XLOOKUP("[S05_DefaultValues][45][InstallationCategory]",Submission!$O:$O,Submission!$H:$N,""))</f>
        <v/>
      </c>
      <c r="D247" s="414"/>
      <c r="E247" s="414"/>
      <c r="F247" s="414"/>
      <c r="G247" s="364"/>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74" t="str">
        <f>_xlfn.CONCAT(_xlfn.XLOOKUP("[S05_DefaultValues][46][InstallationCategory]",Submission!$O:$O,Submission!$H:$N,""))</f>
        <v/>
      </c>
      <c r="D248" s="414"/>
      <c r="E248" s="414"/>
      <c r="F248" s="414"/>
      <c r="G248" s="364"/>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74" t="str">
        <f>_xlfn.CONCAT(_xlfn.XLOOKUP("[S05_DefaultValues][47][InstallationCategory]",Submission!$O:$O,Submission!$H:$N,""))</f>
        <v/>
      </c>
      <c r="D249" s="414"/>
      <c r="E249" s="414"/>
      <c r="F249" s="414"/>
      <c r="G249" s="364"/>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74" t="str">
        <f>_xlfn.CONCAT(_xlfn.XLOOKUP("[S05_DefaultValues][48][InstallationCategory]",Submission!$O:$O,Submission!$H:$N,""))</f>
        <v/>
      </c>
      <c r="D250" s="414"/>
      <c r="E250" s="414"/>
      <c r="F250" s="414"/>
      <c r="G250" s="364"/>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74" t="str">
        <f>_xlfn.CONCAT(_xlfn.XLOOKUP("[S05_DefaultValues][49][InstallationCategory]",Submission!$O:$O,Submission!$H:$N,""))</f>
        <v/>
      </c>
      <c r="D251" s="414"/>
      <c r="E251" s="414"/>
      <c r="F251" s="414"/>
      <c r="G251" s="364"/>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74" t="str">
        <f>_xlfn.CONCAT(_xlfn.XLOOKUP("[S05_DefaultValues][50][InstallationCategory]",Submission!$O:$O,Submission!$H:$N,""))</f>
        <v/>
      </c>
      <c r="D252" s="414"/>
      <c r="E252" s="414"/>
      <c r="F252" s="414"/>
      <c r="G252" s="364"/>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74" t="str">
        <f>_xlfn.CONCAT(_xlfn.XLOOKUP("[S05_DefaultValues][51][InstallationCategory]",Submission!$O:$O,Submission!$H:$N,""))</f>
        <v/>
      </c>
      <c r="D253" s="414"/>
      <c r="E253" s="414"/>
      <c r="F253" s="414"/>
      <c r="G253" s="364"/>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74" t="str">
        <f>_xlfn.CONCAT(_xlfn.XLOOKUP("[S05_DefaultValues][52][InstallationCategory]",Submission!$O:$O,Submission!$H:$N,""))</f>
        <v/>
      </c>
      <c r="D254" s="414"/>
      <c r="E254" s="414"/>
      <c r="F254" s="414"/>
      <c r="G254" s="364"/>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74" t="str">
        <f>_xlfn.CONCAT(_xlfn.XLOOKUP("[S05_DefaultValues][53][InstallationCategory]",Submission!$O:$O,Submission!$H:$N,""))</f>
        <v/>
      </c>
      <c r="D255" s="414"/>
      <c r="E255" s="414"/>
      <c r="F255" s="414"/>
      <c r="G255" s="364"/>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74" t="str">
        <f>_xlfn.CONCAT(_xlfn.XLOOKUP("[S05_DefaultValues][54][InstallationCategory]",Submission!$O:$O,Submission!$H:$N,""))</f>
        <v/>
      </c>
      <c r="D256" s="414"/>
      <c r="E256" s="414"/>
      <c r="F256" s="414"/>
      <c r="G256" s="364"/>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74" t="str">
        <f>_xlfn.CONCAT(_xlfn.XLOOKUP("[S05_DefaultValues][55][InstallationCategory]",Submission!$O:$O,Submission!$H:$N,""))</f>
        <v/>
      </c>
      <c r="D257" s="414"/>
      <c r="E257" s="414"/>
      <c r="F257" s="414"/>
      <c r="G257" s="364"/>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74" t="str">
        <f>_xlfn.CONCAT(_xlfn.XLOOKUP("[S05_DefaultValues][56][InstallationCategory]",Submission!$O:$O,Submission!$H:$N,""))</f>
        <v/>
      </c>
      <c r="D258" s="414"/>
      <c r="E258" s="414"/>
      <c r="F258" s="414"/>
      <c r="G258" s="364"/>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74" t="str">
        <f>_xlfn.CONCAT(_xlfn.XLOOKUP("[S05_DefaultValues][57][InstallationCategory]",Submission!$O:$O,Submission!$H:$N,""))</f>
        <v/>
      </c>
      <c r="D259" s="414"/>
      <c r="E259" s="414"/>
      <c r="F259" s="414"/>
      <c r="G259" s="364"/>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74" t="str">
        <f>_xlfn.CONCAT(_xlfn.XLOOKUP("[S05_DefaultValues][58][InstallationCategory]",Submission!$O:$O,Submission!$H:$N,""))</f>
        <v/>
      </c>
      <c r="D260" s="414"/>
      <c r="E260" s="414"/>
      <c r="F260" s="414"/>
      <c r="G260" s="364"/>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74" t="str">
        <f>_xlfn.CONCAT(_xlfn.XLOOKUP("[S05_DefaultValues][59][InstallationCategory]",Submission!$O:$O,Submission!$H:$N,""))</f>
        <v/>
      </c>
      <c r="D261" s="414"/>
      <c r="E261" s="414"/>
      <c r="F261" s="414"/>
      <c r="G261" s="364"/>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74" t="str">
        <f>_xlfn.CONCAT(_xlfn.XLOOKUP("[S05_DefaultValues][60][InstallationCategory]",Submission!$O:$O,Submission!$H:$N,""))</f>
        <v/>
      </c>
      <c r="D262" s="414"/>
      <c r="E262" s="414"/>
      <c r="F262" s="414"/>
      <c r="G262" s="364"/>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74" t="str">
        <f>_xlfn.CONCAT(_xlfn.XLOOKUP("[S05_DefaultValues][61][InstallationCategory]",Submission!$O:$O,Submission!$H:$N,""))</f>
        <v/>
      </c>
      <c r="D263" s="414"/>
      <c r="E263" s="414"/>
      <c r="F263" s="414"/>
      <c r="G263" s="364"/>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74" t="str">
        <f>_xlfn.CONCAT(_xlfn.XLOOKUP("[S05_DefaultValues][62][InstallationCategory]",Submission!$O:$O,Submission!$H:$N,""))</f>
        <v/>
      </c>
      <c r="D264" s="414"/>
      <c r="E264" s="414"/>
      <c r="F264" s="414"/>
      <c r="G264" s="364"/>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74" t="str">
        <f>_xlfn.CONCAT(_xlfn.XLOOKUP("[S05_DefaultValues][63][InstallationCategory]",Submission!$O:$O,Submission!$H:$N,""))</f>
        <v/>
      </c>
      <c r="D265" s="414"/>
      <c r="E265" s="414"/>
      <c r="F265" s="414"/>
      <c r="G265" s="364"/>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74" t="str">
        <f>_xlfn.CONCAT(_xlfn.XLOOKUP("[S05_DefaultValues][64][InstallationCategory]",Submission!$O:$O,Submission!$H:$N,""))</f>
        <v/>
      </c>
      <c r="D266" s="414"/>
      <c r="E266" s="414"/>
      <c r="F266" s="414"/>
      <c r="G266" s="364"/>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74" t="str">
        <f>_xlfn.CONCAT(_xlfn.XLOOKUP("[S05_DefaultValues][65][InstallationCategory]",Submission!$O:$O,Submission!$H:$N,""))</f>
        <v/>
      </c>
      <c r="D267" s="414"/>
      <c r="E267" s="414"/>
      <c r="F267" s="414"/>
      <c r="G267" s="364"/>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74" t="str">
        <f>_xlfn.CONCAT(_xlfn.XLOOKUP("[S05_DefaultValues][66][InstallationCategory]",Submission!$O:$O,Submission!$H:$N,""))</f>
        <v/>
      </c>
      <c r="D268" s="414"/>
      <c r="E268" s="414"/>
      <c r="F268" s="414"/>
      <c r="G268" s="364"/>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74" t="str">
        <f>_xlfn.CONCAT(_xlfn.XLOOKUP("[S05_DefaultValues][67][InstallationCategory]",Submission!$O:$O,Submission!$H:$N,""))</f>
        <v/>
      </c>
      <c r="D269" s="414"/>
      <c r="E269" s="414"/>
      <c r="F269" s="414"/>
      <c r="G269" s="364"/>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74" t="str">
        <f>_xlfn.CONCAT(_xlfn.XLOOKUP("[S05_DefaultValues][68][InstallationCategory]",Submission!$O:$O,Submission!$H:$N,""))</f>
        <v/>
      </c>
      <c r="D270" s="414"/>
      <c r="E270" s="414"/>
      <c r="F270" s="414"/>
      <c r="G270" s="364"/>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74" t="str">
        <f>_xlfn.CONCAT(_xlfn.XLOOKUP("[S05_DefaultValues][69][InstallationCategory]",Submission!$O:$O,Submission!$H:$N,""))</f>
        <v/>
      </c>
      <c r="D271" s="414"/>
      <c r="E271" s="414"/>
      <c r="F271" s="414"/>
      <c r="G271" s="364"/>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74" t="str">
        <f>_xlfn.CONCAT(_xlfn.XLOOKUP("[S05_DefaultValues][70][InstallationCategory]",Submission!$O:$O,Submission!$H:$N,""))</f>
        <v/>
      </c>
      <c r="D272" s="414"/>
      <c r="E272" s="414"/>
      <c r="F272" s="414"/>
      <c r="G272" s="364"/>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Electrodes Four et APC</v>
      </c>
      <c r="D1008" s="260"/>
      <c r="E1008" s="105" t="str">
        <f>_xlfn.CONCAT(_xlfn.XLOOKUP("[S05_InstallationDifferentSamplingFrequency][1][CountInstallationsDiffFrequency]",Submission!$O:$O,Submission!$H:$N,""))</f>
        <v>1</v>
      </c>
      <c r="F1008" s="105" t="str">
        <f>_xlfn.CONCAT(_xlfn.XLOOKUP("[S05_InstallationDifferentSamplingFrequency][1][MajorSourceStreams]",Submission!$O:$O,Submission!$H:$N,""))</f>
        <v>0</v>
      </c>
      <c r="G1008" s="47" t="str">
        <f>_xlfn.CONCAT(_xlfn.XLOOKUP("[S05_InstallationDifferentSamplingFrequency][1][SamplingPlanDocumented]",Submission!$O:$O,Submission!$H:$N,""))</f>
        <v>Yes</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Fonte</v>
      </c>
      <c r="D1009" s="260"/>
      <c r="E1009" s="105" t="str">
        <f>_xlfn.CONCAT(_xlfn.XLOOKUP("[S05_InstallationDifferentSamplingFrequency][2][CountInstallationsDiffFrequency]",Submission!$O:$O,Submission!$H:$N,""))</f>
        <v>1</v>
      </c>
      <c r="F1009" s="105" t="str">
        <f>_xlfn.CONCAT(_xlfn.XLOOKUP("[S05_InstallationDifferentSamplingFrequency][2][MajorSourceStreams]",Submission!$O:$O,Submission!$H:$N,""))</f>
        <v>1</v>
      </c>
      <c r="G1009" s="47" t="str">
        <f>_xlfn.CONCAT(_xlfn.XLOOKUP("[S05_InstallationDifferentSamplingFrequency][2][SamplingPlanDocumented]",Submission!$O:$O,Submission!$H:$N,""))</f>
        <v>Yes</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xml:space="preserve">Aciers </v>
      </c>
      <c r="D1010" s="260"/>
      <c r="E1010" s="105" t="str">
        <f>_xlfn.CONCAT(_xlfn.XLOOKUP("[S05_InstallationDifferentSamplingFrequency][3][CountInstallationsDiffFrequency]",Submission!$O:$O,Submission!$H:$N,""))</f>
        <v>1</v>
      </c>
      <c r="F1010" s="105" t="str">
        <f>_xlfn.CONCAT(_xlfn.XLOOKUP("[S05_InstallationDifferentSamplingFrequency][3][MajorSourceStreams]",Submission!$O:$O,Submission!$H:$N,""))</f>
        <v>0</v>
      </c>
      <c r="G1010" s="47" t="str">
        <f>_xlfn.CONCAT(_xlfn.XLOOKUP("[S05_InstallationDifferentSamplingFrequency][3][SamplingPlanDocumented]",Submission!$O:$O,Submission!$H:$N,""))</f>
        <v>Yes</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Castine</v>
      </c>
      <c r="D1011" s="260"/>
      <c r="E1011" s="105" t="str">
        <f>_xlfn.CONCAT(_xlfn.XLOOKUP("[S05_InstallationDifferentSamplingFrequency][4][CountInstallationsDiffFrequency]",Submission!$O:$O,Submission!$H:$N,""))</f>
        <v>1</v>
      </c>
      <c r="F1011" s="105" t="str">
        <f>_xlfn.CONCAT(_xlfn.XLOOKUP("[S05_InstallationDifferentSamplingFrequency][4][MajorSourceStreams]",Submission!$O:$O,Submission!$H:$N,""))</f>
        <v>0</v>
      </c>
      <c r="G1011" s="47" t="str">
        <f>_xlfn.CONCAT(_xlfn.XLOOKUP("[S05_InstallationDifferentSamplingFrequency][4][SamplingPlanDocumented]",Submission!$O:$O,Submission!$H:$N,""))</f>
        <v>Yes</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GP-SFF-oht</v>
      </c>
      <c r="D1012" s="260"/>
      <c r="E1012" s="105" t="str">
        <f>_xlfn.CONCAT(_xlfn.XLOOKUP("[S05_InstallationDifferentSamplingFrequency][5][CountInstallationsDiffFrequency]",Submission!$O:$O,Submission!$H:$N,""))</f>
        <v>1</v>
      </c>
      <c r="F1012" s="105" t="str">
        <f>_xlfn.CONCAT(_xlfn.XLOOKUP("[S05_InstallationDifferentSamplingFrequency][5][MajorSourceStreams]",Submission!$O:$O,Submission!$H:$N,""))</f>
        <v>0</v>
      </c>
      <c r="G1012" s="47" t="str">
        <f>_xlfn.CONCAT(_xlfn.XLOOKUP("[S05_InstallationDifferentSamplingFrequency][5][SamplingPlanDocumented]",Submission!$O:$O,Submission!$H:$N,""))</f>
        <v>Yes</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FLUX CF</v>
      </c>
      <c r="D1013" s="260"/>
      <c r="E1013" s="105" t="str">
        <f>_xlfn.CONCAT(_xlfn.XLOOKUP("[S05_InstallationDifferentSamplingFrequency][6][CountInstallationsDiffFrequency]",Submission!$O:$O,Submission!$H:$N,""))</f>
        <v>1</v>
      </c>
      <c r="F1013" s="105" t="str">
        <f>_xlfn.CONCAT(_xlfn.XLOOKUP("[S05_InstallationDifferentSamplingFrequency][6][MajorSourceStreams]",Submission!$O:$O,Submission!$H:$N,""))</f>
        <v>0</v>
      </c>
      <c r="G1013" s="47" t="str">
        <f>_xlfn.CONCAT(_xlfn.XLOOKUP("[S05_InstallationDifferentSamplingFrequency][6][SamplingPlanDocumented]",Submission!$O:$O,Submission!$H:$N,""))</f>
        <v>Yes</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FLUX EVENT LAVEURS</v>
      </c>
      <c r="D1014" s="260"/>
      <c r="E1014" s="105" t="str">
        <f>_xlfn.CONCAT(_xlfn.XLOOKUP("[S05_InstallationDifferentSamplingFrequency][7][CountInstallationsDiffFrequency]",Submission!$O:$O,Submission!$H:$N,""))</f>
        <v>1</v>
      </c>
      <c r="F1014" s="105" t="str">
        <f>_xlfn.CONCAT(_xlfn.XLOOKUP("[S05_InstallationDifferentSamplingFrequency][7][MajorSourceStreams]",Submission!$O:$O,Submission!$H:$N,""))</f>
        <v>0</v>
      </c>
      <c r="G1014" s="47" t="str">
        <f>_xlfn.CONCAT(_xlfn.XLOOKUP("[S05_InstallationDifferentSamplingFrequency][7][SamplingPlanDocumented]",Submission!$O:$O,Submission!$H:$N,""))</f>
        <v>Yes</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xml:space="preserve">FLUX EVENT D121 </v>
      </c>
      <c r="D1015" s="260"/>
      <c r="E1015" s="105" t="str">
        <f>_xlfn.CONCAT(_xlfn.XLOOKUP("[S05_InstallationDifferentSamplingFrequency][8][CountInstallationsDiffFrequency]",Submission!$O:$O,Submission!$H:$N,""))</f>
        <v>1</v>
      </c>
      <c r="F1015" s="105" t="str">
        <f>_xlfn.CONCAT(_xlfn.XLOOKUP("[S05_InstallationDifferentSamplingFrequency][8][MajorSourceStreams]",Submission!$O:$O,Submission!$H:$N,""))</f>
        <v>0</v>
      </c>
      <c r="G1015" s="47" t="str">
        <f>_xlfn.CONCAT(_xlfn.XLOOKUP("[S05_InstallationDifferentSamplingFrequency][8][SamplingPlanDocumented]",Submission!$O:$O,Submission!$H:$N,""))</f>
        <v>Yes</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FLUX EVENT D116</v>
      </c>
      <c r="D1016" s="260"/>
      <c r="E1016" s="105" t="str">
        <f>_xlfn.CONCAT(_xlfn.XLOOKUP("[S05_InstallationDifferentSamplingFrequency][9][CountInstallationsDiffFrequency]",Submission!$O:$O,Submission!$H:$N,""))</f>
        <v>1</v>
      </c>
      <c r="F1016" s="105" t="str">
        <f>_xlfn.CONCAT(_xlfn.XLOOKUP("[S05_InstallationDifferentSamplingFrequency][9][MajorSourceStreams]",Submission!$O:$O,Submission!$H:$N,""))</f>
        <v>0</v>
      </c>
      <c r="G1016" s="47" t="str">
        <f>_xlfn.CONCAT(_xlfn.XLOOKUP("[S05_InstallationDifferentSamplingFrequency][9][SamplingPlanDocumented]",Submission!$O:$O,Submission!$H:$N,""))</f>
        <v>Yes</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FLUX EVENT CMS</v>
      </c>
      <c r="D1017" s="260"/>
      <c r="E1017" s="105" t="str">
        <f>_xlfn.CONCAT(_xlfn.XLOOKUP("[S05_InstallationDifferentSamplingFrequency][10][CountInstallationsDiffFrequency]",Submission!$O:$O,Submission!$H:$N,""))</f>
        <v>1</v>
      </c>
      <c r="F1017" s="105" t="str">
        <f>_xlfn.CONCAT(_xlfn.XLOOKUP("[S05_InstallationDifferentSamplingFrequency][10][MajorSourceStreams]",Submission!$O:$O,Submission!$H:$N,""))</f>
        <v>0</v>
      </c>
      <c r="G1017" s="47" t="str">
        <f>_xlfn.CONCAT(_xlfn.XLOOKUP("[S05_InstallationDifferentSamplingFrequency][10][SamplingPlanDocumented]",Submission!$O:$O,Submission!$H:$N,""))</f>
        <v>Yes</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charbon importé</v>
      </c>
      <c r="D1018" s="260"/>
      <c r="E1018" s="105" t="str">
        <f>_xlfn.CONCAT(_xlfn.XLOOKUP("[S05_InstallationDifferentSamplingFrequency][11][CountInstallationsDiffFrequency]",Submission!$O:$O,Submission!$H:$N,""))</f>
        <v>1</v>
      </c>
      <c r="F1018" s="105" t="str">
        <f>_xlfn.CONCAT(_xlfn.XLOOKUP("[S05_InstallationDifferentSamplingFrequency][11][MajorSourceStreams]",Submission!$O:$O,Submission!$H:$N,""))</f>
        <v>1</v>
      </c>
      <c r="G1018" s="47" t="str">
        <f>_xlfn.CONCAT(_xlfn.XLOOKUP("[S05_InstallationDifferentSamplingFrequency][11][SamplingPlanDocumented]",Submission!$O:$O,Submission!$H:$N,""))</f>
        <v>Yes</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charbon cendreux</v>
      </c>
      <c r="D1019" s="260"/>
      <c r="E1019" s="105" t="str">
        <f>_xlfn.CONCAT(_xlfn.XLOOKUP("[S05_InstallationDifferentSamplingFrequency][12][CountInstallationsDiffFrequency]",Submission!$O:$O,Submission!$H:$N,""))</f>
        <v>1</v>
      </c>
      <c r="F1019" s="105" t="str">
        <f>_xlfn.CONCAT(_xlfn.XLOOKUP("[S05_InstallationDifferentSamplingFrequency][12][MajorSourceStreams]",Submission!$O:$O,Submission!$H:$N,""))</f>
        <v>1</v>
      </c>
      <c r="G1019" s="47" t="str">
        <f>_xlfn.CONCAT(_xlfn.XLOOKUP("[S05_InstallationDifferentSamplingFrequency][12][SamplingPlanDocumented]",Submission!$O:$O,Submission!$H:$N,""))</f>
        <v>Yes</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xml:space="preserve"> F6 Gaz Rés. OXO (GR OXO)</v>
      </c>
      <c r="D1020" s="260"/>
      <c r="E1020" s="105" t="str">
        <f>_xlfn.CONCAT(_xlfn.XLOOKUP("[S05_InstallationDifferentSamplingFrequency][13][CountInstallationsDiffFrequency]",Submission!$O:$O,Submission!$H:$N,""))</f>
        <v>1</v>
      </c>
      <c r="F1020" s="105" t="str">
        <f>_xlfn.CONCAT(_xlfn.XLOOKUP("[S05_InstallationDifferentSamplingFrequency][13][MajorSourceStreams]",Submission!$O:$O,Submission!$H:$N,""))</f>
        <v>0</v>
      </c>
      <c r="G1020" s="47" t="str">
        <f>_xlfn.CONCAT(_xlfn.XLOOKUP("[S05_InstallationDifferentSamplingFrequency][13][SamplingPlanDocumented]",Submission!$O:$O,Submission!$H:$N,""))</f>
        <v>Yes</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Purge PE (torche)</v>
      </c>
      <c r="D1021" s="260"/>
      <c r="E1021" s="105" t="str">
        <f>_xlfn.CONCAT(_xlfn.XLOOKUP("[S05_InstallationDifferentSamplingFrequency][14][CountInstallationsDiffFrequency]",Submission!$O:$O,Submission!$H:$N,""))</f>
        <v>1</v>
      </c>
      <c r="F1021" s="105" t="str">
        <f>_xlfn.CONCAT(_xlfn.XLOOKUP("[S05_InstallationDifferentSamplingFrequency][14][MajorSourceStreams]",Submission!$O:$O,Submission!$H:$N,""))</f>
        <v>0</v>
      </c>
      <c r="G1021" s="47" t="str">
        <f>_xlfn.CONCAT(_xlfn.XLOOKUP("[S05_InstallationDifferentSamplingFrequency][14][SamplingPlanDocumented]",Submission!$O:$O,Submission!$H:$N,""))</f>
        <v>Yes</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Purge PE (chaudières RC4)</v>
      </c>
      <c r="D1022" s="260"/>
      <c r="E1022" s="105" t="str">
        <f>_xlfn.CONCAT(_xlfn.XLOOKUP("[S05_InstallationDifferentSamplingFrequency][15][CountInstallationsDiffFrequency]",Submission!$O:$O,Submission!$H:$N,""))</f>
        <v>1</v>
      </c>
      <c r="F1022" s="105" t="str">
        <f>_xlfn.CONCAT(_xlfn.XLOOKUP("[S05_InstallationDifferentSamplingFrequency][15][MajorSourceStreams]",Submission!$O:$O,Submission!$H:$N,""))</f>
        <v>1</v>
      </c>
      <c r="G1022" s="47" t="str">
        <f>_xlfn.CONCAT(_xlfn.XLOOKUP("[S05_InstallationDifferentSamplingFrequency][15][SamplingPlanDocumented]",Submission!$O:$O,Submission!$H:$N,""))</f>
        <v>Yes</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Purge PE</v>
      </c>
      <c r="D1023" s="260"/>
      <c r="E1023" s="105" t="str">
        <f>_xlfn.CONCAT(_xlfn.XLOOKUP("[S05_InstallationDifferentSamplingFrequency][16][CountInstallationsDiffFrequency]",Submission!$O:$O,Submission!$H:$N,""))</f>
        <v>1</v>
      </c>
      <c r="F1023" s="105" t="str">
        <f>_xlfn.CONCAT(_xlfn.XLOOKUP("[S05_InstallationDifferentSamplingFrequency][16][MajorSourceStreams]",Submission!$O:$O,Submission!$H:$N,""))</f>
        <v>0</v>
      </c>
      <c r="G1023" s="47" t="str">
        <f>_xlfn.CONCAT(_xlfn.XLOOKUP("[S05_InstallationDifferentSamplingFrequency][16][SamplingPlanDocumented]",Submission!$O:$O,Submission!$H:$N,""))</f>
        <v>Yes</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Fuel gaz</v>
      </c>
      <c r="D1024" s="260"/>
      <c r="E1024" s="105" t="str">
        <f>_xlfn.CONCAT(_xlfn.XLOOKUP("[S05_InstallationDifferentSamplingFrequency][17][CountInstallationsDiffFrequency]",Submission!$O:$O,Submission!$H:$N,""))</f>
        <v>1</v>
      </c>
      <c r="F1024" s="105" t="str">
        <f>_xlfn.CONCAT(_xlfn.XLOOKUP("[S05_InstallationDifferentSamplingFrequency][17][MajorSourceStreams]",Submission!$O:$O,Submission!$H:$N,""))</f>
        <v>1</v>
      </c>
      <c r="G1024" s="47" t="str">
        <f>_xlfn.CONCAT(_xlfn.XLOOKUP("[S05_InstallationDifferentSamplingFrequency][17][SamplingPlanDocumented]",Submission!$O:$O,Submission!$H:$N,""))</f>
        <v>Yes</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FR000000000000259</v>
      </c>
      <c r="D1037" s="72" t="str">
        <f>_xlfn.CONCAT(_xlfn.XLOOKUP("[S05_CategoryCHighestTierNotApplied][1][SourceStreamAffected]",Submission!$O:$O,Submission!$H:$N,""))</f>
        <v>FCC Coke (F2)</v>
      </c>
      <c r="E1037" s="72" t="str">
        <f>_xlfn.CONCAT(_xlfn.XLOOKUP("[S05_CategoryCHighestTierNotApplied][1][EmissionSourceAffected]",Submission!$O:$O,Submission!$H:$N,""))</f>
        <v>/</v>
      </c>
      <c r="F1037" s="72" t="str">
        <f>_xlfn.CONCAT(_xlfn.XLOOKUP("[S05_CategoryCHighestTierNotApplied][1][MonitoringParameterAffected]",Submission!$O:$O,Submission!$H:$N,""))</f>
        <v>Quantity of fuel</v>
      </c>
      <c r="G1037" s="89" t="str">
        <f>_xlfn.CONCAT(_xlfn.XLOOKUP("[S05_CategoryCHighestTierNotApplied][1][HighestTierRequired]",Submission!$O:$O,Submission!$H:$N,""))</f>
        <v>4</v>
      </c>
      <c r="H1037" s="243" t="str">
        <f>_xlfn.CONCAT(_xlfn.XLOOKUP("[S05_CategoryCHighestTierNotApplied][1][TierInPractice]",Submission!$O:$O,Submission!$H:$N,""))</f>
        <v>Tier 3</v>
      </c>
      <c r="I1037" s="245"/>
    </row>
    <row r="1038" spans="1:9" ht="24.6" customHeight="1" x14ac:dyDescent="0.3">
      <c r="B1038" s="34"/>
      <c r="C1038" s="72" t="str">
        <f>_xlfn.CONCAT(_xlfn.XLOOKUP("[S05_CategoryCHighestTierNotApplied][2][InstallationID]",Submission!$O:$O,Submission!$H:$N,""))</f>
        <v>FR000000000000368</v>
      </c>
      <c r="D1038" s="72" t="str">
        <f>_xlfn.CONCAT(_xlfn.XLOOKUP("[S05_CategoryCHighestTierNotApplied][2][SourceStreamAffected]",Submission!$O:$O,Submission!$H:$N,""))</f>
        <v>Combustion of non-reusable used tire (F12)</v>
      </c>
      <c r="E1038" s="72" t="str">
        <f>_xlfn.CONCAT(_xlfn.XLOOKUP("[S05_CategoryCHighestTierNotApplied][2][EmissionSourceAffected]",Submission!$O:$O,Submission!$H:$N,""))</f>
        <v>/</v>
      </c>
      <c r="F1038" s="72" t="str">
        <f>_xlfn.CONCAT(_xlfn.XLOOKUP("[S05_CategoryCHighestTierNotApplied][2][MonitoringParameterAffected]",Submission!$O:$O,Submission!$H:$N,""))</f>
        <v>Emission factor</v>
      </c>
      <c r="G1038" s="89" t="str">
        <f>_xlfn.CONCAT(_xlfn.XLOOKUP("[S05_CategoryCHighestTierNotApplied][2][HighestTierRequired]",Submission!$O:$O,Submission!$H:$N,""))</f>
        <v>3</v>
      </c>
      <c r="H1038" s="243" t="str">
        <f>_xlfn.CONCAT(_xlfn.XLOOKUP("[S05_CategoryCHighestTierNotApplied][2][TierInPractice]",Submission!$O:$O,Submission!$H:$N,""))</f>
        <v>Tier 2a</v>
      </c>
      <c r="I1038" s="245"/>
    </row>
    <row r="1039" spans="1:9" ht="24.6" customHeight="1" x14ac:dyDescent="0.3">
      <c r="A1039" s="13"/>
      <c r="B1039" s="34"/>
      <c r="C1039" s="72" t="str">
        <f>_xlfn.CONCAT(_xlfn.XLOOKUP("[S05_CategoryCHighestTierNotApplied][3][InstallationID]",Submission!$O:$O,Submission!$H:$N,""))</f>
        <v>FR000000000000368</v>
      </c>
      <c r="D1039" s="72" t="str">
        <f>_xlfn.CONCAT(_xlfn.XLOOKUP("[S05_CategoryCHighestTierNotApplied][3][SourceStreamAffected]",Submission!$O:$O,Submission!$H:$N,""))</f>
        <v>Combustion of non-reusable used tire (F12)</v>
      </c>
      <c r="E1039" s="72" t="str">
        <f>_xlfn.CONCAT(_xlfn.XLOOKUP("[S05_CategoryCHighestTierNotApplied][3][EmissionSourceAffected]",Submission!$O:$O,Submission!$H:$N,""))</f>
        <v>/</v>
      </c>
      <c r="F1039" s="72" t="str">
        <f>_xlfn.CONCAT(_xlfn.XLOOKUP("[S05_CategoryCHighestTierNotApplied][3][MonitoringParameterAffected]",Submission!$O:$O,Submission!$H:$N,""))</f>
        <v>Net calorific value</v>
      </c>
      <c r="G1039" s="89" t="str">
        <f>_xlfn.CONCAT(_xlfn.XLOOKUP("[S05_CategoryCHighestTierNotApplied][3][HighestTierRequired]",Submission!$O:$O,Submission!$H:$N,""))</f>
        <v>3</v>
      </c>
      <c r="H1039" s="243" t="str">
        <f>_xlfn.CONCAT(_xlfn.XLOOKUP("[S05_CategoryCHighestTierNotApplied][3][TierInPractice]",Submission!$O:$O,Submission!$H:$N,""))</f>
        <v>Tier 2a</v>
      </c>
      <c r="I1039" s="245"/>
    </row>
    <row r="1040" spans="1:9" ht="24.6" customHeight="1" x14ac:dyDescent="0.3">
      <c r="B1040" s="34"/>
      <c r="C1040" s="72" t="str">
        <f>_xlfn.CONCAT(_xlfn.XLOOKUP("[S05_CategoryCHighestTierNotApplied][4][InstallationID]",Submission!$O:$O,Submission!$H:$N,""))</f>
        <v>FR000000000000427</v>
      </c>
      <c r="D1040" s="72" t="str">
        <f>_xlfn.CONCAT(_xlfn.XLOOKUP("[S05_CategoryCHighestTierNotApplied][4][SourceStreamAffected]",Submission!$O:$O,Submission!$H:$N,""))</f>
        <v>Refinery fuel gas (F1)</v>
      </c>
      <c r="E1040" s="72" t="str">
        <f>_xlfn.CONCAT(_xlfn.XLOOKUP("[S05_CategoryCHighestTierNotApplied][4][EmissionSourceAffected]",Submission!$O:$O,Submission!$H:$N,""))</f>
        <v>/</v>
      </c>
      <c r="F1040" s="72" t="str">
        <f>_xlfn.CONCAT(_xlfn.XLOOKUP("[S05_CategoryCHighestTierNotApplied][4][MonitoringParameterAffected]",Submission!$O:$O,Submission!$H:$N,""))</f>
        <v>Quantity of fuel</v>
      </c>
      <c r="G1040" s="89" t="str">
        <f>_xlfn.CONCAT(_xlfn.XLOOKUP("[S05_CategoryCHighestTierNotApplied][4][HighestTierRequired]",Submission!$O:$O,Submission!$H:$N,""))</f>
        <v>4</v>
      </c>
      <c r="H1040" s="243" t="str">
        <f>_xlfn.CONCAT(_xlfn.XLOOKUP("[S05_CategoryCHighestTierNotApplied][4][TierInPractice]",Submission!$O:$O,Submission!$H:$N,""))</f>
        <v>Tier 3</v>
      </c>
      <c r="I1040" s="245"/>
    </row>
    <row r="1041" spans="1:9" ht="24.6" customHeight="1" x14ac:dyDescent="0.3">
      <c r="B1041" s="34"/>
      <c r="C1041" s="72" t="str">
        <f>_xlfn.CONCAT(_xlfn.XLOOKUP("[S05_CategoryCHighestTierNotApplied][5][InstallationID]",Submission!$O:$O,Submission!$H:$N,""))</f>
        <v>FR000000000000427</v>
      </c>
      <c r="D1041" s="72" t="str">
        <f>_xlfn.CONCAT(_xlfn.XLOOKUP("[S05_CategoryCHighestTierNotApplied][5][SourceStreamAffected]",Submission!$O:$O,Submission!$H:$N,""))</f>
        <v>stream cracker fuel gas (F2)</v>
      </c>
      <c r="E1041" s="72" t="str">
        <f>_xlfn.CONCAT(_xlfn.XLOOKUP("[S05_CategoryCHighestTierNotApplied][5][EmissionSourceAffected]",Submission!$O:$O,Submission!$H:$N,""))</f>
        <v>/</v>
      </c>
      <c r="F1041" s="72" t="str">
        <f>_xlfn.CONCAT(_xlfn.XLOOKUP("[S05_CategoryCHighestTierNotApplied][5][MonitoringParameterAffected]",Submission!$O:$O,Submission!$H:$N,""))</f>
        <v>Quantity of fuel</v>
      </c>
      <c r="G1041" s="89" t="str">
        <f>_xlfn.CONCAT(_xlfn.XLOOKUP("[S05_CategoryCHighestTierNotApplied][5][HighestTierRequired]",Submission!$O:$O,Submission!$H:$N,""))</f>
        <v>4</v>
      </c>
      <c r="H1041" s="243" t="str">
        <f>_xlfn.CONCAT(_xlfn.XLOOKUP("[S05_CategoryCHighestTierNotApplied][5][TierInPractice]",Submission!$O:$O,Submission!$H:$N,""))</f>
        <v>Tier 3</v>
      </c>
      <c r="I1041" s="245"/>
    </row>
    <row r="1042" spans="1:9" ht="24.6" customHeight="1" x14ac:dyDescent="0.3">
      <c r="B1042" s="34"/>
      <c r="C1042" s="72" t="str">
        <f>_xlfn.CONCAT(_xlfn.XLOOKUP("[S05_CategoryCHighestTierNotApplied][6][InstallationID]",Submission!$O:$O,Submission!$H:$N,""))</f>
        <v>FR000000000000427</v>
      </c>
      <c r="D1042" s="72" t="str">
        <f>_xlfn.CONCAT(_xlfn.XLOOKUP("[S05_CategoryCHighestTierNotApplied][6][SourceStreamAffected]",Submission!$O:$O,Submission!$H:$N,""))</f>
        <v>FCC Coke (F3)</v>
      </c>
      <c r="E1042" s="72" t="str">
        <f>_xlfn.CONCAT(_xlfn.XLOOKUP("[S05_CategoryCHighestTierNotApplied][6][EmissionSourceAffected]",Submission!$O:$O,Submission!$H:$N,""))</f>
        <v>/</v>
      </c>
      <c r="F1042" s="72" t="str">
        <f>_xlfn.CONCAT(_xlfn.XLOOKUP("[S05_CategoryCHighestTierNotApplied][6][MonitoringParameterAffected]",Submission!$O:$O,Submission!$H:$N,""))</f>
        <v>Quantity of fuel</v>
      </c>
      <c r="G1042" s="89" t="str">
        <f>_xlfn.CONCAT(_xlfn.XLOOKUP("[S05_CategoryCHighestTierNotApplied][6][HighestTierRequired]",Submission!$O:$O,Submission!$H:$N,""))</f>
        <v>4</v>
      </c>
      <c r="H1042" s="243" t="str">
        <f>_xlfn.CONCAT(_xlfn.XLOOKUP("[S05_CategoryCHighestTierNotApplied][6][TierInPractice]",Submission!$O:$O,Submission!$H:$N,""))</f>
        <v>Tier 3</v>
      </c>
      <c r="I1042" s="245"/>
    </row>
    <row r="1043" spans="1:9" ht="24.6" customHeight="1" x14ac:dyDescent="0.3">
      <c r="B1043" s="34"/>
      <c r="C1043" s="72" t="str">
        <f>_xlfn.CONCAT(_xlfn.XLOOKUP("[S05_CategoryCHighestTierNotApplied][7][InstallationID]",Submission!$O:$O,Submission!$H:$N,""))</f>
        <v>FR000000000000616</v>
      </c>
      <c r="D1043" s="72" t="str">
        <f>_xlfn.CONCAT(_xlfn.XLOOKUP("[S05_CategoryCHighestTierNotApplied][7][SourceStreamAffected]",Submission!$O:$O,Submission!$H:$N,""))</f>
        <v>Combustion : Flaring (F4)</v>
      </c>
      <c r="E1043" s="72" t="str">
        <f>_xlfn.CONCAT(_xlfn.XLOOKUP("[S05_CategoryCHighestTierNotApplied][7][EmissionSourceAffected]",Submission!$O:$O,Submission!$H:$N,""))</f>
        <v>/</v>
      </c>
      <c r="F1043" s="72" t="str">
        <f>_xlfn.CONCAT(_xlfn.XLOOKUP("[S05_CategoryCHighestTierNotApplied][7][MonitoringParameterAffected]",Submission!$O:$O,Submission!$H:$N,""))</f>
        <v>Net calorific value</v>
      </c>
      <c r="G1043" s="89" t="str">
        <f>_xlfn.CONCAT(_xlfn.XLOOKUP("[S05_CategoryCHighestTierNotApplied][7][HighestTierRequired]",Submission!$O:$O,Submission!$H:$N,""))</f>
        <v>3</v>
      </c>
      <c r="H1043" s="243" t="str">
        <f>_xlfn.CONCAT(_xlfn.XLOOKUP("[S05_CategoryCHighestTierNotApplied][7][TierInPractice]",Submission!$O:$O,Submission!$H:$N,""))</f>
        <v>Tier 2a</v>
      </c>
      <c r="I1043" s="245"/>
    </row>
    <row r="1044" spans="1:9" ht="24.6" customHeight="1" x14ac:dyDescent="0.3">
      <c r="B1044" s="34"/>
      <c r="C1044" s="72" t="str">
        <f>_xlfn.CONCAT(_xlfn.XLOOKUP("[S05_CategoryCHighestTierNotApplied][8][InstallationID]",Submission!$O:$O,Submission!$H:$N,""))</f>
        <v>FR000000000000616</v>
      </c>
      <c r="D1044" s="72" t="str">
        <f>_xlfn.CONCAT(_xlfn.XLOOKUP("[S05_CategoryCHighestTierNotApplied][8][SourceStreamAffected]",Submission!$O:$O,Submission!$H:$N,""))</f>
        <v>Combustion : Flaring (F4)</v>
      </c>
      <c r="E1044" s="72" t="str">
        <f>_xlfn.CONCAT(_xlfn.XLOOKUP("[S05_CategoryCHighestTierNotApplied][8][EmissionSourceAffected]",Submission!$O:$O,Submission!$H:$N,""))</f>
        <v>/</v>
      </c>
      <c r="F1044" s="72" t="str">
        <f>_xlfn.CONCAT(_xlfn.XLOOKUP("[S05_CategoryCHighestTierNotApplied][8][MonitoringParameterAffected]",Submission!$O:$O,Submission!$H:$N,""))</f>
        <v>Emission factor</v>
      </c>
      <c r="G1044" s="89" t="str">
        <f>_xlfn.CONCAT(_xlfn.XLOOKUP("[S05_CategoryCHighestTierNotApplied][8][HighestTierRequired]",Submission!$O:$O,Submission!$H:$N,""))</f>
        <v>3</v>
      </c>
      <c r="H1044" s="243" t="str">
        <f>_xlfn.CONCAT(_xlfn.XLOOKUP("[S05_CategoryCHighestTierNotApplied][8][TierInPractice]",Submission!$O:$O,Submission!$H:$N,""))</f>
        <v>Tier 2b</v>
      </c>
      <c r="I1044" s="245"/>
    </row>
    <row r="1045" spans="1:9" ht="24.6" customHeight="1" x14ac:dyDescent="0.3">
      <c r="A1045" s="13"/>
      <c r="B1045" s="34"/>
      <c r="C1045" s="72" t="str">
        <f>_xlfn.CONCAT(_xlfn.XLOOKUP("[S05_CategoryCHighestTierNotApplied][9][InstallationID]",Submission!$O:$O,Submission!$H:$N,""))</f>
        <v>FR000000000000622</v>
      </c>
      <c r="D1045" s="72" t="str">
        <f>_xlfn.CONCAT(_xlfn.XLOOKUP("[S05_CategoryCHighestTierNotApplied][9][SourceStreamAffected]",Submission!$O:$O,Submission!$H:$N,""))</f>
        <v>Combustion : Refinery Fuel Gas (F10)</v>
      </c>
      <c r="E1045" s="72" t="str">
        <f>_xlfn.CONCAT(_xlfn.XLOOKUP("[S05_CategoryCHighestTierNotApplied][9][EmissionSourceAffected]",Submission!$O:$O,Submission!$H:$N,""))</f>
        <v>/</v>
      </c>
      <c r="F1045" s="72" t="str">
        <f>_xlfn.CONCAT(_xlfn.XLOOKUP("[S05_CategoryCHighestTierNotApplied][9][MonitoringParameterAffected]",Submission!$O:$O,Submission!$H:$N,""))</f>
        <v>Emission factor</v>
      </c>
      <c r="G1045" s="89" t="str">
        <f>_xlfn.CONCAT(_xlfn.XLOOKUP("[S05_CategoryCHighestTierNotApplied][9][HighestTierRequired]",Submission!$O:$O,Submission!$H:$N,""))</f>
        <v>3</v>
      </c>
      <c r="H1045" s="243" t="str">
        <f>_xlfn.CONCAT(_xlfn.XLOOKUP("[S05_CategoryCHighestTierNotApplied][9][TierInPractice]",Submission!$O:$O,Submission!$H:$N,""))</f>
        <v>Tier 2b</v>
      </c>
      <c r="I1045" s="245"/>
    </row>
    <row r="1046" spans="1:9" ht="24.6" customHeight="1" x14ac:dyDescent="0.3">
      <c r="A1046" s="13"/>
      <c r="B1046" s="34"/>
      <c r="C1046" s="72" t="str">
        <f>_xlfn.CONCAT(_xlfn.XLOOKUP("[S05_CategoryCHighestTierNotApplied][10][InstallationID]",Submission!$O:$O,Submission!$H:$N,""))</f>
        <v>FR000000000000627</v>
      </c>
      <c r="D1046" s="72" t="str">
        <f>_xlfn.CONCAT(_xlfn.XLOOKUP("[S05_CategoryCHighestTierNotApplied][10][SourceStreamAffected]",Submission!$O:$O,Submission!$H:$N,""))</f>
        <v>Refinery fuel gas (F3)</v>
      </c>
      <c r="E1046" s="72" t="str">
        <f>_xlfn.CONCAT(_xlfn.XLOOKUP("[S05_CategoryCHighestTierNotApplied][10][EmissionSourceAffected]",Submission!$O:$O,Submission!$H:$N,""))</f>
        <v>/</v>
      </c>
      <c r="F1046" s="72" t="str">
        <f>_xlfn.CONCAT(_xlfn.XLOOKUP("[S05_CategoryCHighestTierNotApplied][10][MonitoringParameterAffected]",Submission!$O:$O,Submission!$H:$N,""))</f>
        <v>Emission factor</v>
      </c>
      <c r="G1046" s="89" t="str">
        <f>_xlfn.CONCAT(_xlfn.XLOOKUP("[S05_CategoryCHighestTierNotApplied][10][HighestTierRequired]",Submission!$O:$O,Submission!$H:$N,""))</f>
        <v>3</v>
      </c>
      <c r="H1046" s="243" t="str">
        <f>_xlfn.CONCAT(_xlfn.XLOOKUP("[S05_CategoryCHighestTierNotApplied][10][TierInPractice]",Submission!$O:$O,Submission!$H:$N,""))</f>
        <v>Tier 2b</v>
      </c>
      <c r="I1046" s="245"/>
    </row>
    <row r="1047" spans="1:9" ht="24.6" customHeight="1" x14ac:dyDescent="0.3">
      <c r="B1047" s="34"/>
      <c r="C1047" s="72" t="str">
        <f>_xlfn.CONCAT(_xlfn.XLOOKUP("[S05_CategoryCHighestTierNotApplied][11][InstallationID]",Submission!$O:$O,Submission!$H:$N,""))</f>
        <v>FR000000000000937</v>
      </c>
      <c r="D1047" s="72" t="str">
        <f>_xlfn.CONCAT(_xlfn.XLOOKUP("[S05_CategoryCHighestTierNotApplied][11][SourceStreamAffected]",Submission!$O:$O,Submission!$H:$N,""))</f>
        <v>Industrial Waste : DIB/Textile</v>
      </c>
      <c r="E1047" s="72" t="str">
        <f>_xlfn.CONCAT(_xlfn.XLOOKUP("[S05_CategoryCHighestTierNotApplied][11][EmissionSourceAffected]",Submission!$O:$O,Submission!$H:$N,""))</f>
        <v>/</v>
      </c>
      <c r="F1047" s="72" t="str">
        <f>_xlfn.CONCAT(_xlfn.XLOOKUP("[S05_CategoryCHighestTierNotApplied][11][MonitoringParameterAffected]",Submission!$O:$O,Submission!$H:$N,""))</f>
        <v>Biomass fraction</v>
      </c>
      <c r="G1047" s="89" t="str">
        <f>_xlfn.CONCAT(_xlfn.XLOOKUP("[S05_CategoryCHighestTierNotApplied][11][HighestTierRequired]",Submission!$O:$O,Submission!$H:$N,""))</f>
        <v>3</v>
      </c>
      <c r="H1047" s="243" t="str">
        <f>_xlfn.CONCAT(_xlfn.XLOOKUP("[S05_CategoryCHighestTierNotApplied][11][TierInPractice]",Submission!$O:$O,Submission!$H:$N,""))</f>
        <v>Tier 2</v>
      </c>
      <c r="I1047" s="245"/>
    </row>
    <row r="1048" spans="1:9" ht="24.6" customHeight="1" x14ac:dyDescent="0.3">
      <c r="A1048" s="13"/>
      <c r="B1048" s="34"/>
      <c r="C1048" s="72" t="str">
        <f>_xlfn.CONCAT(_xlfn.XLOOKUP("[S05_CategoryCHighestTierNotApplied][12][InstallationID]",Submission!$O:$O,Submission!$H:$N,""))</f>
        <v>FR000000000000534</v>
      </c>
      <c r="D1048" s="72" t="str">
        <f>_xlfn.CONCAT(_xlfn.XLOOKUP("[S05_CategoryCHighestTierNotApplied][12][SourceStreamAffected]",Submission!$O:$O,Submission!$H:$N,""))</f>
        <v>Combustion of non-reusable used tire (F7)</v>
      </c>
      <c r="E1048" s="72" t="str">
        <f>_xlfn.CONCAT(_xlfn.XLOOKUP("[S05_CategoryCHighestTierNotApplied][12][EmissionSourceAffected]",Submission!$O:$O,Submission!$H:$N,""))</f>
        <v>/</v>
      </c>
      <c r="F1048" s="72" t="str">
        <f>_xlfn.CONCAT(_xlfn.XLOOKUP("[S05_CategoryCHighestTierNotApplied][12][MonitoringParameterAffected]",Submission!$O:$O,Submission!$H:$N,""))</f>
        <v>Emission factor</v>
      </c>
      <c r="G1048" s="89" t="str">
        <f>_xlfn.CONCAT(_xlfn.XLOOKUP("[S05_CategoryCHighestTierNotApplied][12][HighestTierRequired]",Submission!$O:$O,Submission!$H:$N,""))</f>
        <v>3</v>
      </c>
      <c r="H1048" s="243" t="str">
        <f>_xlfn.CONCAT(_xlfn.XLOOKUP("[S05_CategoryCHighestTierNotApplied][12][TierInPractice]",Submission!$O:$O,Submission!$H:$N,""))</f>
        <v>Tier 2a</v>
      </c>
      <c r="I1048" s="245"/>
    </row>
    <row r="1049" spans="1:9" ht="24.6" customHeight="1" x14ac:dyDescent="0.3">
      <c r="A1049" s="13"/>
      <c r="B1049" s="34"/>
      <c r="C1049" s="72" t="str">
        <f>_xlfn.CONCAT(_xlfn.XLOOKUP("[S05_CategoryCHighestTierNotApplied][13][InstallationID]",Submission!$O:$O,Submission!$H:$N,""))</f>
        <v>FR000000000000534</v>
      </c>
      <c r="D1049" s="72" t="str">
        <f>_xlfn.CONCAT(_xlfn.XLOOKUP("[S05_CategoryCHighestTierNotApplied][13][SourceStreamAffected]",Submission!$O:$O,Submission!$H:$N,""))</f>
        <v>Combustion of non-reusable used tire (F7)</v>
      </c>
      <c r="E1049" s="72" t="str">
        <f>_xlfn.CONCAT(_xlfn.XLOOKUP("[S05_CategoryCHighestTierNotApplied][13][EmissionSourceAffected]",Submission!$O:$O,Submission!$H:$N,""))</f>
        <v>/</v>
      </c>
      <c r="F1049" s="72" t="str">
        <f>_xlfn.CONCAT(_xlfn.XLOOKUP("[S05_CategoryCHighestTierNotApplied][13][MonitoringParameterAffected]",Submission!$O:$O,Submission!$H:$N,""))</f>
        <v>Net calorific value</v>
      </c>
      <c r="G1049" s="89" t="str">
        <f>_xlfn.CONCAT(_xlfn.XLOOKUP("[S05_CategoryCHighestTierNotApplied][13][HighestTierRequired]",Submission!$O:$O,Submission!$H:$N,""))</f>
        <v>3</v>
      </c>
      <c r="H1049" s="243" t="str">
        <f>_xlfn.CONCAT(_xlfn.XLOOKUP("[S05_CategoryCHighestTierNotApplied][13][TierInPractice]",Submission!$O:$O,Submission!$H:$N,""))</f>
        <v>Tier 2a</v>
      </c>
      <c r="I1049" s="245"/>
    </row>
    <row r="1050" spans="1:9" ht="24.6" customHeight="1" x14ac:dyDescent="0.3">
      <c r="A1050" s="13"/>
      <c r="B1050" s="34"/>
      <c r="C1050" s="72" t="str">
        <f>_xlfn.CONCAT(_xlfn.XLOOKUP("[S05_CategoryCHighestTierNotApplied][14][InstallationID]",Submission!$O:$O,Submission!$H:$N,""))</f>
        <v>FR000000000000534</v>
      </c>
      <c r="D1050" s="72" t="str">
        <f>_xlfn.CONCAT(_xlfn.XLOOKUP("[S05_CategoryCHighestTierNotApplied][14][SourceStreamAffected]",Submission!$O:$O,Submission!$H:$N,""))</f>
        <v>Combustion fluff préca (F14)</v>
      </c>
      <c r="E1050" s="72" t="str">
        <f>_xlfn.CONCAT(_xlfn.XLOOKUP("[S05_CategoryCHighestTierNotApplied][14][EmissionSourceAffected]",Submission!$O:$O,Submission!$H:$N,""))</f>
        <v>/</v>
      </c>
      <c r="F1050" s="72" t="str">
        <f>_xlfn.CONCAT(_xlfn.XLOOKUP("[S05_CategoryCHighestTierNotApplied][14][MonitoringParameterAffected]",Submission!$O:$O,Submission!$H:$N,""))</f>
        <v>Quantity of fuel</v>
      </c>
      <c r="G1050" s="89" t="str">
        <f>_xlfn.CONCAT(_xlfn.XLOOKUP("[S05_CategoryCHighestTierNotApplied][14][HighestTierRequired]",Submission!$O:$O,Submission!$H:$N,""))</f>
        <v>4</v>
      </c>
      <c r="H1050" s="243" t="str">
        <f>_xlfn.CONCAT(_xlfn.XLOOKUP("[S05_CategoryCHighestTierNotApplied][14][TierInPractice]",Submission!$O:$O,Submission!$H:$N,""))</f>
        <v>Tier 3</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Calculation based methodology</v>
      </c>
      <c r="D1098" s="260"/>
      <c r="E1098" s="274" t="str">
        <f>_xlfn.CONCAT(_xlfn.XLOOKUP("[S05_CategoryBHighestTierNotApplied][1][CategoryBMainActivity]",Submission!$O:$O,Submission!$H:$N,""))</f>
        <v>20 - Combustion of fuels as specified in Annex I of Directive 2003/87/EC</v>
      </c>
      <c r="F1098" s="369"/>
      <c r="G1098" s="259"/>
      <c r="H1098" s="351" t="str">
        <f>_xlfn.CONCAT(_xlfn.XLOOKUP("[S05_CategoryBHighestTierNotApplied][1][CategoryBInstallationsAffected]",Submission!$O:$O,Submission!$H:$N,""))</f>
        <v>9</v>
      </c>
      <c r="I1098" s="352"/>
    </row>
    <row r="1099" spans="1:9" ht="25.95" customHeight="1" x14ac:dyDescent="0.3">
      <c r="B1099" s="34"/>
      <c r="C1099" s="258" t="str">
        <f>_xlfn.CONCAT(_xlfn.XLOOKUP("[S05_CategoryBHighestTierNotApplied][2][MonitoringMethodology]",Submission!$O:$O,Submission!$H:$N,""))</f>
        <v>Calculation based methodology</v>
      </c>
      <c r="D1099" s="260"/>
      <c r="E1099" s="274" t="str">
        <f>_xlfn.CONCAT(_xlfn.XLOOKUP("[S05_CategoryBHighestTierNotApplied][2][CategoryBMainActivity]",Submission!$O:$O,Submission!$H:$N,""))</f>
        <v>21 - Refining of mineral oil</v>
      </c>
      <c r="F1099" s="369"/>
      <c r="G1099" s="259"/>
      <c r="H1099" s="351" t="str">
        <f>_xlfn.CONCAT(_xlfn.XLOOKUP("[S05_CategoryBHighestTierNotApplied][2][CategoryBInstallationsAffected]",Submission!$O:$O,Submission!$H:$N,""))</f>
        <v>1</v>
      </c>
      <c r="I1099" s="352"/>
    </row>
    <row r="1100" spans="1:9" ht="25.95" customHeight="1" x14ac:dyDescent="0.3">
      <c r="B1100" s="34"/>
      <c r="C1100" s="258" t="str">
        <f>_xlfn.CONCAT(_xlfn.XLOOKUP("[S05_CategoryBHighestTierNotApplied][3][MonitoringMethodology]",Submission!$O:$O,Submission!$H:$N,""))</f>
        <v>Calculation based methodology</v>
      </c>
      <c r="D1100" s="260"/>
      <c r="E1100" s="274" t="str">
        <f>_xlfn.CONCAT(_xlfn.XLOOKUP("[S05_CategoryBHighestTierNotApplied][3][CategoryBMainActivity]",Submission!$O:$O,Submission!$H:$N,""))</f>
        <v>24 - Production of pig iron or steel as specified in Annex I of Directive 2003/87/EC</v>
      </c>
      <c r="F1100" s="369"/>
      <c r="G1100" s="259"/>
      <c r="H1100" s="351" t="str">
        <f>_xlfn.CONCAT(_xlfn.XLOOKUP("[S05_CategoryBHighestTierNotApplied][3][CategoryBInstallationsAffected]",Submission!$O:$O,Submission!$H:$N,""))</f>
        <v>4</v>
      </c>
      <c r="I1100" s="352"/>
    </row>
    <row r="1101" spans="1:9" ht="25.95" customHeight="1" x14ac:dyDescent="0.3">
      <c r="B1101" s="34"/>
      <c r="C1101" s="258" t="str">
        <f>_xlfn.CONCAT(_xlfn.XLOOKUP("[S05_CategoryBHighestTierNotApplied][4][MonitoringMethodology]",Submission!$O:$O,Submission!$H:$N,""))</f>
        <v>Calculation based methodology</v>
      </c>
      <c r="D1101" s="260"/>
      <c r="E1101" s="274" t="str">
        <f>_xlfn.CONCAT(_xlfn.XLOOKUP("[S05_CategoryBHighestTierNotApplied][4][CategoryBMainActivity]",Submission!$O:$O,Submission!$H:$N,""))</f>
        <v>29 - Production of cement clinker in rotary kilns as specified in Annex I of Directive 2003/87/ EC</v>
      </c>
      <c r="F1101" s="369"/>
      <c r="G1101" s="259"/>
      <c r="H1101" s="351" t="str">
        <f>_xlfn.CONCAT(_xlfn.XLOOKUP("[S05_CategoryBHighestTierNotApplied][4][CategoryBInstallationsAffected]",Submission!$O:$O,Submission!$H:$N,""))</f>
        <v>4</v>
      </c>
      <c r="I1101" s="352"/>
    </row>
    <row r="1102" spans="1:9" ht="25.95" customHeight="1" x14ac:dyDescent="0.3">
      <c r="B1102" s="34"/>
      <c r="C1102" s="258" t="str">
        <f>_xlfn.CONCAT(_xlfn.XLOOKUP("[S05_CategoryBHighestTierNotApplied][5][MonitoringMethodology]",Submission!$O:$O,Submission!$H:$N,""))</f>
        <v>Calculation based methodology</v>
      </c>
      <c r="D1102" s="260"/>
      <c r="E1102" s="274" t="str">
        <f>_xlfn.CONCAT(_xlfn.XLOOKUP("[S05_CategoryBHighestTierNotApplied][5][CategoryBMainActivity]",Submission!$O:$O,Submission!$H:$N,""))</f>
        <v>31 - Manufacture of glass as specified in Annex I of Directive 2003/87/EC</v>
      </c>
      <c r="F1102" s="369"/>
      <c r="G1102" s="259"/>
      <c r="H1102" s="351" t="str">
        <f>_xlfn.CONCAT(_xlfn.XLOOKUP("[S05_CategoryBHighestTierNotApplied][5][CategoryBInstallationsAffected]",Submission!$O:$O,Submission!$H:$N,""))</f>
        <v>1</v>
      </c>
      <c r="I1102" s="352"/>
    </row>
    <row r="1103" spans="1:9" ht="25.95" customHeight="1" x14ac:dyDescent="0.3">
      <c r="B1103" s="34"/>
      <c r="C1103" s="258" t="str">
        <f>_xlfn.CONCAT(_xlfn.XLOOKUP("[S05_CategoryBHighestTierNotApplied][6][MonitoringMethodology]",Submission!$O:$O,Submission!$H:$N,""))</f>
        <v>Calculation based methodology</v>
      </c>
      <c r="D1103" s="260"/>
      <c r="E1103" s="274" t="str">
        <f>_xlfn.CONCAT(_xlfn.XLOOKUP("[S05_CategoryBHighestTierNotApplied][6][CategoryBMainActivity]",Submission!$O:$O,Submission!$H:$N,""))</f>
        <v xml:space="preserve">36 - Production of paper or cardboard as specified in Annex I of Directive 2003/87/EC </v>
      </c>
      <c r="F1103" s="369"/>
      <c r="G1103" s="259"/>
      <c r="H1103" s="351" t="str">
        <f>_xlfn.CONCAT(_xlfn.XLOOKUP("[S05_CategoryBHighestTierNotApplied][6][CategoryBInstallationsAffected]",Submission!$O:$O,Submission!$H:$N,""))</f>
        <v>1</v>
      </c>
      <c r="I1103" s="352"/>
    </row>
    <row r="1104" spans="1:9" ht="25.95" customHeight="1" x14ac:dyDescent="0.3">
      <c r="B1104" s="34"/>
      <c r="C1104" s="258" t="str">
        <f>_xlfn.CONCAT(_xlfn.XLOOKUP("[S05_CategoryBHighestTierNotApplied][7][MonitoringMethodology]",Submission!$O:$O,Submission!$H:$N,""))</f>
        <v>Calculation based methodology</v>
      </c>
      <c r="D1104" s="260"/>
      <c r="E1104" s="274" t="str">
        <f>_xlfn.CONCAT(_xlfn.XLOOKUP("[S05_CategoryBHighestTierNotApplied][7][CategoryBMainActivity]",Submission!$O:$O,Submission!$H:$N,""))</f>
        <v xml:space="preserve">42 - Production of bulk organic chemicals as specified in Annex I of Directive 2003/87/EC </v>
      </c>
      <c r="F1104" s="369"/>
      <c r="G1104" s="259"/>
      <c r="H1104" s="351" t="str">
        <f>_xlfn.CONCAT(_xlfn.XLOOKUP("[S05_CategoryBHighestTierNotApplied][7][CategoryBInstallationsAffected]",Submission!$O:$O,Submission!$H:$N,""))</f>
        <v>1</v>
      </c>
      <c r="I1104" s="352"/>
    </row>
    <row r="1105" spans="1:9" ht="25.95" hidden="1" customHeight="1" outlineLevel="1" x14ac:dyDescent="0.3">
      <c r="B1105" s="34"/>
      <c r="C1105" s="258" t="str">
        <f>_xlfn.CONCAT(_xlfn.XLOOKUP("[S05_CategoryBHighestTierNotApplied][8][MonitoringMethodology]",Submission!$O:$O,Submission!$H:$N,""))</f>
        <v/>
      </c>
      <c r="D1105" s="260"/>
      <c r="E1105" s="274" t="str">
        <f>_xlfn.CONCAT(_xlfn.XLOOKUP("[S05_CategoryBHighestTierNotApplied][8][CategoryBMainActivity]",Submission!$O:$O,Submission!$H:$N,""))</f>
        <v/>
      </c>
      <c r="F1105" s="369"/>
      <c r="G1105" s="259"/>
      <c r="H1105" s="351" t="str">
        <f>_xlfn.CONCAT(_xlfn.XLOOKUP("[S05_CategoryBHighestTierNotApplied][8][CategoryBInstallationsAffected]",Submission!$O:$O,Submission!$H:$N,""))</f>
        <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Yes</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FR000000000000033</v>
      </c>
      <c r="D1127" s="258" t="str">
        <f>_xlfn.CONCAT(_xlfn.XLOOKUP("[S05_FallBackApproachAppliedDetail][1][FallBackReason]",Submission!$O:$O,Submission!$H:$N,""))</f>
        <v>Applying tier 1 is technically infeasible or leads to unreasonable costs for more than one major or minor source streams</v>
      </c>
      <c r="E1127" s="353"/>
      <c r="F1127" s="353"/>
      <c r="G1127" s="260"/>
      <c r="H1127" s="72" t="str">
        <f>_xlfn.CONCAT(_xlfn.XLOOKUP("[S05_FallBackApproachAppliedDetail][1][ParameterNotTier1]",Submission!$O:$O,Submission!$H:$N,""))</f>
        <v>Quantity of fuel</v>
      </c>
      <c r="I1127" s="124" t="str">
        <f>_xlfn.CONCAT(_xlfn.XLOOKUP("[S05_FallBackApproachAppliedDetail][1][ParameterEmissions]",Submission!$O:$O,Submission!$H:$N,""))</f>
        <v>13728.02</v>
      </c>
    </row>
    <row r="1128" spans="1:9" s="58" customFormat="1" ht="27.75" customHeight="1" x14ac:dyDescent="0.3">
      <c r="A1128" s="57"/>
      <c r="B1128" s="74"/>
      <c r="C1128" s="72" t="str">
        <f>_xlfn.CONCAT(_xlfn.XLOOKUP("[S05_FallBackApproachAppliedDetail][2][FallbackInstallationID]",Submission!$O:$O,Submission!$H:$N,""))</f>
        <v>FR000000000000349</v>
      </c>
      <c r="D1128" s="258" t="str">
        <f>_xlfn.CONCAT(_xlfn.XLOOKUP("[S05_FallBackApproachAppliedDetail][2][FallBackReason]",Submission!$O:$O,Submission!$H:$N,""))</f>
        <v>Applying tier 1 is technically infeasible or leads to unreasonable costs for more than one major or minor source streams</v>
      </c>
      <c r="E1128" s="353"/>
      <c r="F1128" s="353"/>
      <c r="G1128" s="260"/>
      <c r="H1128" s="72" t="str">
        <f>_xlfn.CONCAT(_xlfn.XLOOKUP("[S05_FallBackApproachAppliedDetail][2][ParameterNotTier1]",Submission!$O:$O,Submission!$H:$N,""))</f>
        <v>Quantity of fuel</v>
      </c>
      <c r="I1128" s="124" t="str">
        <f>_xlfn.CONCAT(_xlfn.XLOOKUP("[S05_FallBackApproachAppliedDetail][2][ParameterEmissions]",Submission!$O:$O,Submission!$H:$N,""))</f>
        <v>903.36</v>
      </c>
    </row>
    <row r="1129" spans="1:9" s="58" customFormat="1" ht="27.75" customHeight="1" x14ac:dyDescent="0.3">
      <c r="A1129" s="57"/>
      <c r="B1129" s="74"/>
      <c r="C1129" s="72" t="str">
        <f>_xlfn.CONCAT(_xlfn.XLOOKUP("[S05_FallBackApproachAppliedDetail][3][FallbackInstallationID]",Submission!$O:$O,Submission!$H:$N,""))</f>
        <v>FR000000000000349</v>
      </c>
      <c r="D1129" s="258" t="str">
        <f>_xlfn.CONCAT(_xlfn.XLOOKUP("[S05_FallBackApproachAppliedDetail][3][FallBackReason]",Submission!$O:$O,Submission!$H:$N,""))</f>
        <v>Applying tier 1 is technically infeasible or leads to unreasonable costs for one minor source stream</v>
      </c>
      <c r="E1129" s="353"/>
      <c r="F1129" s="353"/>
      <c r="G1129" s="260"/>
      <c r="H1129" s="72" t="str">
        <f>_xlfn.CONCAT(_xlfn.XLOOKUP("[S05_FallBackApproachAppliedDetail][3][ParameterNotTier1]",Submission!$O:$O,Submission!$H:$N,""))</f>
        <v>Annual average hourly emissions in kg/h from the source</v>
      </c>
      <c r="I1129" s="124" t="str">
        <f>_xlfn.CONCAT(_xlfn.XLOOKUP("[S05_FallBackApproachAppliedDetail][3][ParameterEmissions]",Submission!$O:$O,Submission!$H:$N,""))</f>
        <v>416.75</v>
      </c>
    </row>
    <row r="1130" spans="1:9" s="58" customFormat="1" ht="27.75" customHeight="1" x14ac:dyDescent="0.3">
      <c r="A1130" s="57"/>
      <c r="B1130" s="74"/>
      <c r="C1130" s="72" t="str">
        <f>_xlfn.CONCAT(_xlfn.XLOOKUP("[S05_FallBackApproachAppliedDetail][4][FallbackInstallationID]",Submission!$O:$O,Submission!$H:$N,""))</f>
        <v>FR000000000000953</v>
      </c>
      <c r="D1130" s="258" t="str">
        <f>_xlfn.CONCAT(_xlfn.XLOOKUP("[S05_FallBackApproachAppliedDetail][4][FallBackReason]",Submission!$O:$O,Submission!$H:$N,""))</f>
        <v>Applying tier 1 is technically infeasible or leads to unreasonable costs for one minor source stream</v>
      </c>
      <c r="E1130" s="353"/>
      <c r="F1130" s="353"/>
      <c r="G1130" s="260"/>
      <c r="H1130" s="72" t="str">
        <f>_xlfn.CONCAT(_xlfn.XLOOKUP("[S05_FallBackApproachAppliedDetail][4][ParameterNotTier1]",Submission!$O:$O,Submission!$H:$N,""))</f>
        <v>Quantity of material</v>
      </c>
      <c r="I1130" s="124" t="str">
        <f>_xlfn.CONCAT(_xlfn.XLOOKUP("[S05_FallBackApproachAppliedDetail][4][ParameterEmissions]",Submission!$O:$O,Submission!$H:$N,""))</f>
        <v>-4999.832</v>
      </c>
    </row>
    <row r="1131" spans="1:9" s="58" customFormat="1" ht="27.75" hidden="1" customHeight="1" outlineLevel="1" x14ac:dyDescent="0.3">
      <c r="A1131" s="57"/>
      <c r="B1131" s="74"/>
      <c r="C1131" s="72" t="str">
        <f>_xlfn.CONCAT(_xlfn.XLOOKUP("[S05_FallBackApproachAppliedDetail][5][FallbackInstallationID]",Submission!$O:$O,Submission!$H:$N,""))</f>
        <v>FR000000000001064</v>
      </c>
      <c r="D1131" s="258" t="str">
        <f>_xlfn.CONCAT(_xlfn.XLOOKUP("[S05_FallBackApproachAppliedDetail][5][FallBackReason]",Submission!$O:$O,Submission!$H:$N,""))</f>
        <v>Applying tier 1 is technically infeasible or leads to unreasonable costs for one minor source stream</v>
      </c>
      <c r="E1131" s="353"/>
      <c r="F1131" s="353"/>
      <c r="G1131" s="260"/>
      <c r="H1131" s="72" t="str">
        <f>_xlfn.CONCAT(_xlfn.XLOOKUP("[S05_FallBackApproachAppliedDetail][5][ParameterNotTier1]",Submission!$O:$O,Submission!$H:$N,""))</f>
        <v>Quantity of fuel</v>
      </c>
      <c r="I1131" s="124" t="str">
        <f>_xlfn.CONCAT(_xlfn.XLOOKUP("[S05_FallBackApproachAppliedDetail][5][ParameterEmissions]",Submission!$O:$O,Submission!$H:$N,""))</f>
        <v>558.4</v>
      </c>
    </row>
    <row r="1132" spans="1:9" s="58" customFormat="1" ht="27.75" hidden="1" customHeight="1" outlineLevel="1" x14ac:dyDescent="0.3">
      <c r="A1132" s="57"/>
      <c r="B1132" s="74"/>
      <c r="C1132" s="72" t="str">
        <f>_xlfn.CONCAT(_xlfn.XLOOKUP("[S05_FallBackApproachAppliedDetail][6][FallbackInstallationID]",Submission!$O:$O,Submission!$H:$N,""))</f>
        <v>FR000000000001083</v>
      </c>
      <c r="D1132" s="258" t="str">
        <f>_xlfn.CONCAT(_xlfn.XLOOKUP("[S05_FallBackApproachAppliedDetail][6][FallBackReason]",Submission!$O:$O,Submission!$H:$N,""))</f>
        <v>Applying tier 1 is technically infeasible or leads to unreasonable costs for one minor source stream</v>
      </c>
      <c r="E1132" s="353"/>
      <c r="F1132" s="353"/>
      <c r="G1132" s="260"/>
      <c r="H1132" s="72" t="str">
        <f>_xlfn.CONCAT(_xlfn.XLOOKUP("[S05_FallBackApproachAppliedDetail][6][ParameterNotTier1]",Submission!$O:$O,Submission!$H:$N,""))</f>
        <v>Quantity of fuel</v>
      </c>
      <c r="I1132" s="124" t="str">
        <f>_xlfn.CONCAT(_xlfn.XLOOKUP("[S05_FallBackApproachAppliedDetail][6][ParameterEmissions]",Submission!$O:$O,Submission!$H:$N,""))</f>
        <v>3597.4</v>
      </c>
    </row>
    <row r="1133" spans="1:9" s="58" customFormat="1" ht="27.75" hidden="1" customHeight="1" outlineLevel="1" x14ac:dyDescent="0.3">
      <c r="A1133" s="57"/>
      <c r="B1133" s="74"/>
      <c r="C1133" s="72" t="str">
        <f>_xlfn.CONCAT(_xlfn.XLOOKUP("[S05_FallBackApproachAppliedDetail][7][FallbackInstallationID]",Submission!$O:$O,Submission!$H:$N,""))</f>
        <v>FR000000000205706</v>
      </c>
      <c r="D1133" s="258" t="str">
        <f>_xlfn.CONCAT(_xlfn.XLOOKUP("[S05_FallBackApproachAppliedDetail][7][FallBackReason]",Submission!$O:$O,Submission!$H:$N,""))</f>
        <v>Applying tier 1 is technically infeasible or leads to unreasonable costs for more than one major or minor source streams</v>
      </c>
      <c r="E1133" s="353"/>
      <c r="F1133" s="353"/>
      <c r="G1133" s="260"/>
      <c r="H1133" s="72" t="str">
        <f>_xlfn.CONCAT(_xlfn.XLOOKUP("[S05_FallBackApproachAppliedDetail][7][ParameterNotTier1]",Submission!$O:$O,Submission!$H:$N,""))</f>
        <v>Quantity of fuel</v>
      </c>
      <c r="I1133" s="124" t="str">
        <f>_xlfn.CONCAT(_xlfn.XLOOKUP("[S05_FallBackApproachAppliedDetail][7][ParameterEmissions]",Submission!$O:$O,Submission!$H:$N,""))</f>
        <v>13584</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Category B</v>
      </c>
      <c r="D1144" s="274" t="str">
        <f>_xlfn.CONCAT(_xlfn.XLOOKUP("[S05_ImprovementReportArt69]["&amp;ROW(B1144)-ROW($B$1143)&amp;"][Annex1Activity]",Submission!$O:$O,Submission!$H:$N,""))</f>
        <v>20 - Combustion of fuels as specified in Annex I of Directive 2003/87/EC</v>
      </c>
      <c r="E1144" s="364"/>
      <c r="F1144" s="258" t="str">
        <f>_xlfn.CONCAT(_xlfn.XLOOKUP("[S05_ImprovementReportArt69]["&amp;ROW(B1144)-ROW($B$1143)&amp;"][ImprovementReportType]",Submission!$O:$O,Submission!$H:$N,""))</f>
        <v>Improvement report in accordance with Article 69(1)</v>
      </c>
      <c r="G1144" s="259"/>
      <c r="H1144" s="124" t="str">
        <f>_xlfn.CONCAT(_xlfn.XLOOKUP("[S05_ImprovementReportArt69]["&amp;ROW(B1144)-ROW($B$1143)&amp;"][ImprovementReportRequired]",Submission!$O:$O,Submission!$H:$N,""))</f>
        <v>2</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B</v>
      </c>
      <c r="D1145" s="274" t="str">
        <f>_xlfn.CONCAT(_xlfn.XLOOKUP("[S05_ImprovementReportArt69]["&amp;ROW(B1145)-ROW($B$1143)&amp;"][Annex1Activity]",Submission!$O:$O,Submission!$H:$N,""))</f>
        <v>29 - Production of cement clinker in rotary kilns as specified in Annex I of Directive 2003/87/ EC</v>
      </c>
      <c r="E1145" s="364"/>
      <c r="F1145" s="258" t="str">
        <f>_xlfn.CONCAT(_xlfn.XLOOKUP("[S05_ImprovementReportArt69]["&amp;ROW(B1145)-ROW($B$1143)&amp;"][ImprovementReportType]",Submission!$O:$O,Submission!$H:$N,""))</f>
        <v>Improvement report in accordance with Article 69(1)</v>
      </c>
      <c r="G1145" s="259"/>
      <c r="H1145" s="124" t="str">
        <f>_xlfn.CONCAT(_xlfn.XLOOKUP("[S05_ImprovementReportArt69]["&amp;ROW(B1145)-ROW($B$1143)&amp;"][ImprovementReportRequired]",Submission!$O:$O,Submission!$H:$N,""))</f>
        <v>2</v>
      </c>
      <c r="I1145" s="124" t="str">
        <f>_xlfn.CONCAT(_xlfn.XLOOKUP("[S05_ImprovementReportArt69]["&amp;ROW(B1145)-ROW($B$1143)&amp;"][ImprovementReportSubmitted]",Submission!$O:$O,Submission!$H:$N,""))</f>
        <v>2</v>
      </c>
    </row>
    <row r="1146" spans="1:9" ht="27" customHeight="1" x14ac:dyDescent="0.3">
      <c r="A1146" s="12"/>
      <c r="C1146" s="47" t="str">
        <f>_xlfn.CONCAT(_xlfn.XLOOKUP("[S05_ImprovementReportArt69]["&amp;ROW(B1146)-ROW($B$1143)&amp;"][InstallationCategory]",Submission!$O:$O,Submission!$H:$N,""))</f>
        <v>Category C</v>
      </c>
      <c r="D1146" s="274" t="str">
        <f>_xlfn.CONCAT(_xlfn.XLOOKUP("[S05_ImprovementReportArt69]["&amp;ROW(B1146)-ROW($B$1143)&amp;"][Annex1Activity]",Submission!$O:$O,Submission!$H:$N,""))</f>
        <v>29 - Production of cement clinker in rotary kilns as specified in Annex I of Directive 2003/87/ EC</v>
      </c>
      <c r="E1146" s="364"/>
      <c r="F1146" s="258" t="str">
        <f>_xlfn.CONCAT(_xlfn.XLOOKUP("[S05_ImprovementReportArt69]["&amp;ROW(B1146)-ROW($B$1143)&amp;"][ImprovementReportType]",Submission!$O:$O,Submission!$H:$N,""))</f>
        <v>Improvement report in accordance with Article 69(1)</v>
      </c>
      <c r="G1146" s="259"/>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C</v>
      </c>
      <c r="D1147" s="274" t="str">
        <f>_xlfn.CONCAT(_xlfn.XLOOKUP("[S05_ImprovementReportArt69]["&amp;ROW(B1147)-ROW($B$1143)&amp;"][Annex1Activity]",Submission!$O:$O,Submission!$H:$N,""))</f>
        <v>21 - Refining of mineral oil</v>
      </c>
      <c r="E1147" s="364"/>
      <c r="F1147" s="258" t="str">
        <f>_xlfn.CONCAT(_xlfn.XLOOKUP("[S05_ImprovementReportArt69]["&amp;ROW(B1147)-ROW($B$1143)&amp;"][ImprovementReportType]",Submission!$O:$O,Submission!$H:$N,""))</f>
        <v>Improvement report in accordance with Article 69(1)</v>
      </c>
      <c r="G1147" s="259"/>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C</v>
      </c>
      <c r="D1148" s="274" t="str">
        <f>_xlfn.CONCAT(_xlfn.XLOOKUP("[S05_ImprovementReportArt69]["&amp;ROW(B1148)-ROW($B$1143)&amp;"][Annex1Activity]",Submission!$O:$O,Submission!$H:$N,""))</f>
        <v>20 - Combustion of fuels as specified in Annex I of Directive 2003/87/EC</v>
      </c>
      <c r="E1148" s="364"/>
      <c r="F1148" s="258" t="str">
        <f>_xlfn.CONCAT(_xlfn.XLOOKUP("[S05_ImprovementReportArt69]["&amp;ROW(B1148)-ROW($B$1143)&amp;"][ImprovementReportType]",Submission!$O:$O,Submission!$H:$N,""))</f>
        <v>Improvement report according to Article 69(4)</v>
      </c>
      <c r="G1148" s="259"/>
      <c r="H1148" s="124" t="str">
        <f>_xlfn.CONCAT(_xlfn.XLOOKUP("[S05_ImprovementReportArt69]["&amp;ROW(B1148)-ROW($B$1143)&amp;"][ImprovementReportRequired]",Submission!$O:$O,Submission!$H:$N,""))</f>
        <v>10</v>
      </c>
      <c r="I1148" s="124" t="str">
        <f>_xlfn.CONCAT(_xlfn.XLOOKUP("[S05_ImprovementReportArt69]["&amp;ROW(B1148)-ROW($B$1143)&amp;"][ImprovementReportSubmitted]",Submission!$O:$O,Submission!$H:$N,""))</f>
        <v>10</v>
      </c>
    </row>
    <row r="1149" spans="1:9" ht="27" customHeight="1" x14ac:dyDescent="0.3">
      <c r="A1149" s="12"/>
      <c r="C1149" s="47" t="str">
        <f>_xlfn.CONCAT(_xlfn.XLOOKUP("[S05_ImprovementReportArt69]["&amp;ROW(B1149)-ROW($B$1143)&amp;"][InstallationCategory]",Submission!$O:$O,Submission!$H:$N,""))</f>
        <v>Category C</v>
      </c>
      <c r="D1149" s="274" t="str">
        <f>_xlfn.CONCAT(_xlfn.XLOOKUP("[S05_ImprovementReportArt69]["&amp;ROW(B1149)-ROW($B$1143)&amp;"][Annex1Activity]",Submission!$O:$O,Submission!$H:$N,""))</f>
        <v>23 - Metal ore (including sulphide ore) roasting or sintering, including pelletisation</v>
      </c>
      <c r="E1149" s="364"/>
      <c r="F1149" s="258" t="str">
        <f>_xlfn.CONCAT(_xlfn.XLOOKUP("[S05_ImprovementReportArt69]["&amp;ROW(B1149)-ROW($B$1143)&amp;"][ImprovementReportType]",Submission!$O:$O,Submission!$H:$N,""))</f>
        <v>Improvement report according to Article 69(4)</v>
      </c>
      <c r="G1149" s="259"/>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Category C</v>
      </c>
      <c r="D1150" s="274" t="str">
        <f>_xlfn.CONCAT(_xlfn.XLOOKUP("[S05_ImprovementReportArt69]["&amp;ROW(B1150)-ROW($B$1143)&amp;"][Annex1Activity]",Submission!$O:$O,Submission!$H:$N,""))</f>
        <v>26 - Production of primary aluminium</v>
      </c>
      <c r="E1150" s="364"/>
      <c r="F1150" s="258" t="str">
        <f>_xlfn.CONCAT(_xlfn.XLOOKUP("[S05_ImprovementReportArt69]["&amp;ROW(B1150)-ROW($B$1143)&amp;"][ImprovementReportType]",Submission!$O:$O,Submission!$H:$N,""))</f>
        <v>Improvement report according to Article 69(4)</v>
      </c>
      <c r="G1150" s="259"/>
      <c r="H1150" s="124" t="str">
        <f>_xlfn.CONCAT(_xlfn.XLOOKUP("[S05_ImprovementReportArt69]["&amp;ROW(B1150)-ROW($B$1143)&amp;"][ImprovementReportRequired]",Submission!$O:$O,Submission!$H:$N,""))</f>
        <v>1</v>
      </c>
      <c r="I1150" s="124" t="str">
        <f>_xlfn.CONCAT(_xlfn.XLOOKUP("[S05_ImprovementReportArt69]["&amp;ROW(B1150)-ROW($B$1143)&amp;"][ImprovementReportSubmitted]",Submission!$O:$O,Submission!$H:$N,""))</f>
        <v>1</v>
      </c>
    </row>
    <row r="1151" spans="1:9" ht="27" customHeight="1" x14ac:dyDescent="0.3">
      <c r="A1151" s="12"/>
      <c r="C1151" s="47" t="str">
        <f>_xlfn.CONCAT(_xlfn.XLOOKUP("[S05_ImprovementReportArt69]["&amp;ROW(B1151)-ROW($B$1143)&amp;"][InstallationCategory]",Submission!$O:$O,Submission!$H:$N,""))</f>
        <v>Category C</v>
      </c>
      <c r="D1151" s="274" t="str">
        <f>_xlfn.CONCAT(_xlfn.XLOOKUP("[S05_ImprovementReportArt69]["&amp;ROW(B1151)-ROW($B$1143)&amp;"][Annex1Activity]",Submission!$O:$O,Submission!$H:$N,""))</f>
        <v xml:space="preserve">41 - Production of ammonia </v>
      </c>
      <c r="E1151" s="364"/>
      <c r="F1151" s="258" t="str">
        <f>_xlfn.CONCAT(_xlfn.XLOOKUP("[S05_ImprovementReportArt69]["&amp;ROW(B1151)-ROW($B$1143)&amp;"][ImprovementReportType]",Submission!$O:$O,Submission!$H:$N,""))</f>
        <v>Improvement report according to Article 69(4)</v>
      </c>
      <c r="G1151" s="259"/>
      <c r="H1151" s="124" t="str">
        <f>_xlfn.CONCAT(_xlfn.XLOOKUP("[S05_ImprovementReportArt69]["&amp;ROW(B1151)-ROW($B$1143)&amp;"][ImprovementReportRequired]",Submission!$O:$O,Submission!$H:$N,""))</f>
        <v>1</v>
      </c>
      <c r="I1151" s="124" t="str">
        <f>_xlfn.CONCAT(_xlfn.XLOOKUP("[S05_ImprovementReportArt69]["&amp;ROW(B1151)-ROW($B$1143)&amp;"][ImprovementReportSubmitted]",Submission!$O:$O,Submission!$H:$N,""))</f>
        <v>1</v>
      </c>
    </row>
    <row r="1152" spans="1:9" ht="27" customHeight="1" x14ac:dyDescent="0.3">
      <c r="A1152" s="12"/>
      <c r="C1152" s="47" t="str">
        <f>_xlfn.CONCAT(_xlfn.XLOOKUP("[S05_ImprovementReportArt69]["&amp;ROW(B1152)-ROW($B$1143)&amp;"][InstallationCategory]",Submission!$O:$O,Submission!$H:$N,""))</f>
        <v>Category C</v>
      </c>
      <c r="D1152" s="274" t="str">
        <f>_xlfn.CONCAT(_xlfn.XLOOKUP("[S05_ImprovementReportArt69]["&amp;ROW(B1152)-ROW($B$1143)&amp;"][Annex1Activity]",Submission!$O:$O,Submission!$H:$N,""))</f>
        <v>30 - Production of lime or calcination of dolomite or magnesite as specified in Annex I of Directive 2003/87/ EC</v>
      </c>
      <c r="E1152" s="364"/>
      <c r="F1152" s="258" t="str">
        <f>_xlfn.CONCAT(_xlfn.XLOOKUP("[S05_ImprovementReportArt69]["&amp;ROW(B1152)-ROW($B$1143)&amp;"][ImprovementReportType]",Submission!$O:$O,Submission!$H:$N,""))</f>
        <v>Improvement report according to Article 69(4)</v>
      </c>
      <c r="G1152" s="259"/>
      <c r="H1152" s="124" t="str">
        <f>_xlfn.CONCAT(_xlfn.XLOOKUP("[S05_ImprovementReportArt69]["&amp;ROW(B1152)-ROW($B$1143)&amp;"][ImprovementReportRequired]",Submission!$O:$O,Submission!$H:$N,""))</f>
        <v>1</v>
      </c>
      <c r="I1152" s="124" t="str">
        <f>_xlfn.CONCAT(_xlfn.XLOOKUP("[S05_ImprovementReportArt69]["&amp;ROW(B1152)-ROW($B$1143)&amp;"][ImprovementReportSubmitted]",Submission!$O:$O,Submission!$H:$N,""))</f>
        <v>1</v>
      </c>
    </row>
    <row r="1153" spans="1:9" ht="27" customHeight="1" x14ac:dyDescent="0.3">
      <c r="A1153" s="12"/>
      <c r="C1153" s="47" t="str">
        <f>_xlfn.CONCAT(_xlfn.XLOOKUP("[S05_ImprovementReportArt69]["&amp;ROW(B1153)-ROW($B$1143)&amp;"][InstallationCategory]",Submission!$O:$O,Submission!$H:$N,""))</f>
        <v>Category C</v>
      </c>
      <c r="D1153" s="274" t="str">
        <f>_xlfn.CONCAT(_xlfn.XLOOKUP("[S05_ImprovementReportArt69]["&amp;ROW(B1153)-ROW($B$1143)&amp;"][Annex1Activity]",Submission!$O:$O,Submission!$H:$N,""))</f>
        <v>29 - Production of cement clinker in rotary kilns as specified in Annex I of Directive 2003/87/ EC</v>
      </c>
      <c r="E1153" s="364"/>
      <c r="F1153" s="258" t="str">
        <f>_xlfn.CONCAT(_xlfn.XLOOKUP("[S05_ImprovementReportArt69]["&amp;ROW(B1153)-ROW($B$1143)&amp;"][ImprovementReportType]",Submission!$O:$O,Submission!$H:$N,""))</f>
        <v>Improvement report according to Article 69(4)</v>
      </c>
      <c r="G1153" s="259"/>
      <c r="H1153" s="124" t="str">
        <f>_xlfn.CONCAT(_xlfn.XLOOKUP("[S05_ImprovementReportArt69]["&amp;ROW(B1153)-ROW($B$1143)&amp;"][ImprovementReportRequired]",Submission!$O:$O,Submission!$H:$N,""))</f>
        <v>8</v>
      </c>
      <c r="I1153" s="124" t="str">
        <f>_xlfn.CONCAT(_xlfn.XLOOKUP("[S05_ImprovementReportArt69]["&amp;ROW(B1153)-ROW($B$1143)&amp;"][ImprovementReportSubmitted]",Submission!$O:$O,Submission!$H:$N,""))</f>
        <v>8</v>
      </c>
    </row>
    <row r="1154" spans="1:9" ht="27" customHeight="1" x14ac:dyDescent="0.3">
      <c r="A1154" s="12"/>
      <c r="C1154" s="47" t="str">
        <f>_xlfn.CONCAT(_xlfn.XLOOKUP("[S05_ImprovementReportArt69]["&amp;ROW(B1154)-ROW($B$1143)&amp;"][InstallationCategory]",Submission!$O:$O,Submission!$H:$N,""))</f>
        <v>Category C</v>
      </c>
      <c r="D1154" s="274" t="str">
        <f>_xlfn.CONCAT(_xlfn.XLOOKUP("[S05_ImprovementReportArt69]["&amp;ROW(B1154)-ROW($B$1143)&amp;"][Annex1Activity]",Submission!$O:$O,Submission!$H:$N,""))</f>
        <v>24 - Production of pig iron or steel as specified in Annex I of Directive 2003/87/EC</v>
      </c>
      <c r="E1154" s="364"/>
      <c r="F1154" s="258" t="str">
        <f>_xlfn.CONCAT(_xlfn.XLOOKUP("[S05_ImprovementReportArt69]["&amp;ROW(B1154)-ROW($B$1143)&amp;"][ImprovementReportType]",Submission!$O:$O,Submission!$H:$N,""))</f>
        <v>Improvement report according to Article 69(4)</v>
      </c>
      <c r="G1154" s="259"/>
      <c r="H1154" s="124" t="str">
        <f>_xlfn.CONCAT(_xlfn.XLOOKUP("[S05_ImprovementReportArt69]["&amp;ROW(B1154)-ROW($B$1143)&amp;"][ImprovementReportRequired]",Submission!$O:$O,Submission!$H:$N,""))</f>
        <v>1</v>
      </c>
      <c r="I1154" s="124" t="str">
        <f>_xlfn.CONCAT(_xlfn.XLOOKUP("[S05_ImprovementReportArt69]["&amp;ROW(B1154)-ROW($B$1143)&amp;"][ImprovementReportSubmitted]",Submission!$O:$O,Submission!$H:$N,""))</f>
        <v>1</v>
      </c>
    </row>
    <row r="1155" spans="1:9" ht="27" customHeight="1" x14ac:dyDescent="0.3">
      <c r="A1155" s="12"/>
      <c r="C1155" s="47" t="str">
        <f>_xlfn.CONCAT(_xlfn.XLOOKUP("[S05_ImprovementReportArt69]["&amp;ROW(B1155)-ROW($B$1143)&amp;"][InstallationCategory]",Submission!$O:$O,Submission!$H:$N,""))</f>
        <v>Category C</v>
      </c>
      <c r="D1155" s="274" t="str">
        <f>_xlfn.CONCAT(_xlfn.XLOOKUP("[S05_ImprovementReportArt69]["&amp;ROW(B1155)-ROW($B$1143)&amp;"][Annex1Activity]",Submission!$O:$O,Submission!$H:$N,""))</f>
        <v xml:space="preserve">42 - Production of bulk organic chemicals as specified in Annex I of Directive 2003/87/EC </v>
      </c>
      <c r="E1155" s="364"/>
      <c r="F1155" s="258" t="str">
        <f>_xlfn.CONCAT(_xlfn.XLOOKUP("[S05_ImprovementReportArt69]["&amp;ROW(B1155)-ROW($B$1143)&amp;"][ImprovementReportType]",Submission!$O:$O,Submission!$H:$N,""))</f>
        <v>Improvement report according to Article 69(4)</v>
      </c>
      <c r="G1155" s="259"/>
      <c r="H1155" s="124" t="str">
        <f>_xlfn.CONCAT(_xlfn.XLOOKUP("[S05_ImprovementReportArt69]["&amp;ROW(B1155)-ROW($B$1143)&amp;"][ImprovementReportRequired]",Submission!$O:$O,Submission!$H:$N,""))</f>
        <v>4</v>
      </c>
      <c r="I1155" s="124" t="str">
        <f>_xlfn.CONCAT(_xlfn.XLOOKUP("[S05_ImprovementReportArt69]["&amp;ROW(B1155)-ROW($B$1143)&amp;"][ImprovementReportSubmitted]",Submission!$O:$O,Submission!$H:$N,""))</f>
        <v>4</v>
      </c>
    </row>
    <row r="1156" spans="1:9" ht="27" customHeight="1" x14ac:dyDescent="0.3">
      <c r="A1156" s="12"/>
      <c r="C1156" s="47" t="str">
        <f>_xlfn.CONCAT(_xlfn.XLOOKUP("[S05_ImprovementReportArt69]["&amp;ROW(B1156)-ROW($B$1143)&amp;"][InstallationCategory]",Submission!$O:$O,Submission!$H:$N,""))</f>
        <v>Category C</v>
      </c>
      <c r="D1156" s="274" t="str">
        <f>_xlfn.CONCAT(_xlfn.XLOOKUP("[S05_ImprovementReportArt69]["&amp;ROW(B1156)-ROW($B$1143)&amp;"][Annex1Activity]",Submission!$O:$O,Submission!$H:$N,""))</f>
        <v>44 - Production of soda ash (Na2CO3) and sodium bicarbonate (NaHCO3) as specified in Annex I of Directive 2003/87/EC</v>
      </c>
      <c r="E1156" s="364"/>
      <c r="F1156" s="258" t="str">
        <f>_xlfn.CONCAT(_xlfn.XLOOKUP("[S05_ImprovementReportArt69]["&amp;ROW(B1156)-ROW($B$1143)&amp;"][ImprovementReportType]",Submission!$O:$O,Submission!$H:$N,""))</f>
        <v>Improvement report according to Article 69(4)</v>
      </c>
      <c r="G1156" s="259"/>
      <c r="H1156" s="124" t="str">
        <f>_xlfn.CONCAT(_xlfn.XLOOKUP("[S05_ImprovementReportArt69]["&amp;ROW(B1156)-ROW($B$1143)&amp;"][ImprovementReportRequired]",Submission!$O:$O,Submission!$H:$N,""))</f>
        <v>1</v>
      </c>
      <c r="I1156" s="124" t="str">
        <f>_xlfn.CONCAT(_xlfn.XLOOKUP("[S05_ImprovementReportArt69]["&amp;ROW(B1156)-ROW($B$1143)&amp;"][ImprovementReportSubmitted]",Submission!$O:$O,Submission!$H:$N,""))</f>
        <v>1</v>
      </c>
    </row>
    <row r="1157" spans="1:9" ht="27" customHeight="1" x14ac:dyDescent="0.3">
      <c r="A1157" s="12"/>
      <c r="C1157" s="47" t="str">
        <f>_xlfn.CONCAT(_xlfn.XLOOKUP("[S05_ImprovementReportArt69]["&amp;ROW(B1157)-ROW($B$1143)&amp;"][InstallationCategory]",Submission!$O:$O,Submission!$H:$N,""))</f>
        <v>Category C</v>
      </c>
      <c r="D1157" s="274" t="str">
        <f>_xlfn.CONCAT(_xlfn.XLOOKUP("[S05_ImprovementReportArt69]["&amp;ROW(B1157)-ROW($B$1143)&amp;"][Annex1Activity]",Submission!$O:$O,Submission!$H:$N,""))</f>
        <v>21 - Refining of mineral oil</v>
      </c>
      <c r="E1157" s="364"/>
      <c r="F1157" s="258" t="str">
        <f>_xlfn.CONCAT(_xlfn.XLOOKUP("[S05_ImprovementReportArt69]["&amp;ROW(B1157)-ROW($B$1143)&amp;"][ImprovementReportType]",Submission!$O:$O,Submission!$H:$N,""))</f>
        <v>Improvement report according to Article 69(4)</v>
      </c>
      <c r="G1157" s="259"/>
      <c r="H1157" s="124" t="str">
        <f>_xlfn.CONCAT(_xlfn.XLOOKUP("[S05_ImprovementReportArt69]["&amp;ROW(B1157)-ROW($B$1143)&amp;"][ImprovementReportRequired]",Submission!$O:$O,Submission!$H:$N,""))</f>
        <v>6</v>
      </c>
      <c r="I1157" s="124" t="str">
        <f>_xlfn.CONCAT(_xlfn.XLOOKUP("[S05_ImprovementReportArt69]["&amp;ROW(B1157)-ROW($B$1143)&amp;"][ImprovementReportSubmitted]",Submission!$O:$O,Submission!$H:$N,""))</f>
        <v>6</v>
      </c>
    </row>
    <row r="1158" spans="1:9" ht="27" customHeight="1" x14ac:dyDescent="0.3">
      <c r="A1158" s="12"/>
      <c r="C1158" s="47" t="str">
        <f>_xlfn.CONCAT(_xlfn.XLOOKUP("[S05_ImprovementReportArt69]["&amp;ROW(B1158)-ROW($B$1143)&amp;"][InstallationCategory]",Submission!$O:$O,Submission!$H:$N,""))</f>
        <v>Category B</v>
      </c>
      <c r="D1158" s="274" t="str">
        <f>_xlfn.CONCAT(_xlfn.XLOOKUP("[S05_ImprovementReportArt69]["&amp;ROW(B1158)-ROW($B$1143)&amp;"][Annex1Activity]",Submission!$O:$O,Submission!$H:$N,""))</f>
        <v>20 - Combustion of fuels as specified in Annex I of Directive 2003/87/EC</v>
      </c>
      <c r="E1158" s="364"/>
      <c r="F1158" s="258" t="str">
        <f>_xlfn.CONCAT(_xlfn.XLOOKUP("[S05_ImprovementReportArt69]["&amp;ROW(B1158)-ROW($B$1143)&amp;"][ImprovementReportType]",Submission!$O:$O,Submission!$H:$N,""))</f>
        <v>Improvement report according to Article 69(4)</v>
      </c>
      <c r="G1158" s="259"/>
      <c r="H1158" s="124" t="str">
        <f>_xlfn.CONCAT(_xlfn.XLOOKUP("[S05_ImprovementReportArt69]["&amp;ROW(B1158)-ROW($B$1143)&amp;"][ImprovementReportRequired]",Submission!$O:$O,Submission!$H:$N,""))</f>
        <v>36</v>
      </c>
      <c r="I1158" s="124" t="str">
        <f>_xlfn.CONCAT(_xlfn.XLOOKUP("[S05_ImprovementReportArt69]["&amp;ROW(B1158)-ROW($B$1143)&amp;"][ImprovementReportSubmitted]",Submission!$O:$O,Submission!$H:$N,""))</f>
        <v>30</v>
      </c>
    </row>
    <row r="1159" spans="1:9" ht="27" customHeight="1" x14ac:dyDescent="0.3">
      <c r="A1159" s="12"/>
      <c r="C1159" s="47" t="str">
        <f>_xlfn.CONCAT(_xlfn.XLOOKUP("[S05_ImprovementReportArt69]["&amp;ROW(B1159)-ROW($B$1143)&amp;"][InstallationCategory]",Submission!$O:$O,Submission!$H:$N,""))</f>
        <v>Category B</v>
      </c>
      <c r="D1159" s="274" t="str">
        <f>_xlfn.CONCAT(_xlfn.XLOOKUP("[S05_ImprovementReportArt69]["&amp;ROW(B1159)-ROW($B$1143)&amp;"][Annex1Activity]",Submission!$O:$O,Submission!$H:$N,""))</f>
        <v>33 - Manufacture of mineral wool insulation material using glass, rock or slag as specified in Annex I of Directive 2003/87/EC</v>
      </c>
      <c r="E1159" s="364"/>
      <c r="F1159" s="258" t="str">
        <f>_xlfn.CONCAT(_xlfn.XLOOKUP("[S05_ImprovementReportArt69]["&amp;ROW(B1159)-ROW($B$1143)&amp;"][ImprovementReportType]",Submission!$O:$O,Submission!$H:$N,""))</f>
        <v>Improvement report according to Article 69(4)</v>
      </c>
      <c r="G1159" s="259"/>
      <c r="H1159" s="124" t="str">
        <f>_xlfn.CONCAT(_xlfn.XLOOKUP("[S05_ImprovementReportArt69]["&amp;ROW(B1159)-ROW($B$1143)&amp;"][ImprovementReportRequired]",Submission!$O:$O,Submission!$H:$N,""))</f>
        <v>1</v>
      </c>
      <c r="I1159" s="124" t="str">
        <f>_xlfn.CONCAT(_xlfn.XLOOKUP("[S05_ImprovementReportArt69]["&amp;ROW(B1159)-ROW($B$1143)&amp;"][ImprovementReportSubmitted]",Submission!$O:$O,Submission!$H:$N,""))</f>
        <v>1</v>
      </c>
    </row>
    <row r="1160" spans="1:9" ht="27" customHeight="1" x14ac:dyDescent="0.3">
      <c r="A1160" s="12"/>
      <c r="C1160" s="47" t="str">
        <f>_xlfn.CONCAT(_xlfn.XLOOKUP("[S05_ImprovementReportArt69]["&amp;ROW(B1160)-ROW($B$1143)&amp;"][InstallationCategory]",Submission!$O:$O,Submission!$H:$N,""))</f>
        <v>Category B</v>
      </c>
      <c r="D1160" s="274" t="str">
        <f>_xlfn.CONCAT(_xlfn.XLOOKUP("[S05_ImprovementReportArt69]["&amp;ROW(B1160)-ROW($B$1143)&amp;"][Annex1Activity]",Submission!$O:$O,Submission!$H:$N,""))</f>
        <v>31 - Manufacture of glass as specified in Annex I of Directive 2003/87/EC</v>
      </c>
      <c r="E1160" s="364"/>
      <c r="F1160" s="258" t="str">
        <f>_xlfn.CONCAT(_xlfn.XLOOKUP("[S05_ImprovementReportArt69]["&amp;ROW(B1160)-ROW($B$1143)&amp;"][ImprovementReportType]",Submission!$O:$O,Submission!$H:$N,""))</f>
        <v>Improvement report according to Article 69(4)</v>
      </c>
      <c r="G1160" s="259"/>
      <c r="H1160" s="124" t="str">
        <f>_xlfn.CONCAT(_xlfn.XLOOKUP("[S05_ImprovementReportArt69]["&amp;ROW(B1160)-ROW($B$1143)&amp;"][ImprovementReportRequired]",Submission!$O:$O,Submission!$H:$N,""))</f>
        <v>13</v>
      </c>
      <c r="I1160" s="124" t="str">
        <f>_xlfn.CONCAT(_xlfn.XLOOKUP("[S05_ImprovementReportArt69]["&amp;ROW(B1160)-ROW($B$1143)&amp;"][ImprovementReportSubmitted]",Submission!$O:$O,Submission!$H:$N,""))</f>
        <v>13</v>
      </c>
    </row>
    <row r="1161" spans="1:9" ht="27" customHeight="1" x14ac:dyDescent="0.3">
      <c r="A1161" s="12"/>
      <c r="C1161" s="47" t="str">
        <f>_xlfn.CONCAT(_xlfn.XLOOKUP("[S05_ImprovementReportArt69]["&amp;ROW(B1161)-ROW($B$1143)&amp;"][InstallationCategory]",Submission!$O:$O,Submission!$H:$N,""))</f>
        <v>Category B</v>
      </c>
      <c r="D1161" s="274" t="str">
        <f>_xlfn.CONCAT(_xlfn.XLOOKUP("[S05_ImprovementReportArt69]["&amp;ROW(B1161)-ROW($B$1143)&amp;"][Annex1Activity]",Submission!$O:$O,Submission!$H:$N,""))</f>
        <v xml:space="preserve">39 - Production of adipic acid </v>
      </c>
      <c r="E1161" s="364"/>
      <c r="F1161" s="258" t="str">
        <f>_xlfn.CONCAT(_xlfn.XLOOKUP("[S05_ImprovementReportArt69]["&amp;ROW(B1161)-ROW($B$1143)&amp;"][ImprovementReportType]",Submission!$O:$O,Submission!$H:$N,""))</f>
        <v>Improvement report according to Article 69(4)</v>
      </c>
      <c r="G1161" s="259"/>
      <c r="H1161" s="124" t="str">
        <f>_xlfn.CONCAT(_xlfn.XLOOKUP("[S05_ImprovementReportArt69]["&amp;ROW(B1161)-ROW($B$1143)&amp;"][ImprovementReportRequired]",Submission!$O:$O,Submission!$H:$N,""))</f>
        <v>1</v>
      </c>
      <c r="I1161" s="124" t="str">
        <f>_xlfn.CONCAT(_xlfn.XLOOKUP("[S05_ImprovementReportArt69]["&amp;ROW(B1161)-ROW($B$1143)&amp;"][ImprovementReportSubmitted]",Submission!$O:$O,Submission!$H:$N,""))</f>
        <v>1</v>
      </c>
    </row>
    <row r="1162" spans="1:9" ht="27" hidden="1" customHeight="1" outlineLevel="1" x14ac:dyDescent="0.3">
      <c r="A1162" s="12"/>
      <c r="C1162" s="47" t="str">
        <f>_xlfn.CONCAT(_xlfn.XLOOKUP("[S05_ImprovementReportArt69]["&amp;ROW(B1162)-ROW($B$1143)&amp;"][InstallationCategory]",Submission!$O:$O,Submission!$H:$N,""))</f>
        <v>Category B</v>
      </c>
      <c r="D1162" s="274" t="str">
        <f>_xlfn.CONCAT(_xlfn.XLOOKUP("[S05_ImprovementReportArt69]["&amp;ROW(B1162)-ROW($B$1143)&amp;"][Annex1Activity]",Submission!$O:$O,Submission!$H:$N,""))</f>
        <v>30 - Production of lime or calcination of dolomite or magnesite as specified in Annex I of Directive 2003/87/ EC</v>
      </c>
      <c r="E1162" s="364"/>
      <c r="F1162" s="258" t="str">
        <f>_xlfn.CONCAT(_xlfn.XLOOKUP("[S05_ImprovementReportArt69]["&amp;ROW(B1162)-ROW($B$1143)&amp;"][ImprovementReportType]",Submission!$O:$O,Submission!$H:$N,""))</f>
        <v>Improvement report according to Article 69(4)</v>
      </c>
      <c r="G1162" s="259"/>
      <c r="H1162" s="124" t="str">
        <f>_xlfn.CONCAT(_xlfn.XLOOKUP("[S05_ImprovementReportArt69]["&amp;ROW(B1162)-ROW($B$1143)&amp;"][ImprovementReportRequired]",Submission!$O:$O,Submission!$H:$N,""))</f>
        <v>13</v>
      </c>
      <c r="I1162" s="124" t="str">
        <f>_xlfn.CONCAT(_xlfn.XLOOKUP("[S05_ImprovementReportArt69]["&amp;ROW(B1162)-ROW($B$1143)&amp;"][ImprovementReportSubmitted]",Submission!$O:$O,Submission!$H:$N,""))</f>
        <v>13</v>
      </c>
    </row>
    <row r="1163" spans="1:9" ht="27" hidden="1" customHeight="1" outlineLevel="1" x14ac:dyDescent="0.3">
      <c r="A1163" s="12"/>
      <c r="C1163" s="47" t="str">
        <f>_xlfn.CONCAT(_xlfn.XLOOKUP("[S05_ImprovementReportArt69]["&amp;ROW(B1163)-ROW($B$1143)&amp;"][InstallationCategory]",Submission!$O:$O,Submission!$H:$N,""))</f>
        <v>Category B</v>
      </c>
      <c r="D1163" s="274" t="str">
        <f>_xlfn.CONCAT(_xlfn.XLOOKUP("[S05_ImprovementReportArt69]["&amp;ROW(B1163)-ROW($B$1143)&amp;"][Annex1Activity]",Submission!$O:$O,Submission!$H:$N,""))</f>
        <v>29 - Production of cement clinker in rotary kilns as specified in Annex I of Directive 2003/87/ EC</v>
      </c>
      <c r="E1163" s="364"/>
      <c r="F1163" s="258" t="str">
        <f>_xlfn.CONCAT(_xlfn.XLOOKUP("[S05_ImprovementReportArt69]["&amp;ROW(B1163)-ROW($B$1143)&amp;"][ImprovementReportType]",Submission!$O:$O,Submission!$H:$N,""))</f>
        <v>Improvement report according to Article 69(4)</v>
      </c>
      <c r="G1163" s="259"/>
      <c r="H1163" s="124" t="str">
        <f>_xlfn.CONCAT(_xlfn.XLOOKUP("[S05_ImprovementReportArt69]["&amp;ROW(B1163)-ROW($B$1143)&amp;"][ImprovementReportRequired]",Submission!$O:$O,Submission!$H:$N,""))</f>
        <v>15</v>
      </c>
      <c r="I1163" s="124" t="str">
        <f>_xlfn.CONCAT(_xlfn.XLOOKUP("[S05_ImprovementReportArt69]["&amp;ROW(B1163)-ROW($B$1143)&amp;"][ImprovementReportSubmitted]",Submission!$O:$O,Submission!$H:$N,""))</f>
        <v>13</v>
      </c>
    </row>
    <row r="1164" spans="1:9" ht="27" hidden="1" customHeight="1" outlineLevel="1" x14ac:dyDescent="0.3">
      <c r="A1164" s="12"/>
      <c r="C1164" s="47" t="str">
        <f>_xlfn.CONCAT(_xlfn.XLOOKUP("[S05_ImprovementReportArt69]["&amp;ROW(B1164)-ROW($B$1143)&amp;"][InstallationCategory]",Submission!$O:$O,Submission!$H:$N,""))</f>
        <v>Category B</v>
      </c>
      <c r="D1164" s="274" t="str">
        <f>_xlfn.CONCAT(_xlfn.XLOOKUP("[S05_ImprovementReportArt69]["&amp;ROW(B1164)-ROW($B$1143)&amp;"][Annex1Activity]",Submission!$O:$O,Submission!$H:$N,""))</f>
        <v>24 - Production of pig iron or steel as specified in Annex I of Directive 2003/87/EC</v>
      </c>
      <c r="E1164" s="364"/>
      <c r="F1164" s="258" t="str">
        <f>_xlfn.CONCAT(_xlfn.XLOOKUP("[S05_ImprovementReportArt69]["&amp;ROW(B1164)-ROW($B$1143)&amp;"][ImprovementReportType]",Submission!$O:$O,Submission!$H:$N,""))</f>
        <v>Improvement report according to Article 69(4)</v>
      </c>
      <c r="G1164" s="259"/>
      <c r="H1164" s="124" t="str">
        <f>_xlfn.CONCAT(_xlfn.XLOOKUP("[S05_ImprovementReportArt69]["&amp;ROW(B1164)-ROW($B$1143)&amp;"][ImprovementReportRequired]",Submission!$O:$O,Submission!$H:$N,""))</f>
        <v>8</v>
      </c>
      <c r="I1164" s="124" t="str">
        <f>_xlfn.CONCAT(_xlfn.XLOOKUP("[S05_ImprovementReportArt69]["&amp;ROW(B1164)-ROW($B$1143)&amp;"][ImprovementReportSubmitted]",Submission!$O:$O,Submission!$H:$N,""))</f>
        <v>8</v>
      </c>
    </row>
    <row r="1165" spans="1:9" ht="27" hidden="1" customHeight="1" outlineLevel="1" x14ac:dyDescent="0.3">
      <c r="A1165" s="12"/>
      <c r="C1165" s="47" t="str">
        <f>_xlfn.CONCAT(_xlfn.XLOOKUP("[S05_ImprovementReportArt69]["&amp;ROW(B1165)-ROW($B$1143)&amp;"][InstallationCategory]",Submission!$O:$O,Submission!$H:$N,""))</f>
        <v>Category B</v>
      </c>
      <c r="D1165" s="274" t="str">
        <f>_xlfn.CONCAT(_xlfn.XLOOKUP("[S05_ImprovementReportArt69]["&amp;ROW(B1165)-ROW($B$1143)&amp;"][Annex1Activity]",Submission!$O:$O,Submission!$H:$N,""))</f>
        <v xml:space="preserve">37 - Production of carbon black as specified in Annex I of Directive 2003/87/EC </v>
      </c>
      <c r="E1165" s="364"/>
      <c r="F1165" s="258" t="str">
        <f>_xlfn.CONCAT(_xlfn.XLOOKUP("[S05_ImprovementReportArt69]["&amp;ROW(B1165)-ROW($B$1143)&amp;"][ImprovementReportType]",Submission!$O:$O,Submission!$H:$N,""))</f>
        <v>Improvement report according to Article 69(4)</v>
      </c>
      <c r="G1165" s="259"/>
      <c r="H1165" s="124" t="str">
        <f>_xlfn.CONCAT(_xlfn.XLOOKUP("[S05_ImprovementReportArt69]["&amp;ROW(B1165)-ROW($B$1143)&amp;"][ImprovementReportRequired]",Submission!$O:$O,Submission!$H:$N,""))</f>
        <v>1</v>
      </c>
      <c r="I1165" s="124" t="str">
        <f>_xlfn.CONCAT(_xlfn.XLOOKUP("[S05_ImprovementReportArt69]["&amp;ROW(B1165)-ROW($B$1143)&amp;"][ImprovementReportSubmitted]",Submission!$O:$O,Submission!$H:$N,""))</f>
        <v>1</v>
      </c>
    </row>
    <row r="1166" spans="1:9" ht="27" hidden="1" customHeight="1" outlineLevel="1" x14ac:dyDescent="0.3">
      <c r="A1166" s="12"/>
      <c r="C1166" s="47" t="str">
        <f>_xlfn.CONCAT(_xlfn.XLOOKUP("[S05_ImprovementReportArt69]["&amp;ROW(B1166)-ROW($B$1143)&amp;"][InstallationCategory]",Submission!$O:$O,Submission!$H:$N,""))</f>
        <v>Category B</v>
      </c>
      <c r="D1166" s="274" t="str">
        <f>_xlfn.CONCAT(_xlfn.XLOOKUP("[S05_ImprovementReportArt69]["&amp;ROW(B1166)-ROW($B$1143)&amp;"][Annex1Activity]",Submission!$O:$O,Submission!$H:$N,""))</f>
        <v xml:space="preserve">36 - Production of paper or cardboard as specified in Annex I of Directive 2003/87/EC </v>
      </c>
      <c r="E1166" s="364"/>
      <c r="F1166" s="258" t="str">
        <f>_xlfn.CONCAT(_xlfn.XLOOKUP("[S05_ImprovementReportArt69]["&amp;ROW(B1166)-ROW($B$1143)&amp;"][ImprovementReportType]",Submission!$O:$O,Submission!$H:$N,""))</f>
        <v>Improvement report according to Article 69(4)</v>
      </c>
      <c r="G1166" s="259"/>
      <c r="H1166" s="124" t="str">
        <f>_xlfn.CONCAT(_xlfn.XLOOKUP("[S05_ImprovementReportArt69]["&amp;ROW(B1166)-ROW($B$1143)&amp;"][ImprovementReportRequired]",Submission!$O:$O,Submission!$H:$N,""))</f>
        <v>3</v>
      </c>
      <c r="I1166" s="124" t="str">
        <f>_xlfn.CONCAT(_xlfn.XLOOKUP("[S05_ImprovementReportArt69]["&amp;ROW(B1166)-ROW($B$1143)&amp;"][ImprovementReportSubmitted]",Submission!$O:$O,Submission!$H:$N,""))</f>
        <v>3</v>
      </c>
    </row>
    <row r="1167" spans="1:9" ht="27" hidden="1" customHeight="1" outlineLevel="1" x14ac:dyDescent="0.3">
      <c r="A1167" s="12"/>
      <c r="C1167" s="47" t="str">
        <f>_xlfn.CONCAT(_xlfn.XLOOKUP("[S05_ImprovementReportArt69]["&amp;ROW(B1167)-ROW($B$1143)&amp;"][InstallationCategory]",Submission!$O:$O,Submission!$H:$N,""))</f>
        <v>Category B</v>
      </c>
      <c r="D1167" s="274" t="str">
        <f>_xlfn.CONCAT(_xlfn.XLOOKUP("[S05_ImprovementReportArt69]["&amp;ROW(B1167)-ROW($B$1143)&amp;"][Annex1Activity]",Submission!$O:$O,Submission!$H:$N,""))</f>
        <v>35 - Production of pulp as specified in Annex I of Directive 2003/87/EC</v>
      </c>
      <c r="E1167" s="364"/>
      <c r="F1167" s="258" t="str">
        <f>_xlfn.CONCAT(_xlfn.XLOOKUP("[S05_ImprovementReportArt69]["&amp;ROW(B1167)-ROW($B$1143)&amp;"][ImprovementReportType]",Submission!$O:$O,Submission!$H:$N,""))</f>
        <v>Improvement report according to Article 69(4)</v>
      </c>
      <c r="G1167" s="259"/>
      <c r="H1167" s="124" t="str">
        <f>_xlfn.CONCAT(_xlfn.XLOOKUP("[S05_ImprovementReportArt69]["&amp;ROW(B1167)-ROW($B$1143)&amp;"][ImprovementReportRequired]",Submission!$O:$O,Submission!$H:$N,""))</f>
        <v>2</v>
      </c>
      <c r="I1167" s="124" t="str">
        <f>_xlfn.CONCAT(_xlfn.XLOOKUP("[S05_ImprovementReportArt69]["&amp;ROW(B1167)-ROW($B$1143)&amp;"][ImprovementReportSubmitted]",Submission!$O:$O,Submission!$H:$N,""))</f>
        <v>2</v>
      </c>
    </row>
    <row r="1168" spans="1:9" ht="27" hidden="1" customHeight="1" outlineLevel="1" x14ac:dyDescent="0.3">
      <c r="A1168" s="12"/>
      <c r="C1168" s="47" t="str">
        <f>_xlfn.CONCAT(_xlfn.XLOOKUP("[S05_ImprovementReportArt69]["&amp;ROW(B1168)-ROW($B$1143)&amp;"][InstallationCategory]",Submission!$O:$O,Submission!$H:$N,""))</f>
        <v>Category B</v>
      </c>
      <c r="D1168" s="274" t="str">
        <f>_xlfn.CONCAT(_xlfn.XLOOKUP("[S05_ImprovementReportArt69]["&amp;ROW(B1168)-ROW($B$1143)&amp;"][Annex1Activity]",Submission!$O:$O,Submission!$H:$N,""))</f>
        <v xml:space="preserve">42 - Production of bulk organic chemicals as specified in Annex I of Directive 2003/87/EC </v>
      </c>
      <c r="E1168" s="364"/>
      <c r="F1168" s="258" t="str">
        <f>_xlfn.CONCAT(_xlfn.XLOOKUP("[S05_ImprovementReportArt69]["&amp;ROW(B1168)-ROW($B$1143)&amp;"][ImprovementReportType]",Submission!$O:$O,Submission!$H:$N,""))</f>
        <v>Improvement report according to Article 69(4)</v>
      </c>
      <c r="G1168" s="259"/>
      <c r="H1168" s="124" t="str">
        <f>_xlfn.CONCAT(_xlfn.XLOOKUP("[S05_ImprovementReportArt69]["&amp;ROW(B1168)-ROW($B$1143)&amp;"][ImprovementReportRequired]",Submission!$O:$O,Submission!$H:$N,""))</f>
        <v>14</v>
      </c>
      <c r="I1168" s="124" t="str">
        <f>_xlfn.CONCAT(_xlfn.XLOOKUP("[S05_ImprovementReportArt69]["&amp;ROW(B1168)-ROW($B$1143)&amp;"][ImprovementReportSubmitted]",Submission!$O:$O,Submission!$H:$N,""))</f>
        <v>14</v>
      </c>
    </row>
    <row r="1169" spans="1:9" ht="27" hidden="1" customHeight="1" outlineLevel="1" x14ac:dyDescent="0.3">
      <c r="A1169" s="12"/>
      <c r="C1169" s="47" t="str">
        <f>_xlfn.CONCAT(_xlfn.XLOOKUP("[S05_ImprovementReportArt69]["&amp;ROW(B1169)-ROW($B$1143)&amp;"][InstallationCategory]",Submission!$O:$O,Submission!$H:$N,""))</f>
        <v>Category B</v>
      </c>
      <c r="D1169" s="274" t="str">
        <f>_xlfn.CONCAT(_xlfn.XLOOKUP("[S05_ImprovementReportArt69]["&amp;ROW(B1169)-ROW($B$1143)&amp;"][Annex1Activity]",Submission!$O:$O,Submission!$H:$N,""))</f>
        <v xml:space="preserve">43 - Production of hydrogen (H2) and synthesis gas as specified in Annex I of Directive 2003/87/EC </v>
      </c>
      <c r="E1169" s="364"/>
      <c r="F1169" s="258" t="str">
        <f>_xlfn.CONCAT(_xlfn.XLOOKUP("[S05_ImprovementReportArt69]["&amp;ROW(B1169)-ROW($B$1143)&amp;"][ImprovementReportType]",Submission!$O:$O,Submission!$H:$N,""))</f>
        <v>Improvement report according to Article 69(4)</v>
      </c>
      <c r="G1169" s="259"/>
      <c r="H1169" s="124" t="str">
        <f>_xlfn.CONCAT(_xlfn.XLOOKUP("[S05_ImprovementReportArt69]["&amp;ROW(B1169)-ROW($B$1143)&amp;"][ImprovementReportRequired]",Submission!$O:$O,Submission!$H:$N,""))</f>
        <v>2</v>
      </c>
      <c r="I1169" s="124" t="str">
        <f>_xlfn.CONCAT(_xlfn.XLOOKUP("[S05_ImprovementReportArt69]["&amp;ROW(B1169)-ROW($B$1143)&amp;"][ImprovementReportSubmitted]",Submission!$O:$O,Submission!$H:$N,""))</f>
        <v>2</v>
      </c>
    </row>
    <row r="1170" spans="1:9" ht="27" hidden="1" customHeight="1" outlineLevel="1" x14ac:dyDescent="0.3">
      <c r="A1170" s="12"/>
      <c r="C1170" s="47" t="str">
        <f>_xlfn.CONCAT(_xlfn.XLOOKUP("[S05_ImprovementReportArt69]["&amp;ROW(B1170)-ROW($B$1143)&amp;"][InstallationCategory]",Submission!$O:$O,Submission!$H:$N,""))</f>
        <v>Category B</v>
      </c>
      <c r="D1170" s="274" t="str">
        <f>_xlfn.CONCAT(_xlfn.XLOOKUP("[S05_ImprovementReportArt69]["&amp;ROW(B1170)-ROW($B$1143)&amp;"][Annex1Activity]",Submission!$O:$O,Submission!$H:$N,""))</f>
        <v>25 - Production or processing of ferrous metals as specified in Annex I of Directive 2003/87/EC</v>
      </c>
      <c r="E1170" s="364"/>
      <c r="F1170" s="258" t="str">
        <f>_xlfn.CONCAT(_xlfn.XLOOKUP("[S05_ImprovementReportArt69]["&amp;ROW(B1170)-ROW($B$1143)&amp;"][ImprovementReportType]",Submission!$O:$O,Submission!$H:$N,""))</f>
        <v>Improvement report according to Article 69(4)</v>
      </c>
      <c r="G1170" s="259"/>
      <c r="H1170" s="124" t="str">
        <f>_xlfn.CONCAT(_xlfn.XLOOKUP("[S05_ImprovementReportArt69]["&amp;ROW(B1170)-ROW($B$1143)&amp;"][ImprovementReportRequired]",Submission!$O:$O,Submission!$H:$N,""))</f>
        <v>4</v>
      </c>
      <c r="I1170" s="124" t="str">
        <f>_xlfn.CONCAT(_xlfn.XLOOKUP("[S05_ImprovementReportArt69]["&amp;ROW(B1170)-ROW($B$1143)&amp;"][ImprovementReportSubmitted]",Submission!$O:$O,Submission!$H:$N,""))</f>
        <v>4</v>
      </c>
    </row>
    <row r="1171" spans="1:9" ht="27" hidden="1" customHeight="1" outlineLevel="1" x14ac:dyDescent="0.3">
      <c r="A1171" s="12"/>
      <c r="C1171" s="47" t="str">
        <f>_xlfn.CONCAT(_xlfn.XLOOKUP("[S05_ImprovementReportArt69]["&amp;ROW(B1171)-ROW($B$1143)&amp;"][InstallationCategory]",Submission!$O:$O,Submission!$H:$N,""))</f>
        <v>Category B</v>
      </c>
      <c r="D1171" s="274" t="str">
        <f>_xlfn.CONCAT(_xlfn.XLOOKUP("[S05_ImprovementReportArt69]["&amp;ROW(B1171)-ROW($B$1143)&amp;"][Annex1Activity]",Submission!$O:$O,Submission!$H:$N,""))</f>
        <v>28 - Production or processing of non-ferrous metals as specified in Annex I of Directive 2003/87/EC</v>
      </c>
      <c r="E1171" s="364"/>
      <c r="F1171" s="258" t="str">
        <f>_xlfn.CONCAT(_xlfn.XLOOKUP("[S05_ImprovementReportArt69]["&amp;ROW(B1171)-ROW($B$1143)&amp;"][ImprovementReportType]",Submission!$O:$O,Submission!$H:$N,""))</f>
        <v>Improvement report according to Article 69(4)</v>
      </c>
      <c r="G1171" s="259"/>
      <c r="H1171" s="124" t="str">
        <f>_xlfn.CONCAT(_xlfn.XLOOKUP("[S05_ImprovementReportArt69]["&amp;ROW(B1171)-ROW($B$1143)&amp;"][ImprovementReportRequired]",Submission!$O:$O,Submission!$H:$N,""))</f>
        <v>4</v>
      </c>
      <c r="I1171" s="124" t="str">
        <f>_xlfn.CONCAT(_xlfn.XLOOKUP("[S05_ImprovementReportArt69]["&amp;ROW(B1171)-ROW($B$1143)&amp;"][ImprovementReportSubmitted]",Submission!$O:$O,Submission!$H:$N,""))</f>
        <v>4</v>
      </c>
    </row>
    <row r="1172" spans="1:9" ht="27" hidden="1" customHeight="1" outlineLevel="1" x14ac:dyDescent="0.3">
      <c r="A1172" s="12"/>
      <c r="C1172" s="47" t="str">
        <f>_xlfn.CONCAT(_xlfn.XLOOKUP("[S05_ImprovementReportArt69]["&amp;ROW(B1172)-ROW($B$1143)&amp;"][InstallationCategory]",Submission!$O:$O,Submission!$H:$N,""))</f>
        <v>Category B</v>
      </c>
      <c r="D1172" s="274" t="str">
        <f>_xlfn.CONCAT(_xlfn.XLOOKUP("[S05_ImprovementReportArt69]["&amp;ROW(B1172)-ROW($B$1143)&amp;"][Annex1Activity]",Submission!$O:$O,Submission!$H:$N,""))</f>
        <v>21 - Refining of mineral oil</v>
      </c>
      <c r="E1172" s="364"/>
      <c r="F1172" s="258" t="str">
        <f>_xlfn.CONCAT(_xlfn.XLOOKUP("[S05_ImprovementReportArt69]["&amp;ROW(B1172)-ROW($B$1143)&amp;"][ImprovementReportType]",Submission!$O:$O,Submission!$H:$N,""))</f>
        <v>Improvement report according to Article 69(4)</v>
      </c>
      <c r="G1172" s="259"/>
      <c r="H1172" s="124" t="str">
        <f>_xlfn.CONCAT(_xlfn.XLOOKUP("[S05_ImprovementReportArt69]["&amp;ROW(B1172)-ROW($B$1143)&amp;"][ImprovementReportRequired]",Submission!$O:$O,Submission!$H:$N,""))</f>
        <v>1</v>
      </c>
      <c r="I1172" s="124" t="str">
        <f>_xlfn.CONCAT(_xlfn.XLOOKUP("[S05_ImprovementReportArt69]["&amp;ROW(B1172)-ROW($B$1143)&amp;"][ImprovementReportSubmitted]",Submission!$O:$O,Submission!$H:$N,""))</f>
        <v>0</v>
      </c>
    </row>
    <row r="1173" spans="1:9" ht="27" hidden="1" customHeight="1" outlineLevel="1" x14ac:dyDescent="0.3">
      <c r="A1173" s="12"/>
      <c r="C1173" s="47" t="str">
        <f>_xlfn.CONCAT(_xlfn.XLOOKUP("[S05_ImprovementReportArt69]["&amp;ROW(B1173)-ROW($B$1143)&amp;"][InstallationCategory]",Submission!$O:$O,Submission!$H:$N,""))</f>
        <v>Category B</v>
      </c>
      <c r="D1173" s="274" t="str">
        <f>_xlfn.CONCAT(_xlfn.XLOOKUP("[S05_ImprovementReportArt69]["&amp;ROW(B1173)-ROW($B$1143)&amp;"][Annex1Activity]",Submission!$O:$O,Submission!$H:$N,""))</f>
        <v>34 - Drying or calcination of gypsum or production of plaster boards and other gypsum products, as specified in Annex I of Directive 2003/87/EC</v>
      </c>
      <c r="E1173" s="364"/>
      <c r="F1173" s="258" t="str">
        <f>_xlfn.CONCAT(_xlfn.XLOOKUP("[S05_ImprovementReportArt69]["&amp;ROW(B1173)-ROW($B$1143)&amp;"][ImprovementReportType]",Submission!$O:$O,Submission!$H:$N,""))</f>
        <v>Improvement report according to Article 69(4)</v>
      </c>
      <c r="G1173" s="259"/>
      <c r="H1173" s="124" t="str">
        <f>_xlfn.CONCAT(_xlfn.XLOOKUP("[S05_ImprovementReportArt69]["&amp;ROW(B1173)-ROW($B$1143)&amp;"][ImprovementReportRequired]",Submission!$O:$O,Submission!$H:$N,""))</f>
        <v>1</v>
      </c>
      <c r="I1173" s="124" t="str">
        <f>_xlfn.CONCAT(_xlfn.XLOOKUP("[S05_ImprovementReportArt69]["&amp;ROW(B1173)-ROW($B$1143)&amp;"][ImprovementReportSubmitted]",Submission!$O:$O,Submission!$H:$N,""))</f>
        <v>1</v>
      </c>
    </row>
    <row r="1174" spans="1:9" ht="27" hidden="1" customHeight="1" outlineLevel="1" x14ac:dyDescent="0.3">
      <c r="A1174" s="12"/>
      <c r="C1174" s="47" t="str">
        <f>_xlfn.CONCAT(_xlfn.XLOOKUP("[S05_ImprovementReportArt69]["&amp;ROW(B1174)-ROW($B$1143)&amp;"][InstallationCategory]",Submission!$O:$O,Submission!$H:$N,""))</f>
        <v>Category A</v>
      </c>
      <c r="D1174" s="274" t="str">
        <f>_xlfn.CONCAT(_xlfn.XLOOKUP("[S05_ImprovementReportArt69]["&amp;ROW(B1174)-ROW($B$1143)&amp;"][Annex1Activity]",Submission!$O:$O,Submission!$H:$N,""))</f>
        <v>20 - Combustion of fuels as specified in Annex I of Directive 2003/87/EC</v>
      </c>
      <c r="E1174" s="364"/>
      <c r="F1174" s="258" t="str">
        <f>_xlfn.CONCAT(_xlfn.XLOOKUP("[S05_ImprovementReportArt69]["&amp;ROW(B1174)-ROW($B$1143)&amp;"][ImprovementReportType]",Submission!$O:$O,Submission!$H:$N,""))</f>
        <v>Improvement report according to Article 69(4)</v>
      </c>
      <c r="G1174" s="259"/>
      <c r="H1174" s="124" t="str">
        <f>_xlfn.CONCAT(_xlfn.XLOOKUP("[S05_ImprovementReportArt69]["&amp;ROW(B1174)-ROW($B$1143)&amp;"][ImprovementReportRequired]",Submission!$O:$O,Submission!$H:$N,""))</f>
        <v>176</v>
      </c>
      <c r="I1174" s="124" t="str">
        <f>_xlfn.CONCAT(_xlfn.XLOOKUP("[S05_ImprovementReportArt69]["&amp;ROW(B1174)-ROW($B$1143)&amp;"][ImprovementReportSubmitted]",Submission!$O:$O,Submission!$H:$N,""))</f>
        <v>26</v>
      </c>
    </row>
    <row r="1175" spans="1:9" ht="27" hidden="1" customHeight="1" outlineLevel="1" x14ac:dyDescent="0.3">
      <c r="A1175" s="12"/>
      <c r="C1175" s="47" t="str">
        <f>_xlfn.CONCAT(_xlfn.XLOOKUP("[S05_ImprovementReportArt69]["&amp;ROW(B1175)-ROW($B$1143)&amp;"][InstallationCategory]",Submission!$O:$O,Submission!$H:$N,""))</f>
        <v>Category A</v>
      </c>
      <c r="D1175" s="274" t="str">
        <f>_xlfn.CONCAT(_xlfn.XLOOKUP("[S05_ImprovementReportArt69]["&amp;ROW(B1175)-ROW($B$1143)&amp;"][Annex1Activity]",Submission!$O:$O,Submission!$H:$N,""))</f>
        <v>33 - Manufacture of mineral wool insulation material using glass, rock or slag as specified in Annex I of Directive 2003/87/EC</v>
      </c>
      <c r="E1175" s="364"/>
      <c r="F1175" s="258" t="str">
        <f>_xlfn.CONCAT(_xlfn.XLOOKUP("[S05_ImprovementReportArt69]["&amp;ROW(B1175)-ROW($B$1143)&amp;"][ImprovementReportType]",Submission!$O:$O,Submission!$H:$N,""))</f>
        <v>Improvement report according to Article 69(4)</v>
      </c>
      <c r="G1175" s="259"/>
      <c r="H1175" s="124" t="str">
        <f>_xlfn.CONCAT(_xlfn.XLOOKUP("[S05_ImprovementReportArt69]["&amp;ROW(B1175)-ROW($B$1143)&amp;"][ImprovementReportRequired]",Submission!$O:$O,Submission!$H:$N,""))</f>
        <v>3</v>
      </c>
      <c r="I1175" s="124" t="str">
        <f>_xlfn.CONCAT(_xlfn.XLOOKUP("[S05_ImprovementReportArt69]["&amp;ROW(B1175)-ROW($B$1143)&amp;"][ImprovementReportSubmitted]",Submission!$O:$O,Submission!$H:$N,""))</f>
        <v>3</v>
      </c>
    </row>
    <row r="1176" spans="1:9" ht="27" hidden="1" customHeight="1" outlineLevel="1" x14ac:dyDescent="0.3">
      <c r="A1176" s="12"/>
      <c r="C1176" s="47" t="str">
        <f>_xlfn.CONCAT(_xlfn.XLOOKUP("[S05_ImprovementReportArt69]["&amp;ROW(B1176)-ROW($B$1143)&amp;"][InstallationCategory]",Submission!$O:$O,Submission!$H:$N,""))</f>
        <v>Category A</v>
      </c>
      <c r="D1176" s="274" t="str">
        <f>_xlfn.CONCAT(_xlfn.XLOOKUP("[S05_ImprovementReportArt69]["&amp;ROW(B1176)-ROW($B$1143)&amp;"][Annex1Activity]",Submission!$O:$O,Submission!$H:$N,""))</f>
        <v>32 - Manufacture of ceramic products as specified in Annex I of Directive 2003/87/EC</v>
      </c>
      <c r="E1176" s="364"/>
      <c r="F1176" s="258" t="str">
        <f>_xlfn.CONCAT(_xlfn.XLOOKUP("[S05_ImprovementReportArt69]["&amp;ROW(B1176)-ROW($B$1143)&amp;"][ImprovementReportType]",Submission!$O:$O,Submission!$H:$N,""))</f>
        <v>Improvement report according to Article 69(4)</v>
      </c>
      <c r="G1176" s="259"/>
      <c r="H1176" s="124" t="str">
        <f>_xlfn.CONCAT(_xlfn.XLOOKUP("[S05_ImprovementReportArt69]["&amp;ROW(B1176)-ROW($B$1143)&amp;"][ImprovementReportRequired]",Submission!$O:$O,Submission!$H:$N,""))</f>
        <v>8</v>
      </c>
      <c r="I1176" s="124" t="str">
        <f>_xlfn.CONCAT(_xlfn.XLOOKUP("[S05_ImprovementReportArt69]["&amp;ROW(B1176)-ROW($B$1143)&amp;"][ImprovementReportSubmitted]",Submission!$O:$O,Submission!$H:$N,""))</f>
        <v>7</v>
      </c>
    </row>
    <row r="1177" spans="1:9" ht="27" hidden="1" customHeight="1" outlineLevel="1" x14ac:dyDescent="0.3">
      <c r="A1177" s="12"/>
      <c r="C1177" s="47" t="str">
        <f>_xlfn.CONCAT(_xlfn.XLOOKUP("[S05_ImprovementReportArt69]["&amp;ROW(B1177)-ROW($B$1143)&amp;"][InstallationCategory]",Submission!$O:$O,Submission!$H:$N,""))</f>
        <v>Category A</v>
      </c>
      <c r="D1177" s="274" t="str">
        <f>_xlfn.CONCAT(_xlfn.XLOOKUP("[S05_ImprovementReportArt69]["&amp;ROW(B1177)-ROW($B$1143)&amp;"][Annex1Activity]",Submission!$O:$O,Submission!$H:$N,""))</f>
        <v>31 - Manufacture of glass as specified in Annex I of Directive 2003/87/EC</v>
      </c>
      <c r="E1177" s="364"/>
      <c r="F1177" s="258" t="str">
        <f>_xlfn.CONCAT(_xlfn.XLOOKUP("[S05_ImprovementReportArt69]["&amp;ROW(B1177)-ROW($B$1143)&amp;"][ImprovementReportType]",Submission!$O:$O,Submission!$H:$N,""))</f>
        <v>Improvement report according to Article 69(4)</v>
      </c>
      <c r="G1177" s="259"/>
      <c r="H1177" s="124" t="str">
        <f>_xlfn.CONCAT(_xlfn.XLOOKUP("[S05_ImprovementReportArt69]["&amp;ROW(B1177)-ROW($B$1143)&amp;"][ImprovementReportRequired]",Submission!$O:$O,Submission!$H:$N,""))</f>
        <v>9</v>
      </c>
      <c r="I1177" s="124" t="str">
        <f>_xlfn.CONCAT(_xlfn.XLOOKUP("[S05_ImprovementReportArt69]["&amp;ROW(B1177)-ROW($B$1143)&amp;"][ImprovementReportSubmitted]",Submission!$O:$O,Submission!$H:$N,""))</f>
        <v>8</v>
      </c>
    </row>
    <row r="1178" spans="1:9" ht="27" hidden="1" customHeight="1" outlineLevel="1" x14ac:dyDescent="0.3">
      <c r="A1178" s="12"/>
      <c r="C1178" s="47" t="str">
        <f>_xlfn.CONCAT(_xlfn.XLOOKUP("[S05_ImprovementReportArt69]["&amp;ROW(B1178)-ROW($B$1143)&amp;"][InstallationCategory]",Submission!$O:$O,Submission!$H:$N,""))</f>
        <v>Category A</v>
      </c>
      <c r="D1178" s="274" t="str">
        <f>_xlfn.CONCAT(_xlfn.XLOOKUP("[S05_ImprovementReportArt69]["&amp;ROW(B1178)-ROW($B$1143)&amp;"][Annex1Activity]",Submission!$O:$O,Submission!$H:$N,""))</f>
        <v>26 - Production of primary aluminium</v>
      </c>
      <c r="E1178" s="364"/>
      <c r="F1178" s="258" t="str">
        <f>_xlfn.CONCAT(_xlfn.XLOOKUP("[S05_ImprovementReportArt69]["&amp;ROW(B1178)-ROW($B$1143)&amp;"][ImprovementReportType]",Submission!$O:$O,Submission!$H:$N,""))</f>
        <v>Improvement report according to Article 69(4)</v>
      </c>
      <c r="G1178" s="259"/>
      <c r="H1178" s="124" t="str">
        <f>_xlfn.CONCAT(_xlfn.XLOOKUP("[S05_ImprovementReportArt69]["&amp;ROW(B1178)-ROW($B$1143)&amp;"][ImprovementReportRequired]",Submission!$O:$O,Submission!$H:$N,""))</f>
        <v>1</v>
      </c>
      <c r="I1178" s="124" t="str">
        <f>_xlfn.CONCAT(_xlfn.XLOOKUP("[S05_ImprovementReportArt69]["&amp;ROW(B1178)-ROW($B$1143)&amp;"][ImprovementReportSubmitted]",Submission!$O:$O,Submission!$H:$N,""))</f>
        <v>1</v>
      </c>
    </row>
    <row r="1179" spans="1:9" ht="27" hidden="1" customHeight="1" outlineLevel="1" x14ac:dyDescent="0.3">
      <c r="A1179" s="12"/>
      <c r="C1179" s="47" t="str">
        <f>_xlfn.CONCAT(_xlfn.XLOOKUP("[S05_ImprovementReportArt69]["&amp;ROW(B1179)-ROW($B$1143)&amp;"][InstallationCategory]",Submission!$O:$O,Submission!$H:$N,""))</f>
        <v>Category A</v>
      </c>
      <c r="D1179" s="274" t="str">
        <f>_xlfn.CONCAT(_xlfn.XLOOKUP("[S05_ImprovementReportArt69]["&amp;ROW(B1179)-ROW($B$1143)&amp;"][Annex1Activity]",Submission!$O:$O,Submission!$H:$N,""))</f>
        <v>30 - Production of lime or calcination of dolomite or magnesite as specified in Annex I of Directive 2003/87/ EC</v>
      </c>
      <c r="E1179" s="364"/>
      <c r="F1179" s="258" t="str">
        <f>_xlfn.CONCAT(_xlfn.XLOOKUP("[S05_ImprovementReportArt69]["&amp;ROW(B1179)-ROW($B$1143)&amp;"][ImprovementReportType]",Submission!$O:$O,Submission!$H:$N,""))</f>
        <v>Improvement report according to Article 69(4)</v>
      </c>
      <c r="G1179" s="259"/>
      <c r="H1179" s="124" t="str">
        <f>_xlfn.CONCAT(_xlfn.XLOOKUP("[S05_ImprovementReportArt69]["&amp;ROW(B1179)-ROW($B$1143)&amp;"][ImprovementReportRequired]",Submission!$O:$O,Submission!$H:$N,""))</f>
        <v>9</v>
      </c>
      <c r="I1179" s="124" t="str">
        <f>_xlfn.CONCAT(_xlfn.XLOOKUP("[S05_ImprovementReportArt69]["&amp;ROW(B1179)-ROW($B$1143)&amp;"][ImprovementReportSubmitted]",Submission!$O:$O,Submission!$H:$N,""))</f>
        <v>8</v>
      </c>
    </row>
    <row r="1180" spans="1:9" ht="27" hidden="1" customHeight="1" outlineLevel="1" x14ac:dyDescent="0.3">
      <c r="A1180" s="12"/>
      <c r="C1180" s="47" t="str">
        <f>_xlfn.CONCAT(_xlfn.XLOOKUP("[S05_ImprovementReportArt69]["&amp;ROW(B1180)-ROW($B$1143)&amp;"][InstallationCategory]",Submission!$O:$O,Submission!$H:$N,""))</f>
        <v>Category A</v>
      </c>
      <c r="D1180" s="274" t="str">
        <f>_xlfn.CONCAT(_xlfn.XLOOKUP("[S05_ImprovementReportArt69]["&amp;ROW(B1180)-ROW($B$1143)&amp;"][Annex1Activity]",Submission!$O:$O,Submission!$H:$N,""))</f>
        <v>24 - Production of pig iron or steel as specified in Annex I of Directive 2003/87/EC</v>
      </c>
      <c r="E1180" s="364"/>
      <c r="F1180" s="258" t="str">
        <f>_xlfn.CONCAT(_xlfn.XLOOKUP("[S05_ImprovementReportArt69]["&amp;ROW(B1180)-ROW($B$1143)&amp;"][ImprovementReportType]",Submission!$O:$O,Submission!$H:$N,""))</f>
        <v>Improvement report according to Article 69(4)</v>
      </c>
      <c r="G1180" s="259"/>
      <c r="H1180" s="124" t="str">
        <f>_xlfn.CONCAT(_xlfn.XLOOKUP("[S05_ImprovementReportArt69]["&amp;ROW(B1180)-ROW($B$1143)&amp;"][ImprovementReportRequired]",Submission!$O:$O,Submission!$H:$N,""))</f>
        <v>4</v>
      </c>
      <c r="I1180" s="124" t="str">
        <f>_xlfn.CONCAT(_xlfn.XLOOKUP("[S05_ImprovementReportArt69]["&amp;ROW(B1180)-ROW($B$1143)&amp;"][ImprovementReportSubmitted]",Submission!$O:$O,Submission!$H:$N,""))</f>
        <v>3</v>
      </c>
    </row>
    <row r="1181" spans="1:9" ht="27" hidden="1" customHeight="1" outlineLevel="1" x14ac:dyDescent="0.3">
      <c r="A1181" s="12"/>
      <c r="C1181" s="47" t="str">
        <f>_xlfn.CONCAT(_xlfn.XLOOKUP("[S05_ImprovementReportArt69]["&amp;ROW(B1181)-ROW($B$1143)&amp;"][InstallationCategory]",Submission!$O:$O,Submission!$H:$N,""))</f>
        <v>Category A</v>
      </c>
      <c r="D1181" s="274" t="str">
        <f>_xlfn.CONCAT(_xlfn.XLOOKUP("[S05_ImprovementReportArt69]["&amp;ROW(B1181)-ROW($B$1143)&amp;"][Annex1Activity]",Submission!$O:$O,Submission!$H:$N,""))</f>
        <v xml:space="preserve">36 - Production of paper or cardboard as specified in Annex I of Directive 2003/87/EC </v>
      </c>
      <c r="E1181" s="364"/>
      <c r="F1181" s="258" t="str">
        <f>_xlfn.CONCAT(_xlfn.XLOOKUP("[S05_ImprovementReportArt69]["&amp;ROW(B1181)-ROW($B$1143)&amp;"][ImprovementReportType]",Submission!$O:$O,Submission!$H:$N,""))</f>
        <v>Improvement report according to Article 69(4)</v>
      </c>
      <c r="G1181" s="259"/>
      <c r="H1181" s="124" t="str">
        <f>_xlfn.CONCAT(_xlfn.XLOOKUP("[S05_ImprovementReportArt69]["&amp;ROW(B1181)-ROW($B$1143)&amp;"][ImprovementReportRequired]",Submission!$O:$O,Submission!$H:$N,""))</f>
        <v>25</v>
      </c>
      <c r="I1181" s="124" t="str">
        <f>_xlfn.CONCAT(_xlfn.XLOOKUP("[S05_ImprovementReportArt69]["&amp;ROW(B1181)-ROW($B$1143)&amp;"][ImprovementReportSubmitted]",Submission!$O:$O,Submission!$H:$N,""))</f>
        <v>23</v>
      </c>
    </row>
    <row r="1182" spans="1:9" ht="27" hidden="1" customHeight="1" outlineLevel="1" x14ac:dyDescent="0.3">
      <c r="A1182" s="12"/>
      <c r="C1182" s="47" t="str">
        <f>_xlfn.CONCAT(_xlfn.XLOOKUP("[S05_ImprovementReportArt69]["&amp;ROW(B1182)-ROW($B$1143)&amp;"][InstallationCategory]",Submission!$O:$O,Submission!$H:$N,""))</f>
        <v>Category A</v>
      </c>
      <c r="D1182" s="274" t="str">
        <f>_xlfn.CONCAT(_xlfn.XLOOKUP("[S05_ImprovementReportArt69]["&amp;ROW(B1182)-ROW($B$1143)&amp;"][Annex1Activity]",Submission!$O:$O,Submission!$H:$N,""))</f>
        <v xml:space="preserve">42 - Production of bulk organic chemicals as specified in Annex I of Directive 2003/87/EC </v>
      </c>
      <c r="E1182" s="364"/>
      <c r="F1182" s="258" t="str">
        <f>_xlfn.CONCAT(_xlfn.XLOOKUP("[S05_ImprovementReportArt69]["&amp;ROW(B1182)-ROW($B$1143)&amp;"][ImprovementReportType]",Submission!$O:$O,Submission!$H:$N,""))</f>
        <v>Improvement report according to Article 69(4)</v>
      </c>
      <c r="G1182" s="259"/>
      <c r="H1182" s="124" t="str">
        <f>_xlfn.CONCAT(_xlfn.XLOOKUP("[S05_ImprovementReportArt69]["&amp;ROW(B1182)-ROW($B$1143)&amp;"][ImprovementReportRequired]",Submission!$O:$O,Submission!$H:$N,""))</f>
        <v>12</v>
      </c>
      <c r="I1182" s="124" t="str">
        <f>_xlfn.CONCAT(_xlfn.XLOOKUP("[S05_ImprovementReportArt69]["&amp;ROW(B1182)-ROW($B$1143)&amp;"][ImprovementReportSubmitted]",Submission!$O:$O,Submission!$H:$N,""))</f>
        <v>10</v>
      </c>
    </row>
    <row r="1183" spans="1:9" ht="27" hidden="1" customHeight="1" outlineLevel="1" x14ac:dyDescent="0.3">
      <c r="A1183" s="12"/>
      <c r="C1183" s="47" t="str">
        <f>_xlfn.CONCAT(_xlfn.XLOOKUP("[S05_ImprovementReportArt69]["&amp;ROW(B1183)-ROW($B$1143)&amp;"][InstallationCategory]",Submission!$O:$O,Submission!$H:$N,""))</f>
        <v>Category A</v>
      </c>
      <c r="D1183" s="274" t="str">
        <f>_xlfn.CONCAT(_xlfn.XLOOKUP("[S05_ImprovementReportArt69]["&amp;ROW(B1183)-ROW($B$1143)&amp;"][Annex1Activity]",Submission!$O:$O,Submission!$H:$N,""))</f>
        <v>25 - Production or processing of ferrous metals as specified in Annex I of Directive 2003/87/EC</v>
      </c>
      <c r="E1183" s="364"/>
      <c r="F1183" s="258" t="str">
        <f>_xlfn.CONCAT(_xlfn.XLOOKUP("[S05_ImprovementReportArt69]["&amp;ROW(B1183)-ROW($B$1143)&amp;"][ImprovementReportType]",Submission!$O:$O,Submission!$H:$N,""))</f>
        <v>Improvement report according to Article 69(4)</v>
      </c>
      <c r="G1183" s="259"/>
      <c r="H1183" s="124" t="str">
        <f>_xlfn.CONCAT(_xlfn.XLOOKUP("[S05_ImprovementReportArt69]["&amp;ROW(B1183)-ROW($B$1143)&amp;"][ImprovementReportRequired]",Submission!$O:$O,Submission!$H:$N,""))</f>
        <v>11</v>
      </c>
      <c r="I1183" s="124" t="str">
        <f>_xlfn.CONCAT(_xlfn.XLOOKUP("[S05_ImprovementReportArt69]["&amp;ROW(B1183)-ROW($B$1143)&amp;"][ImprovementReportSubmitted]",Submission!$O:$O,Submission!$H:$N,""))</f>
        <v>10</v>
      </c>
    </row>
    <row r="1184" spans="1:9" ht="27" hidden="1" customHeight="1" outlineLevel="1" x14ac:dyDescent="0.3">
      <c r="A1184" s="12"/>
      <c r="C1184" s="47" t="str">
        <f>_xlfn.CONCAT(_xlfn.XLOOKUP("[S05_ImprovementReportArt69]["&amp;ROW(B1184)-ROW($B$1143)&amp;"][InstallationCategory]",Submission!$O:$O,Submission!$H:$N,""))</f>
        <v>Category A</v>
      </c>
      <c r="D1184" s="274" t="str">
        <f>_xlfn.CONCAT(_xlfn.XLOOKUP("[S05_ImprovementReportArt69]["&amp;ROW(B1184)-ROW($B$1143)&amp;"][Annex1Activity]",Submission!$O:$O,Submission!$H:$N,""))</f>
        <v>28 - Production or processing of non-ferrous metals as specified in Annex I of Directive 2003/87/EC</v>
      </c>
      <c r="E1184" s="364"/>
      <c r="F1184" s="258" t="str">
        <f>_xlfn.CONCAT(_xlfn.XLOOKUP("[S05_ImprovementReportArt69]["&amp;ROW(B1184)-ROW($B$1143)&amp;"][ImprovementReportType]",Submission!$O:$O,Submission!$H:$N,""))</f>
        <v>Improvement report according to Article 69(4)</v>
      </c>
      <c r="G1184" s="259"/>
      <c r="H1184" s="124" t="str">
        <f>_xlfn.CONCAT(_xlfn.XLOOKUP("[S05_ImprovementReportArt69]["&amp;ROW(B1184)-ROW($B$1143)&amp;"][ImprovementReportRequired]",Submission!$O:$O,Submission!$H:$N,""))</f>
        <v>2</v>
      </c>
      <c r="I1184" s="124" t="str">
        <f>_xlfn.CONCAT(_xlfn.XLOOKUP("[S05_ImprovementReportArt69]["&amp;ROW(B1184)-ROW($B$1143)&amp;"][ImprovementReportSubmitted]",Submission!$O:$O,Submission!$H:$N,""))</f>
        <v>2</v>
      </c>
    </row>
    <row r="1185" spans="1:9" ht="27" hidden="1" customHeight="1" outlineLevel="1" x14ac:dyDescent="0.3">
      <c r="A1185" s="12"/>
      <c r="C1185" s="47" t="str">
        <f>_xlfn.CONCAT(_xlfn.XLOOKUP("[S05_ImprovementReportArt69]["&amp;ROW(B1185)-ROW($B$1143)&amp;"][InstallationCategory]",Submission!$O:$O,Submission!$H:$N,""))</f>
        <v>Category A</v>
      </c>
      <c r="D1185" s="274" t="str">
        <f>_xlfn.CONCAT(_xlfn.XLOOKUP("[S05_ImprovementReportArt69]["&amp;ROW(B1185)-ROW($B$1143)&amp;"][Annex1Activity]",Submission!$O:$O,Submission!$H:$N,""))</f>
        <v>34 - Drying or calcination of gypsum or production of plaster boards and other gypsum products, as specified in Annex I of Directive 2003/87/EC</v>
      </c>
      <c r="E1185" s="364"/>
      <c r="F1185" s="258" t="str">
        <f>_xlfn.CONCAT(_xlfn.XLOOKUP("[S05_ImprovementReportArt69]["&amp;ROW(B1185)-ROW($B$1143)&amp;"][ImprovementReportType]",Submission!$O:$O,Submission!$H:$N,""))</f>
        <v>Improvement report according to Article 69(4)</v>
      </c>
      <c r="G1185" s="259"/>
      <c r="H1185" s="124" t="str">
        <f>_xlfn.CONCAT(_xlfn.XLOOKUP("[S05_ImprovementReportArt69]["&amp;ROW(B1185)-ROW($B$1143)&amp;"][ImprovementReportRequired]",Submission!$O:$O,Submission!$H:$N,""))</f>
        <v>3</v>
      </c>
      <c r="I1185" s="124" t="str">
        <f>_xlfn.CONCAT(_xlfn.XLOOKUP("[S05_ImprovementReportArt69]["&amp;ROW(B1185)-ROW($B$1143)&amp;"][ImprovementReportSubmitted]",Submission!$O:$O,Submission!$H:$N,""))</f>
        <v>3</v>
      </c>
    </row>
    <row r="1186" spans="1:9" ht="27" hidden="1" customHeight="1" outlineLevel="1" x14ac:dyDescent="0.3">
      <c r="A1186" s="12"/>
      <c r="C1186" s="47" t="str">
        <f>_xlfn.CONCAT(_xlfn.XLOOKUP("[S05_ImprovementReportArt69]["&amp;ROW(B1186)-ROW($B$1143)&amp;"][InstallationCategory]",Submission!$O:$O,Submission!$H:$N,""))</f>
        <v>Category A</v>
      </c>
      <c r="D1186" s="274" t="str">
        <f>_xlfn.CONCAT(_xlfn.XLOOKUP("[S05_ImprovementReportArt69]["&amp;ROW(B1186)-ROW($B$1143)&amp;"][Annex1Activity]",Submission!$O:$O,Submission!$H:$N,""))</f>
        <v xml:space="preserve">43 - Production of hydrogen (H2) and synthesis gas as specified in Annex I of Directive 2003/87/EC </v>
      </c>
      <c r="E1186" s="364"/>
      <c r="F1186" s="258" t="str">
        <f>_xlfn.CONCAT(_xlfn.XLOOKUP("[S05_ImprovementReportArt69]["&amp;ROW(B1186)-ROW($B$1143)&amp;"][ImprovementReportType]",Submission!$O:$O,Submission!$H:$N,""))</f>
        <v>Improvement report according to Article 69(4)</v>
      </c>
      <c r="G1186" s="259"/>
      <c r="H1186" s="124" t="str">
        <f>_xlfn.CONCAT(_xlfn.XLOOKUP("[S05_ImprovementReportArt69]["&amp;ROW(B1186)-ROW($B$1143)&amp;"][ImprovementReportRequired]",Submission!$O:$O,Submission!$H:$N,""))</f>
        <v>1</v>
      </c>
      <c r="I1186" s="124" t="str">
        <f>_xlfn.CONCAT(_xlfn.XLOOKUP("[S05_ImprovementReportArt69]["&amp;ROW(B1186)-ROW($B$1143)&amp;"][ImprovementReportSubmitted]",Submission!$O:$O,Submission!$H:$N,""))</f>
        <v>1</v>
      </c>
    </row>
    <row r="1187" spans="1:9" ht="27" hidden="1" customHeight="1" outlineLevel="1" x14ac:dyDescent="0.3">
      <c r="A1187" s="12"/>
      <c r="C1187" s="47" t="str">
        <f>_xlfn.CONCAT(_xlfn.XLOOKUP("[S05_ImprovementReportArt69]["&amp;ROW(B1187)-ROW($B$1143)&amp;"][InstallationCategory]",Submission!$O:$O,Submission!$H:$N,""))</f>
        <v>Category A</v>
      </c>
      <c r="D1187" s="274" t="str">
        <f>_xlfn.CONCAT(_xlfn.XLOOKUP("[S05_ImprovementReportArt69]["&amp;ROW(B1187)-ROW($B$1143)&amp;"][Annex1Activity]",Submission!$O:$O,Submission!$H:$N,""))</f>
        <v>35 - Production of pulp as specified in Annex I of Directive 2003/87/EC</v>
      </c>
      <c r="E1187" s="364"/>
      <c r="F1187" s="258" t="str">
        <f>_xlfn.CONCAT(_xlfn.XLOOKUP("[S05_ImprovementReportArt69]["&amp;ROW(B1187)-ROW($B$1143)&amp;"][ImprovementReportType]",Submission!$O:$O,Submission!$H:$N,""))</f>
        <v>Improvement report according to Article 69(4)</v>
      </c>
      <c r="G1187" s="259"/>
      <c r="H1187" s="124" t="str">
        <f>_xlfn.CONCAT(_xlfn.XLOOKUP("[S05_ImprovementReportArt69]["&amp;ROW(B1187)-ROW($B$1143)&amp;"][ImprovementReportRequired]",Submission!$O:$O,Submission!$H:$N,""))</f>
        <v>1</v>
      </c>
      <c r="I1187" s="124" t="str">
        <f>_xlfn.CONCAT(_xlfn.XLOOKUP("[S05_ImprovementReportArt69]["&amp;ROW(B1187)-ROW($B$1143)&amp;"][ImprovementReportSubmitted]",Submission!$O:$O,Submission!$H:$N,""))</f>
        <v>1</v>
      </c>
    </row>
    <row r="1188" spans="1:9" ht="27" hidden="1" customHeight="1" outlineLevel="1" x14ac:dyDescent="0.3">
      <c r="A1188" s="12"/>
      <c r="C1188" s="47" t="str">
        <f>_xlfn.CONCAT(_xlfn.XLOOKUP("[S05_ImprovementReportArt69]["&amp;ROW(B1188)-ROW($B$1143)&amp;"][InstallationCategory]",Submission!$O:$O,Submission!$H:$N,""))</f>
        <v>Category A</v>
      </c>
      <c r="D1188" s="274" t="str">
        <f>_xlfn.CONCAT(_xlfn.XLOOKUP("[S05_ImprovementReportArt69]["&amp;ROW(B1188)-ROW($B$1143)&amp;"][Annex1Activity]",Submission!$O:$O,Submission!$H:$N,""))</f>
        <v>29 - Production of cement clinker in rotary kilns as specified in Annex I of Directive 2003/87/ EC</v>
      </c>
      <c r="E1188" s="364"/>
      <c r="F1188" s="258" t="str">
        <f>_xlfn.CONCAT(_xlfn.XLOOKUP("[S05_ImprovementReportArt69]["&amp;ROW(B1188)-ROW($B$1143)&amp;"][ImprovementReportType]",Submission!$O:$O,Submission!$H:$N,""))</f>
        <v>Improvement report according to Article 69(4)</v>
      </c>
      <c r="G1188" s="259"/>
      <c r="H1188" s="124" t="str">
        <f>_xlfn.CONCAT(_xlfn.XLOOKUP("[S05_ImprovementReportArt69]["&amp;ROW(B1188)-ROW($B$1143)&amp;"][ImprovementReportRequired]",Submission!$O:$O,Submission!$H:$N,""))</f>
        <v>1</v>
      </c>
      <c r="I1188" s="124" t="str">
        <f>_xlfn.CONCAT(_xlfn.XLOOKUP("[S05_ImprovementReportArt69]["&amp;ROW(B1188)-ROW($B$1143)&amp;"][ImprovementReportSubmitted]",Submission!$O:$O,Submission!$H:$N,""))</f>
        <v>1</v>
      </c>
    </row>
    <row r="1189" spans="1:9" ht="27" hidden="1" customHeight="1" outlineLevel="1" x14ac:dyDescent="0.3">
      <c r="A1189" s="12"/>
      <c r="C1189" s="47" t="str">
        <f>_xlfn.CONCAT(_xlfn.XLOOKUP("[S05_ImprovementReportArt69]["&amp;ROW(B1189)-ROW($B$1143)&amp;"][InstallationCategory]",Submission!$O:$O,Submission!$H:$N,""))</f>
        <v>Category A</v>
      </c>
      <c r="D1189" s="274" t="str">
        <f>_xlfn.CONCAT(_xlfn.XLOOKUP("[S05_ImprovementReportArt69]["&amp;ROW(B1189)-ROW($B$1143)&amp;"][Annex1Activity]",Submission!$O:$O,Submission!$H:$N,""))</f>
        <v>27 - Production of secondary aluminium as specific in Annex I of Directive 2003/87/EC</v>
      </c>
      <c r="E1189" s="364"/>
      <c r="F1189" s="258" t="str">
        <f>_xlfn.CONCAT(_xlfn.XLOOKUP("[S05_ImprovementReportArt69]["&amp;ROW(B1189)-ROW($B$1143)&amp;"][ImprovementReportType]",Submission!$O:$O,Submission!$H:$N,""))</f>
        <v>Improvement report according to Article 69(4)</v>
      </c>
      <c r="G1189" s="259"/>
      <c r="H1189" s="124" t="str">
        <f>_xlfn.CONCAT(_xlfn.XLOOKUP("[S05_ImprovementReportArt69]["&amp;ROW(B1189)-ROW($B$1143)&amp;"][ImprovementReportRequired]",Submission!$O:$O,Submission!$H:$N,""))</f>
        <v>1</v>
      </c>
      <c r="I1189" s="124" t="str">
        <f>_xlfn.CONCAT(_xlfn.XLOOKUP("[S05_ImprovementReportArt69]["&amp;ROW(B1189)-ROW($B$1143)&amp;"][ImprovementReportSubmitted]",Submission!$O:$O,Submission!$H:$N,""))</f>
        <v>1</v>
      </c>
    </row>
    <row r="1190" spans="1:9" ht="27" hidden="1" customHeight="1" outlineLevel="1" x14ac:dyDescent="0.3">
      <c r="A1190" s="12"/>
      <c r="C1190" s="47" t="str">
        <f>_xlfn.CONCAT(_xlfn.XLOOKUP("[S05_ImprovementReportArt69]["&amp;ROW(B1190)-ROW($B$1143)&amp;"][InstallationCategory]",Submission!$O:$O,Submission!$H:$N,""))</f>
        <v>Category A</v>
      </c>
      <c r="D1190" s="274" t="str">
        <f>_xlfn.CONCAT(_xlfn.XLOOKUP("[S05_ImprovementReportArt69]["&amp;ROW(B1190)-ROW($B$1143)&amp;"][Annex1Activity]",Submission!$O:$O,Submission!$H:$N,""))</f>
        <v xml:space="preserve">38 - Production of nitric acid </v>
      </c>
      <c r="E1190" s="364"/>
      <c r="F1190" s="258" t="str">
        <f>_xlfn.CONCAT(_xlfn.XLOOKUP("[S05_ImprovementReportArt69]["&amp;ROW(B1190)-ROW($B$1143)&amp;"][ImprovementReportType]",Submission!$O:$O,Submission!$H:$N,""))</f>
        <v>Improvement report according to Article 69(4)</v>
      </c>
      <c r="G1190" s="259"/>
      <c r="H1190" s="124" t="str">
        <f>_xlfn.CONCAT(_xlfn.XLOOKUP("[S05_ImprovementReportArt69]["&amp;ROW(B1190)-ROW($B$1143)&amp;"][ImprovementReportRequired]",Submission!$O:$O,Submission!$H:$N,""))</f>
        <v>2</v>
      </c>
      <c r="I1190" s="124" t="str">
        <f>_xlfn.CONCAT(_xlfn.XLOOKUP("[S05_ImprovementReportArt69]["&amp;ROW(B1190)-ROW($B$1143)&amp;"][ImprovementReportSubmitted]",Submission!$O:$O,Submission!$H:$N,""))</f>
        <v>2</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Yes</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CO2 in PCC (Article 49(1) (b))</v>
      </c>
      <c r="D1220" s="72" t="str">
        <f>_xlfn.CONCAT(_xlfn.XLOOKUP("[S05_InherentCarbonTransferredDetail]["&amp;ROW(B1220)-ROW($B$1219)&amp;"][InstallationIdTransferring]",Submission!$O:$O,Submission!$H:$N,""))</f>
        <v>FR000000000000329</v>
      </c>
      <c r="E1220" s="72" t="str">
        <f>_xlfn.CONCAT(_xlfn.XLOOKUP("[S05_InherentCarbonTransferredDetail]["&amp;ROW(B1220)-ROW($B$1219)&amp;"][InstallationIdReceiving]",Submission!$O:$O,Submission!$H:$N,""))</f>
        <v>FR000000000205748</v>
      </c>
      <c r="F1220" s="124" t="str">
        <f>_xlfn.CONCAT(_xlfn.XLOOKUP("[S05_InherentCarbonTransferredDetail]["&amp;ROW(B1220)-ROW($B$1219)&amp;"][AmountCO2Transferred]",Submission!$O:$O,Submission!$H:$N,""))</f>
        <v>2995</v>
      </c>
      <c r="G1220" s="124" t="str">
        <f>_xlfn.CONCAT(_xlfn.XLOOKUP("[S05_InherentCarbonTransferredDetail]["&amp;ROW(B1220)-ROW($B$1219)&amp;"][InherentCO2Received]",Submission!$O:$O,Submission!$H:$N,""))</f>
        <v>0</v>
      </c>
      <c r="H1220" s="71" t="str">
        <f>_xlfn.CONCAT(_xlfn.XLOOKUP("[S05_InherentCarbonTransferredDetail]["&amp;ROW(B1220)-ROW($B$1219)&amp;"][ReceivingInstallationType]",Submission!$O:$O,Submission!$H:$N,""))</f>
        <v xml:space="preserve">42 - Production of bulk organic chemicals as specified in Annex I of Directive 2003/87/EC </v>
      </c>
      <c r="I1220" s="72" t="str">
        <f>_xlfn.CONCAT(_xlfn.XLOOKUP("[S05_InherentCarbonTransferredDetail]["&amp;ROW(B1220)-ROW($B$1219)&amp;"][StorageSitePermitNumber]",Submission!$O:$O,Submission!$H:$N,""))</f>
        <v>-</v>
      </c>
      <c r="K1220" s="13"/>
      <c r="L1220" s="13"/>
    </row>
    <row r="1221" spans="1:12" s="147" customFormat="1" ht="41.4" customHeight="1" x14ac:dyDescent="0.3">
      <c r="A1221" s="146"/>
      <c r="C1221" s="71" t="str">
        <f>_xlfn.CONCAT(_xlfn.XLOOKUP("[S05_InherentCarbonTransferredDetail]["&amp;ROW(B1221)-ROW($B$1219)&amp;"][TransferType]",Submission!$O:$O,Submission!$H:$N,""))</f>
        <v>Transfer of CO2 in PCC (Article 49(1) (b))</v>
      </c>
      <c r="D1221" s="72" t="str">
        <f>_xlfn.CONCAT(_xlfn.XLOOKUP("[S05_InherentCarbonTransferredDetail]["&amp;ROW(B1221)-ROW($B$1219)&amp;"][InstallationIdTransferring]",Submission!$O:$O,Submission!$H:$N,""))</f>
        <v>FR000000000000338</v>
      </c>
      <c r="E1221" s="72" t="str">
        <f>_xlfn.CONCAT(_xlfn.XLOOKUP("[S05_InherentCarbonTransferredDetail]["&amp;ROW(B1221)-ROW($B$1219)&amp;"][InstallationIdReceiving]",Submission!$O:$O,Submission!$H:$N,""))</f>
        <v>Non EU-ETS consumer</v>
      </c>
      <c r="F1221" s="124" t="str">
        <f>_xlfn.CONCAT(_xlfn.XLOOKUP("[S05_InherentCarbonTransferredDetail]["&amp;ROW(B1221)-ROW($B$1219)&amp;"][AmountCO2Transferred]",Submission!$O:$O,Submission!$H:$N,""))</f>
        <v>8666</v>
      </c>
      <c r="G1221" s="124" t="str">
        <f>_xlfn.CONCAT(_xlfn.XLOOKUP("[S05_InherentCarbonTransferredDetail]["&amp;ROW(B1221)-ROW($B$1219)&amp;"][InherentCO2Received]",Submission!$O:$O,Submission!$H:$N,""))</f>
        <v>0</v>
      </c>
      <c r="H1221" s="71" t="str">
        <f>_xlfn.CONCAT(_xlfn.XLOOKUP("[S05_InherentCarbonTransferredDetail]["&amp;ROW(B1221)-ROW($B$1219)&amp;"][ReceivingInstallationType]",Submission!$O:$O,Submission!$H:$N,""))</f>
        <v>-</v>
      </c>
      <c r="I1221" s="72" t="str">
        <f>_xlfn.CONCAT(_xlfn.XLOOKUP("[S05_InherentCarbonTransferredDetail]["&amp;ROW(B1221)-ROW($B$1219)&amp;"][StorageSitePermitNumber]",Submission!$O:$O,Submission!$H:$N,""))</f>
        <v>-</v>
      </c>
      <c r="K1221" s="13"/>
      <c r="L1221" s="13"/>
    </row>
    <row r="1222" spans="1:12" s="147" customFormat="1" ht="41.4" customHeight="1" x14ac:dyDescent="0.3">
      <c r="A1222" s="146"/>
      <c r="C1222" s="71" t="str">
        <f>_xlfn.CONCAT(_xlfn.XLOOKUP("[S05_InherentCarbonTransferredDetail]["&amp;ROW(B1222)-ROW($B$1219)&amp;"][TransferType]",Submission!$O:$O,Submission!$H:$N,""))</f>
        <v>Transfer of CO2 in PCC (Article 49(1) (b))</v>
      </c>
      <c r="D1222" s="72" t="str">
        <f>_xlfn.CONCAT(_xlfn.XLOOKUP("[S05_InherentCarbonTransferredDetail]["&amp;ROW(B1222)-ROW($B$1219)&amp;"][InstallationIdTransferring]",Submission!$O:$O,Submission!$H:$N,""))</f>
        <v>FR000000000000501</v>
      </c>
      <c r="E1222" s="72" t="str">
        <f>_xlfn.CONCAT(_xlfn.XLOOKUP("[S05_InherentCarbonTransferredDetail]["&amp;ROW(B1222)-ROW($B$1219)&amp;"][InstallationIdReceiving]",Submission!$O:$O,Submission!$H:$N,""))</f>
        <v>Non EU-ETS consumer</v>
      </c>
      <c r="F1222" s="124" t="str">
        <f>_xlfn.CONCAT(_xlfn.XLOOKUP("[S05_InherentCarbonTransferredDetail]["&amp;ROW(B1222)-ROW($B$1219)&amp;"][AmountCO2Transferred]",Submission!$O:$O,Submission!$H:$N,""))</f>
        <v>11421</v>
      </c>
      <c r="G1222" s="124" t="str">
        <f>_xlfn.CONCAT(_xlfn.XLOOKUP("[S05_InherentCarbonTransferredDetail]["&amp;ROW(B1222)-ROW($B$1219)&amp;"][InherentCO2Received]",Submission!$O:$O,Submission!$H:$N,""))</f>
        <v>0</v>
      </c>
      <c r="H1222" s="71" t="str">
        <f>_xlfn.CONCAT(_xlfn.XLOOKUP("[S05_InherentCarbonTransferredDetail]["&amp;ROW(B1222)-ROW($B$1219)&amp;"][ReceivingInstallationType]",Submission!$O:$O,Submission!$H:$N,""))</f>
        <v>-</v>
      </c>
      <c r="I1222" s="72" t="str">
        <f>_xlfn.CONCAT(_xlfn.XLOOKUP("[S05_InherentCarbonTransferredDetail]["&amp;ROW(B1222)-ROW($B$1219)&amp;"][StorageSitePermitNumber]",Submission!$O:$O,Submission!$H:$N,""))</f>
        <v>-</v>
      </c>
      <c r="K1222" s="13"/>
      <c r="L1222" s="13"/>
    </row>
    <row r="1223" spans="1:12" s="147" customFormat="1" ht="41.4" customHeight="1" x14ac:dyDescent="0.3">
      <c r="A1223" s="146"/>
      <c r="C1223" s="71" t="str">
        <f>_xlfn.CONCAT(_xlfn.XLOOKUP("[S05_InherentCarbonTransferredDetail]["&amp;ROW(B1223)-ROW($B$1219)&amp;"][TransferType]",Submission!$O:$O,Submission!$H:$N,""))</f>
        <v>Transfer of inherent CO2 (Article 48)</v>
      </c>
      <c r="D1223" s="72" t="str">
        <f>_xlfn.CONCAT(_xlfn.XLOOKUP("[S05_InherentCarbonTransferredDetail]["&amp;ROW(B1223)-ROW($B$1219)&amp;"][InstallationIdTransferring]",Submission!$O:$O,Submission!$H:$N,""))</f>
        <v>FR000000000000956</v>
      </c>
      <c r="E1223" s="72" t="str">
        <f>_xlfn.CONCAT(_xlfn.XLOOKUP("[S05_InherentCarbonTransferredDetail]["&amp;ROW(B1223)-ROW($B$1219)&amp;"][InstallationIdReceiving]",Submission!$O:$O,Submission!$H:$N,""))</f>
        <v>FR000000000000988</v>
      </c>
      <c r="F1223" s="124" t="str">
        <f>_xlfn.CONCAT(_xlfn.XLOOKUP("[S05_InherentCarbonTransferredDetail]["&amp;ROW(B1223)-ROW($B$1219)&amp;"][AmountCO2Transferred]",Submission!$O:$O,Submission!$H:$N,""))</f>
        <v>3773529.325511</v>
      </c>
      <c r="G1223" s="124" t="str">
        <f>_xlfn.CONCAT(_xlfn.XLOOKUP("[S05_InherentCarbonTransferredDetail]["&amp;ROW(B1223)-ROW($B$1219)&amp;"][InherentCO2Received]",Submission!$O:$O,Submission!$H:$N,""))</f>
        <v>3773528.9964</v>
      </c>
      <c r="H1223" s="71" t="str">
        <f>_xlfn.CONCAT(_xlfn.XLOOKUP("[S05_InherentCarbonTransferredDetail]["&amp;ROW(B1223)-ROW($B$1219)&amp;"][ReceivingInstallationType]",Submission!$O:$O,Submission!$H:$N,""))</f>
        <v>20 - Combustion of fuels as specified in Annex I of Directive 2003/87/EC</v>
      </c>
      <c r="I1223" s="72" t="str">
        <f>_xlfn.CONCAT(_xlfn.XLOOKUP("[S05_InherentCarbonTransferredDetail]["&amp;ROW(B1223)-ROW($B$1219)&amp;"][StorageSitePermitNumber]",Submission!$O:$O,Submission!$H:$N,""))</f>
        <v>-</v>
      </c>
      <c r="K1223" s="13"/>
      <c r="L1223" s="13"/>
    </row>
    <row r="1224" spans="1:12" s="147" customFormat="1" ht="41.4" customHeight="1" x14ac:dyDescent="0.3">
      <c r="A1224" s="146"/>
      <c r="C1224" s="71" t="str">
        <f>_xlfn.CONCAT(_xlfn.XLOOKUP("[S05_InherentCarbonTransferredDetail]["&amp;ROW(B1224)-ROW($B$1219)&amp;"][TransferType]",Submission!$O:$O,Submission!$H:$N,""))</f>
        <v>Transfer of CO2 in PCC (Article 49(1) (b))</v>
      </c>
      <c r="D1224" s="72" t="str">
        <f>_xlfn.CONCAT(_xlfn.XLOOKUP("[S05_InherentCarbonTransferredDetail]["&amp;ROW(B1224)-ROW($B$1219)&amp;"][InstallationIdTransferring]",Submission!$O:$O,Submission!$H:$N,""))</f>
        <v>FR000000000001143</v>
      </c>
      <c r="E1224" s="72" t="str">
        <f>_xlfn.CONCAT(_xlfn.XLOOKUP("[S05_InherentCarbonTransferredDetail]["&amp;ROW(B1224)-ROW($B$1219)&amp;"][InstallationIdReceiving]",Submission!$O:$O,Submission!$H:$N,""))</f>
        <v>FR000000000000177</v>
      </c>
      <c r="F1224" s="124" t="str">
        <f>_xlfn.CONCAT(_xlfn.XLOOKUP("[S05_InherentCarbonTransferredDetail]["&amp;ROW(B1224)-ROW($B$1219)&amp;"][AmountCO2Transferred]",Submission!$O:$O,Submission!$H:$N,""))</f>
        <v>4262</v>
      </c>
      <c r="G1224" s="124" t="str">
        <f>_xlfn.CONCAT(_xlfn.XLOOKUP("[S05_InherentCarbonTransferredDetail]["&amp;ROW(B1224)-ROW($B$1219)&amp;"][InherentCO2Received]",Submission!$O:$O,Submission!$H:$N,""))</f>
        <v>0</v>
      </c>
      <c r="H1224" s="71" t="str">
        <f>_xlfn.CONCAT(_xlfn.XLOOKUP("[S05_InherentCarbonTransferredDetail]["&amp;ROW(B1224)-ROW($B$1219)&amp;"][ReceivingInstallationType]",Submission!$O:$O,Submission!$H:$N,""))</f>
        <v xml:space="preserve">36 - Production of paper or cardboard as specified in Annex I of Directive 2003/87/EC </v>
      </c>
      <c r="I1224" s="72" t="str">
        <f>_xlfn.CONCAT(_xlfn.XLOOKUP("[S05_InherentCarbonTransferredDetail]["&amp;ROW(B1224)-ROW($B$1219)&amp;"][StorageSitePermitNumber]",Submission!$O:$O,Submission!$H:$N,""))</f>
        <v>-</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Yes</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FR000000000203838</v>
      </c>
      <c r="D1327" s="260"/>
      <c r="E1327" s="258" t="str">
        <f>_xlfn.CONCAT(_xlfn.XLOOKUP("[S05_ContinuousEmissionsMeasurementDetail][1][InstallationIDN2O]",Submission!$O:$O,Submission!$H:$N,""))</f>
        <v/>
      </c>
      <c r="F1327" s="260"/>
      <c r="G1327" s="127" t="str">
        <f>_xlfn.CONCAT(_xlfn.XLOOKUP("[S05_ContinuousEmissionsMeasurementDetail][1][TotalEmissionsCO2E]",Submission!$O:$O,Submission!$H:$N,""))</f>
        <v>153877</v>
      </c>
      <c r="H1327" s="127" t="str">
        <f>_xlfn.CONCAT(_xlfn.XLOOKUP("[S05_ContinuousEmissionsMeasurementDetail][1][ContinuousMeasurementTotalEmissions]",Submission!$O:$O,Submission!$H:$N,""))</f>
        <v>123665.604</v>
      </c>
      <c r="I1327" s="72" t="str">
        <f>_xlfn.CONCAT(_xlfn.XLOOKUP("[S05_ContinuousEmissionsMeasurementDetail][1][FlueGasContainBiomass]",Submission!$O:$O,Submission!$H:$N,""))</f>
        <v>No</v>
      </c>
    </row>
    <row r="1328" spans="1:12" ht="15.9" customHeight="1" x14ac:dyDescent="0.3">
      <c r="A1328" s="13"/>
      <c r="B1328" s="23"/>
      <c r="C1328" s="258" t="str">
        <f>_xlfn.CONCAT(_xlfn.XLOOKUP("[S05_ContinuousEmissionsMeasurementDetail][2][InstallationIDCO2]",Submission!$O:$O,Submission!$H:$N,""))</f>
        <v>FR000000000203841</v>
      </c>
      <c r="D1328" s="260"/>
      <c r="E1328" s="258" t="str">
        <f>_xlfn.CONCAT(_xlfn.XLOOKUP("[S05_ContinuousEmissionsMeasurementDetail][2][InstallationIDN2O]",Submission!$O:$O,Submission!$H:$N,""))</f>
        <v/>
      </c>
      <c r="F1328" s="260"/>
      <c r="G1328" s="127" t="str">
        <f>_xlfn.CONCAT(_xlfn.XLOOKUP("[S05_ContinuousEmissionsMeasurementDetail][2][TotalEmissionsCO2E]",Submission!$O:$O,Submission!$H:$N,""))</f>
        <v>22539</v>
      </c>
      <c r="H1328" s="127" t="str">
        <f>_xlfn.CONCAT(_xlfn.XLOOKUP("[S05_ContinuousEmissionsMeasurementDetail][2][ContinuousMeasurementTotalEmissions]",Submission!$O:$O,Submission!$H:$N,""))</f>
        <v>21656.5</v>
      </c>
      <c r="I1328" s="72" t="str">
        <f>_xlfn.CONCAT(_xlfn.XLOOKUP("[S05_ContinuousEmissionsMeasurementDetail][2][FlueGasContainBiomass]",Submission!$O:$O,Submission!$H:$N,""))</f>
        <v>No</v>
      </c>
    </row>
    <row r="1329" spans="1:9" ht="15.9" customHeight="1" x14ac:dyDescent="0.3">
      <c r="A1329" s="13"/>
      <c r="B1329" s="23"/>
      <c r="C1329" s="258" t="str">
        <f>_xlfn.CONCAT(_xlfn.XLOOKUP("[S05_ContinuousEmissionsMeasurementDetail][3][InstallationIDCO2]",Submission!$O:$O,Submission!$H:$N,""))</f>
        <v>FR000000000000559</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139080</v>
      </c>
      <c r="H1329" s="127" t="str">
        <f>_xlfn.CONCAT(_xlfn.XLOOKUP("[S05_ContinuousEmissionsMeasurementDetail][3][ContinuousMeasurementTotalEmissions]",Submission!$O:$O,Submission!$H:$N,""))</f>
        <v>0</v>
      </c>
      <c r="I1329" s="72" t="str">
        <f>_xlfn.CONCAT(_xlfn.XLOOKUP("[S05_ContinuousEmissionsMeasurementDetail][3][FlueGasContainBiomass]",Submission!$O:$O,Submission!$H:$N,""))</f>
        <v>No</v>
      </c>
    </row>
    <row r="1330" spans="1:9" ht="15.9" customHeight="1" x14ac:dyDescent="0.3">
      <c r="A1330" s="13"/>
      <c r="B1330" s="23"/>
      <c r="C1330" s="258" t="str">
        <f>_xlfn.CONCAT(_xlfn.XLOOKUP("[S05_ContinuousEmissionsMeasurementDetail][4][InstallationIDCO2]",Submission!$O:$O,Submission!$H:$N,""))</f>
        <v>FR000000000000827</v>
      </c>
      <c r="D1330" s="260"/>
      <c r="E1330" s="258" t="str">
        <f>_xlfn.CONCAT(_xlfn.XLOOKUP("[S05_ContinuousEmissionsMeasurementDetail][4][InstallationIDN2O]",Submission!$O:$O,Submission!$H:$N,""))</f>
        <v>FR000000000000827</v>
      </c>
      <c r="F1330" s="260"/>
      <c r="G1330" s="127" t="str">
        <f>_xlfn.CONCAT(_xlfn.XLOOKUP("[S05_ContinuousEmissionsMeasurementDetail][4][TotalEmissionsCO2E]",Submission!$O:$O,Submission!$H:$N,""))</f>
        <v>403379</v>
      </c>
      <c r="H1330" s="127" t="str">
        <f>_xlfn.CONCAT(_xlfn.XLOOKUP("[S05_ContinuousEmissionsMeasurementDetail][4][ContinuousMeasurementTotalEmissions]",Submission!$O:$O,Submission!$H:$N,""))</f>
        <v>88526.6959094411</v>
      </c>
      <c r="I1330" s="72" t="str">
        <f>_xlfn.CONCAT(_xlfn.XLOOKUP("[S05_ContinuousEmissionsMeasurementDetail][4][FlueGasContainBiomass]",Submission!$O:$O,Submission!$H:$N,""))</f>
        <v>No</v>
      </c>
    </row>
    <row r="1331" spans="1:9" ht="15.9" customHeight="1" x14ac:dyDescent="0.3">
      <c r="A1331" s="13"/>
      <c r="B1331" s="23"/>
      <c r="C1331" s="258" t="str">
        <f>_xlfn.CONCAT(_xlfn.XLOOKUP("[S05_ContinuousEmissionsMeasurementDetail][5][InstallationIDCO2]",Submission!$O:$O,Submission!$H:$N,""))</f>
        <v/>
      </c>
      <c r="D1331" s="260"/>
      <c r="E1331" s="258" t="str">
        <f>_xlfn.CONCAT(_xlfn.XLOOKUP("[S05_ContinuousEmissionsMeasurementDetail][5][InstallationIDN2O]",Submission!$O:$O,Submission!$H:$N,""))</f>
        <v>FR000000000205532</v>
      </c>
      <c r="F1331" s="260"/>
      <c r="G1331" s="127" t="str">
        <f>_xlfn.CONCAT(_xlfn.XLOOKUP("[S05_ContinuousEmissionsMeasurementDetail][5][TotalEmissionsCO2E]",Submission!$O:$O,Submission!$H:$N,""))</f>
        <v>25097</v>
      </c>
      <c r="H1331" s="127" t="str">
        <f>_xlfn.CONCAT(_xlfn.XLOOKUP("[S05_ContinuousEmissionsMeasurementDetail][5][ContinuousMeasurementTotalEmissions]",Submission!$O:$O,Submission!$H:$N,""))</f>
        <v>24379.313896</v>
      </c>
      <c r="I1331" s="72" t="str">
        <f>_xlfn.CONCAT(_xlfn.XLOOKUP("[S05_ContinuousEmissionsMeasurementDetail][5][FlueGasContainBiomass]",Submission!$O:$O,Submission!$H:$N,""))</f>
        <v>No</v>
      </c>
    </row>
    <row r="1332" spans="1:9" ht="15.9" customHeight="1" x14ac:dyDescent="0.3">
      <c r="A1332" s="13"/>
      <c r="B1332" s="23"/>
      <c r="C1332" s="258" t="str">
        <f>_xlfn.CONCAT(_xlfn.XLOOKUP("[S05_ContinuousEmissionsMeasurementDetail][6][InstallationIDCO2]",Submission!$O:$O,Submission!$H:$N,""))</f>
        <v/>
      </c>
      <c r="D1332" s="260"/>
      <c r="E1332" s="258" t="str">
        <f>_xlfn.CONCAT(_xlfn.XLOOKUP("[S05_ContinuousEmissionsMeasurementDetail][6][InstallationIDN2O]",Submission!$O:$O,Submission!$H:$N,""))</f>
        <v>FR000000000204782</v>
      </c>
      <c r="F1332" s="260"/>
      <c r="G1332" s="127" t="str">
        <f>_xlfn.CONCAT(_xlfn.XLOOKUP("[S05_ContinuousEmissionsMeasurementDetail][6][TotalEmissionsCO2E]",Submission!$O:$O,Submission!$H:$N,""))</f>
        <v>10250</v>
      </c>
      <c r="H1332" s="127" t="str">
        <f>_xlfn.CONCAT(_xlfn.XLOOKUP("[S05_ContinuousEmissionsMeasurementDetail][6][ContinuousMeasurementTotalEmissions]",Submission!$O:$O,Submission!$H:$N,""))</f>
        <v>10250</v>
      </c>
      <c r="I1332" s="72" t="str">
        <f>_xlfn.CONCAT(_xlfn.XLOOKUP("[S05_ContinuousEmissionsMeasurementDetail][6][FlueGasContainBiomass]",Submission!$O:$O,Submission!$H:$N,""))</f>
        <v>No</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FR000000000000072</v>
      </c>
      <c r="F1333" s="260"/>
      <c r="G1333" s="127" t="str">
        <f>_xlfn.CONCAT(_xlfn.XLOOKUP("[S05_ContinuousEmissionsMeasurementDetail][7][TotalEmissionsCO2E]",Submission!$O:$O,Submission!$H:$N,""))</f>
        <v>56545</v>
      </c>
      <c r="H1333" s="127" t="str">
        <f>_xlfn.CONCAT(_xlfn.XLOOKUP("[S05_ContinuousEmissionsMeasurementDetail][7][ContinuousMeasurementTotalEmissions]",Submission!$O:$O,Submission!$H:$N,""))</f>
        <v>53698.427847</v>
      </c>
      <c r="I1333" s="72" t="str">
        <f>_xlfn.CONCAT(_xlfn.XLOOKUP("[S05_ContinuousEmissionsMeasurementDetail][7][FlueGasContainBiomass]",Submission!$O:$O,Submission!$H:$N,""))</f>
        <v>No</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FR000000000204210</v>
      </c>
      <c r="F1334" s="260"/>
      <c r="G1334" s="127" t="str">
        <f>_xlfn.CONCAT(_xlfn.XLOOKUP("[S05_ContinuousEmissionsMeasurementDetail][8][TotalEmissionsCO2E]",Submission!$O:$O,Submission!$H:$N,""))</f>
        <v>49694</v>
      </c>
      <c r="H1334" s="127" t="str">
        <f>_xlfn.CONCAT(_xlfn.XLOOKUP("[S05_ContinuousEmissionsMeasurementDetail][8][ContinuousMeasurementTotalEmissions]",Submission!$O:$O,Submission!$H:$N,""))</f>
        <v>49693.504549</v>
      </c>
      <c r="I1334" s="72" t="str">
        <f>_xlfn.CONCAT(_xlfn.XLOOKUP("[S05_ContinuousEmissionsMeasurementDetail][8][FlueGasContainBiomass]",Submission!$O:$O,Submission!$H:$N,""))</f>
        <v>No</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FR000000000001132</v>
      </c>
      <c r="F1335" s="260"/>
      <c r="G1335" s="127" t="str">
        <f>_xlfn.CONCAT(_xlfn.XLOOKUP("[S05_ContinuousEmissionsMeasurementDetail][9][TotalEmissionsCO2E]",Submission!$O:$O,Submission!$H:$N,""))</f>
        <v>94020</v>
      </c>
      <c r="H1335" s="127" t="str">
        <f>_xlfn.CONCAT(_xlfn.XLOOKUP("[S05_ContinuousEmissionsMeasurementDetail][9][ContinuousMeasurementTotalEmissions]",Submission!$O:$O,Submission!$H:$N,""))</f>
        <v>72604.919025</v>
      </c>
      <c r="I1335" s="72" t="str">
        <f>_xlfn.CONCAT(_xlfn.XLOOKUP("[S05_ContinuousEmissionsMeasurementDetail][9][FlueGasContainBiomass]",Submission!$O:$O,Submission!$H:$N,""))</f>
        <v>No</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FR000000000204205</v>
      </c>
      <c r="F1336" s="260"/>
      <c r="G1336" s="127" t="str">
        <f>_xlfn.CONCAT(_xlfn.XLOOKUP("[S05_ContinuousEmissionsMeasurementDetail][10][TotalEmissionsCO2E]",Submission!$O:$O,Submission!$H:$N,""))</f>
        <v>35768</v>
      </c>
      <c r="H1336" s="127" t="str">
        <f>_xlfn.CONCAT(_xlfn.XLOOKUP("[S05_ContinuousEmissionsMeasurementDetail][10][ContinuousMeasurementTotalEmissions]",Submission!$O:$O,Submission!$H:$N,""))</f>
        <v>35768.366951</v>
      </c>
      <c r="I1336" s="72" t="str">
        <f>_xlfn.CONCAT(_xlfn.XLOOKUP("[S05_ContinuousEmissionsMeasurementDetail][10][FlueGasContainBiomass]",Submission!$O:$O,Submission!$H:$N,""))</f>
        <v>No</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FR000000000204209</v>
      </c>
      <c r="F1337" s="260"/>
      <c r="G1337" s="127" t="str">
        <f>_xlfn.CONCAT(_xlfn.XLOOKUP("[S05_ContinuousEmissionsMeasurementDetail][11][TotalEmissionsCO2E]",Submission!$O:$O,Submission!$H:$N,""))</f>
        <v>28203</v>
      </c>
      <c r="H1337" s="127" t="str">
        <f>_xlfn.CONCAT(_xlfn.XLOOKUP("[S05_ContinuousEmissionsMeasurementDetail][11][ContinuousMeasurementTotalEmissions]",Submission!$O:$O,Submission!$H:$N,""))</f>
        <v>28202.727601</v>
      </c>
      <c r="I1337" s="72" t="str">
        <f>_xlfn.CONCAT(_xlfn.XLOOKUP("[S05_ContinuousEmissionsMeasurementDetail][11][FlueGasContainBiomass]",Submission!$O:$O,Submission!$H:$N,""))</f>
        <v>No</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FR000000000206232</v>
      </c>
      <c r="F1338" s="260"/>
      <c r="G1338" s="127" t="str">
        <f>_xlfn.CONCAT(_xlfn.XLOOKUP("[S05_ContinuousEmissionsMeasurementDetail][12][TotalEmissionsCO2E]",Submission!$O:$O,Submission!$H:$N,""))</f>
        <v>500320</v>
      </c>
      <c r="H1338" s="127" t="str">
        <f>_xlfn.CONCAT(_xlfn.XLOOKUP("[S05_ContinuousEmissionsMeasurementDetail][12][ContinuousMeasurementTotalEmissions]",Submission!$O:$O,Submission!$H:$N,""))</f>
        <v>34315.750753</v>
      </c>
      <c r="I1338" s="72" t="str">
        <f>_xlfn.CONCAT(_xlfn.XLOOKUP("[S05_ContinuousEmissionsMeasurementDetail][12][FlueGasContainBiomass]",Submission!$O:$O,Submission!$H:$N,""))</f>
        <v>No</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144</v>
      </c>
      <c r="F1389" s="126" t="str">
        <f>_xlfn.CONCAT(_xlfn.XLOOKUP("[S05_BiomassInstallations][1][EmissionsBiomassSustainabilitySatisfied]",Submission!$O:$O,Submission!$H:$N,""))</f>
        <v>4420997.20399011</v>
      </c>
      <c r="G1389" s="126" t="str">
        <f>_xlfn.CONCAT(_xlfn.XLOOKUP("[S05_BiomassInstallations][1][EmissionsBiomassSustainabilityNotSatisfied]",Submission!$O:$O,Submission!$H:$N,""))</f>
        <v>16443</v>
      </c>
      <c r="H1389" s="126" t="str">
        <f>_xlfn.CONCAT(_xlfn.XLOOKUP("[S05_BiomassInstallations][1][EmissionsFossil]",Submission!$O:$O,Submission!$H:$N,""))</f>
        <v>1604395.72405553</v>
      </c>
      <c r="I1389" s="126" t="str">
        <f>_xlfn.CONCAT(_xlfn.XLOOKUP("[S05_BiomassInstallations][1][EnergyZeroRatedBiomass]",Submission!$O:$O,Submission!$H:$N,""))</f>
        <v>46216.2776139015</v>
      </c>
      <c r="J1389" s="126" t="str">
        <f>_xlfn.CONCAT(_xlfn.XLOOKUP("[S05_BiomassInstallations][1][EnergyNonZeroRatedBiomass]",Submission!$O:$O,Submission!$H:$N,""))</f>
        <v>163.060447152</v>
      </c>
      <c r="K1389" s="126" t="str">
        <f>_xlfn.CONCAT(_xlfn.XLOOKUP("[S05_BiomassInstallations][1][EnergyFossil]",Submission!$O:$O,Submission!$H:$N,""))</f>
        <v>26349.8368997693</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18</v>
      </c>
      <c r="F1390" s="126" t="str">
        <f>_xlfn.CONCAT(_xlfn.XLOOKUP("[S05_BiomassInstallations][2][EmissionsBiomassSustainabilitySatisfied]",Submission!$O:$O,Submission!$H:$N,""))</f>
        <v>932730.61442266</v>
      </c>
      <c r="G1390" s="126" t="str">
        <f>_xlfn.CONCAT(_xlfn.XLOOKUP("[S05_BiomassInstallations][2][EmissionsBiomassSustainabilityNotSatisfied]",Submission!$O:$O,Submission!$H:$N,""))</f>
        <v>820</v>
      </c>
      <c r="H1390" s="126" t="str">
        <f>_xlfn.CONCAT(_xlfn.XLOOKUP("[S05_BiomassInstallations][2][EmissionsFossil]",Submission!$O:$O,Submission!$H:$N,""))</f>
        <v>1905758.0412877</v>
      </c>
      <c r="I1390" s="126" t="str">
        <f>_xlfn.CONCAT(_xlfn.XLOOKUP("[S05_BiomassInstallations][2][EnergyZeroRatedBiomass]",Submission!$O:$O,Submission!$H:$N,""))</f>
        <v>9899.011723682</v>
      </c>
      <c r="J1390" s="126" t="str">
        <f>_xlfn.CONCAT(_xlfn.XLOOKUP("[S05_BiomassInstallations][2][EnergyNonZeroRatedBiomass]",Submission!$O:$O,Submission!$H:$N,""))</f>
        <v>7.311099254515</v>
      </c>
      <c r="K1390" s="126" t="str">
        <f>_xlfn.CONCAT(_xlfn.XLOOKUP("[S05_BiomassInstallations][2][EnergyFossil]",Submission!$O:$O,Submission!$H:$N,""))</f>
        <v>29346.4248604494</v>
      </c>
    </row>
    <row r="1391" spans="1:11" ht="44.4" customHeight="1" x14ac:dyDescent="0.3">
      <c r="A1391" s="12"/>
      <c r="C1391" s="125" t="str">
        <f>_xlfn.CONCAT(_xlfn.XLOOKUP("[S05_BiomassInstallations][3][Annex1Activity]",Submission!$O:$O,Submission!$H:$N,""))</f>
        <v>20 - Combustion of fuels as specified in Annex I of Directive 2003/87/EC</v>
      </c>
      <c r="D1391" s="128" t="str">
        <f>_xlfn.CONCAT(_xlfn.XLOOKUP("[S05_BiomassInstallations][3][BiomassInstallationCategory]",Submission!$O:$O,Submission!$H:$N,""))</f>
        <v>Category C</v>
      </c>
      <c r="E1391" s="126" t="str">
        <f>_xlfn.CONCAT(_xlfn.XLOOKUP("[S05_BiomassInstallations][3][NumberUsingBiomass]",Submission!$O:$O,Submission!$H:$N,""))</f>
        <v>5</v>
      </c>
      <c r="F1391" s="126" t="str">
        <f>_xlfn.CONCAT(_xlfn.XLOOKUP("[S05_BiomassInstallations][3][EmissionsBiomassSustainabilitySatisfied]",Submission!$O:$O,Submission!$H:$N,""))</f>
        <v>463024.0860411</v>
      </c>
      <c r="G1391" s="126" t="str">
        <f>_xlfn.CONCAT(_xlfn.XLOOKUP("[S05_BiomassInstallations][3][EmissionsBiomassSustainabilityNotSatisfied]",Submission!$O:$O,Submission!$H:$N,""))</f>
        <v>0</v>
      </c>
      <c r="H1391" s="126" t="str">
        <f>_xlfn.CONCAT(_xlfn.XLOOKUP("[S05_BiomassInstallations][3][EmissionsFossil]",Submission!$O:$O,Submission!$H:$N,""))</f>
        <v>2928252.75792531</v>
      </c>
      <c r="I1391" s="126" t="str">
        <f>_xlfn.CONCAT(_xlfn.XLOOKUP("[S05_BiomassInstallations][3][EnergyZeroRatedBiomass]",Submission!$O:$O,Submission!$H:$N,""))</f>
        <v>3920.38709351</v>
      </c>
      <c r="J1391" s="126" t="str">
        <f>_xlfn.CONCAT(_xlfn.XLOOKUP("[S05_BiomassInstallations][3][EnergyNonZeroRatedBiomass]",Submission!$O:$O,Submission!$H:$N,""))</f>
        <v>0</v>
      </c>
      <c r="K1391" s="126" t="str">
        <f>_xlfn.CONCAT(_xlfn.XLOOKUP("[S05_BiomassInstallations][3][EnergyFossil]",Submission!$O:$O,Submission!$H:$N,""))</f>
        <v>38169.76661796</v>
      </c>
    </row>
    <row r="1392" spans="1:11" ht="44.4" customHeight="1" x14ac:dyDescent="0.3">
      <c r="A1392" s="12"/>
      <c r="C1392" s="125" t="str">
        <f>_xlfn.CONCAT(_xlfn.XLOOKUP("[S05_BiomassInstallations][4][Annex1Activity]",Submission!$O:$O,Submission!$H:$N,""))</f>
        <v>24 - Production of pig iron or steel as specified in Annex I of Directive 2003/87/EC</v>
      </c>
      <c r="D1392" s="128" t="str">
        <f>_xlfn.CONCAT(_xlfn.XLOOKUP("[S05_BiomassInstallations][4][BiomassInstallationCategory]",Submission!$O:$O,Submission!$H:$N,""))</f>
        <v>Category B</v>
      </c>
      <c r="E1392" s="126" t="str">
        <f>_xlfn.CONCAT(_xlfn.XLOOKUP("[S05_BiomassInstallations][4][NumberUsingBiomass]",Submission!$O:$O,Submission!$H:$N,""))</f>
        <v>1</v>
      </c>
      <c r="F1392" s="126" t="str">
        <f>_xlfn.CONCAT(_xlfn.XLOOKUP("[S05_BiomassInstallations][4][EmissionsBiomassSustainabilitySatisfied]",Submission!$O:$O,Submission!$H:$N,""))</f>
        <v>2067.5359604</v>
      </c>
      <c r="G1392" s="126" t="str">
        <f>_xlfn.CONCAT(_xlfn.XLOOKUP("[S05_BiomassInstallations][4][EmissionsBiomassSustainabilityNotSatisfied]",Submission!$O:$O,Submission!$H:$N,""))</f>
        <v>0</v>
      </c>
      <c r="H1392" s="126" t="str">
        <f>_xlfn.CONCAT(_xlfn.XLOOKUP("[S05_BiomassInstallations][4][EmissionsFossil]",Submission!$O:$O,Submission!$H:$N,""))</f>
        <v>54006.04890862</v>
      </c>
      <c r="I1392" s="126" t="str">
        <f>_xlfn.CONCAT(_xlfn.XLOOKUP("[S05_BiomassInstallations][4][EnergyZeroRatedBiomass]",Submission!$O:$O,Submission!$H:$N,""))</f>
        <v>0</v>
      </c>
      <c r="J1392" s="126" t="str">
        <f>_xlfn.CONCAT(_xlfn.XLOOKUP("[S05_BiomassInstallations][4][EnergyNonZeroRatedBiomass]",Submission!$O:$O,Submission!$H:$N,""))</f>
        <v>0</v>
      </c>
      <c r="K1392" s="126" t="str">
        <f>_xlfn.CONCAT(_xlfn.XLOOKUP("[S05_BiomassInstallations][4][EnergyFossil]",Submission!$O:$O,Submission!$H:$N,""))</f>
        <v>408.21653035</v>
      </c>
    </row>
    <row r="1393" spans="1:11" ht="44.4" customHeight="1" x14ac:dyDescent="0.3">
      <c r="A1393" s="12"/>
      <c r="C1393" s="125" t="str">
        <f>_xlfn.CONCAT(_xlfn.XLOOKUP("[S05_BiomassInstallations][5][Annex1Activity]",Submission!$O:$O,Submission!$H:$N,""))</f>
        <v>25 - Production or processing of ferrous metals as specified in Annex I of Directive 2003/87/EC</v>
      </c>
      <c r="D1393" s="128" t="str">
        <f>_xlfn.CONCAT(_xlfn.XLOOKUP("[S05_BiomassInstallations][5][BiomassInstallationCategory]",Submission!$O:$O,Submission!$H:$N,""))</f>
        <v>Category A</v>
      </c>
      <c r="E1393" s="126" t="str">
        <f>_xlfn.CONCAT(_xlfn.XLOOKUP("[S05_BiomassInstallations][5][NumberUsingBiomass]",Submission!$O:$O,Submission!$H:$N,""))</f>
        <v>1</v>
      </c>
      <c r="F1393" s="126" t="str">
        <f>_xlfn.CONCAT(_xlfn.XLOOKUP("[S05_BiomassInstallations][5][EmissionsBiomassSustainabilitySatisfied]",Submission!$O:$O,Submission!$H:$N,""))</f>
        <v>4772.4655232</v>
      </c>
      <c r="G1393" s="126" t="str">
        <f>_xlfn.CONCAT(_xlfn.XLOOKUP("[S05_BiomassInstallations][5][EmissionsBiomassSustainabilityNotSatisfied]",Submission!$O:$O,Submission!$H:$N,""))</f>
        <v>0</v>
      </c>
      <c r="H1393" s="126" t="str">
        <f>_xlfn.CONCAT(_xlfn.XLOOKUP("[S05_BiomassInstallations][5][EmissionsFossil]",Submission!$O:$O,Submission!$H:$N,""))</f>
        <v>35598.041365997</v>
      </c>
      <c r="I1393" s="126" t="str">
        <f>_xlfn.CONCAT(_xlfn.XLOOKUP("[S05_BiomassInstallations][5][EnergyZeroRatedBiomass]",Submission!$O:$O,Submission!$H:$N,""))</f>
        <v>0</v>
      </c>
      <c r="J1393" s="126" t="str">
        <f>_xlfn.CONCAT(_xlfn.XLOOKUP("[S05_BiomassInstallations][5][EnergyNonZeroRatedBiomass]",Submission!$O:$O,Submission!$H:$N,""))</f>
        <v>0</v>
      </c>
      <c r="K1393" s="126" t="str">
        <f>_xlfn.CONCAT(_xlfn.XLOOKUP("[S05_BiomassInstallations][5][EnergyFossil]",Submission!$O:$O,Submission!$H:$N,""))</f>
        <v>325.899607</v>
      </c>
    </row>
    <row r="1394" spans="1:11" ht="44.4" customHeight="1" x14ac:dyDescent="0.3">
      <c r="A1394" s="12"/>
      <c r="C1394" s="125" t="str">
        <f>_xlfn.CONCAT(_xlfn.XLOOKUP("[S05_BiomassInstallations][6][Annex1Activity]",Submission!$O:$O,Submission!$H:$N,""))</f>
        <v>28 - Production or processing of non-ferrous metals as specified in Annex I of Directive 2003/87/EC</v>
      </c>
      <c r="D1394" s="128" t="str">
        <f>_xlfn.CONCAT(_xlfn.XLOOKUP("[S05_BiomassInstallations][6][BiomassInstallationCategory]",Submission!$O:$O,Submission!$H:$N,""))</f>
        <v>Category B</v>
      </c>
      <c r="E1394" s="126" t="str">
        <f>_xlfn.CONCAT(_xlfn.XLOOKUP("[S05_BiomassInstallations][6][NumberUsingBiomass]",Submission!$O:$O,Submission!$H:$N,""))</f>
        <v>5</v>
      </c>
      <c r="F1394" s="126" t="str">
        <f>_xlfn.CONCAT(_xlfn.XLOOKUP("[S05_BiomassInstallations][6][EmissionsBiomassSustainabilitySatisfied]",Submission!$O:$O,Submission!$H:$N,""))</f>
        <v>262085.376</v>
      </c>
      <c r="G1394" s="126" t="str">
        <f>_xlfn.CONCAT(_xlfn.XLOOKUP("[S05_BiomassInstallations][6][EmissionsBiomassSustainabilityNotSatisfied]",Submission!$O:$O,Submission!$H:$N,""))</f>
        <v>0</v>
      </c>
      <c r="H1394" s="126" t="str">
        <f>_xlfn.CONCAT(_xlfn.XLOOKUP("[S05_BiomassInstallations][6][EmissionsFossil]",Submission!$O:$O,Submission!$H:$N,""))</f>
        <v>608714.641848129</v>
      </c>
      <c r="I1394" s="126" t="str">
        <f>_xlfn.CONCAT(_xlfn.XLOOKUP("[S05_BiomassInstallations][6][EnergyZeroRatedBiomass]",Submission!$O:$O,Submission!$H:$N,""))</f>
        <v>0</v>
      </c>
      <c r="J1394" s="126" t="str">
        <f>_xlfn.CONCAT(_xlfn.XLOOKUP("[S05_BiomassInstallations][6][EnergyNonZeroRatedBiomass]",Submission!$O:$O,Submission!$H:$N,""))</f>
        <v>0</v>
      </c>
      <c r="K1394" s="126" t="str">
        <f>_xlfn.CONCAT(_xlfn.XLOOKUP("[S05_BiomassInstallations][6][EnergyFossil]",Submission!$O:$O,Submission!$H:$N,""))</f>
        <v>64.3589616</v>
      </c>
    </row>
    <row r="1395" spans="1:11" ht="44.4" customHeight="1" x14ac:dyDescent="0.3">
      <c r="A1395" s="12"/>
      <c r="C1395" s="125" t="str">
        <f>_xlfn.CONCAT(_xlfn.XLOOKUP("[S05_BiomassInstallations][7][Annex1Activity]",Submission!$O:$O,Submission!$H:$N,""))</f>
        <v>29 - Production of cement clinker in rotary kilns as specified in Annex I of Directive 2003/87/ EC</v>
      </c>
      <c r="D1395" s="128" t="str">
        <f>_xlfn.CONCAT(_xlfn.XLOOKUP("[S05_BiomassInstallations][7][BiomassInstallationCategory]",Submission!$O:$O,Submission!$H:$N,""))</f>
        <v>Category B</v>
      </c>
      <c r="E1395" s="126" t="str">
        <f>_xlfn.CONCAT(_xlfn.XLOOKUP("[S05_BiomassInstallations][7][NumberUsingBiomass]",Submission!$O:$O,Submission!$H:$N,""))</f>
        <v>16</v>
      </c>
      <c r="F1395" s="126" t="str">
        <f>_xlfn.CONCAT(_xlfn.XLOOKUP("[S05_BiomassInstallations][7][EmissionsBiomassSustainabilitySatisfied]",Submission!$O:$O,Submission!$H:$N,""))</f>
        <v>430361.482665047</v>
      </c>
      <c r="G1395" s="126" t="str">
        <f>_xlfn.CONCAT(_xlfn.XLOOKUP("[S05_BiomassInstallations][7][EmissionsBiomassSustainabilityNotSatisfied]",Submission!$O:$O,Submission!$H:$N,""))</f>
        <v>9766</v>
      </c>
      <c r="H1395" s="126" t="str">
        <f>_xlfn.CONCAT(_xlfn.XLOOKUP("[S05_BiomassInstallations][7][EmissionsFossil]",Submission!$O:$O,Submission!$H:$N,""))</f>
        <v>4897705.31823008</v>
      </c>
      <c r="I1395" s="126" t="str">
        <f>_xlfn.CONCAT(_xlfn.XLOOKUP("[S05_BiomassInstallations][7][EnergyZeroRatedBiomass]",Submission!$O:$O,Submission!$H:$N,""))</f>
        <v>4567.432611639</v>
      </c>
      <c r="J1395" s="126" t="str">
        <f>_xlfn.CONCAT(_xlfn.XLOOKUP("[S05_BiomassInstallations][7][EnergyNonZeroRatedBiomass]",Submission!$O:$O,Submission!$H:$N,""))</f>
        <v>93.92562721296</v>
      </c>
      <c r="K1395" s="126" t="str">
        <f>_xlfn.CONCAT(_xlfn.XLOOKUP("[S05_BiomassInstallations][7][EnergyFossil]",Submission!$O:$O,Submission!$H:$N,""))</f>
        <v>18654.7624990088</v>
      </c>
    </row>
    <row r="1396" spans="1:11" ht="44.4" customHeight="1" x14ac:dyDescent="0.3">
      <c r="A1396" s="12"/>
      <c r="C1396" s="125" t="str">
        <f>_xlfn.CONCAT(_xlfn.XLOOKUP("[S05_BiomassInstallations][8][Annex1Activity]",Submission!$O:$O,Submission!$H:$N,""))</f>
        <v>29 - Production of cement clinker in rotary kilns as specified in Annex I of Directive 2003/87/ EC</v>
      </c>
      <c r="D1396" s="128" t="str">
        <f>_xlfn.CONCAT(_xlfn.XLOOKUP("[S05_BiomassInstallations][8][BiomassInstallationCategory]",Submission!$O:$O,Submission!$H:$N,""))</f>
        <v>Category C</v>
      </c>
      <c r="E1396" s="126" t="str">
        <f>_xlfn.CONCAT(_xlfn.XLOOKUP("[S05_BiomassInstallations][8][NumberUsingBiomass]",Submission!$O:$O,Submission!$H:$N,""))</f>
        <v>7</v>
      </c>
      <c r="F1396" s="126" t="str">
        <f>_xlfn.CONCAT(_xlfn.XLOOKUP("[S05_BiomassInstallations][8][EmissionsBiomassSustainabilitySatisfied]",Submission!$O:$O,Submission!$H:$N,""))</f>
        <v>431724.471954374</v>
      </c>
      <c r="G1396" s="126" t="str">
        <f>_xlfn.CONCAT(_xlfn.XLOOKUP("[S05_BiomassInstallations][8][EmissionsBiomassSustainabilityNotSatisfied]",Submission!$O:$O,Submission!$H:$N,""))</f>
        <v>0</v>
      </c>
      <c r="H1396" s="126" t="str">
        <f>_xlfn.CONCAT(_xlfn.XLOOKUP("[S05_BiomassInstallations][8][EmissionsFossil]",Submission!$O:$O,Submission!$H:$N,""))</f>
        <v>4518011.88741772</v>
      </c>
      <c r="I1396" s="126" t="str">
        <f>_xlfn.CONCAT(_xlfn.XLOOKUP("[S05_BiomassInstallations][8][EnergyZeroRatedBiomass]",Submission!$O:$O,Submission!$H:$N,""))</f>
        <v>4644.99657410704</v>
      </c>
      <c r="J1396" s="126" t="str">
        <f>_xlfn.CONCAT(_xlfn.XLOOKUP("[S05_BiomassInstallations][8][EnergyNonZeroRatedBiomass]",Submission!$O:$O,Submission!$H:$N,""))</f>
        <v>0</v>
      </c>
      <c r="K1396" s="126" t="str">
        <f>_xlfn.CONCAT(_xlfn.XLOOKUP("[S05_BiomassInstallations][8][EnergyFossil]",Submission!$O:$O,Submission!$H:$N,""))</f>
        <v>17277.4855312194</v>
      </c>
    </row>
    <row r="1397" spans="1:11" ht="44.4" customHeight="1" x14ac:dyDescent="0.3">
      <c r="A1397" s="12"/>
      <c r="C1397" s="125" t="str">
        <f>_xlfn.CONCAT(_xlfn.XLOOKUP("[S05_BiomassInstallations][9][Annex1Activity]",Submission!$O:$O,Submission!$H:$N,""))</f>
        <v>30 - Production of lime or calcination of dolomite or magnesite as specified in Annex I of Directive 2003/87/ EC</v>
      </c>
      <c r="D1397" s="128" t="str">
        <f>_xlfn.CONCAT(_xlfn.XLOOKUP("[S05_BiomassInstallations][9][BiomassInstallationCategory]",Submission!$O:$O,Submission!$H:$N,""))</f>
        <v>Category A</v>
      </c>
      <c r="E1397" s="126" t="str">
        <f>_xlfn.CONCAT(_xlfn.XLOOKUP("[S05_BiomassInstallations][9][NumberUsingBiomass]",Submission!$O:$O,Submission!$H:$N,""))</f>
        <v>3</v>
      </c>
      <c r="F1397" s="126" t="str">
        <f>_xlfn.CONCAT(_xlfn.XLOOKUP("[S05_BiomassInstallations][9][EmissionsBiomassSustainabilitySatisfied]",Submission!$O:$O,Submission!$H:$N,""))</f>
        <v>59902.899982</v>
      </c>
      <c r="G1397" s="126" t="str">
        <f>_xlfn.CONCAT(_xlfn.XLOOKUP("[S05_BiomassInstallations][9][EmissionsBiomassSustainabilityNotSatisfied]",Submission!$O:$O,Submission!$H:$N,""))</f>
        <v>0</v>
      </c>
      <c r="H1397" s="126" t="str">
        <f>_xlfn.CONCAT(_xlfn.XLOOKUP("[S05_BiomassInstallations][9][EmissionsFossil]",Submission!$O:$O,Submission!$H:$N,""))</f>
        <v>106499.243176222</v>
      </c>
      <c r="I1397" s="126" t="str">
        <f>_xlfn.CONCAT(_xlfn.XLOOKUP("[S05_BiomassInstallations][9][EnergyZeroRatedBiomass]",Submission!$O:$O,Submission!$H:$N,""))</f>
        <v>619.08743264</v>
      </c>
      <c r="J1397" s="126" t="str">
        <f>_xlfn.CONCAT(_xlfn.XLOOKUP("[S05_BiomassInstallations][9][EnergyNonZeroRatedBiomass]",Submission!$O:$O,Submission!$H:$N,""))</f>
        <v>0</v>
      </c>
      <c r="K1397" s="126" t="str">
        <f>_xlfn.CONCAT(_xlfn.XLOOKUP("[S05_BiomassInstallations][9][EnergyFossil]",Submission!$O:$O,Submission!$H:$N,""))</f>
        <v>0.73615350444</v>
      </c>
    </row>
    <row r="1398" spans="1:11" ht="44.4" customHeight="1" x14ac:dyDescent="0.3">
      <c r="A1398" s="12"/>
      <c r="C1398" s="125" t="str">
        <f>_xlfn.CONCAT(_xlfn.XLOOKUP("[S05_BiomassInstallations][10][Annex1Activity]",Submission!$O:$O,Submission!$H:$N,""))</f>
        <v>30 - Production of lime or calcination of dolomite or magnesite as specified in Annex I of Directive 2003/87/ EC</v>
      </c>
      <c r="D1398" s="128" t="str">
        <f>_xlfn.CONCAT(_xlfn.XLOOKUP("[S05_BiomassInstallations][10][BiomassInstallationCategory]",Submission!$O:$O,Submission!$H:$N,""))</f>
        <v>Category B</v>
      </c>
      <c r="E1398" s="126" t="str">
        <f>_xlfn.CONCAT(_xlfn.XLOOKUP("[S05_BiomassInstallations][10][NumberUsingBiomass]",Submission!$O:$O,Submission!$H:$N,""))</f>
        <v>3</v>
      </c>
      <c r="F1398" s="126" t="str">
        <f>_xlfn.CONCAT(_xlfn.XLOOKUP("[S05_BiomassInstallations][10][EmissionsBiomassSustainabilitySatisfied]",Submission!$O:$O,Submission!$H:$N,""))</f>
        <v>26229.8532471</v>
      </c>
      <c r="G1398" s="126" t="str">
        <f>_xlfn.CONCAT(_xlfn.XLOOKUP("[S05_BiomassInstallations][10][EmissionsBiomassSustainabilityNotSatisfied]",Submission!$O:$O,Submission!$H:$N,""))</f>
        <v>0</v>
      </c>
      <c r="H1398" s="126" t="str">
        <f>_xlfn.CONCAT(_xlfn.XLOOKUP("[S05_BiomassInstallations][10][EmissionsFossil]",Submission!$O:$O,Submission!$H:$N,""))</f>
        <v>804440.16358335</v>
      </c>
      <c r="I1398" s="126" t="str">
        <f>_xlfn.CONCAT(_xlfn.XLOOKUP("[S05_BiomassInstallations][10][EnergyZeroRatedBiomass]",Submission!$O:$O,Submission!$H:$N,""))</f>
        <v>314.4689948</v>
      </c>
      <c r="J1398" s="126" t="str">
        <f>_xlfn.CONCAT(_xlfn.XLOOKUP("[S05_BiomassInstallations][10][EnergyNonZeroRatedBiomass]",Submission!$O:$O,Submission!$H:$N,""))</f>
        <v>0</v>
      </c>
      <c r="K1398" s="126" t="str">
        <f>_xlfn.CONCAT(_xlfn.XLOOKUP("[S05_BiomassInstallations][10][EnergyFossil]",Submission!$O:$O,Submission!$H:$N,""))</f>
        <v>3514.320387514</v>
      </c>
    </row>
    <row r="1399" spans="1:11" ht="44.4" customHeight="1" x14ac:dyDescent="0.3">
      <c r="A1399" s="12"/>
      <c r="C1399" s="125" t="str">
        <f>_xlfn.CONCAT(_xlfn.XLOOKUP("[S05_BiomassInstallations][11][Annex1Activity]",Submission!$O:$O,Submission!$H:$N,""))</f>
        <v>32 - Manufacture of ceramic products as specified in Annex I of Directive 2003/87/EC</v>
      </c>
      <c r="D1399" s="128" t="str">
        <f>_xlfn.CONCAT(_xlfn.XLOOKUP("[S05_BiomassInstallations][11][BiomassInstallationCategory]",Submission!$O:$O,Submission!$H:$N,""))</f>
        <v>Category A</v>
      </c>
      <c r="E1399" s="126" t="str">
        <f>_xlfn.CONCAT(_xlfn.XLOOKUP("[S05_BiomassInstallations][11][NumberUsingBiomass]",Submission!$O:$O,Submission!$H:$N,""))</f>
        <v>10</v>
      </c>
      <c r="F1399" s="126" t="str">
        <f>_xlfn.CONCAT(_xlfn.XLOOKUP("[S05_BiomassInstallations][11][EmissionsBiomassSustainabilitySatisfied]",Submission!$O:$O,Submission!$H:$N,""))</f>
        <v>208044.90214809</v>
      </c>
      <c r="G1399" s="126" t="str">
        <f>_xlfn.CONCAT(_xlfn.XLOOKUP("[S05_BiomassInstallations][11][EmissionsBiomassSustainabilityNotSatisfied]",Submission!$O:$O,Submission!$H:$N,""))</f>
        <v>0</v>
      </c>
      <c r="H1399" s="126" t="str">
        <f>_xlfn.CONCAT(_xlfn.XLOOKUP("[S05_BiomassInstallations][11][EmissionsFossil]",Submission!$O:$O,Submission!$H:$N,""))</f>
        <v>198008.361063784</v>
      </c>
      <c r="I1399" s="126" t="str">
        <f>_xlfn.CONCAT(_xlfn.XLOOKUP("[S05_BiomassInstallations][11][EnergyZeroRatedBiomass]",Submission!$O:$O,Submission!$H:$N,""))</f>
        <v>2215.527362908</v>
      </c>
      <c r="J1399" s="126" t="str">
        <f>_xlfn.CONCAT(_xlfn.XLOOKUP("[S05_BiomassInstallations][11][EnergyNonZeroRatedBiomass]",Submission!$O:$O,Submission!$H:$N,""))</f>
        <v>0</v>
      </c>
      <c r="K1399" s="126" t="str">
        <f>_xlfn.CONCAT(_xlfn.XLOOKUP("[S05_BiomassInstallations][11][EnergyFossil]",Submission!$O:$O,Submission!$H:$N,""))</f>
        <v>2111.987758046</v>
      </c>
    </row>
    <row r="1400" spans="1:11" ht="44.4" customHeight="1" x14ac:dyDescent="0.3">
      <c r="A1400" s="12"/>
      <c r="C1400" s="125" t="str">
        <f>_xlfn.CONCAT(_xlfn.XLOOKUP("[S05_BiomassInstallations][12][Annex1Activity]",Submission!$O:$O,Submission!$H:$N,""))</f>
        <v>33 - Manufacture of mineral wool insulation material using glass, rock or slag as specified in Annex I of Directive 2003/87/EC</v>
      </c>
      <c r="D1400" s="128" t="str">
        <f>_xlfn.CONCAT(_xlfn.XLOOKUP("[S05_BiomassInstallations][12][BiomassInstallationCategory]",Submission!$O:$O,Submission!$H:$N,""))</f>
        <v>Category A</v>
      </c>
      <c r="E1400" s="126" t="str">
        <f>_xlfn.CONCAT(_xlfn.XLOOKUP("[S05_BiomassInstallations][12][NumberUsingBiomass]",Submission!$O:$O,Submission!$H:$N,""))</f>
        <v>1</v>
      </c>
      <c r="F1400" s="126" t="str">
        <f>_xlfn.CONCAT(_xlfn.XLOOKUP("[S05_BiomassInstallations][12][EmissionsBiomassSustainabilitySatisfied]",Submission!$O:$O,Submission!$H:$N,""))</f>
        <v>3.06</v>
      </c>
      <c r="G1400" s="126" t="str">
        <f>_xlfn.CONCAT(_xlfn.XLOOKUP("[S05_BiomassInstallations][12][EmissionsBiomassSustainabilityNotSatisfied]",Submission!$O:$O,Submission!$H:$N,""))</f>
        <v>0</v>
      </c>
      <c r="H1400" s="126" t="str">
        <f>_xlfn.CONCAT(_xlfn.XLOOKUP("[S05_BiomassInstallations][12][EmissionsFossil]",Submission!$O:$O,Submission!$H:$N,""))</f>
        <v>1683.54887964</v>
      </c>
      <c r="I1400" s="126" t="str">
        <f>_xlfn.CONCAT(_xlfn.XLOOKUP("[S05_BiomassInstallations][12][EnergyZeroRatedBiomass]",Submission!$O:$O,Submission!$H:$N,""))</f>
        <v>0</v>
      </c>
      <c r="J1400" s="126" t="str">
        <f>_xlfn.CONCAT(_xlfn.XLOOKUP("[S05_BiomassInstallations][12][EnergyNonZeroRatedBiomass]",Submission!$O:$O,Submission!$H:$N,""))</f>
        <v>0</v>
      </c>
      <c r="K1400" s="126" t="str">
        <f>_xlfn.CONCAT(_xlfn.XLOOKUP("[S05_BiomassInstallations][12][EnergyFossil]",Submission!$O:$O,Submission!$H:$N,""))</f>
        <v>28.6643715</v>
      </c>
    </row>
    <row r="1401" spans="1:11" ht="44.4" hidden="1" customHeight="1" outlineLevel="1" x14ac:dyDescent="0.3">
      <c r="A1401" s="12"/>
      <c r="C1401" s="125" t="str">
        <f>_xlfn.CONCAT(_xlfn.XLOOKUP("[S05_BiomassInstallations][13][Annex1Activity]",Submission!$O:$O,Submission!$H:$N,""))</f>
        <v>35 - Production of pulp as specified in Annex I of Directive 2003/87/EC</v>
      </c>
      <c r="D1401" s="128" t="str">
        <f>_xlfn.CONCAT(_xlfn.XLOOKUP("[S05_BiomassInstallations][13][BiomassInstallationCategory]",Submission!$O:$O,Submission!$H:$N,""))</f>
        <v>Category A</v>
      </c>
      <c r="E1401" s="126" t="str">
        <f>_xlfn.CONCAT(_xlfn.XLOOKUP("[S05_BiomassInstallations][13][NumberUsingBiomass]",Submission!$O:$O,Submission!$H:$N,""))</f>
        <v>6</v>
      </c>
      <c r="F1401" s="126" t="str">
        <f>_xlfn.CONCAT(_xlfn.XLOOKUP("[S05_BiomassInstallations][13][EmissionsBiomassSustainabilitySatisfied]",Submission!$O:$O,Submission!$H:$N,""))</f>
        <v>3044701.8950528</v>
      </c>
      <c r="G1401" s="126" t="str">
        <f>_xlfn.CONCAT(_xlfn.XLOOKUP("[S05_BiomassInstallations][13][EmissionsBiomassSustainabilityNotSatisfied]",Submission!$O:$O,Submission!$H:$N,""))</f>
        <v>0</v>
      </c>
      <c r="H1401" s="126" t="str">
        <f>_xlfn.CONCAT(_xlfn.XLOOKUP("[S05_BiomassInstallations][13][EmissionsFossil]",Submission!$O:$O,Submission!$H:$N,""))</f>
        <v>162032.069943422</v>
      </c>
      <c r="I1401" s="126" t="str">
        <f>_xlfn.CONCAT(_xlfn.XLOOKUP("[S05_BiomassInstallations][13][EnergyZeroRatedBiomass]",Submission!$O:$O,Submission!$H:$N,""))</f>
        <v>30504.977968546</v>
      </c>
      <c r="J1401" s="126" t="str">
        <f>_xlfn.CONCAT(_xlfn.XLOOKUP("[S05_BiomassInstallations][13][EnergyNonZeroRatedBiomass]",Submission!$O:$O,Submission!$H:$N,""))</f>
        <v>0</v>
      </c>
      <c r="K1401" s="126" t="str">
        <f>_xlfn.CONCAT(_xlfn.XLOOKUP("[S05_BiomassInstallations][13][EnergyFossil]",Submission!$O:$O,Submission!$H:$N,""))</f>
        <v>2693.12502398143</v>
      </c>
    </row>
    <row r="1402" spans="1:11" ht="44.4" hidden="1" customHeight="1" outlineLevel="1" x14ac:dyDescent="0.3">
      <c r="A1402" s="12"/>
      <c r="C1402" s="125" t="str">
        <f>_xlfn.CONCAT(_xlfn.XLOOKUP("[S05_BiomassInstallations][14][Annex1Activity]",Submission!$O:$O,Submission!$H:$N,""))</f>
        <v>35 - Production of pulp as specified in Annex I of Directive 2003/87/EC</v>
      </c>
      <c r="D1402" s="128" t="str">
        <f>_xlfn.CONCAT(_xlfn.XLOOKUP("[S05_BiomassInstallations][14][BiomassInstallationCategory]",Submission!$O:$O,Submission!$H:$N,""))</f>
        <v>Category B</v>
      </c>
      <c r="E1402" s="126" t="str">
        <f>_xlfn.CONCAT(_xlfn.XLOOKUP("[S05_BiomassInstallations][14][NumberUsingBiomass]",Submission!$O:$O,Submission!$H:$N,""))</f>
        <v>1</v>
      </c>
      <c r="F1402" s="126" t="str">
        <f>_xlfn.CONCAT(_xlfn.XLOOKUP("[S05_BiomassInstallations][14][EmissionsBiomassSustainabilitySatisfied]",Submission!$O:$O,Submission!$H:$N,""))</f>
        <v>381536.6572464</v>
      </c>
      <c r="G1402" s="126" t="str">
        <f>_xlfn.CONCAT(_xlfn.XLOOKUP("[S05_BiomassInstallations][14][EmissionsBiomassSustainabilityNotSatisfied]",Submission!$O:$O,Submission!$H:$N,""))</f>
        <v>0</v>
      </c>
      <c r="H1402" s="126" t="str">
        <f>_xlfn.CONCAT(_xlfn.XLOOKUP("[S05_BiomassInstallations][14][EmissionsFossil]",Submission!$O:$O,Submission!$H:$N,""))</f>
        <v>48760.098141376</v>
      </c>
      <c r="I1402" s="126" t="str">
        <f>_xlfn.CONCAT(_xlfn.XLOOKUP("[S05_BiomassInstallations][14][EnergyZeroRatedBiomass]",Submission!$O:$O,Submission!$H:$N,""))</f>
        <v>3985.464321604</v>
      </c>
      <c r="J1402" s="126" t="str">
        <f>_xlfn.CONCAT(_xlfn.XLOOKUP("[S05_BiomassInstallations][14][EnergyNonZeroRatedBiomass]",Submission!$O:$O,Submission!$H:$N,""))</f>
        <v>0</v>
      </c>
      <c r="K1402" s="126" t="str">
        <f>_xlfn.CONCAT(_xlfn.XLOOKUP("[S05_BiomassInstallations][14][EnergyFossil]",Submission!$O:$O,Submission!$H:$N,""))</f>
        <v>611.9573695</v>
      </c>
    </row>
    <row r="1403" spans="1:11" ht="44.4" hidden="1" customHeight="1" outlineLevel="1" x14ac:dyDescent="0.3">
      <c r="A1403" s="12"/>
      <c r="C1403" s="125" t="str">
        <f>_xlfn.CONCAT(_xlfn.XLOOKUP("[S05_BiomassInstallations][15][Annex1Activity]",Submission!$O:$O,Submission!$H:$N,""))</f>
        <v xml:space="preserve">36 - Production of paper or cardboard as specified in Annex I of Directive 2003/87/EC </v>
      </c>
      <c r="D1403" s="128" t="str">
        <f>_xlfn.CONCAT(_xlfn.XLOOKUP("[S05_BiomassInstallations][15][BiomassInstallationCategory]",Submission!$O:$O,Submission!$H:$N,""))</f>
        <v>Category A</v>
      </c>
      <c r="E1403" s="126" t="str">
        <f>_xlfn.CONCAT(_xlfn.XLOOKUP("[S05_BiomassInstallations][15][NumberUsingBiomass]",Submission!$O:$O,Submission!$H:$N,""))</f>
        <v>13</v>
      </c>
      <c r="F1403" s="126" t="str">
        <f>_xlfn.CONCAT(_xlfn.XLOOKUP("[S05_BiomassInstallations][15][EmissionsBiomassSustainabilitySatisfied]",Submission!$O:$O,Submission!$H:$N,""))</f>
        <v>750144.61495688</v>
      </c>
      <c r="G1403" s="126" t="str">
        <f>_xlfn.CONCAT(_xlfn.XLOOKUP("[S05_BiomassInstallations][15][EmissionsBiomassSustainabilityNotSatisfied]",Submission!$O:$O,Submission!$H:$N,""))</f>
        <v>268</v>
      </c>
      <c r="H1403" s="126" t="str">
        <f>_xlfn.CONCAT(_xlfn.XLOOKUP("[S05_BiomassInstallations][15][EmissionsFossil]",Submission!$O:$O,Submission!$H:$N,""))</f>
        <v>188215.994842694</v>
      </c>
      <c r="I1403" s="126" t="str">
        <f>_xlfn.CONCAT(_xlfn.XLOOKUP("[S05_BiomassInstallations][15][EnergyZeroRatedBiomass]",Submission!$O:$O,Submission!$H:$N,""))</f>
        <v>7425.053026652</v>
      </c>
      <c r="J1403" s="126" t="str">
        <f>_xlfn.CONCAT(_xlfn.XLOOKUP("[S05_BiomassInstallations][15][EnergyNonZeroRatedBiomass]",Submission!$O:$O,Submission!$H:$N,""))</f>
        <v>2.39513664</v>
      </c>
      <c r="K1403" s="126" t="str">
        <f>_xlfn.CONCAT(_xlfn.XLOOKUP("[S05_BiomassInstallations][15][EnergyFossil]",Submission!$O:$O,Submission!$H:$N,""))</f>
        <v>3404.52776580017</v>
      </c>
    </row>
    <row r="1404" spans="1:11" ht="44.4" hidden="1" customHeight="1" outlineLevel="1" x14ac:dyDescent="0.3">
      <c r="A1404" s="12"/>
      <c r="C1404" s="125" t="str">
        <f>_xlfn.CONCAT(_xlfn.XLOOKUP("[S05_BiomassInstallations][16][Annex1Activity]",Submission!$O:$O,Submission!$H:$N,""))</f>
        <v xml:space="preserve">36 - Production of paper or cardboard as specified in Annex I of Directive 2003/87/EC </v>
      </c>
      <c r="D1404" s="128" t="str">
        <f>_xlfn.CONCAT(_xlfn.XLOOKUP("[S05_BiomassInstallations][16][BiomassInstallationCategory]",Submission!$O:$O,Submission!$H:$N,""))</f>
        <v>Category B</v>
      </c>
      <c r="E1404" s="126" t="str">
        <f>_xlfn.CONCAT(_xlfn.XLOOKUP("[S05_BiomassInstallations][16][NumberUsingBiomass]",Submission!$O:$O,Submission!$H:$N,""))</f>
        <v>2</v>
      </c>
      <c r="F1404" s="126" t="str">
        <f>_xlfn.CONCAT(_xlfn.XLOOKUP("[S05_BiomassInstallations][16][EmissionsBiomassSustainabilitySatisfied]",Submission!$O:$O,Submission!$H:$N,""))</f>
        <v>16861.721465</v>
      </c>
      <c r="G1404" s="126" t="str">
        <f>_xlfn.CONCAT(_xlfn.XLOOKUP("[S05_BiomassInstallations][16][EmissionsBiomassSustainabilityNotSatisfied]",Submission!$O:$O,Submission!$H:$N,""))</f>
        <v>0</v>
      </c>
      <c r="H1404" s="126" t="str">
        <f>_xlfn.CONCAT(_xlfn.XLOOKUP("[S05_BiomassInstallations][16][EmissionsFossil]",Submission!$O:$O,Submission!$H:$N,""))</f>
        <v>92684.415153</v>
      </c>
      <c r="I1404" s="126" t="str">
        <f>_xlfn.CONCAT(_xlfn.XLOOKUP("[S05_BiomassInstallations][16][EnergyZeroRatedBiomass]",Submission!$O:$O,Submission!$H:$N,""))</f>
        <v>256.1457132</v>
      </c>
      <c r="J1404" s="126" t="str">
        <f>_xlfn.CONCAT(_xlfn.XLOOKUP("[S05_BiomassInstallations][16][EnergyNonZeroRatedBiomass]",Submission!$O:$O,Submission!$H:$N,""))</f>
        <v>0</v>
      </c>
      <c r="K1404" s="126" t="str">
        <f>_xlfn.CONCAT(_xlfn.XLOOKUP("[S05_BiomassInstallations][16][EnergyFossil]",Submission!$O:$O,Submission!$H:$N,""))</f>
        <v>1660.33550574</v>
      </c>
    </row>
    <row r="1405" spans="1:11" ht="44.4" hidden="1" customHeight="1" outlineLevel="1" x14ac:dyDescent="0.3">
      <c r="A1405" s="12"/>
      <c r="C1405" s="125" t="str">
        <f>_xlfn.CONCAT(_xlfn.XLOOKUP("[S05_BiomassInstallations][17][Annex1Activity]",Submission!$O:$O,Submission!$H:$N,""))</f>
        <v xml:space="preserve">43 - Production of hydrogen (H2) and synthesis gas as specified in Annex I of Directive 2003/87/EC </v>
      </c>
      <c r="D1405" s="128" t="str">
        <f>_xlfn.CONCAT(_xlfn.XLOOKUP("[S05_BiomassInstallations][17][BiomassInstallationCategory]",Submission!$O:$O,Submission!$H:$N,""))</f>
        <v>Category B</v>
      </c>
      <c r="E1405" s="126" t="str">
        <f>_xlfn.CONCAT(_xlfn.XLOOKUP("[S05_BiomassInstallations][17][NumberUsingBiomass]",Submission!$O:$O,Submission!$H:$N,""))</f>
        <v>1</v>
      </c>
      <c r="F1405" s="126" t="str">
        <f>_xlfn.CONCAT(_xlfn.XLOOKUP("[S05_BiomassInstallations][17][EmissionsBiomassSustainabilitySatisfied]",Submission!$O:$O,Submission!$H:$N,""))</f>
        <v>7502.4203802</v>
      </c>
      <c r="G1405" s="126" t="str">
        <f>_xlfn.CONCAT(_xlfn.XLOOKUP("[S05_BiomassInstallations][17][EmissionsBiomassSustainabilityNotSatisfied]",Submission!$O:$O,Submission!$H:$N,""))</f>
        <v>0</v>
      </c>
      <c r="H1405" s="126" t="str">
        <f>_xlfn.CONCAT(_xlfn.XLOOKUP("[S05_BiomassInstallations][17][EmissionsFossil]",Submission!$O:$O,Submission!$H:$N,""))</f>
        <v>213910.3426848</v>
      </c>
      <c r="I1405" s="126" t="str">
        <f>_xlfn.CONCAT(_xlfn.XLOOKUP("[S05_BiomassInstallations][17][EnergyZeroRatedBiomass]",Submission!$O:$O,Submission!$H:$N,""))</f>
        <v>132.9194844</v>
      </c>
      <c r="J1405" s="126" t="str">
        <f>_xlfn.CONCAT(_xlfn.XLOOKUP("[S05_BiomassInstallations][17][EnergyNonZeroRatedBiomass]",Submission!$O:$O,Submission!$H:$N,""))</f>
        <v>0</v>
      </c>
      <c r="K1405" s="126" t="str">
        <f>_xlfn.CONCAT(_xlfn.XLOOKUP("[S05_BiomassInstallations][17][EnergyFossil]",Submission!$O:$O,Submission!$H:$N,""))</f>
        <v>3818.1547</v>
      </c>
    </row>
    <row r="1406" spans="1:11" ht="44.4" hidden="1" customHeight="1" outlineLevel="1" x14ac:dyDescent="0.3">
      <c r="A1406" s="12"/>
      <c r="C1406" s="125" t="str">
        <f>_xlfn.CONCAT(_xlfn.XLOOKUP("[S05_BiomassInstallations][18][Annex1Activity]",Submission!$O:$O,Submission!$H:$N,""))</f>
        <v>44 - Production of soda ash (Na2CO3) and sodium bicarbonate (NaHCO3) as specified in Annex I of Directive 2003/87/EC</v>
      </c>
      <c r="D1406" s="128" t="str">
        <f>_xlfn.CONCAT(_xlfn.XLOOKUP("[S05_BiomassInstallations][18][BiomassInstallationCategory]",Submission!$O:$O,Submission!$H:$N,""))</f>
        <v>Category C</v>
      </c>
      <c r="E1406" s="126" t="str">
        <f>_xlfn.CONCAT(_xlfn.XLOOKUP("[S05_BiomassInstallations][18][NumberUsingBiomass]",Submission!$O:$O,Submission!$H:$N,""))</f>
        <v>1</v>
      </c>
      <c r="F1406" s="126" t="str">
        <f>_xlfn.CONCAT(_xlfn.XLOOKUP("[S05_BiomassInstallations][18][EmissionsBiomassSustainabilitySatisfied]",Submission!$O:$O,Submission!$H:$N,""))</f>
        <v>2347.6641794</v>
      </c>
      <c r="G1406" s="126" t="str">
        <f>_xlfn.CONCAT(_xlfn.XLOOKUP("[S05_BiomassInstallations][18][EmissionsBiomassSustainabilityNotSatisfied]",Submission!$O:$O,Submission!$H:$N,""))</f>
        <v>0</v>
      </c>
      <c r="H1406" s="126" t="str">
        <f>_xlfn.CONCAT(_xlfn.XLOOKUP("[S05_BiomassInstallations][18][EmissionsFossil]",Submission!$O:$O,Submission!$H:$N,""))</f>
        <v>479688.2355313</v>
      </c>
      <c r="I1406" s="126" t="str">
        <f>_xlfn.CONCAT(_xlfn.XLOOKUP("[S05_BiomassInstallations][18][EnergyZeroRatedBiomass]",Submission!$O:$O,Submission!$H:$N,""))</f>
        <v>0</v>
      </c>
      <c r="J1406" s="126" t="str">
        <f>_xlfn.CONCAT(_xlfn.XLOOKUP("[S05_BiomassInstallations][18][EnergyNonZeroRatedBiomass]",Submission!$O:$O,Submission!$H:$N,""))</f>
        <v>0</v>
      </c>
      <c r="K1406" s="126" t="str">
        <f>_xlfn.CONCAT(_xlfn.XLOOKUP("[S05_BiomassInstallations][18][EnergyFossil]",Submission!$O:$O,Submission!$H:$N,""))</f>
        <v>395.5337276</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Use of voluntary schemes recognised by the European Commission</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148716</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3</v>
      </c>
      <c r="F1462" s="410"/>
      <c r="G1462" s="413" t="str">
        <f>_xlfn.CONCAT(_xlfn.XLOOKUP("[S05_AircraftMethodFuelConsumption][1][SmallEmittersShare]",Submission!$O:$O,Submission!$H:$N,""))</f>
        <v>0.04</v>
      </c>
      <c r="H1462" s="413"/>
      <c r="I1462" s="413"/>
    </row>
    <row r="1463" spans="1:9" ht="15.9" customHeight="1" x14ac:dyDescent="0.3">
      <c r="A1463" s="13"/>
      <c r="C1463" s="383" t="s">
        <v>948</v>
      </c>
      <c r="D1463" s="383"/>
      <c r="E1463" s="410" t="str">
        <f>_xlfn.CONCAT(_xlfn.XLOOKUP("[S05_AircraftMethodFuelConsumption][2][CountAircraftOperators]",Submission!$O:$O,Submission!$H:$N,""))</f>
        <v>22</v>
      </c>
      <c r="F1463" s="410"/>
      <c r="G1463" s="413" t="str">
        <f>_xlfn.CONCAT(_xlfn.XLOOKUP("[S05_AircraftMethodFuelConsumption][2][SmallEmittersShare]",Submission!$O:$O,Submission!$H:$N,""))</f>
        <v>0.26</v>
      </c>
      <c r="H1463" s="413"/>
      <c r="I1463" s="413"/>
    </row>
    <row r="1464" spans="1:9" ht="15.9" customHeight="1" x14ac:dyDescent="0.3">
      <c r="A1464" s="13"/>
      <c r="C1464" s="383" t="s">
        <v>949</v>
      </c>
      <c r="D1464" s="383"/>
      <c r="E1464" s="410" t="str">
        <f>_xlfn.CONCAT(_xlfn.XLOOKUP("[S05_AircraftMethodFuelConsumption][3][CountAircraftOperators]",Submission!$O:$O,Submission!$H:$N,""))</f>
        <v>0</v>
      </c>
      <c r="F1464" s="410"/>
      <c r="G1464" s="413" t="str">
        <f>_xlfn.CONCAT(_xlfn.XLOOKUP("[S05_AircraftMethodFuelConsumption][3][SmallEmittersShare]",Submission!$O:$O,Submission!$H:$N,""))</f>
        <v>0</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2248607</v>
      </c>
      <c r="H1472" s="379"/>
      <c r="I1472" s="379"/>
    </row>
    <row r="1473" spans="1:10" ht="28.95" customHeight="1" x14ac:dyDescent="0.3">
      <c r="C1473" s="382" t="s">
        <v>957</v>
      </c>
      <c r="D1473" s="382"/>
      <c r="E1473" s="382"/>
      <c r="F1473" s="382"/>
      <c r="G1473" s="379" t="str">
        <f>_xlfn.CONCAT(_xlfn.XLOOKUP("[S05_TotalFlightEmissions][2][TotalFlightEmissions]",Submission!$O:$O,Submission!$H:$N,""))</f>
        <v>872109</v>
      </c>
      <c r="H1473" s="379"/>
      <c r="I1473" s="379"/>
    </row>
    <row r="1474" spans="1:10" ht="28.95" customHeight="1" x14ac:dyDescent="0.3">
      <c r="C1474" s="382" t="s">
        <v>958</v>
      </c>
      <c r="D1474" s="382"/>
      <c r="E1474" s="382"/>
      <c r="F1474" s="382"/>
      <c r="G1474" s="379" t="str">
        <f>_xlfn.CONCAT(_xlfn.XLOOKUP("[S05_TotalFlightEmissions][3][TotalFlightEmissions]",Submission!$O:$O,Submission!$H:$N,""))</f>
        <v>7995500</v>
      </c>
      <c r="H1474" s="379"/>
      <c r="I1474" s="379"/>
    </row>
    <row r="1475" spans="1:10" ht="28.95" customHeight="1" x14ac:dyDescent="0.3">
      <c r="C1475" s="382" t="s">
        <v>959</v>
      </c>
      <c r="D1475" s="382"/>
      <c r="E1475" s="382"/>
      <c r="F1475" s="382"/>
      <c r="G1475" s="379" t="str">
        <f>_xlfn.CONCAT(_xlfn.XLOOKUP("[S05_TotalFlightEmissions][4][TotalFlightEmissions]",Submission!$O:$O,Submission!$H:$N,""))</f>
        <v>5769202</v>
      </c>
      <c r="H1475" s="379"/>
      <c r="I1475" s="379"/>
    </row>
    <row r="1476" spans="1:10" ht="28.95" customHeight="1" x14ac:dyDescent="0.3">
      <c r="C1476" s="382" t="s">
        <v>960</v>
      </c>
      <c r="D1476" s="382"/>
      <c r="E1476" s="382"/>
      <c r="F1476" s="382"/>
      <c r="G1476" s="379" t="str">
        <f>_xlfn.CONCAT(_xlfn.XLOOKUP("[S05_TotalFlightEmissions][5][TotalFlightEmissions]",Submission!$O:$O,Submission!$H:$N,""))</f>
        <v>15345</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14</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1</v>
      </c>
      <c r="D1486" s="406"/>
      <c r="E1486" s="407" t="str">
        <f>_xlfn.CONCAT(_xlfn.XLOOKUP("[EmissionsBiofuelsSustainabilitySatisfied][0][EmissionsBiofuelsSustainabilitySatisfied]",Submission!$O:$O,Submission!$H:$N,""))</f>
        <v>844</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34</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44</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25</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0</v>
      </c>
      <c r="D1500" s="363"/>
      <c r="E1500" s="363"/>
      <c r="F1500" s="361"/>
      <c r="G1500" s="351" t="str">
        <f>_xlfn.CONCAT(_xlfn.XLOOKUP("[AircraftImprovementReportSubmitted][0][AircraftImprovementReportSubmitted]",Submission!$O:$O,Submission!$H:$N,""))</f>
        <v>0</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6</v>
      </c>
      <c r="G8" s="119"/>
      <c r="H8" s="105" t="str">
        <f>_xlfn.CONCAT(_xlfn.XLOOKUP("[S06_TotalVerifiers][1][CountVerifiersAviation]",Submission!$O:$O,Submission!$H:$N,""))</f>
        <v>2</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1</v>
      </c>
      <c r="G10" s="72" t="str">
        <f>_xlfn.CONCAT(_xlfn.XLOOKUP("[S06_TotalVerifiers][3][MSVerifiersInstallations]",Submission!$O:$O,Submission!$H:$N,""))</f>
        <v>ES</v>
      </c>
      <c r="H10" s="105" t="str">
        <f>_xlfn.CONCAT(_xlfn.XLOOKUP("[S06_TotalVerifiers][3][CountVerifiersAviation]",Submission!$O:$O,Submission!$H:$N,""))</f>
        <v>0</v>
      </c>
      <c r="I10" s="47" t="str">
        <f>_xlfn.CONCAT(_xlfn.XLOOKUP("[S06_TotalVerifiers][3][MSVerifiersAviation]",Submission!$O:$O,Submission!$H:$N,""))</f>
        <v/>
      </c>
    </row>
    <row r="11" spans="1:9" s="58" customFormat="1" ht="33.6" customHeight="1" x14ac:dyDescent="0.3">
      <c r="A11" s="75"/>
      <c r="C11" s="451" t="s">
        <v>993</v>
      </c>
      <c r="D11" s="451"/>
      <c r="E11" s="451"/>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20"/>
      <c r="E17" s="420"/>
      <c r="F17" s="420"/>
      <c r="G17" s="421"/>
      <c r="H17" s="132" t="str">
        <f>_xlfn.CONCAT(_xlfn.XLOOKUP("[S06_AccredCertVerifiersAnnexI][1][NumberAccredited]",Submission!$O:$O,Submission!$H:$N,""))</f>
        <v>6</v>
      </c>
      <c r="I17" s="132" t="str">
        <f>_xlfn.CONCAT(_xlfn.XLOOKUP("[S06_AccredCertVerifiersAnnexI][1][NumberCertified]",Submission!$O:$O,Submission!$H:$N,""))</f>
        <v>0</v>
      </c>
    </row>
    <row r="18" spans="2:9" ht="27.6" customHeight="1" x14ac:dyDescent="0.3">
      <c r="B18" s="20"/>
      <c r="C18" s="419" t="str">
        <f>_xlfn.CONCAT(_xlfn.XLOOKUP("[S06_AccredCertVerifiersAnnexI][2][AccredCertScope]",Submission!$O:$O,Submission!$H:$N,""))</f>
        <v>1b - Combustion of fuels in installations, without restrictions</v>
      </c>
      <c r="D18" s="420"/>
      <c r="E18" s="420"/>
      <c r="F18" s="420"/>
      <c r="G18" s="421"/>
      <c r="H18" s="132" t="str">
        <f>_xlfn.CONCAT(_xlfn.XLOOKUP("[S06_AccredCertVerifiersAnnexI][2][NumberAccredited]",Submission!$O:$O,Submission!$H:$N,""))</f>
        <v>6</v>
      </c>
      <c r="I18" s="132" t="str">
        <f>_xlfn.CONCAT(_xlfn.XLOOKUP("[S06_AccredCertVerifiersAnnexI][2][NumberCertified]",Submission!$O:$O,Submission!$H:$N,""))</f>
        <v>0</v>
      </c>
    </row>
    <row r="19" spans="2:9" ht="27.6" customHeight="1" x14ac:dyDescent="0.3">
      <c r="B19" s="20"/>
      <c r="C19" s="419" t="str">
        <f>_xlfn.CONCAT(_xlfn.XLOOKUP("[S06_AccredCertVerifiersAnnexI][3][AccredCertScope]",Submission!$O:$O,Submission!$H:$N,""))</f>
        <v>2 - Refining of mineral oil</v>
      </c>
      <c r="D19" s="420"/>
      <c r="E19" s="420"/>
      <c r="F19" s="420"/>
      <c r="G19" s="421"/>
      <c r="H19" s="132" t="str">
        <f>_xlfn.CONCAT(_xlfn.XLOOKUP("[S06_AccredCertVerifiersAnnexI][3][NumberAccredited]",Submission!$O:$O,Submission!$H:$N,""))</f>
        <v>2</v>
      </c>
      <c r="I19" s="132" t="str">
        <f>_xlfn.CONCAT(_xlfn.XLOOKUP("[S06_AccredCertVerifiersAnnexI][3][NumberCertified]",Submission!$O:$O,Submission!$H:$N,""))</f>
        <v>0</v>
      </c>
    </row>
    <row r="20" spans="2:9" ht="27.6" customHeight="1" x14ac:dyDescent="0.3">
      <c r="B20" s="20"/>
      <c r="C20" s="419" t="str">
        <f>_xlfn.CONCAT(_xlfn.XLOOKUP("[S06_AccredCertVerifiersAnnexI][4][AccredCertScope]",Submission!$O:$O,Submission!$H:$N,""))</f>
        <v xml:space="preserve">3 - Production of coke </v>
      </c>
      <c r="D20" s="420"/>
      <c r="E20" s="420"/>
      <c r="F20" s="420"/>
      <c r="G20" s="421"/>
      <c r="H20" s="132" t="str">
        <f>_xlfn.CONCAT(_xlfn.XLOOKUP("[S06_AccredCertVerifiersAnnexI][4][NumberAccredited]",Submission!$O:$O,Submission!$H:$N,""))</f>
        <v>2</v>
      </c>
      <c r="I20" s="132" t="str">
        <f>_xlfn.CONCAT(_xlfn.XLOOKUP("[S06_AccredCertVerifiersAnnexI][4][NumberCertified]",Submission!$O:$O,Submission!$H:$N,""))</f>
        <v>0</v>
      </c>
    </row>
    <row r="21" spans="2:9" ht="27.6" customHeight="1" x14ac:dyDescent="0.3">
      <c r="B21" s="20"/>
      <c r="C21" s="419" t="str">
        <f>_xlfn.CONCAT(_xlfn.XLOOKUP("[S06_AccredCertVerifiersAnnexI][5][AccredCertScope]",Submission!$O:$O,Submission!$H:$N,""))</f>
        <v xml:space="preserve">4 - Production of secondary aluminium </v>
      </c>
      <c r="D21" s="420"/>
      <c r="E21" s="420"/>
      <c r="F21" s="420"/>
      <c r="G21" s="421"/>
      <c r="H21" s="132" t="str">
        <f>_xlfn.CONCAT(_xlfn.XLOOKUP("[S06_AccredCertVerifiersAnnexI][5][NumberAccredited]",Submission!$O:$O,Submission!$H:$N,""))</f>
        <v>2</v>
      </c>
      <c r="I21" s="132" t="str">
        <f>_xlfn.CONCAT(_xlfn.XLOOKUP("[S06_AccredCertVerifiersAnnexI][5][NumberCertified]",Submission!$O:$O,Submission!$H:$N,""))</f>
        <v>0</v>
      </c>
    </row>
    <row r="22" spans="2:9" ht="27.6" customHeight="1" x14ac:dyDescent="0.3">
      <c r="B22" s="20"/>
      <c r="C22" s="419" t="str">
        <f>_xlfn.CONCAT(_xlfn.XLOOKUP("[S06_AccredCertVerifiersAnnexI][6][AccredCertScope]",Submission!$O:$O,Submission!$H:$N,""))</f>
        <v xml:space="preserve">4 - Production or processing of ferrous metals (including ferro-alloys) </v>
      </c>
      <c r="D22" s="420"/>
      <c r="E22" s="420"/>
      <c r="F22" s="420"/>
      <c r="G22" s="421"/>
      <c r="H22" s="132" t="str">
        <f>_xlfn.CONCAT(_xlfn.XLOOKUP("[S06_AccredCertVerifiersAnnexI][6][NumberAccredited]",Submission!$O:$O,Submission!$H:$N,""))</f>
        <v>2</v>
      </c>
      <c r="I22" s="132" t="str">
        <f>_xlfn.CONCAT(_xlfn.XLOOKUP("[S06_AccredCertVerifiersAnnexI][6][NumberCertified]",Submission!$O:$O,Submission!$H:$N,""))</f>
        <v>0</v>
      </c>
    </row>
    <row r="23" spans="2:9" ht="27.6" customHeight="1" x14ac:dyDescent="0.3">
      <c r="B23" s="20"/>
      <c r="C23" s="419" t="str">
        <f>_xlfn.CONCAT(_xlfn.XLOOKUP("[S06_AccredCertVerifiersAnnexI][7][AccredCertScope]",Submission!$O:$O,Submission!$H:$N,""))</f>
        <v xml:space="preserve">4 - Production or processing of non-ferrous metals, including production of alloys </v>
      </c>
      <c r="D23" s="420"/>
      <c r="E23" s="420"/>
      <c r="F23" s="420"/>
      <c r="G23" s="421"/>
      <c r="H23" s="132" t="str">
        <f>_xlfn.CONCAT(_xlfn.XLOOKUP("[S06_AccredCertVerifiersAnnexI][7][NumberAccredited]",Submission!$O:$O,Submission!$H:$N,""))</f>
        <v>2</v>
      </c>
      <c r="I23" s="132" t="str">
        <f>_xlfn.CONCAT(_xlfn.XLOOKUP("[S06_AccredCertVerifiersAnnexI][7][NumberCertified]",Submission!$O:$O,Submission!$H:$N,""))</f>
        <v>0</v>
      </c>
    </row>
    <row r="24" spans="2:9" ht="27.6" customHeight="1" x14ac:dyDescent="0.3">
      <c r="B24" s="20"/>
      <c r="C24" s="419" t="str">
        <f>_xlfn.CONCAT(_xlfn.XLOOKUP("[S06_AccredCertVerifiersAnnexI][8][AccredCertScope]",Submission!$O:$O,Submission!$H:$N,""))</f>
        <v xml:space="preserve">5 - Production of primary aluminium (CO2 and PFC emissions) 6 </v>
      </c>
      <c r="D24" s="420"/>
      <c r="E24" s="420"/>
      <c r="F24" s="420"/>
      <c r="G24" s="421"/>
      <c r="H24" s="132" t="str">
        <f>_xlfn.CONCAT(_xlfn.XLOOKUP("[S06_AccredCertVerifiersAnnexI][8][NumberAccredited]",Submission!$O:$O,Submission!$H:$N,""))</f>
        <v>1</v>
      </c>
      <c r="I24" s="132" t="str">
        <f>_xlfn.CONCAT(_xlfn.XLOOKUP("[S06_AccredCertVerifiersAnnexI][8][NumberCertified]",Submission!$O:$O,Submission!$H:$N,""))</f>
        <v>0</v>
      </c>
    </row>
    <row r="25" spans="2:9" ht="27.6" customHeight="1" x14ac:dyDescent="0.3">
      <c r="B25" s="20"/>
      <c r="C25" s="419" t="str">
        <f>_xlfn.CONCAT(_xlfn.XLOOKUP("[S06_AccredCertVerifiersAnnexI][9][AccredCertScope]",Submission!$O:$O,Submission!$H:$N,""))</f>
        <v xml:space="preserve">6 - Production of cement clinker </v>
      </c>
      <c r="D25" s="420"/>
      <c r="E25" s="420"/>
      <c r="F25" s="420"/>
      <c r="G25" s="421"/>
      <c r="H25" s="132" t="str">
        <f>_xlfn.CONCAT(_xlfn.XLOOKUP("[S06_AccredCertVerifiersAnnexI][9][NumberAccredited]",Submission!$O:$O,Submission!$H:$N,""))</f>
        <v>5</v>
      </c>
      <c r="I25" s="132" t="str">
        <f>_xlfn.CONCAT(_xlfn.XLOOKUP("[S06_AccredCertVerifiersAnnexI][9][NumberCertified]",Submission!$O:$O,Submission!$H:$N,""))</f>
        <v>0</v>
      </c>
    </row>
    <row r="26" spans="2:9" ht="27.6" customHeight="1" x14ac:dyDescent="0.3">
      <c r="B26" s="20"/>
      <c r="C26" s="419" t="str">
        <f>_xlfn.CONCAT(_xlfn.XLOOKUP("[S06_AccredCertVerifiersAnnexI][10][AccredCertScope]",Submission!$O:$O,Submission!$H:$N,""))</f>
        <v xml:space="preserve">6 - Production of lime or calcination of dolomite or magnesite </v>
      </c>
      <c r="D26" s="420"/>
      <c r="E26" s="420"/>
      <c r="F26" s="420"/>
      <c r="G26" s="421"/>
      <c r="H26" s="132" t="str">
        <f>_xlfn.CONCAT(_xlfn.XLOOKUP("[S06_AccredCertVerifiersAnnexI][10][NumberAccredited]",Submission!$O:$O,Submission!$H:$N,""))</f>
        <v>5</v>
      </c>
      <c r="I26" s="132" t="str">
        <f>_xlfn.CONCAT(_xlfn.XLOOKUP("[S06_AccredCertVerifiersAnnexI][10][NumberCertified]",Submission!$O:$O,Submission!$H:$N,""))</f>
        <v>0</v>
      </c>
    </row>
    <row r="27" spans="2:9" ht="27.6" customHeight="1" x14ac:dyDescent="0.3">
      <c r="B27" s="20"/>
      <c r="C27" s="419" t="str">
        <f>_xlfn.CONCAT(_xlfn.XLOOKUP("[S06_AccredCertVerifiersAnnexI][11][AccredCertScope]",Submission!$O:$O,Submission!$H:$N,""))</f>
        <v xml:space="preserve">6 - Manufacture of glass including glass fibre </v>
      </c>
      <c r="D27" s="420"/>
      <c r="E27" s="420"/>
      <c r="F27" s="420"/>
      <c r="G27" s="421"/>
      <c r="H27" s="132" t="str">
        <f>_xlfn.CONCAT(_xlfn.XLOOKUP("[S06_AccredCertVerifiersAnnexI][11][NumberAccredited]",Submission!$O:$O,Submission!$H:$N,""))</f>
        <v>5</v>
      </c>
      <c r="I27" s="132" t="str">
        <f>_xlfn.CONCAT(_xlfn.XLOOKUP("[S06_AccredCertVerifiersAnnexI][11][NumberCertified]",Submission!$O:$O,Submission!$H:$N,""))</f>
        <v>0</v>
      </c>
    </row>
    <row r="28" spans="2:9" ht="27.6" customHeight="1" x14ac:dyDescent="0.3">
      <c r="B28" s="20"/>
      <c r="C28" s="419" t="str">
        <f>_xlfn.CONCAT(_xlfn.XLOOKUP("[S06_AccredCertVerifiersAnnexI][12][AccredCertScope]",Submission!$O:$O,Submission!$H:$N,""))</f>
        <v xml:space="preserve">6 - Manufacture of ceramic products by firing </v>
      </c>
      <c r="D28" s="420"/>
      <c r="E28" s="420"/>
      <c r="F28" s="420"/>
      <c r="G28" s="421"/>
      <c r="H28" s="132" t="str">
        <f>_xlfn.CONCAT(_xlfn.XLOOKUP("[S06_AccredCertVerifiersAnnexI][12][NumberAccredited]",Submission!$O:$O,Submission!$H:$N,""))</f>
        <v>5</v>
      </c>
      <c r="I28" s="132" t="str">
        <f>_xlfn.CONCAT(_xlfn.XLOOKUP("[S06_AccredCertVerifiersAnnexI][12][NumberCertified]",Submission!$O:$O,Submission!$H:$N,""))</f>
        <v>0</v>
      </c>
    </row>
    <row r="29" spans="2:9" ht="27.6" hidden="1" customHeight="1" outlineLevel="1" x14ac:dyDescent="0.3">
      <c r="B29" s="20"/>
      <c r="C29" s="419" t="str">
        <f>_xlfn.CONCAT(_xlfn.XLOOKUP("[S06_AccredCertVerifiersAnnexI][13][AccredCertScope]",Submission!$O:$O,Submission!$H:$N,""))</f>
        <v xml:space="preserve">6 - Manufacture of mineral wool insulation material </v>
      </c>
      <c r="D29" s="420"/>
      <c r="E29" s="420"/>
      <c r="F29" s="420"/>
      <c r="G29" s="421"/>
      <c r="H29" s="132" t="str">
        <f>_xlfn.CONCAT(_xlfn.XLOOKUP("[S06_AccredCertVerifiersAnnexI][13][NumberAccredited]",Submission!$O:$O,Submission!$H:$N,""))</f>
        <v>5</v>
      </c>
      <c r="I29" s="132" t="str">
        <f>_xlfn.CONCAT(_xlfn.XLOOKUP("[S06_AccredCertVerifiersAnnexI][13][NumberCertified]",Submission!$O:$O,Submission!$H:$N,""))</f>
        <v>0</v>
      </c>
    </row>
    <row r="30" spans="2:9" ht="27.6" hidden="1" customHeight="1" outlineLevel="1" x14ac:dyDescent="0.3">
      <c r="B30" s="20"/>
      <c r="C30" s="419" t="str">
        <f>_xlfn.CONCAT(_xlfn.XLOOKUP("[S06_AccredCertVerifiersAnnexI][14][AccredCertScope]",Submission!$O:$O,Submission!$H:$N,""))</f>
        <v>6 - Drying or calcination of gypsum or production of plaster boards and other gypsum products</v>
      </c>
      <c r="D30" s="420"/>
      <c r="E30" s="420"/>
      <c r="F30" s="420"/>
      <c r="G30" s="421"/>
      <c r="H30" s="132" t="str">
        <f>_xlfn.CONCAT(_xlfn.XLOOKUP("[S06_AccredCertVerifiersAnnexI][14][NumberAccredited]",Submission!$O:$O,Submission!$H:$N,""))</f>
        <v>5</v>
      </c>
      <c r="I30" s="132" t="str">
        <f>_xlfn.CONCAT(_xlfn.XLOOKUP("[S06_AccredCertVerifiersAnnexI][14][NumberCertified]",Submission!$O:$O,Submission!$H:$N,""))</f>
        <v>0</v>
      </c>
    </row>
    <row r="31" spans="2:9" ht="27.6" hidden="1" customHeight="1" outlineLevel="1" x14ac:dyDescent="0.3">
      <c r="B31" s="20"/>
      <c r="C31" s="419" t="str">
        <f>_xlfn.CONCAT(_xlfn.XLOOKUP("[S06_AccredCertVerifiersAnnexI][15][AccredCertScope]",Submission!$O:$O,Submission!$H:$N,""))</f>
        <v xml:space="preserve">7 - Production of pulp from timber or other fibrous materials </v>
      </c>
      <c r="D31" s="420"/>
      <c r="E31" s="420"/>
      <c r="F31" s="420"/>
      <c r="G31" s="421"/>
      <c r="H31" s="132" t="str">
        <f>_xlfn.CONCAT(_xlfn.XLOOKUP("[S06_AccredCertVerifiersAnnexI][15][NumberAccredited]",Submission!$O:$O,Submission!$H:$N,""))</f>
        <v>4</v>
      </c>
      <c r="I31" s="132" t="str">
        <f>_xlfn.CONCAT(_xlfn.XLOOKUP("[S06_AccredCertVerifiersAnnexI][15][NumberCertified]",Submission!$O:$O,Submission!$H:$N,""))</f>
        <v>0</v>
      </c>
    </row>
    <row r="32" spans="2:9" ht="27.6" hidden="1" customHeight="1" outlineLevel="1" x14ac:dyDescent="0.3">
      <c r="B32" s="20"/>
      <c r="C32" s="419" t="str">
        <f>_xlfn.CONCAT(_xlfn.XLOOKUP("[S06_AccredCertVerifiersAnnexI][16][AccredCertScope]",Submission!$O:$O,Submission!$H:$N,""))</f>
        <v>7 - Production of paper or cardboard</v>
      </c>
      <c r="D32" s="420"/>
      <c r="E32" s="420"/>
      <c r="F32" s="420"/>
      <c r="G32" s="421"/>
      <c r="H32" s="132" t="str">
        <f>_xlfn.CONCAT(_xlfn.XLOOKUP("[S06_AccredCertVerifiersAnnexI][16][NumberAccredited]",Submission!$O:$O,Submission!$H:$N,""))</f>
        <v>4</v>
      </c>
      <c r="I32" s="132" t="str">
        <f>_xlfn.CONCAT(_xlfn.XLOOKUP("[S06_AccredCertVerifiersAnnexI][16][NumberCertified]",Submission!$O:$O,Submission!$H:$N,""))</f>
        <v>0</v>
      </c>
    </row>
    <row r="33" spans="2:9" ht="27.6" hidden="1" customHeight="1" outlineLevel="1" x14ac:dyDescent="0.3">
      <c r="B33" s="20"/>
      <c r="C33" s="419" t="str">
        <f>_xlfn.CONCAT(_xlfn.XLOOKUP("[S06_AccredCertVerifiersAnnexI][17][AccredCertScope]",Submission!$O:$O,Submission!$H:$N,""))</f>
        <v xml:space="preserve">8 - Production of carbon black </v>
      </c>
      <c r="D33" s="420"/>
      <c r="E33" s="420"/>
      <c r="F33" s="420"/>
      <c r="G33" s="421"/>
      <c r="H33" s="132" t="str">
        <f>_xlfn.CONCAT(_xlfn.XLOOKUP("[S06_AccredCertVerifiersAnnexI][17][NumberAccredited]",Submission!$O:$O,Submission!$H:$N,""))</f>
        <v>4</v>
      </c>
      <c r="I33" s="132" t="str">
        <f>_xlfn.CONCAT(_xlfn.XLOOKUP("[S06_AccredCertVerifiersAnnexI][17][NumberCertified]",Submission!$O:$O,Submission!$H:$N,""))</f>
        <v>0</v>
      </c>
    </row>
    <row r="34" spans="2:9" ht="27.6" hidden="1" customHeight="1" outlineLevel="1" x14ac:dyDescent="0.3">
      <c r="B34" s="20"/>
      <c r="C34" s="419" t="str">
        <f>_xlfn.CONCAT(_xlfn.XLOOKUP("[S06_AccredCertVerifiersAnnexI][18][AccredCertScope]",Submission!$O:$O,Submission!$H:$N,""))</f>
        <v xml:space="preserve">8 - Production of bulk organic chemicals by cracking, reforming, partial or full oxidation or by similar processes </v>
      </c>
      <c r="D34" s="420"/>
      <c r="E34" s="420"/>
      <c r="F34" s="420"/>
      <c r="G34" s="421"/>
      <c r="H34" s="132" t="str">
        <f>_xlfn.CONCAT(_xlfn.XLOOKUP("[S06_AccredCertVerifiersAnnexI][18][NumberAccredited]",Submission!$O:$O,Submission!$H:$N,""))</f>
        <v>4</v>
      </c>
      <c r="I34" s="132" t="str">
        <f>_xlfn.CONCAT(_xlfn.XLOOKUP("[S06_AccredCertVerifiersAnnexI][18][NumberCertified]",Submission!$O:$O,Submission!$H:$N,""))</f>
        <v>0</v>
      </c>
    </row>
    <row r="35" spans="2:9" ht="27.6" hidden="1" customHeight="1" outlineLevel="1" x14ac:dyDescent="0.3">
      <c r="B35" s="20"/>
      <c r="C35" s="419" t="str">
        <f>_xlfn.CONCAT(_xlfn.XLOOKUP("[S06_AccredCertVerifiersAnnexI][19][AccredCertScope]",Submission!$O:$O,Submission!$H:$N,""))</f>
        <v xml:space="preserve">8 - Production of hydrogen (H2) and synthesis gas by reforming or partial oxidation </v>
      </c>
      <c r="D35" s="420"/>
      <c r="E35" s="420"/>
      <c r="F35" s="420"/>
      <c r="G35" s="421"/>
      <c r="H35" s="132" t="str">
        <f>_xlfn.CONCAT(_xlfn.XLOOKUP("[S06_AccredCertVerifiersAnnexI][19][NumberAccredited]",Submission!$O:$O,Submission!$H:$N,""))</f>
        <v>4</v>
      </c>
      <c r="I35" s="132" t="str">
        <f>_xlfn.CONCAT(_xlfn.XLOOKUP("[S06_AccredCertVerifiersAnnexI][19][NumberCertified]",Submission!$O:$O,Submission!$H:$N,""))</f>
        <v>0</v>
      </c>
    </row>
    <row r="36" spans="2:9" ht="27.6" hidden="1" customHeight="1" outlineLevel="1" x14ac:dyDescent="0.3">
      <c r="B36" s="20"/>
      <c r="C36" s="419" t="str">
        <f>_xlfn.CONCAT(_xlfn.XLOOKUP("[S06_AccredCertVerifiersAnnexI][20][AccredCertScope]",Submission!$O:$O,Submission!$H:$N,""))</f>
        <v>8 - Production of soda ash (Na2CO3) and sodium bicarbonate (NaHCO3)</v>
      </c>
      <c r="D36" s="420"/>
      <c r="E36" s="420"/>
      <c r="F36" s="420"/>
      <c r="G36" s="421"/>
      <c r="H36" s="132" t="str">
        <f>_xlfn.CONCAT(_xlfn.XLOOKUP("[S06_AccredCertVerifiersAnnexI][20][NumberAccredited]",Submission!$O:$O,Submission!$H:$N,""))</f>
        <v>4</v>
      </c>
      <c r="I36" s="132" t="str">
        <f>_xlfn.CONCAT(_xlfn.XLOOKUP("[S06_AccredCertVerifiersAnnexI][20][NumberCertified]",Submission!$O:$O,Submission!$H:$N,""))</f>
        <v>0</v>
      </c>
    </row>
    <row r="37" spans="2:9" ht="27.6" hidden="1" customHeight="1" outlineLevel="1" x14ac:dyDescent="0.3">
      <c r="B37" s="20"/>
      <c r="C37" s="419" t="str">
        <f>_xlfn.CONCAT(_xlfn.XLOOKUP("[S06_AccredCertVerifiersAnnexI][21][AccredCertScope]",Submission!$O:$O,Submission!$H:$N,""))</f>
        <v xml:space="preserve">9 - Production of nitric acid (CO2 and N2O emissions) </v>
      </c>
      <c r="D37" s="420"/>
      <c r="E37" s="420"/>
      <c r="F37" s="420"/>
      <c r="G37" s="421"/>
      <c r="H37" s="132" t="str">
        <f>_xlfn.CONCAT(_xlfn.XLOOKUP("[S06_AccredCertVerifiersAnnexI][21][NumberAccredited]",Submission!$O:$O,Submission!$H:$N,""))</f>
        <v>2</v>
      </c>
      <c r="I37" s="132" t="str">
        <f>_xlfn.CONCAT(_xlfn.XLOOKUP("[S06_AccredCertVerifiersAnnexI][21][NumberCertified]",Submission!$O:$O,Submission!$H:$N,""))</f>
        <v>0</v>
      </c>
    </row>
    <row r="38" spans="2:9" ht="27.6" hidden="1" customHeight="1" outlineLevel="1" x14ac:dyDescent="0.3">
      <c r="B38" s="20"/>
      <c r="C38" s="419" t="str">
        <f>_xlfn.CONCAT(_xlfn.XLOOKUP("[S06_AccredCertVerifiersAnnexI][22][AccredCertScope]",Submission!$O:$O,Submission!$H:$N,""))</f>
        <v>9 - Production of glyoxal and glyoxylic acid (CO2 and N2O emissions)</v>
      </c>
      <c r="D38" s="420"/>
      <c r="E38" s="420"/>
      <c r="F38" s="420"/>
      <c r="G38" s="421"/>
      <c r="H38" s="132" t="str">
        <f>_xlfn.CONCAT(_xlfn.XLOOKUP("[S06_AccredCertVerifiersAnnexI][22][NumberAccredited]",Submission!$O:$O,Submission!$H:$N,""))</f>
        <v>2</v>
      </c>
      <c r="I38" s="132" t="str">
        <f>_xlfn.CONCAT(_xlfn.XLOOKUP("[S06_AccredCertVerifiersAnnexI][22][NumberCertified]",Submission!$O:$O,Submission!$H:$N,""))</f>
        <v>0</v>
      </c>
    </row>
    <row r="39" spans="2:9" ht="27.6" hidden="1" customHeight="1" outlineLevel="1" x14ac:dyDescent="0.3">
      <c r="B39" s="20"/>
      <c r="C39" s="419" t="str">
        <f>_xlfn.CONCAT(_xlfn.XLOOKUP("[S06_AccredCertVerifiersAnnexI][23][AccredCertScope]",Submission!$O:$O,Submission!$H:$N,""))</f>
        <v xml:space="preserve">10 - Capture of greenhouse gases from installations covered by Directive 2003/87/EC for the purpose of transport and geological storage in a storage site permitted under Directive 2009/31/EC </v>
      </c>
      <c r="D39" s="420"/>
      <c r="E39" s="420"/>
      <c r="F39" s="420"/>
      <c r="G39" s="421"/>
      <c r="H39" s="132" t="str">
        <f>_xlfn.CONCAT(_xlfn.XLOOKUP("[S06_AccredCertVerifiersAnnexI][23][NumberAccredited]",Submission!$O:$O,Submission!$H:$N,""))</f>
        <v>1</v>
      </c>
      <c r="I39" s="132" t="str">
        <f>_xlfn.CONCAT(_xlfn.XLOOKUP("[S06_AccredCertVerifiersAnnexI][23][NumberCertified]",Submission!$O:$O,Submission!$H:$N,""))</f>
        <v>0</v>
      </c>
    </row>
    <row r="40" spans="2:9" ht="27.6" hidden="1" customHeight="1" outlineLevel="1" x14ac:dyDescent="0.3">
      <c r="B40" s="20"/>
      <c r="C40" s="419" t="str">
        <f>_xlfn.CONCAT(_xlfn.XLOOKUP("[S06_AccredCertVerifiersAnnexI][24][AccredCertScope]",Submission!$O:$O,Submission!$H:$N,""))</f>
        <v>10 - Transport of greenhouse gases by pipelines for geological storage in a storage site permitted under Directive 2009/31/EC</v>
      </c>
      <c r="D40" s="420"/>
      <c r="E40" s="420"/>
      <c r="F40" s="420"/>
      <c r="G40" s="421"/>
      <c r="H40" s="132" t="str">
        <f>_xlfn.CONCAT(_xlfn.XLOOKUP("[S06_AccredCertVerifiersAnnexI][24][NumberAccredited]",Submission!$O:$O,Submission!$H:$N,""))</f>
        <v>1</v>
      </c>
      <c r="I40" s="132" t="str">
        <f>_xlfn.CONCAT(_xlfn.XLOOKUP("[S06_AccredCertVerifiersAnnexI][24][NumberCertified]",Submission!$O:$O,Submission!$H:$N,""))</f>
        <v>0</v>
      </c>
    </row>
    <row r="41" spans="2:9" ht="27.6" hidden="1" customHeight="1" outlineLevel="1" x14ac:dyDescent="0.3">
      <c r="B41" s="20"/>
      <c r="C41" s="419" t="str">
        <f>_xlfn.CONCAT(_xlfn.XLOOKUP("[S06_AccredCertVerifiersAnnexI][25][AccredCertScope]",Submission!$O:$O,Submission!$H:$N,""))</f>
        <v>11 - Geological storage of greenhouse gases in a storage site permitted under Directive 2009/31/EC</v>
      </c>
      <c r="D41" s="420"/>
      <c r="E41" s="420"/>
      <c r="F41" s="420"/>
      <c r="G41" s="421"/>
      <c r="H41" s="132" t="str">
        <f>_xlfn.CONCAT(_xlfn.XLOOKUP("[S06_AccredCertVerifiersAnnexI][25][NumberAccredited]",Submission!$O:$O,Submission!$H:$N,""))</f>
        <v>1</v>
      </c>
      <c r="I41" s="132" t="str">
        <f>_xlfn.CONCAT(_xlfn.XLOOKUP("[S06_AccredCertVerifiersAnnexI][25][NumberCertified]",Submission!$O:$O,Submission!$H:$N,""))</f>
        <v>0</v>
      </c>
    </row>
    <row r="42" spans="2:9" ht="27.6" hidden="1" customHeight="1" outlineLevel="1" x14ac:dyDescent="0.3">
      <c r="B42" s="20"/>
      <c r="C42" s="419" t="str">
        <f>_xlfn.CONCAT(_xlfn.XLOOKUP("[S06_AccredCertVerifiersAnnexI][26][AccredCertScope]",Submission!$O:$O,Submission!$H:$N,""))</f>
        <v>12 - Aviation activities (emissions and tonne-kilometre data)</v>
      </c>
      <c r="D42" s="420"/>
      <c r="E42" s="420"/>
      <c r="F42" s="420"/>
      <c r="G42" s="421"/>
      <c r="H42" s="132" t="str">
        <f>_xlfn.CONCAT(_xlfn.XLOOKUP("[S06_AccredCertVerifiersAnnexI][26][NumberAccredited]",Submission!$O:$O,Submission!$H:$N,""))</f>
        <v>2</v>
      </c>
      <c r="I42" s="132" t="str">
        <f>_xlfn.CONCAT(_xlfn.XLOOKUP("[S06_AccredCertVerifiersAnnexI][26][NumberCertified]",Submission!$O:$O,Submission!$H:$N,""))</f>
        <v>0</v>
      </c>
    </row>
    <row r="43" spans="2:9" ht="27.6" hidden="1" customHeight="1" outlineLevel="1" x14ac:dyDescent="0.3">
      <c r="B43" s="20"/>
      <c r="C43" s="419" t="str">
        <f>_xlfn.CONCAT(_xlfn.XLOOKUP("[S06_AccredCertVerifiersAnnexI][27][AccredCertScope]",Submission!$O:$O,Submission!$H:$N,""))</f>
        <v>98 - Other activities pursuant to Article 10a of Directive 2003/87/EC</v>
      </c>
      <c r="D43" s="420"/>
      <c r="E43" s="420"/>
      <c r="F43" s="420"/>
      <c r="G43" s="421"/>
      <c r="H43" s="132" t="str">
        <f>_xlfn.CONCAT(_xlfn.XLOOKUP("[S06_AccredCertVerifiersAnnexI][27][NumberAccredited]",Submission!$O:$O,Submission!$H:$N,""))</f>
        <v>6</v>
      </c>
      <c r="I43" s="132" t="str">
        <f>_xlfn.CONCAT(_xlfn.XLOOKUP("[S06_AccredCertVerifiersAnnexI][27][NumberCertified]",Submission!$O:$O,Submission!$H:$N,""))</f>
        <v>0</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Yes</v>
      </c>
      <c r="H56" s="260"/>
      <c r="I56" s="47" t="str">
        <f>_xlfn.CONCAT(_xlfn.XLOOKUP("[S06_ApplicationInformationExchangeRequirements1][1][FromOtherMS]",Submission!$O:$O,Submission!$H:$N,""))</f>
        <v>Yes</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Yes</v>
      </c>
      <c r="H58" s="260"/>
      <c r="I58" s="47" t="str">
        <f>_xlfn.CONCAT(_xlfn.XLOOKUP("[S06_ApplicationInformationExchangeRequirements1][2][FromOtherMS]",Submission!$O:$O,Submission!$H:$N,""))</f>
        <v>Yes</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
      </c>
      <c r="H60" s="260"/>
      <c r="I60" s="47" t="str">
        <f>_xlfn.CONCAT(_xlfn.XLOOKUP("[S06_ApplicationInformationExchangeRequirements1][3][FromOtherMS]",Submission!$O:$O,Submission!$H:$N,""))</f>
        <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
      </c>
      <c r="H62" s="105" t="str">
        <f>_xlfn.CONCAT(_xlfn.XLOOKUP("[S06_ApplicationInformationExchangeRequirements2][1][NumberImposedOnVerifiersWithdrawal]",Submission!$O:$O,Submission!$H:$N,""))</f>
        <v>1</v>
      </c>
      <c r="I62" s="105" t="str">
        <f>_xlfn.CONCAT(_xlfn.XLOOKUP("[S06_ApplicationInformationExchangeRequirements2][1][NumberImposedOnVerifiersReductionOfScope]",Submission!$O:$O,Submission!$H:$N,""))</f>
        <v>1</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1</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4</v>
      </c>
      <c r="H67" s="105" t="str">
        <f>_xlfn.CONCAT(_xlfn.XLOOKUP("[S06_ApplicationInformationExchangeRequirements4][1][NumberOfIssuesResolved]",Submission!$O:$O,Submission!$H:$N,""))</f>
        <v>3</v>
      </c>
      <c r="I67" s="105" t="str">
        <f>_xlfn.CONCAT(_xlfn.XLOOKUP("[S06_ApplicationInformationExchangeRequirements4][1][NumberOfPriorIssuesResolved]",Submission!$O:$O,Submission!$H:$N,""))</f>
        <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3</v>
      </c>
      <c r="H71" s="105" t="str">
        <f>_xlfn.CONCAT(_xlfn.XLOOKUP("[S06_ApplicationInformationExchangeRequirements4][3][NumberOfIssuesResolved]",Submission!$O:$O,Submission!$H:$N,""))</f>
        <v>3</v>
      </c>
      <c r="I71" s="105" t="str">
        <f>_xlfn.CONCAT(_xlfn.XLOOKUP("[S06_ApplicationInformationExchangeRequirements4][3][NumberOfPriorIssuesResolved]",Submission!$O:$O,Submission!$H:$N,""))</f>
        <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FR000000000000924</v>
      </c>
      <c r="D78" s="105" t="str">
        <f>_xlfn.CONCAT(_xlfn.XLOOKUP("[S06_InstallationsConservativeEstimates][1][InstallationAnnualEmissionstCO2e]",Submission!$O:$O,Submission!$H:$N,""))</f>
        <v>8073</v>
      </c>
      <c r="E78" s="157" t="str">
        <f>_xlfn.CONCAT(_xlfn.XLOOKUP("[S06_InstallationsConservativeEstimates][1][ReasonConservativeEstimate]",Submission!$O:$O,Submission!$H:$N,""))</f>
        <v>No positive verification opinion statement was given because of limitation of scope (Article 27(1)(c) of Implementing Regulation (EU) 2018/2067)</v>
      </c>
      <c r="F78" s="189" t="str">
        <f>_xlfn.CONCAT(_xlfn.XLOOKUP("[S06_InstallationsConservativeEstimates][1][InstallationConservativeShare]",Submission!$O:$O,Submission!$H:$N,""))</f>
        <v>1</v>
      </c>
      <c r="G78" s="72" t="str">
        <f>_xlfn.CONCAT(_xlfn.XLOOKUP("[S06_InstallationsConservativeEstimates][1][ConservativeMethod]",Submission!$O:$O,Submission!$H:$N,""))</f>
        <v>Use of operator's data</v>
      </c>
      <c r="H78" s="72" t="str">
        <f>_xlfn.CONCAT(_xlfn.XLOOKUP("[S06_InstallationsConservativeEstimates][1][FurtherAction]",Submission!$O:$O,Submission!$H:$N,""))</f>
        <v>Other, please specify in the column on the right</v>
      </c>
      <c r="I78" s="72" t="str">
        <f>_xlfn.CONCAT(_xlfn.XLOOKUP("[S06_InstallationsConservativeEstimates][1][OtherAction]",Submission!$O:$O,Submission!$H:$N,""))</f>
        <v>Formal notice</v>
      </c>
    </row>
    <row r="79" spans="1:9" ht="60.6" customHeight="1" x14ac:dyDescent="0.3">
      <c r="A79" s="13"/>
      <c r="C79" s="72" t="str">
        <f>_xlfn.CONCAT(_xlfn.XLOOKUP("[S06_InstallationsConservativeEstimates][2][InstallationID]",Submission!$O:$O,Submission!$H:$N,""))</f>
        <v>FR000000000000077</v>
      </c>
      <c r="D79" s="105" t="str">
        <f>_xlfn.CONCAT(_xlfn.XLOOKUP("[S06_InstallationsConservativeEstimates][2][InstallationAnnualEmissionstCO2e]",Submission!$O:$O,Submission!$H:$N,""))</f>
        <v>597</v>
      </c>
      <c r="E79" s="157" t="str">
        <f>_xlfn.CONCAT(_xlfn.XLOOKUP("[S06_InstallationsConservativeEstimates][2][ReasonConservativeEstimate]",Submission!$O:$O,Submission!$H:$N,""))</f>
        <v>No emission report submitted by the 31st of March</v>
      </c>
      <c r="F79" s="189" t="str">
        <f>_xlfn.CONCAT(_xlfn.XLOOKUP("[S06_InstallationsConservativeEstimates][2][InstallationConservativeShare]",Submission!$O:$O,Submission!$H:$N,""))</f>
        <v>1</v>
      </c>
      <c r="G79" s="72" t="str">
        <f>_xlfn.CONCAT(_xlfn.XLOOKUP("[S06_InstallationsConservativeEstimates][2][ConservativeMethod]",Submission!$O:$O,Submission!$H:$N,""))</f>
        <v>Use of operator's data</v>
      </c>
      <c r="H79" s="72" t="str">
        <f>_xlfn.CONCAT(_xlfn.XLOOKUP("[S06_InstallationsConservativeEstimates][2][FurtherAction]",Submission!$O:$O,Submission!$H:$N,""))</f>
        <v>Other, please specify in the column on the right</v>
      </c>
      <c r="I79" s="72" t="str">
        <f>_xlfn.CONCAT(_xlfn.XLOOKUP("[S06_InstallationsConservativeEstimates][2][OtherAction]",Submission!$O:$O,Submission!$H:$N,""))</f>
        <v>Formal notice</v>
      </c>
    </row>
    <row r="80" spans="1:9" ht="60.6" customHeight="1" x14ac:dyDescent="0.3">
      <c r="A80" s="13"/>
      <c r="C80" s="72" t="str">
        <f>_xlfn.CONCAT(_xlfn.XLOOKUP("[S06_InstallationsConservativeEstimates][3][InstallationID]",Submission!$O:$O,Submission!$H:$N,""))</f>
        <v>FR000000000000441</v>
      </c>
      <c r="D80" s="105" t="str">
        <f>_xlfn.CONCAT(_xlfn.XLOOKUP("[S06_InstallationsConservativeEstimates][3][InstallationAnnualEmissionstCO2e]",Submission!$O:$O,Submission!$H:$N,""))</f>
        <v>35</v>
      </c>
      <c r="E80" s="157" t="str">
        <f>_xlfn.CONCAT(_xlfn.XLOOKUP("[S06_InstallationsConservativeEstimates][3][ReasonConservativeEstimate]",Submission!$O:$O,Submission!$H:$N,""))</f>
        <v>Emission report not verified in line with Regulation (EU) 2018/2067</v>
      </c>
      <c r="F80" s="189" t="str">
        <f>_xlfn.CONCAT(_xlfn.XLOOKUP("[S06_InstallationsConservativeEstimates][3][InstallationConservativeShare]",Submission!$O:$O,Submission!$H:$N,""))</f>
        <v>1</v>
      </c>
      <c r="G80" s="72" t="str">
        <f>_xlfn.CONCAT(_xlfn.XLOOKUP("[S06_InstallationsConservativeEstimates][3][ConservativeMethod]",Submission!$O:$O,Submission!$H:$N,""))</f>
        <v>Use of operator's data</v>
      </c>
      <c r="H80" s="72" t="str">
        <f>_xlfn.CONCAT(_xlfn.XLOOKUP("[S06_InstallationsConservativeEstimates][3][FurtherAction]",Submission!$O:$O,Submission!$H:$N,""))</f>
        <v>Other, please specify in the column on the right</v>
      </c>
      <c r="I80" s="72" t="str">
        <f>_xlfn.CONCAT(_xlfn.XLOOKUP("[S06_InstallationsConservativeEstimates][3][OtherAction]",Submission!$O:$O,Submission!$H:$N,""))</f>
        <v>Formal notice</v>
      </c>
    </row>
    <row r="81" spans="1:9" ht="60.6" customHeight="1" x14ac:dyDescent="0.3">
      <c r="A81" s="13"/>
      <c r="C81" s="72" t="str">
        <f>_xlfn.CONCAT(_xlfn.XLOOKUP("[S06_InstallationsConservativeEstimates][4][InstallationID]",Submission!$O:$O,Submission!$H:$N,""))</f>
        <v>FR000000000205948</v>
      </c>
      <c r="D81" s="105" t="str">
        <f>_xlfn.CONCAT(_xlfn.XLOOKUP("[S06_InstallationsConservativeEstimates][4][InstallationAnnualEmissionstCO2e]",Submission!$O:$O,Submission!$H:$N,""))</f>
        <v>750</v>
      </c>
      <c r="E81" s="157" t="str">
        <f>_xlfn.CONCAT(_xlfn.XLOOKUP("[S06_InstallationsConservativeEstimates][4][ReasonConservativeEstimate]",Submission!$O:$O,Submission!$H:$N,""))</f>
        <v>No emission report submitted by the 31st of March</v>
      </c>
      <c r="F81" s="189" t="str">
        <f>_xlfn.CONCAT(_xlfn.XLOOKUP("[S06_InstallationsConservativeEstimates][4][InstallationConservativeShare]",Submission!$O:$O,Submission!$H:$N,""))</f>
        <v>1</v>
      </c>
      <c r="G81" s="72" t="str">
        <f>_xlfn.CONCAT(_xlfn.XLOOKUP("[S06_InstallationsConservativeEstimates][4][ConservativeMethod]",Submission!$O:$O,Submission!$H:$N,""))</f>
        <v>Use of operator's data</v>
      </c>
      <c r="H81" s="72" t="str">
        <f>_xlfn.CONCAT(_xlfn.XLOOKUP("[S06_InstallationsConservativeEstimates][4][FurtherAction]",Submission!$O:$O,Submission!$H:$N,""))</f>
        <v>Other, please specify in the column on the right</v>
      </c>
      <c r="I81" s="72" t="str">
        <f>_xlfn.CONCAT(_xlfn.XLOOKUP("[S06_InstallationsConservativeEstimates][4][OtherAction]",Submission!$O:$O,Submission!$H:$N,""))</f>
        <v>Formal notice</v>
      </c>
    </row>
    <row r="82" spans="1:9" ht="60.6" customHeight="1" x14ac:dyDescent="0.3">
      <c r="A82" s="13"/>
      <c r="C82" s="72" t="str">
        <f>_xlfn.CONCAT(_xlfn.XLOOKUP("[S06_InstallationsConservativeEstimates][5][InstallationID]",Submission!$O:$O,Submission!$H:$N,""))</f>
        <v>FR-new-03205118</v>
      </c>
      <c r="D82" s="105" t="str">
        <f>_xlfn.CONCAT(_xlfn.XLOOKUP("[S06_InstallationsConservativeEstimates][5][InstallationAnnualEmissionstCO2e]",Submission!$O:$O,Submission!$H:$N,""))</f>
        <v>1128</v>
      </c>
      <c r="E82" s="157" t="str">
        <f>_xlfn.CONCAT(_xlfn.XLOOKUP("[S06_InstallationsConservativeEstimates][5][ReasonConservativeEstimate]",Submission!$O:$O,Submission!$H:$N,""))</f>
        <v>No positive verification opinion statement was given because of limitation of scope (Article 27(1)(c) of Implementing Regulation (EU) 2018/2067)</v>
      </c>
      <c r="F82" s="189" t="str">
        <f>_xlfn.CONCAT(_xlfn.XLOOKUP("[S06_InstallationsConservativeEstimates][5][InstallationConservativeShare]",Submission!$O:$O,Submission!$H:$N,""))</f>
        <v>1</v>
      </c>
      <c r="G82" s="72" t="str">
        <f>_xlfn.CONCAT(_xlfn.XLOOKUP("[S06_InstallationsConservativeEstimates][5][ConservativeMethod]",Submission!$O:$O,Submission!$H:$N,""))</f>
        <v>Use of operator's data</v>
      </c>
      <c r="H82" s="72" t="str">
        <f>_xlfn.CONCAT(_xlfn.XLOOKUP("[S06_InstallationsConservativeEstimates][5][FurtherAction]",Submission!$O:$O,Submission!$H:$N,""))</f>
        <v>Other, please specify in the column on the right</v>
      </c>
      <c r="I82" s="72" t="str">
        <f>_xlfn.CONCAT(_xlfn.XLOOKUP("[S06_InstallationsConservativeEstimates][5][OtherAction]",Submission!$O:$O,Submission!$H:$N,""))</f>
        <v>Formal notice</v>
      </c>
    </row>
    <row r="83" spans="1:9" ht="60.6" customHeight="1" x14ac:dyDescent="0.3">
      <c r="A83" s="13"/>
      <c r="C83" s="72" t="str">
        <f>_xlfn.CONCAT(_xlfn.XLOOKUP("[S06_InstallationsConservativeEstimates][6][InstallationID]",Submission!$O:$O,Submission!$H:$N,""))</f>
        <v>FR000000000000040</v>
      </c>
      <c r="D83" s="105" t="str">
        <f>_xlfn.CONCAT(_xlfn.XLOOKUP("[S06_InstallationsConservativeEstimates][6][InstallationAnnualEmissionstCO2e]",Submission!$O:$O,Submission!$H:$N,""))</f>
        <v>88010</v>
      </c>
      <c r="E83" s="157" t="str">
        <f>_xlfn.CONCAT(_xlfn.XLOOKUP("[S06_InstallationsConservativeEstimates][6][ReasonConservativeEstimate]",Submission!$O:$O,Submission!$H:$N,""))</f>
        <v>Emission report rejected because it was not in line with Regulation (EU) 2018/2066</v>
      </c>
      <c r="F83" s="189" t="str">
        <f>_xlfn.CONCAT(_xlfn.XLOOKUP("[S06_InstallationsConservativeEstimates][6][InstallationConservativeShare]",Submission!$O:$O,Submission!$H:$N,""))</f>
        <v>1</v>
      </c>
      <c r="G83" s="72" t="str">
        <f>_xlfn.CONCAT(_xlfn.XLOOKUP("[S06_InstallationsConservativeEstimates][6][ConservativeMethod]",Submission!$O:$O,Submission!$H:$N,""))</f>
        <v>Use of operator's data, and default factors or analysed calculation factors</v>
      </c>
      <c r="H83" s="72" t="str">
        <f>_xlfn.CONCAT(_xlfn.XLOOKUP("[S06_InstallationsConservativeEstimates][6][FurtherAction]",Submission!$O:$O,Submission!$H:$N,""))</f>
        <v>Other, please specify in the column on the right</v>
      </c>
      <c r="I83" s="72" t="str">
        <f>_xlfn.CONCAT(_xlfn.XLOOKUP("[S06_InstallationsConservativeEstimates][6][OtherAction]",Submission!$O:$O,Submission!$H:$N,""))</f>
        <v>Formal notice</v>
      </c>
    </row>
    <row r="84" spans="1:9" ht="60.6" hidden="1" customHeight="1" outlineLevel="1" x14ac:dyDescent="0.3">
      <c r="A84" s="13"/>
      <c r="C84" s="72" t="str">
        <f>_xlfn.CONCAT(_xlfn.XLOOKUP("[S06_InstallationsConservativeEstimates][7][InstallationID]",Submission!$O:$O,Submission!$H:$N,""))</f>
        <v>FR000000000001158</v>
      </c>
      <c r="D84" s="105" t="str">
        <f>_xlfn.CONCAT(_xlfn.XLOOKUP("[S06_InstallationsConservativeEstimates][7][InstallationAnnualEmissionstCO2e]",Submission!$O:$O,Submission!$H:$N,""))</f>
        <v>527702</v>
      </c>
      <c r="E84" s="157" t="str">
        <f>_xlfn.CONCAT(_xlfn.XLOOKUP("[S06_InstallationsConservativeEstimates][7][ReasonConservativeEstimate]",Submission!$O:$O,Submission!$H:$N,""))</f>
        <v>Emission report rejected because it was not in line with Regulation (EU) 2018/2066</v>
      </c>
      <c r="F84" s="189" t="str">
        <f>_xlfn.CONCAT(_xlfn.XLOOKUP("[S06_InstallationsConservativeEstimates][7][InstallationConservativeShare]",Submission!$O:$O,Submission!$H:$N,""))</f>
        <v>1</v>
      </c>
      <c r="G84" s="72" t="str">
        <f>_xlfn.CONCAT(_xlfn.XLOOKUP("[S06_InstallationsConservativeEstimates][7][ConservativeMethod]",Submission!$O:$O,Submission!$H:$N,""))</f>
        <v>Use of operator's data</v>
      </c>
      <c r="H84" s="72" t="str">
        <f>_xlfn.CONCAT(_xlfn.XLOOKUP("[S06_InstallationsConservativeEstimates][7][FurtherAction]",Submission!$O:$O,Submission!$H:$N,""))</f>
        <v>Other, please specify in the column on the right</v>
      </c>
      <c r="I84" s="72" t="str">
        <f>_xlfn.CONCAT(_xlfn.XLOOKUP("[S06_InstallationsConservativeEstimates][7][OtherAction]",Submission!$O:$O,Submission!$H:$N,""))</f>
        <v>Formal notice</v>
      </c>
    </row>
    <row r="85" spans="1:9" ht="60.6" hidden="1" customHeight="1" outlineLevel="1" x14ac:dyDescent="0.3">
      <c r="A85" s="13"/>
      <c r="C85" s="72" t="str">
        <f>_xlfn.CONCAT(_xlfn.XLOOKUP("[S06_InstallationsConservativeEstimates][8][InstallationID]",Submission!$O:$O,Submission!$H:$N,""))</f>
        <v>FR000000000205769</v>
      </c>
      <c r="D85" s="105" t="str">
        <f>_xlfn.CONCAT(_xlfn.XLOOKUP("[S06_InstallationsConservativeEstimates][8][InstallationAnnualEmissionstCO2e]",Submission!$O:$O,Submission!$H:$N,""))</f>
        <v/>
      </c>
      <c r="E85" s="157" t="str">
        <f>_xlfn.CONCAT(_xlfn.XLOOKUP("[S06_InstallationsConservativeEstimates][8][ReasonConservativeEstimate]",Submission!$O:$O,Submission!$H:$N,""))</f>
        <v>Emission report rejected because it was not in line with Regulation (EU) 2018/2066</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FR000000000206502</v>
      </c>
      <c r="D86" s="105" t="str">
        <f>_xlfn.CONCAT(_xlfn.XLOOKUP("[S06_InstallationsConservativeEstimates][9][InstallationAnnualEmissionstCO2e]",Submission!$O:$O,Submission!$H:$N,""))</f>
        <v/>
      </c>
      <c r="E86" s="157" t="str">
        <f>_xlfn.CONCAT(_xlfn.XLOOKUP("[S06_InstallationsConservativeEstimates][9][ReasonConservativeEstimate]",Submission!$O:$O,Submission!$H:$N,""))</f>
        <v>No emission report submitted by the 31st of March</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FR000000000206503</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No emission report submitted by the 31st of March</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4</v>
      </c>
      <c r="I125" s="361"/>
    </row>
    <row r="126" spans="1:9" ht="18" customHeight="1" x14ac:dyDescent="0.3">
      <c r="C126" s="249" t="s">
        <v>1039</v>
      </c>
      <c r="D126" s="272"/>
      <c r="E126" s="272"/>
      <c r="F126" s="272"/>
      <c r="G126" s="273"/>
      <c r="H126" s="351" t="str">
        <f>_xlfn.CONCAT(_xlfn.XLOOKUP("[S06_NegativeOpinionInstallations][2][CountNegativeOpinions]",Submission!$O:$O,Submission!$H:$N,""))</f>
        <v>0</v>
      </c>
      <c r="I126" s="361"/>
    </row>
    <row r="127" spans="1:9" ht="18" customHeight="1" x14ac:dyDescent="0.3">
      <c r="C127" s="249" t="s">
        <v>1040</v>
      </c>
      <c r="D127" s="272"/>
      <c r="E127" s="272"/>
      <c r="F127" s="272"/>
      <c r="G127" s="273"/>
      <c r="H127" s="351" t="str">
        <f>_xlfn.CONCAT(_xlfn.XLOOKUP("[S06_NegativeOpinionInstallations][3][CountNegativeOpinions]",Submission!$O:$O,Submission!$H:$N,""))</f>
        <v>3</v>
      </c>
      <c r="I127" s="361"/>
    </row>
    <row r="128" spans="1:9" ht="18" customHeight="1" x14ac:dyDescent="0.3">
      <c r="C128" s="249" t="s">
        <v>1041</v>
      </c>
      <c r="D128" s="272"/>
      <c r="E128" s="272"/>
      <c r="F128" s="272"/>
      <c r="G128" s="273"/>
      <c r="H128" s="351" t="str">
        <f>_xlfn.CONCAT(_xlfn.XLOOKUP("[S06_NegativeOpinionInstallations][4][CountNegativeOpinions]",Submission!$O:$O,Submission!$H:$N,""))</f>
        <v>2</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Yes</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20 - Combustion of fuels as specified in Annex I of Directive 2003/87/EC</v>
      </c>
      <c r="D133" s="364"/>
      <c r="E133" s="274" t="str">
        <f>_xlfn.CONCAT(_xlfn.XLOOKUP("[S06_InstallationsVerificationReportsIssueDetail]["&amp;1&amp;"][TypeOfIssue]",Submission!$O:$O,Submission!$H:$N,""))</f>
        <v>Non-compliance with Implementing Regulation (EU) 2018/2066</v>
      </c>
      <c r="F133" s="364"/>
      <c r="G133" s="105" t="str">
        <f>_xlfn.CONCAT(_xlfn.XLOOKUP("[S06_InstallationsVerificationReportsIssueDetail]["&amp;1&amp;"][NumberOfInstallations]",Submission!$O:$O,Submission!$H:$N,""))</f>
        <v>430</v>
      </c>
      <c r="H133" s="108" t="str">
        <f>_xlfn.CONCAT(_xlfn.XLOOKUP("[S06_InstallationsVerificationReportsIssueDetail]["&amp;1&amp;"][NumberOfIssues]",Submission!$O:$O,Submission!$H:$N,""))</f>
        <v>430</v>
      </c>
      <c r="I133" s="189" t="str">
        <f>_xlfn.CONCAT(_xlfn.XLOOKUP("[S06_InstallationsVerificationReportsIssueDetail]["&amp;1&amp;"][ShareOfReportsConservativeEstimate]",Submission!$O:$O,Submission!$H:$N,""))</f>
        <v>0</v>
      </c>
    </row>
    <row r="134" spans="1:9" ht="26.4" customHeight="1" x14ac:dyDescent="0.3">
      <c r="A134" s="13"/>
      <c r="C134" s="274" t="str">
        <f>_xlfn.CONCAT(_xlfn.XLOOKUP("[S06_InstallationsVerificationReportsIssueDetail]["&amp;1+ROW(B134)-ROW($B$133)&amp;"][AnnexIActivity]",Submission!$O:$O,Submission!$H:$N,""))</f>
        <v>33 - Manufacture of mineral wool insulation material using glass, rock or slag as specified in Annex I of Directive 2003/87/EC</v>
      </c>
      <c r="D134" s="364"/>
      <c r="E134" s="274" t="str">
        <f>_xlfn.CONCAT(_xlfn.XLOOKUP("[S06_InstallationsVerificationReportsIssueDetail]["&amp;1+ROW(B134)-ROW($B$133)&amp;"][TypeOfIssue]",Submission!$O:$O,Submission!$H:$N,""))</f>
        <v>Non-compliance with Implementing Regulation (EU) 2018/2066</v>
      </c>
      <c r="F134" s="364"/>
      <c r="G134" s="105" t="str">
        <f>_xlfn.CONCAT(_xlfn.XLOOKUP("[S06_InstallationsVerificationReportsIssueDetail]["&amp;1+ROW(B134)-ROW($B$133)&amp;"][NumberOfInstallations]",Submission!$O:$O,Submission!$H:$N,""))</f>
        <v>7</v>
      </c>
      <c r="H134" s="108" t="str">
        <f>_xlfn.CONCAT(_xlfn.XLOOKUP("[S06_InstallationsVerificationReportsIssueDetail]["&amp;1+ROW(B134)-ROW($B$133)&amp;"][NumberOfIssues]",Submission!$O:$O,Submission!$H:$N,""))</f>
        <v>7</v>
      </c>
      <c r="I134" s="189" t="str">
        <f>_xlfn.CONCAT(_xlfn.XLOOKUP("[S06_InstallationsVerificationReportsIssueDetail]["&amp;1+ROW(B134)-ROW($B$133)&amp;"][ShareOfReportsConservativeEstimate]",Submission!$O:$O,Submission!$H:$N,""))</f>
        <v>0</v>
      </c>
    </row>
    <row r="135" spans="1:9" ht="26.4" customHeight="1" x14ac:dyDescent="0.3">
      <c r="A135" s="13"/>
      <c r="C135" s="274" t="str">
        <f>_xlfn.CONCAT(_xlfn.XLOOKUP("[S06_InstallationsVerificationReportsIssueDetail]["&amp;1+ROW(B135)-ROW($B$133)&amp;"][AnnexIActivity]",Submission!$O:$O,Submission!$H:$N,""))</f>
        <v>35 - Production of pulp as specified in Annex I of Directive 2003/87/EC</v>
      </c>
      <c r="D135" s="364"/>
      <c r="E135" s="274" t="str">
        <f>_xlfn.CONCAT(_xlfn.XLOOKUP("[S06_InstallationsVerificationReportsIssueDetail]["&amp;1+ROW(B135)-ROW($B$133)&amp;"][TypeOfIssue]",Submission!$O:$O,Submission!$H:$N,""))</f>
        <v>Non-compliance with Implementing Regulation (EU) 2018/2066</v>
      </c>
      <c r="F135" s="364"/>
      <c r="G135" s="105" t="str">
        <f>_xlfn.CONCAT(_xlfn.XLOOKUP("[S06_InstallationsVerificationReportsIssueDetail]["&amp;1+ROW(B135)-ROW($B$133)&amp;"][NumberOfInstallations]",Submission!$O:$O,Submission!$H:$N,""))</f>
        <v>20</v>
      </c>
      <c r="H135" s="108" t="str">
        <f>_xlfn.CONCAT(_xlfn.XLOOKUP("[S06_InstallationsVerificationReportsIssueDetail]["&amp;1+ROW(B135)-ROW($B$133)&amp;"][NumberOfIssues]",Submission!$O:$O,Submission!$H:$N,""))</f>
        <v>20</v>
      </c>
      <c r="I135" s="189" t="str">
        <f>_xlfn.CONCAT(_xlfn.XLOOKUP("[S06_InstallationsVerificationReportsIssueDetail]["&amp;1+ROW(B135)-ROW($B$133)&amp;"][ShareOfReportsConservativeEstimate]",Submission!$O:$O,Submission!$H:$N,""))</f>
        <v>0</v>
      </c>
    </row>
    <row r="136" spans="1:9" ht="26.4" customHeight="1" x14ac:dyDescent="0.3">
      <c r="A136" s="13"/>
      <c r="C136" s="274" t="str">
        <f>_xlfn.CONCAT(_xlfn.XLOOKUP("[S06_InstallationsVerificationReportsIssueDetail]["&amp;1+ROW(B136)-ROW($B$133)&amp;"][AnnexIActivity]",Submission!$O:$O,Submission!$H:$N,""))</f>
        <v>31 - Manufacture of glass as specified in Annex I of Directive 2003/87/EC</v>
      </c>
      <c r="D136" s="364"/>
      <c r="E136" s="274" t="str">
        <f>_xlfn.CONCAT(_xlfn.XLOOKUP("[S06_InstallationsVerificationReportsIssueDetail]["&amp;1+ROW(B136)-ROW($B$133)&amp;"][TypeOfIssue]",Submission!$O:$O,Submission!$H:$N,""))</f>
        <v>Non-compliance with Implementing Regulation (EU) 2018/2066</v>
      </c>
      <c r="F136" s="364"/>
      <c r="G136" s="105" t="str">
        <f>_xlfn.CONCAT(_xlfn.XLOOKUP("[S06_InstallationsVerificationReportsIssueDetail]["&amp;1+ROW(B136)-ROW($B$133)&amp;"][NumberOfInstallations]",Submission!$O:$O,Submission!$H:$N,""))</f>
        <v>25</v>
      </c>
      <c r="H136" s="108" t="str">
        <f>_xlfn.CONCAT(_xlfn.XLOOKUP("[S06_InstallationsVerificationReportsIssueDetail]["&amp;1+ROW(B136)-ROW($B$133)&amp;"][NumberOfIssues]",Submission!$O:$O,Submission!$H:$N,""))</f>
        <v>25</v>
      </c>
      <c r="I136" s="189" t="str">
        <f>_xlfn.CONCAT(_xlfn.XLOOKUP("[S06_InstallationsVerificationReportsIssueDetail]["&amp;1+ROW(B136)-ROW($B$133)&amp;"][ShareOfReportsConservativeEstimate]",Submission!$O:$O,Submission!$H:$N,""))</f>
        <v>0</v>
      </c>
    </row>
    <row r="137" spans="1:9" ht="26.4" customHeight="1" x14ac:dyDescent="0.3">
      <c r="A137" s="13"/>
      <c r="C137" s="274" t="str">
        <f>_xlfn.CONCAT(_xlfn.XLOOKUP("[S06_InstallationsVerificationReportsIssueDetail]["&amp;1+ROW(B137)-ROW($B$133)&amp;"][AnnexIActivity]",Submission!$O:$O,Submission!$H:$N,""))</f>
        <v xml:space="preserve">36 - Production of paper or cardboard as specified in Annex I of Directive 2003/87/EC </v>
      </c>
      <c r="D137" s="364"/>
      <c r="E137" s="274" t="str">
        <f>_xlfn.CONCAT(_xlfn.XLOOKUP("[S06_InstallationsVerificationReportsIssueDetail]["&amp;1+ROW(B137)-ROW($B$133)&amp;"][TypeOfIssue]",Submission!$O:$O,Submission!$H:$N,""))</f>
        <v>Non-compliance with Implementing Regulation (EU) 2018/2066</v>
      </c>
      <c r="F137" s="364"/>
      <c r="G137" s="105" t="str">
        <f>_xlfn.CONCAT(_xlfn.XLOOKUP("[S06_InstallationsVerificationReportsIssueDetail]["&amp;1+ROW(B137)-ROW($B$133)&amp;"][NumberOfInstallations]",Submission!$O:$O,Submission!$H:$N,""))</f>
        <v>49</v>
      </c>
      <c r="H137" s="108" t="str">
        <f>_xlfn.CONCAT(_xlfn.XLOOKUP("[S06_InstallationsVerificationReportsIssueDetail]["&amp;1+ROW(B137)-ROW($B$133)&amp;"][NumberOfIssues]",Submission!$O:$O,Submission!$H:$N,""))</f>
        <v>49</v>
      </c>
      <c r="I137" s="189" t="str">
        <f>_xlfn.CONCAT(_xlfn.XLOOKUP("[S06_InstallationsVerificationReportsIssueDetail]["&amp;1+ROW(B137)-ROW($B$133)&amp;"][ShareOfReportsConservativeEstimate]",Submission!$O:$O,Submission!$H:$N,""))</f>
        <v>0</v>
      </c>
    </row>
    <row r="138" spans="1:9" ht="26.4" customHeight="1" x14ac:dyDescent="0.3">
      <c r="A138" s="13"/>
      <c r="C138" s="274" t="str">
        <f>_xlfn.CONCAT(_xlfn.XLOOKUP("[S06_InstallationsVerificationReportsIssueDetail]["&amp;1+ROW(B138)-ROW($B$133)&amp;"][AnnexIActivity]",Submission!$O:$O,Submission!$H:$N,""))</f>
        <v>34 - Drying or calcination of gypsum or production of plaster boards and other gypsum products, as specified in Annex I of Directive 2003/87/EC</v>
      </c>
      <c r="D138" s="364"/>
      <c r="E138" s="274" t="str">
        <f>_xlfn.CONCAT(_xlfn.XLOOKUP("[S06_InstallationsVerificationReportsIssueDetail]["&amp;1+ROW(B138)-ROW($B$133)&amp;"][TypeOfIssue]",Submission!$O:$O,Submission!$H:$N,""))</f>
        <v>Non-compliance with Implementing Regulation (EU) 2018/2066</v>
      </c>
      <c r="F138" s="364"/>
      <c r="G138" s="105" t="str">
        <f>_xlfn.CONCAT(_xlfn.XLOOKUP("[S06_InstallationsVerificationReportsIssueDetail]["&amp;1+ROW(B138)-ROW($B$133)&amp;"][NumberOfInstallations]",Submission!$O:$O,Submission!$H:$N,""))</f>
        <v>9</v>
      </c>
      <c r="H138" s="108" t="str">
        <f>_xlfn.CONCAT(_xlfn.XLOOKUP("[S06_InstallationsVerificationReportsIssueDetail]["&amp;1+ROW(B138)-ROW($B$133)&amp;"][NumberOfIssues]",Submission!$O:$O,Submission!$H:$N,""))</f>
        <v>9</v>
      </c>
      <c r="I138" s="189" t="str">
        <f>_xlfn.CONCAT(_xlfn.XLOOKUP("[S06_InstallationsVerificationReportsIssueDetail]["&amp;1+ROW(B138)-ROW($B$133)&amp;"][ShareOfReportsConservativeEstimate]",Submission!$O:$O,Submission!$H:$N,""))</f>
        <v>0</v>
      </c>
    </row>
    <row r="139" spans="1:9" ht="26.4" customHeight="1" x14ac:dyDescent="0.3">
      <c r="A139" s="13"/>
      <c r="C139" s="274" t="str">
        <f>_xlfn.CONCAT(_xlfn.XLOOKUP("[S06_InstallationsVerificationReportsIssueDetail]["&amp;1+ROW(B139)-ROW($B$133)&amp;"][AnnexIActivity]",Submission!$O:$O,Submission!$H:$N,""))</f>
        <v>32 - Manufacture of ceramic products as specified in Annex I of Directive 2003/87/EC</v>
      </c>
      <c r="D139" s="364"/>
      <c r="E139" s="274" t="str">
        <f>_xlfn.CONCAT(_xlfn.XLOOKUP("[S06_InstallationsVerificationReportsIssueDetail]["&amp;1+ROW(B139)-ROW($B$133)&amp;"][TypeOfIssue]",Submission!$O:$O,Submission!$H:$N,""))</f>
        <v>Non-compliance with Implementing Regulation (EU) 2018/2066</v>
      </c>
      <c r="F139" s="364"/>
      <c r="G139" s="105" t="str">
        <f>_xlfn.CONCAT(_xlfn.XLOOKUP("[S06_InstallationsVerificationReportsIssueDetail]["&amp;1+ROW(B139)-ROW($B$133)&amp;"][NumberOfInstallations]",Submission!$O:$O,Submission!$H:$N,""))</f>
        <v>42</v>
      </c>
      <c r="H139" s="108" t="str">
        <f>_xlfn.CONCAT(_xlfn.XLOOKUP("[S06_InstallationsVerificationReportsIssueDetail]["&amp;1+ROW(B139)-ROW($B$133)&amp;"][NumberOfIssues]",Submission!$O:$O,Submission!$H:$N,""))</f>
        <v>42</v>
      </c>
      <c r="I139" s="189" t="str">
        <f>_xlfn.CONCAT(_xlfn.XLOOKUP("[S06_InstallationsVerificationReportsIssueDetail]["&amp;1+ROW(B139)-ROW($B$133)&amp;"][ShareOfReportsConservativeEstimate]",Submission!$O:$O,Submission!$H:$N,""))</f>
        <v>0</v>
      </c>
    </row>
    <row r="140" spans="1:9" ht="26.4" customHeight="1" x14ac:dyDescent="0.3">
      <c r="A140" s="13"/>
      <c r="C140" s="274" t="str">
        <f>_xlfn.CONCAT(_xlfn.XLOOKUP("[S06_InstallationsVerificationReportsIssueDetail]["&amp;1+ROW(B140)-ROW($B$133)&amp;"][AnnexIActivity]",Submission!$O:$O,Submission!$H:$N,""))</f>
        <v>30 - Production of lime or calcination of dolomite or magnesite as specified in Annex I of Directive 2003/87/ EC</v>
      </c>
      <c r="D140" s="364"/>
      <c r="E140" s="274" t="str">
        <f>_xlfn.CONCAT(_xlfn.XLOOKUP("[S06_InstallationsVerificationReportsIssueDetail]["&amp;1+ROW(B140)-ROW($B$133)&amp;"][TypeOfIssue]",Submission!$O:$O,Submission!$H:$N,""))</f>
        <v>Non-compliance with Implementing Regulation (EU) 2018/2066</v>
      </c>
      <c r="F140" s="364"/>
      <c r="G140" s="105" t="str">
        <f>_xlfn.CONCAT(_xlfn.XLOOKUP("[S06_InstallationsVerificationReportsIssueDetail]["&amp;1+ROW(B140)-ROW($B$133)&amp;"][NumberOfInstallations]",Submission!$O:$O,Submission!$H:$N,""))</f>
        <v>13</v>
      </c>
      <c r="H140" s="108" t="str">
        <f>_xlfn.CONCAT(_xlfn.XLOOKUP("[S06_InstallationsVerificationReportsIssueDetail]["&amp;1+ROW(B140)-ROW($B$133)&amp;"][NumberOfIssues]",Submission!$O:$O,Submission!$H:$N,""))</f>
        <v>13</v>
      </c>
      <c r="I140" s="189" t="str">
        <f>_xlfn.CONCAT(_xlfn.XLOOKUP("[S06_InstallationsVerificationReportsIssueDetail]["&amp;1+ROW(B140)-ROW($B$133)&amp;"][ShareOfReportsConservativeEstimate]",Submission!$O:$O,Submission!$H:$N,""))</f>
        <v>0</v>
      </c>
    </row>
    <row r="141" spans="1:9" ht="26.4" customHeight="1" x14ac:dyDescent="0.3">
      <c r="A141" s="13"/>
      <c r="C141" s="274" t="str">
        <f>_xlfn.CONCAT(_xlfn.XLOOKUP("[S06_InstallationsVerificationReportsIssueDetail]["&amp;1+ROW(B141)-ROW($B$133)&amp;"][AnnexIActivity]",Submission!$O:$O,Submission!$H:$N,""))</f>
        <v xml:space="preserve">42 - Production of bulk organic chemicals as specified in Annex I of Directive 2003/87/EC </v>
      </c>
      <c r="D141" s="364"/>
      <c r="E141" s="274" t="str">
        <f>_xlfn.CONCAT(_xlfn.XLOOKUP("[S06_InstallationsVerificationReportsIssueDetail]["&amp;1+ROW(B141)-ROW($B$133)&amp;"][TypeOfIssue]",Submission!$O:$O,Submission!$H:$N,""))</f>
        <v>Non-compliance with Implementing Regulation (EU) 2018/2066</v>
      </c>
      <c r="F141" s="364"/>
      <c r="G141" s="105" t="str">
        <f>_xlfn.CONCAT(_xlfn.XLOOKUP("[S06_InstallationsVerificationReportsIssueDetail]["&amp;1+ROW(B141)-ROW($B$133)&amp;"][NumberOfInstallations]",Submission!$O:$O,Submission!$H:$N,""))</f>
        <v>24</v>
      </c>
      <c r="H141" s="108" t="str">
        <f>_xlfn.CONCAT(_xlfn.XLOOKUP("[S06_InstallationsVerificationReportsIssueDetail]["&amp;1+ROW(B141)-ROW($B$133)&amp;"][NumberOfIssues]",Submission!$O:$O,Submission!$H:$N,""))</f>
        <v>24</v>
      </c>
      <c r="I141" s="189" t="str">
        <f>_xlfn.CONCAT(_xlfn.XLOOKUP("[S06_InstallationsVerificationReportsIssueDetail]["&amp;1+ROW(B141)-ROW($B$133)&amp;"][ShareOfReportsConservativeEstimate]",Submission!$O:$O,Submission!$H:$N,""))</f>
        <v>0</v>
      </c>
    </row>
    <row r="142" spans="1:9" ht="26.4" customHeight="1" x14ac:dyDescent="0.3">
      <c r="A142" s="13"/>
      <c r="C142" s="274" t="str">
        <f>_xlfn.CONCAT(_xlfn.XLOOKUP("[S06_InstallationsVerificationReportsIssueDetail]["&amp;1+ROW(B142)-ROW($B$133)&amp;"][AnnexIActivity]",Submission!$O:$O,Submission!$H:$N,""))</f>
        <v xml:space="preserve">38 - Production of nitric acid </v>
      </c>
      <c r="D142" s="364"/>
      <c r="E142" s="274" t="str">
        <f>_xlfn.CONCAT(_xlfn.XLOOKUP("[S06_InstallationsVerificationReportsIssueDetail]["&amp;1+ROW(B142)-ROW($B$133)&amp;"][TypeOfIssue]",Submission!$O:$O,Submission!$H:$N,""))</f>
        <v>Non-compliance with Implementing Regulation (EU) 2018/2066</v>
      </c>
      <c r="F142" s="364"/>
      <c r="G142" s="105" t="str">
        <f>_xlfn.CONCAT(_xlfn.XLOOKUP("[S06_InstallationsVerificationReportsIssueDetail]["&amp;1+ROW(B142)-ROW($B$133)&amp;"][NumberOfInstallations]",Submission!$O:$O,Submission!$H:$N,""))</f>
        <v>4</v>
      </c>
      <c r="H142" s="108" t="str">
        <f>_xlfn.CONCAT(_xlfn.XLOOKUP("[S06_InstallationsVerificationReportsIssueDetail]["&amp;1+ROW(B142)-ROW($B$133)&amp;"][NumberOfIssues]",Submission!$O:$O,Submission!$H:$N,""))</f>
        <v>4</v>
      </c>
      <c r="I142" s="189" t="str">
        <f>_xlfn.CONCAT(_xlfn.XLOOKUP("[S06_InstallationsVerificationReportsIssueDetail]["&amp;1+ROW(B142)-ROW($B$133)&amp;"][ShareOfReportsConservativeEstimate]",Submission!$O:$O,Submission!$H:$N,""))</f>
        <v>0</v>
      </c>
    </row>
    <row r="143" spans="1:9" ht="26.4" customHeight="1" x14ac:dyDescent="0.3">
      <c r="A143" s="13"/>
      <c r="C143" s="274" t="str">
        <f>_xlfn.CONCAT(_xlfn.XLOOKUP("[S06_InstallationsVerificationReportsIssueDetail]["&amp;1+ROW(B143)-ROW($B$133)&amp;"][AnnexIActivity]",Submission!$O:$O,Submission!$H:$N,""))</f>
        <v>24 - Production of pig iron or steel as specified in Annex I of Directive 2003/87/EC</v>
      </c>
      <c r="D143" s="364"/>
      <c r="E143" s="274" t="str">
        <f>_xlfn.CONCAT(_xlfn.XLOOKUP("[S06_InstallationsVerificationReportsIssueDetail]["&amp;1+ROW(B143)-ROW($B$133)&amp;"][TypeOfIssue]",Submission!$O:$O,Submission!$H:$N,""))</f>
        <v>Non-compliance with Implementing Regulation (EU) 2018/2066</v>
      </c>
      <c r="F143" s="364"/>
      <c r="G143" s="105" t="str">
        <f>_xlfn.CONCAT(_xlfn.XLOOKUP("[S06_InstallationsVerificationReportsIssueDetail]["&amp;1+ROW(B143)-ROW($B$133)&amp;"][NumberOfInstallations]",Submission!$O:$O,Submission!$H:$N,""))</f>
        <v>16</v>
      </c>
      <c r="H143" s="108" t="str">
        <f>_xlfn.CONCAT(_xlfn.XLOOKUP("[S06_InstallationsVerificationReportsIssueDetail]["&amp;1+ROW(B143)-ROW($B$133)&amp;"][NumberOfIssues]",Submission!$O:$O,Submission!$H:$N,""))</f>
        <v>16</v>
      </c>
      <c r="I143" s="189" t="str">
        <f>_xlfn.CONCAT(_xlfn.XLOOKUP("[S06_InstallationsVerificationReportsIssueDetail]["&amp;1+ROW(B143)-ROW($B$133)&amp;"][ShareOfReportsConservativeEstimate]",Submission!$O:$O,Submission!$H:$N,""))</f>
        <v>0</v>
      </c>
    </row>
    <row r="144" spans="1:9" ht="26.4" customHeight="1" x14ac:dyDescent="0.3">
      <c r="A144" s="13"/>
      <c r="C144" s="274" t="str">
        <f>_xlfn.CONCAT(_xlfn.XLOOKUP("[S06_InstallationsVerificationReportsIssueDetail]["&amp;1+ROW(B144)-ROW($B$133)&amp;"][AnnexIActivity]",Submission!$O:$O,Submission!$H:$N,""))</f>
        <v>21 - Refining of mineral oil</v>
      </c>
      <c r="D144" s="364"/>
      <c r="E144" s="274" t="str">
        <f>_xlfn.CONCAT(_xlfn.XLOOKUP("[S06_InstallationsVerificationReportsIssueDetail]["&amp;1+ROW(B144)-ROW($B$133)&amp;"][TypeOfIssue]",Submission!$O:$O,Submission!$H:$N,""))</f>
        <v>Non-compliance with Implementing Regulation (EU) 2018/2066</v>
      </c>
      <c r="F144" s="364"/>
      <c r="G144" s="105" t="str">
        <f>_xlfn.CONCAT(_xlfn.XLOOKUP("[S06_InstallationsVerificationReportsIssueDetail]["&amp;1+ROW(B144)-ROW($B$133)&amp;"][NumberOfInstallations]",Submission!$O:$O,Submission!$H:$N,""))</f>
        <v>9</v>
      </c>
      <c r="H144" s="108" t="str">
        <f>_xlfn.CONCAT(_xlfn.XLOOKUP("[S06_InstallationsVerificationReportsIssueDetail]["&amp;1+ROW(B144)-ROW($B$133)&amp;"][NumberOfIssues]",Submission!$O:$O,Submission!$H:$N,""))</f>
        <v>9</v>
      </c>
      <c r="I144" s="189" t="str">
        <f>_xlfn.CONCAT(_xlfn.XLOOKUP("[S06_InstallationsVerificationReportsIssueDetail]["&amp;1+ROW(B144)-ROW($B$133)&amp;"][ShareOfReportsConservativeEstimate]",Submission!$O:$O,Submission!$H:$N,""))</f>
        <v>0</v>
      </c>
    </row>
    <row r="145" spans="1:9" ht="26.4" customHeight="1" x14ac:dyDescent="0.3">
      <c r="A145" s="13"/>
      <c r="C145" s="274" t="str">
        <f>_xlfn.CONCAT(_xlfn.XLOOKUP("[S06_InstallationsVerificationReportsIssueDetail]["&amp;1+ROW(B145)-ROW($B$133)&amp;"][AnnexIActivity]",Submission!$O:$O,Submission!$H:$N,""))</f>
        <v>29 - Production of cement clinker in rotary kilns as specified in Annex I of Directive 2003/87/ EC</v>
      </c>
      <c r="D145" s="364"/>
      <c r="E145" s="274" t="str">
        <f>_xlfn.CONCAT(_xlfn.XLOOKUP("[S06_InstallationsVerificationReportsIssueDetail]["&amp;1+ROW(B145)-ROW($B$133)&amp;"][TypeOfIssue]",Submission!$O:$O,Submission!$H:$N,""))</f>
        <v>Non-compliance with Implementing Regulation (EU) 2018/2066</v>
      </c>
      <c r="F145" s="364"/>
      <c r="G145" s="105" t="str">
        <f>_xlfn.CONCAT(_xlfn.XLOOKUP("[S06_InstallationsVerificationReportsIssueDetail]["&amp;1+ROW(B145)-ROW($B$133)&amp;"][NumberOfInstallations]",Submission!$O:$O,Submission!$H:$N,""))</f>
        <v>11</v>
      </c>
      <c r="H145" s="108" t="str">
        <f>_xlfn.CONCAT(_xlfn.XLOOKUP("[S06_InstallationsVerificationReportsIssueDetail]["&amp;1+ROW(B145)-ROW($B$133)&amp;"][NumberOfIssues]",Submission!$O:$O,Submission!$H:$N,""))</f>
        <v>11</v>
      </c>
      <c r="I145" s="189" t="str">
        <f>_xlfn.CONCAT(_xlfn.XLOOKUP("[S06_InstallationsVerificationReportsIssueDetail]["&amp;1+ROW(B145)-ROW($B$133)&amp;"][ShareOfReportsConservativeEstimate]",Submission!$O:$O,Submission!$H:$N,""))</f>
        <v>0</v>
      </c>
    </row>
    <row r="146" spans="1:9" ht="26.4" customHeight="1" x14ac:dyDescent="0.3">
      <c r="A146" s="13"/>
      <c r="C146" s="274" t="str">
        <f>_xlfn.CONCAT(_xlfn.XLOOKUP("[S06_InstallationsVerificationReportsIssueDetail]["&amp;1+ROW(B146)-ROW($B$133)&amp;"][AnnexIActivity]",Submission!$O:$O,Submission!$H:$N,""))</f>
        <v xml:space="preserve">41 - Production of ammonia </v>
      </c>
      <c r="D146" s="364"/>
      <c r="E146" s="274" t="str">
        <f>_xlfn.CONCAT(_xlfn.XLOOKUP("[S06_InstallationsVerificationReportsIssueDetail]["&amp;1+ROW(B146)-ROW($B$133)&amp;"][TypeOfIssue]",Submission!$O:$O,Submission!$H:$N,""))</f>
        <v>Non-compliance with Implementing Regulation (EU) 2018/2066</v>
      </c>
      <c r="F146" s="364"/>
      <c r="G146" s="105" t="str">
        <f>_xlfn.CONCAT(_xlfn.XLOOKUP("[S06_InstallationsVerificationReportsIssueDetail]["&amp;1+ROW(B146)-ROW($B$133)&amp;"][NumberOfInstallations]",Submission!$O:$O,Submission!$H:$N,""))</f>
        <v>6</v>
      </c>
      <c r="H146" s="108" t="str">
        <f>_xlfn.CONCAT(_xlfn.XLOOKUP("[S06_InstallationsVerificationReportsIssueDetail]["&amp;1+ROW(B146)-ROW($B$133)&amp;"][NumberOfIssues]",Submission!$O:$O,Submission!$H:$N,""))</f>
        <v>6</v>
      </c>
      <c r="I146" s="189" t="str">
        <f>_xlfn.CONCAT(_xlfn.XLOOKUP("[S06_InstallationsVerificationReportsIssueDetail]["&amp;1+ROW(B146)-ROW($B$133)&amp;"][ShareOfReportsConservativeEstimate]",Submission!$O:$O,Submission!$H:$N,""))</f>
        <v>0</v>
      </c>
    </row>
    <row r="147" spans="1:9" ht="26.4" customHeight="1" x14ac:dyDescent="0.3">
      <c r="A147" s="13"/>
      <c r="C147" s="274" t="str">
        <f>_xlfn.CONCAT(_xlfn.XLOOKUP("[S06_InstallationsVerificationReportsIssueDetail]["&amp;1+ROW(B147)-ROW($B$133)&amp;"][AnnexIActivity]",Submission!$O:$O,Submission!$H:$N,""))</f>
        <v xml:space="preserve">43 - Production of hydrogen (H2) and synthesis gas as specified in Annex I of Directive 2003/87/EC </v>
      </c>
      <c r="D147" s="364"/>
      <c r="E147" s="274" t="str">
        <f>_xlfn.CONCAT(_xlfn.XLOOKUP("[S06_InstallationsVerificationReportsIssueDetail]["&amp;1+ROW(B147)-ROW($B$133)&amp;"][TypeOfIssue]",Submission!$O:$O,Submission!$H:$N,""))</f>
        <v>Non-compliance with Implementing Regulation (EU) 2018/2066</v>
      </c>
      <c r="F147" s="364"/>
      <c r="G147" s="105" t="str">
        <f>_xlfn.CONCAT(_xlfn.XLOOKUP("[S06_InstallationsVerificationReportsIssueDetail]["&amp;1+ROW(B147)-ROW($B$133)&amp;"][NumberOfInstallations]",Submission!$O:$O,Submission!$H:$N,""))</f>
        <v>4</v>
      </c>
      <c r="H147" s="108" t="str">
        <f>_xlfn.CONCAT(_xlfn.XLOOKUP("[S06_InstallationsVerificationReportsIssueDetail]["&amp;1+ROW(B147)-ROW($B$133)&amp;"][NumberOfIssues]",Submission!$O:$O,Submission!$H:$N,""))</f>
        <v>4</v>
      </c>
      <c r="I147" s="189" t="str">
        <f>_xlfn.CONCAT(_xlfn.XLOOKUP("[S06_InstallationsVerificationReportsIssueDetail]["&amp;1+ROW(B147)-ROW($B$133)&amp;"][ShareOfReportsConservativeEstimate]",Submission!$O:$O,Submission!$H:$N,""))</f>
        <v>0</v>
      </c>
    </row>
    <row r="148" spans="1:9" ht="26.4" customHeight="1" x14ac:dyDescent="0.3">
      <c r="A148" s="13"/>
      <c r="C148" s="274" t="str">
        <f>_xlfn.CONCAT(_xlfn.XLOOKUP("[S06_InstallationsVerificationReportsIssueDetail]["&amp;1+ROW(B148)-ROW($B$133)&amp;"][AnnexIActivity]",Submission!$O:$O,Submission!$H:$N,""))</f>
        <v>26 - Production of primary aluminium</v>
      </c>
      <c r="D148" s="364"/>
      <c r="E148" s="274" t="str">
        <f>_xlfn.CONCAT(_xlfn.XLOOKUP("[S06_InstallationsVerificationReportsIssueDetail]["&amp;1+ROW(B148)-ROW($B$133)&amp;"][TypeOfIssue]",Submission!$O:$O,Submission!$H:$N,""))</f>
        <v>Non-compliance with Implementing Regulation (EU) 2018/2066</v>
      </c>
      <c r="F148" s="364"/>
      <c r="G148" s="105" t="str">
        <f>_xlfn.CONCAT(_xlfn.XLOOKUP("[S06_InstallationsVerificationReportsIssueDetail]["&amp;1+ROW(B148)-ROW($B$133)&amp;"][NumberOfInstallations]",Submission!$O:$O,Submission!$H:$N,""))</f>
        <v>1</v>
      </c>
      <c r="H148" s="108" t="str">
        <f>_xlfn.CONCAT(_xlfn.XLOOKUP("[S06_InstallationsVerificationReportsIssueDetail]["&amp;1+ROW(B148)-ROW($B$133)&amp;"][NumberOfIssues]",Submission!$O:$O,Submission!$H:$N,""))</f>
        <v>1</v>
      </c>
      <c r="I148" s="189" t="str">
        <f>_xlfn.CONCAT(_xlfn.XLOOKUP("[S06_InstallationsVerificationReportsIssueDetail]["&amp;1+ROW(B148)-ROW($B$133)&amp;"][ShareOfReportsConservativeEstimate]",Submission!$O:$O,Submission!$H:$N,""))</f>
        <v>0</v>
      </c>
    </row>
    <row r="149" spans="1:9" ht="26.4" customHeight="1" x14ac:dyDescent="0.3">
      <c r="A149" s="13"/>
      <c r="C149" s="274" t="str">
        <f>_xlfn.CONCAT(_xlfn.XLOOKUP("[S06_InstallationsVerificationReportsIssueDetail]["&amp;1+ROW(B149)-ROW($B$133)&amp;"][AnnexIActivity]",Submission!$O:$O,Submission!$H:$N,""))</f>
        <v>23 - Metal ore (including sulphide ore) roasting or sintering, including pelletisation</v>
      </c>
      <c r="D149" s="364"/>
      <c r="E149" s="274" t="str">
        <f>_xlfn.CONCAT(_xlfn.XLOOKUP("[S06_InstallationsVerificationReportsIssueDetail]["&amp;1+ROW(B149)-ROW($B$133)&amp;"][TypeOfIssue]",Submission!$O:$O,Submission!$H:$N,""))</f>
        <v>Non-compliance with Implementing Regulation (EU) 2018/2066</v>
      </c>
      <c r="F149" s="364"/>
      <c r="G149" s="105" t="str">
        <f>_xlfn.CONCAT(_xlfn.XLOOKUP("[S06_InstallationsVerificationReportsIssueDetail]["&amp;1+ROW(B149)-ROW($B$133)&amp;"][NumberOfInstallations]",Submission!$O:$O,Submission!$H:$N,""))</f>
        <v>2</v>
      </c>
      <c r="H149" s="108" t="str">
        <f>_xlfn.CONCAT(_xlfn.XLOOKUP("[S06_InstallationsVerificationReportsIssueDetail]["&amp;1+ROW(B149)-ROW($B$133)&amp;"][NumberOfIssues]",Submission!$O:$O,Submission!$H:$N,""))</f>
        <v>2</v>
      </c>
      <c r="I149" s="189" t="str">
        <f>_xlfn.CONCAT(_xlfn.XLOOKUP("[S06_InstallationsVerificationReportsIssueDetail]["&amp;1+ROW(B149)-ROW($B$133)&amp;"][ShareOfReportsConservativeEstimate]",Submission!$O:$O,Submission!$H:$N,""))</f>
        <v>0</v>
      </c>
    </row>
    <row r="150" spans="1:9" ht="26.4" customHeight="1" x14ac:dyDescent="0.3">
      <c r="A150" s="13"/>
      <c r="C150" s="274" t="str">
        <f>_xlfn.CONCAT(_xlfn.XLOOKUP("[S06_InstallationsVerificationReportsIssueDetail]["&amp;1+ROW(B150)-ROW($B$133)&amp;"][AnnexIActivity]",Submission!$O:$O,Submission!$H:$N,""))</f>
        <v xml:space="preserve">39 - Production of adipic acid </v>
      </c>
      <c r="D150" s="364"/>
      <c r="E150" s="274" t="str">
        <f>_xlfn.CONCAT(_xlfn.XLOOKUP("[S06_InstallationsVerificationReportsIssueDetail]["&amp;1+ROW(B150)-ROW($B$133)&amp;"][TypeOfIssue]",Submission!$O:$O,Submission!$H:$N,""))</f>
        <v>Non-compliance with Implementing Regulation (EU) 2018/2066</v>
      </c>
      <c r="F150" s="364"/>
      <c r="G150" s="105" t="str">
        <f>_xlfn.CONCAT(_xlfn.XLOOKUP("[S06_InstallationsVerificationReportsIssueDetail]["&amp;1+ROW(B150)-ROW($B$133)&amp;"][NumberOfInstallations]",Submission!$O:$O,Submission!$H:$N,""))</f>
        <v>1</v>
      </c>
      <c r="H150" s="108" t="str">
        <f>_xlfn.CONCAT(_xlfn.XLOOKUP("[S06_InstallationsVerificationReportsIssueDetail]["&amp;1+ROW(B150)-ROW($B$133)&amp;"][NumberOfIssues]",Submission!$O:$O,Submission!$H:$N,""))</f>
        <v>1</v>
      </c>
      <c r="I150" s="189" t="str">
        <f>_xlfn.CONCAT(_xlfn.XLOOKUP("[S06_InstallationsVerificationReportsIssueDetail]["&amp;1+ROW(B150)-ROW($B$133)&amp;"][ShareOfReportsConservativeEstimate]",Submission!$O:$O,Submission!$H:$N,""))</f>
        <v>0</v>
      </c>
    </row>
    <row r="151" spans="1:9" ht="26.4" customHeight="1" x14ac:dyDescent="0.3">
      <c r="A151" s="13"/>
      <c r="C151" s="274" t="str">
        <f>_xlfn.CONCAT(_xlfn.XLOOKUP("[S06_InstallationsVerificationReportsIssueDetail]["&amp;1+ROW(B151)-ROW($B$133)&amp;"][AnnexIActivity]",Submission!$O:$O,Submission!$H:$N,""))</f>
        <v xml:space="preserve">40 - Production of glyoxal and glyoxylic acid </v>
      </c>
      <c r="D151" s="364"/>
      <c r="E151" s="274" t="str">
        <f>_xlfn.CONCAT(_xlfn.XLOOKUP("[S06_InstallationsVerificationReportsIssueDetail]["&amp;1+ROW(B151)-ROW($B$133)&amp;"][TypeOfIssue]",Submission!$O:$O,Submission!$H:$N,""))</f>
        <v>Non-compliance with Implementing Regulation (EU) 2018/2066</v>
      </c>
      <c r="F151" s="364"/>
      <c r="G151" s="105" t="str">
        <f>_xlfn.CONCAT(_xlfn.XLOOKUP("[S06_InstallationsVerificationReportsIssueDetail]["&amp;1+ROW(B151)-ROW($B$133)&amp;"][NumberOfInstallations]",Submission!$O:$O,Submission!$H:$N,""))</f>
        <v>1</v>
      </c>
      <c r="H151" s="108" t="str">
        <f>_xlfn.CONCAT(_xlfn.XLOOKUP("[S06_InstallationsVerificationReportsIssueDetail]["&amp;1+ROW(B151)-ROW($B$133)&amp;"][NumberOfIssues]",Submission!$O:$O,Submission!$H:$N,""))</f>
        <v>1</v>
      </c>
      <c r="I151" s="189" t="str">
        <f>_xlfn.CONCAT(_xlfn.XLOOKUP("[S06_InstallationsVerificationReportsIssueDetail]["&amp;1+ROW(B151)-ROW($B$133)&amp;"][ShareOfReportsConservativeEstimate]",Submission!$O:$O,Submission!$H:$N,""))</f>
        <v>0</v>
      </c>
    </row>
    <row r="152" spans="1:9" ht="26.4" customHeight="1" x14ac:dyDescent="0.3">
      <c r="A152" s="13"/>
      <c r="C152" s="274" t="str">
        <f>_xlfn.CONCAT(_xlfn.XLOOKUP("[S06_InstallationsVerificationReportsIssueDetail]["&amp;1+ROW(B152)-ROW($B$133)&amp;"][AnnexIActivity]",Submission!$O:$O,Submission!$H:$N,""))</f>
        <v>44 - Production of soda ash (Na2CO3) and sodium bicarbonate (NaHCO3) as specified in Annex I of Directive 2003/87/EC</v>
      </c>
      <c r="D152" s="364"/>
      <c r="E152" s="274" t="str">
        <f>_xlfn.CONCAT(_xlfn.XLOOKUP("[S06_InstallationsVerificationReportsIssueDetail]["&amp;1+ROW(B152)-ROW($B$133)&amp;"][TypeOfIssue]",Submission!$O:$O,Submission!$H:$N,""))</f>
        <v>Non-compliance with Implementing Regulation (EU) 2018/2066</v>
      </c>
      <c r="F152" s="364"/>
      <c r="G152" s="105" t="str">
        <f>_xlfn.CONCAT(_xlfn.XLOOKUP("[S06_InstallationsVerificationReportsIssueDetail]["&amp;1+ROW(B152)-ROW($B$133)&amp;"][NumberOfInstallations]",Submission!$O:$O,Submission!$H:$N,""))</f>
        <v>2</v>
      </c>
      <c r="H152" s="108" t="str">
        <f>_xlfn.CONCAT(_xlfn.XLOOKUP("[S06_InstallationsVerificationReportsIssueDetail]["&amp;1+ROW(B152)-ROW($B$133)&amp;"][NumberOfIssues]",Submission!$O:$O,Submission!$H:$N,""))</f>
        <v>2</v>
      </c>
      <c r="I152" s="189" t="str">
        <f>_xlfn.CONCAT(_xlfn.XLOOKUP("[S06_InstallationsVerificationReportsIssueDetail]["&amp;1+ROW(B152)-ROW($B$133)&amp;"][ShareOfReportsConservativeEstimate]",Submission!$O:$O,Submission!$H:$N,""))</f>
        <v>0</v>
      </c>
    </row>
    <row r="153" spans="1:9" ht="26.4" hidden="1" customHeight="1" outlineLevel="1" x14ac:dyDescent="0.3">
      <c r="A153" s="13"/>
      <c r="C153" s="274" t="str">
        <f>_xlfn.CONCAT(_xlfn.XLOOKUP("[S06_InstallationsVerificationReportsIssueDetail]["&amp;1+ROW(B153)-ROW($B$133)&amp;"][AnnexIActivity]",Submission!$O:$O,Submission!$H:$N,""))</f>
        <v xml:space="preserve">22 - Production of coke </v>
      </c>
      <c r="D153" s="364"/>
      <c r="E153" s="274" t="str">
        <f>_xlfn.CONCAT(_xlfn.XLOOKUP("[S06_InstallationsVerificationReportsIssueDetail]["&amp;1+ROW(B153)-ROW($B$133)&amp;"][TypeOfIssue]",Submission!$O:$O,Submission!$H:$N,""))</f>
        <v>Non-compliance with Implementing Regulation (EU) 2018/2066</v>
      </c>
      <c r="F153" s="364"/>
      <c r="G153" s="105" t="str">
        <f>_xlfn.CONCAT(_xlfn.XLOOKUP("[S06_InstallationsVerificationReportsIssueDetail]["&amp;1+ROW(B153)-ROW($B$133)&amp;"][NumberOfInstallations]",Submission!$O:$O,Submission!$H:$N,""))</f>
        <v>2</v>
      </c>
      <c r="H153" s="108" t="str">
        <f>_xlfn.CONCAT(_xlfn.XLOOKUP("[S06_InstallationsVerificationReportsIssueDetail]["&amp;1+ROW(B153)-ROW($B$133)&amp;"][NumberOfIssues]",Submission!$O:$O,Submission!$H:$N,""))</f>
        <v>2</v>
      </c>
      <c r="I153" s="189" t="str">
        <f>_xlfn.CONCAT(_xlfn.XLOOKUP("[S06_InstallationsVerificationReportsIssueDetail]["&amp;1+ROW(B153)-ROW($B$133)&amp;"][ShareOfReportsConservativeEstimate]",Submission!$O:$O,Submission!$H:$N,""))</f>
        <v>0</v>
      </c>
    </row>
    <row r="154" spans="1:9" ht="26.4" hidden="1" customHeight="1" outlineLevel="1" x14ac:dyDescent="0.3">
      <c r="A154" s="13"/>
      <c r="C154" s="274" t="str">
        <f>_xlfn.CONCAT(_xlfn.XLOOKUP("[S06_InstallationsVerificationReportsIssueDetail]["&amp;1+ROW(B154)-ROW($B$133)&amp;"][AnnexIActivity]",Submission!$O:$O,Submission!$H:$N,""))</f>
        <v>20 - Combustion of fuels as specified in Annex I of Directive 2003/87/EC</v>
      </c>
      <c r="D154" s="364"/>
      <c r="E154" s="274" t="str">
        <f>_xlfn.CONCAT(_xlfn.XLOOKUP("[S06_InstallationsVerificationReportsIssueDetail]["&amp;1+ROW(B154)-ROW($B$133)&amp;"][TypeOfIssue]",Submission!$O:$O,Submission!$H:$N,""))</f>
        <v>Non-material misstatements</v>
      </c>
      <c r="F154" s="364"/>
      <c r="G154" s="105" t="str">
        <f>_xlfn.CONCAT(_xlfn.XLOOKUP("[S06_InstallationsVerificationReportsIssueDetail]["&amp;1+ROW(B154)-ROW($B$133)&amp;"][NumberOfInstallations]",Submission!$O:$O,Submission!$H:$N,""))</f>
        <v>161</v>
      </c>
      <c r="H154" s="108" t="str">
        <f>_xlfn.CONCAT(_xlfn.XLOOKUP("[S06_InstallationsVerificationReportsIssueDetail]["&amp;1+ROW(B154)-ROW($B$133)&amp;"][NumberOfIssues]",Submission!$O:$O,Submission!$H:$N,""))</f>
        <v>161</v>
      </c>
      <c r="I154" s="189" t="str">
        <f>_xlfn.CONCAT(_xlfn.XLOOKUP("[S06_InstallationsVerificationReportsIssueDetail]["&amp;1+ROW(B154)-ROW($B$133)&amp;"][ShareOfReportsConservativeEstimate]",Submission!$O:$O,Submission!$H:$N,""))</f>
        <v>0</v>
      </c>
    </row>
    <row r="155" spans="1:9" ht="26.4" hidden="1" customHeight="1" outlineLevel="1" x14ac:dyDescent="0.3">
      <c r="A155" s="13"/>
      <c r="C155" s="274" t="str">
        <f>_xlfn.CONCAT(_xlfn.XLOOKUP("[S06_InstallationsVerificationReportsIssueDetail]["&amp;1+ROW(B155)-ROW($B$133)&amp;"][AnnexIActivity]",Submission!$O:$O,Submission!$H:$N,""))</f>
        <v>33 - Manufacture of mineral wool insulation material using glass, rock or slag as specified in Annex I of Directive 2003/87/EC</v>
      </c>
      <c r="D155" s="364"/>
      <c r="E155" s="274" t="str">
        <f>_xlfn.CONCAT(_xlfn.XLOOKUP("[S06_InstallationsVerificationReportsIssueDetail]["&amp;1+ROW(B155)-ROW($B$133)&amp;"][TypeOfIssue]",Submission!$O:$O,Submission!$H:$N,""))</f>
        <v>Non-material misstatements</v>
      </c>
      <c r="F155" s="364"/>
      <c r="G155" s="105" t="str">
        <f>_xlfn.CONCAT(_xlfn.XLOOKUP("[S06_InstallationsVerificationReportsIssueDetail]["&amp;1+ROW(B155)-ROW($B$133)&amp;"][NumberOfInstallations]",Submission!$O:$O,Submission!$H:$N,""))</f>
        <v>4</v>
      </c>
      <c r="H155" s="108" t="str">
        <f>_xlfn.CONCAT(_xlfn.XLOOKUP("[S06_InstallationsVerificationReportsIssueDetail]["&amp;1+ROW(B155)-ROW($B$133)&amp;"][NumberOfIssues]",Submission!$O:$O,Submission!$H:$N,""))</f>
        <v>4</v>
      </c>
      <c r="I155" s="189" t="str">
        <f>_xlfn.CONCAT(_xlfn.XLOOKUP("[S06_InstallationsVerificationReportsIssueDetail]["&amp;1+ROW(B155)-ROW($B$133)&amp;"][ShareOfReportsConservativeEstimate]",Submission!$O:$O,Submission!$H:$N,""))</f>
        <v>0</v>
      </c>
    </row>
    <row r="156" spans="1:9" ht="26.4" hidden="1" customHeight="1" outlineLevel="1" x14ac:dyDescent="0.3">
      <c r="A156" s="13"/>
      <c r="C156" s="274" t="str">
        <f>_xlfn.CONCAT(_xlfn.XLOOKUP("[S06_InstallationsVerificationReportsIssueDetail]["&amp;1+ROW(B156)-ROW($B$133)&amp;"][AnnexIActivity]",Submission!$O:$O,Submission!$H:$N,""))</f>
        <v>35 - Production of pulp as specified in Annex I of Directive 2003/87/EC</v>
      </c>
      <c r="D156" s="364"/>
      <c r="E156" s="274" t="str">
        <f>_xlfn.CONCAT(_xlfn.XLOOKUP("[S06_InstallationsVerificationReportsIssueDetail]["&amp;1+ROW(B156)-ROW($B$133)&amp;"][TypeOfIssue]",Submission!$O:$O,Submission!$H:$N,""))</f>
        <v>Non-material misstatements</v>
      </c>
      <c r="F156" s="364"/>
      <c r="G156" s="105" t="str">
        <f>_xlfn.CONCAT(_xlfn.XLOOKUP("[S06_InstallationsVerificationReportsIssueDetail]["&amp;1+ROW(B156)-ROW($B$133)&amp;"][NumberOfInstallations]",Submission!$O:$O,Submission!$H:$N,""))</f>
        <v>5</v>
      </c>
      <c r="H156" s="108" t="str">
        <f>_xlfn.CONCAT(_xlfn.XLOOKUP("[S06_InstallationsVerificationReportsIssueDetail]["&amp;1+ROW(B156)-ROW($B$133)&amp;"][NumberOfIssues]",Submission!$O:$O,Submission!$H:$N,""))</f>
        <v>5</v>
      </c>
      <c r="I156" s="189" t="str">
        <f>_xlfn.CONCAT(_xlfn.XLOOKUP("[S06_InstallationsVerificationReportsIssueDetail]["&amp;1+ROW(B156)-ROW($B$133)&amp;"][ShareOfReportsConservativeEstimate]",Submission!$O:$O,Submission!$H:$N,""))</f>
        <v>0</v>
      </c>
    </row>
    <row r="157" spans="1:9" ht="26.4" hidden="1" customHeight="1" outlineLevel="1" x14ac:dyDescent="0.3">
      <c r="A157" s="13"/>
      <c r="C157" s="274" t="str">
        <f>_xlfn.CONCAT(_xlfn.XLOOKUP("[S06_InstallationsVerificationReportsIssueDetail]["&amp;1+ROW(B157)-ROW($B$133)&amp;"][AnnexIActivity]",Submission!$O:$O,Submission!$H:$N,""))</f>
        <v>31 - Manufacture of glass as specified in Annex I of Directive 2003/87/EC</v>
      </c>
      <c r="D157" s="364"/>
      <c r="E157" s="274" t="str">
        <f>_xlfn.CONCAT(_xlfn.XLOOKUP("[S06_InstallationsVerificationReportsIssueDetail]["&amp;1+ROW(B157)-ROW($B$133)&amp;"][TypeOfIssue]",Submission!$O:$O,Submission!$H:$N,""))</f>
        <v>Non-material misstatements</v>
      </c>
      <c r="F157" s="364"/>
      <c r="G157" s="105" t="str">
        <f>_xlfn.CONCAT(_xlfn.XLOOKUP("[S06_InstallationsVerificationReportsIssueDetail]["&amp;1+ROW(B157)-ROW($B$133)&amp;"][NumberOfInstallations]",Submission!$O:$O,Submission!$H:$N,""))</f>
        <v>18</v>
      </c>
      <c r="H157" s="108" t="str">
        <f>_xlfn.CONCAT(_xlfn.XLOOKUP("[S06_InstallationsVerificationReportsIssueDetail]["&amp;1+ROW(B157)-ROW($B$133)&amp;"][NumberOfIssues]",Submission!$O:$O,Submission!$H:$N,""))</f>
        <v>18</v>
      </c>
      <c r="I157" s="189" t="str">
        <f>_xlfn.CONCAT(_xlfn.XLOOKUP("[S06_InstallationsVerificationReportsIssueDetail]["&amp;1+ROW(B157)-ROW($B$133)&amp;"][ShareOfReportsConservativeEstimate]",Submission!$O:$O,Submission!$H:$N,""))</f>
        <v>0</v>
      </c>
    </row>
    <row r="158" spans="1:9" ht="26.4" hidden="1" customHeight="1" outlineLevel="1" x14ac:dyDescent="0.3">
      <c r="A158" s="13"/>
      <c r="C158" s="274" t="str">
        <f>_xlfn.CONCAT(_xlfn.XLOOKUP("[S06_InstallationsVerificationReportsIssueDetail]["&amp;1+ROW(B158)-ROW($B$133)&amp;"][AnnexIActivity]",Submission!$O:$O,Submission!$H:$N,""))</f>
        <v xml:space="preserve">36 - Production of paper or cardboard as specified in Annex I of Directive 2003/87/EC </v>
      </c>
      <c r="D158" s="364"/>
      <c r="E158" s="274" t="str">
        <f>_xlfn.CONCAT(_xlfn.XLOOKUP("[S06_InstallationsVerificationReportsIssueDetail]["&amp;1+ROW(B158)-ROW($B$133)&amp;"][TypeOfIssue]",Submission!$O:$O,Submission!$H:$N,""))</f>
        <v>Non-material misstatements</v>
      </c>
      <c r="F158" s="364"/>
      <c r="G158" s="105" t="str">
        <f>_xlfn.CONCAT(_xlfn.XLOOKUP("[S06_InstallationsVerificationReportsIssueDetail]["&amp;1+ROW(B158)-ROW($B$133)&amp;"][NumberOfInstallations]",Submission!$O:$O,Submission!$H:$N,""))</f>
        <v>17</v>
      </c>
      <c r="H158" s="108" t="str">
        <f>_xlfn.CONCAT(_xlfn.XLOOKUP("[S06_InstallationsVerificationReportsIssueDetail]["&amp;1+ROW(B158)-ROW($B$133)&amp;"][NumberOfIssues]",Submission!$O:$O,Submission!$H:$N,""))</f>
        <v>17</v>
      </c>
      <c r="I158" s="189" t="str">
        <f>_xlfn.CONCAT(_xlfn.XLOOKUP("[S06_InstallationsVerificationReportsIssueDetail]["&amp;1+ROW(B158)-ROW($B$133)&amp;"][ShareOfReportsConservativeEstimate]",Submission!$O:$O,Submission!$H:$N,""))</f>
        <v>0</v>
      </c>
    </row>
    <row r="159" spans="1:9" ht="26.4" hidden="1" customHeight="1" outlineLevel="1" x14ac:dyDescent="0.3">
      <c r="A159" s="13"/>
      <c r="C159" s="274" t="str">
        <f>_xlfn.CONCAT(_xlfn.XLOOKUP("[S06_InstallationsVerificationReportsIssueDetail]["&amp;1+ROW(B159)-ROW($B$133)&amp;"][AnnexIActivity]",Submission!$O:$O,Submission!$H:$N,""))</f>
        <v>34 - Drying or calcination of gypsum or production of plaster boards and other gypsum products, as specified in Annex I of Directive 2003/87/EC</v>
      </c>
      <c r="D159" s="364"/>
      <c r="E159" s="274" t="str">
        <f>_xlfn.CONCAT(_xlfn.XLOOKUP("[S06_InstallationsVerificationReportsIssueDetail]["&amp;1+ROW(B159)-ROW($B$133)&amp;"][TypeOfIssue]",Submission!$O:$O,Submission!$H:$N,""))</f>
        <v>Non-material misstatements</v>
      </c>
      <c r="F159" s="364"/>
      <c r="G159" s="105" t="str">
        <f>_xlfn.CONCAT(_xlfn.XLOOKUP("[S06_InstallationsVerificationReportsIssueDetail]["&amp;1+ROW(B159)-ROW($B$133)&amp;"][NumberOfInstallations]",Submission!$O:$O,Submission!$H:$N,""))</f>
        <v>4</v>
      </c>
      <c r="H159" s="108" t="str">
        <f>_xlfn.CONCAT(_xlfn.XLOOKUP("[S06_InstallationsVerificationReportsIssueDetail]["&amp;1+ROW(B159)-ROW($B$133)&amp;"][NumberOfIssues]",Submission!$O:$O,Submission!$H:$N,""))</f>
        <v>4</v>
      </c>
      <c r="I159" s="189" t="str">
        <f>_xlfn.CONCAT(_xlfn.XLOOKUP("[S06_InstallationsVerificationReportsIssueDetail]["&amp;1+ROW(B159)-ROW($B$133)&amp;"][ShareOfReportsConservativeEstimate]",Submission!$O:$O,Submission!$H:$N,""))</f>
        <v>0</v>
      </c>
    </row>
    <row r="160" spans="1:9" ht="26.4" hidden="1" customHeight="1" outlineLevel="1" x14ac:dyDescent="0.3">
      <c r="A160" s="13"/>
      <c r="C160" s="274" t="str">
        <f>_xlfn.CONCAT(_xlfn.XLOOKUP("[S06_InstallationsVerificationReportsIssueDetail]["&amp;1+ROW(B160)-ROW($B$133)&amp;"][AnnexIActivity]",Submission!$O:$O,Submission!$H:$N,""))</f>
        <v>32 - Manufacture of ceramic products as specified in Annex I of Directive 2003/87/EC</v>
      </c>
      <c r="D160" s="364"/>
      <c r="E160" s="274" t="str">
        <f>_xlfn.CONCAT(_xlfn.XLOOKUP("[S06_InstallationsVerificationReportsIssueDetail]["&amp;1+ROW(B160)-ROW($B$133)&amp;"][TypeOfIssue]",Submission!$O:$O,Submission!$H:$N,""))</f>
        <v>Non-material misstatements</v>
      </c>
      <c r="F160" s="364"/>
      <c r="G160" s="105" t="str">
        <f>_xlfn.CONCAT(_xlfn.XLOOKUP("[S06_InstallationsVerificationReportsIssueDetail]["&amp;1+ROW(B160)-ROW($B$133)&amp;"][NumberOfInstallations]",Submission!$O:$O,Submission!$H:$N,""))</f>
        <v>2</v>
      </c>
      <c r="H160" s="108" t="str">
        <f>_xlfn.CONCAT(_xlfn.XLOOKUP("[S06_InstallationsVerificationReportsIssueDetail]["&amp;1+ROW(B160)-ROW($B$133)&amp;"][NumberOfIssues]",Submission!$O:$O,Submission!$H:$N,""))</f>
        <v>2</v>
      </c>
      <c r="I160" s="189" t="str">
        <f>_xlfn.CONCAT(_xlfn.XLOOKUP("[S06_InstallationsVerificationReportsIssueDetail]["&amp;1+ROW(B160)-ROW($B$133)&amp;"][ShareOfReportsConservativeEstimate]",Submission!$O:$O,Submission!$H:$N,""))</f>
        <v>0</v>
      </c>
    </row>
    <row r="161" spans="1:9" ht="26.4" hidden="1" customHeight="1" outlineLevel="1" x14ac:dyDescent="0.3">
      <c r="A161" s="13"/>
      <c r="C161" s="274" t="str">
        <f>_xlfn.CONCAT(_xlfn.XLOOKUP("[S06_InstallationsVerificationReportsIssueDetail]["&amp;1+ROW(B161)-ROW($B$133)&amp;"][AnnexIActivity]",Submission!$O:$O,Submission!$H:$N,""))</f>
        <v>30 - Production of lime or calcination of dolomite or magnesite as specified in Annex I of Directive 2003/87/ EC</v>
      </c>
      <c r="D161" s="364"/>
      <c r="E161" s="274" t="str">
        <f>_xlfn.CONCAT(_xlfn.XLOOKUP("[S06_InstallationsVerificationReportsIssueDetail]["&amp;1+ROW(B161)-ROW($B$133)&amp;"][TypeOfIssue]",Submission!$O:$O,Submission!$H:$N,""))</f>
        <v>Non-material misstatements</v>
      </c>
      <c r="F161" s="364"/>
      <c r="G161" s="105" t="str">
        <f>_xlfn.CONCAT(_xlfn.XLOOKUP("[S06_InstallationsVerificationReportsIssueDetail]["&amp;1+ROW(B161)-ROW($B$133)&amp;"][NumberOfInstallations]",Submission!$O:$O,Submission!$H:$N,""))</f>
        <v>8</v>
      </c>
      <c r="H161" s="108" t="str">
        <f>_xlfn.CONCAT(_xlfn.XLOOKUP("[S06_InstallationsVerificationReportsIssueDetail]["&amp;1+ROW(B161)-ROW($B$133)&amp;"][NumberOfIssues]",Submission!$O:$O,Submission!$H:$N,""))</f>
        <v>8</v>
      </c>
      <c r="I161" s="189" t="str">
        <f>_xlfn.CONCAT(_xlfn.XLOOKUP("[S06_InstallationsVerificationReportsIssueDetail]["&amp;1+ROW(B161)-ROW($B$133)&amp;"][ShareOfReportsConservativeEstimate]",Submission!$O:$O,Submission!$H:$N,""))</f>
        <v>0</v>
      </c>
    </row>
    <row r="162" spans="1:9" ht="26.4" hidden="1" customHeight="1" outlineLevel="1" x14ac:dyDescent="0.3">
      <c r="A162" s="13"/>
      <c r="C162" s="274" t="str">
        <f>_xlfn.CONCAT(_xlfn.XLOOKUP("[S06_InstallationsVerificationReportsIssueDetail]["&amp;1+ROW(B162)-ROW($B$133)&amp;"][AnnexIActivity]",Submission!$O:$O,Submission!$H:$N,""))</f>
        <v xml:space="preserve">42 - Production of bulk organic chemicals as specified in Annex I of Directive 2003/87/EC </v>
      </c>
      <c r="D162" s="364"/>
      <c r="E162" s="274" t="str">
        <f>_xlfn.CONCAT(_xlfn.XLOOKUP("[S06_InstallationsVerificationReportsIssueDetail]["&amp;1+ROW(B162)-ROW($B$133)&amp;"][TypeOfIssue]",Submission!$O:$O,Submission!$H:$N,""))</f>
        <v>Non-material misstatements</v>
      </c>
      <c r="F162" s="364"/>
      <c r="G162" s="105" t="str">
        <f>_xlfn.CONCAT(_xlfn.XLOOKUP("[S06_InstallationsVerificationReportsIssueDetail]["&amp;1+ROW(B162)-ROW($B$133)&amp;"][NumberOfInstallations]",Submission!$O:$O,Submission!$H:$N,""))</f>
        <v>11</v>
      </c>
      <c r="H162" s="108" t="str">
        <f>_xlfn.CONCAT(_xlfn.XLOOKUP("[S06_InstallationsVerificationReportsIssueDetail]["&amp;1+ROW(B162)-ROW($B$133)&amp;"][NumberOfIssues]",Submission!$O:$O,Submission!$H:$N,""))</f>
        <v>11</v>
      </c>
      <c r="I162" s="189" t="str">
        <f>_xlfn.CONCAT(_xlfn.XLOOKUP("[S06_InstallationsVerificationReportsIssueDetail]["&amp;1+ROW(B162)-ROW($B$133)&amp;"][ShareOfReportsConservativeEstimate]",Submission!$O:$O,Submission!$H:$N,""))</f>
        <v>0</v>
      </c>
    </row>
    <row r="163" spans="1:9" ht="26.4" hidden="1" customHeight="1" outlineLevel="1" x14ac:dyDescent="0.3">
      <c r="A163" s="13"/>
      <c r="C163" s="274" t="str">
        <f>_xlfn.CONCAT(_xlfn.XLOOKUP("[S06_InstallationsVerificationReportsIssueDetail]["&amp;1+ROW(B163)-ROW($B$133)&amp;"][AnnexIActivity]",Submission!$O:$O,Submission!$H:$N,""))</f>
        <v xml:space="preserve">38 - Production of nitric acid </v>
      </c>
      <c r="D163" s="364"/>
      <c r="E163" s="274" t="str">
        <f>_xlfn.CONCAT(_xlfn.XLOOKUP("[S06_InstallationsVerificationReportsIssueDetail]["&amp;1+ROW(B163)-ROW($B$133)&amp;"][TypeOfIssue]",Submission!$O:$O,Submission!$H:$N,""))</f>
        <v>Non-material misstatements</v>
      </c>
      <c r="F163" s="364"/>
      <c r="G163" s="105" t="str">
        <f>_xlfn.CONCAT(_xlfn.XLOOKUP("[S06_InstallationsVerificationReportsIssueDetail]["&amp;1+ROW(B163)-ROW($B$133)&amp;"][NumberOfInstallations]",Submission!$O:$O,Submission!$H:$N,""))</f>
        <v>1</v>
      </c>
      <c r="H163" s="108" t="str">
        <f>_xlfn.CONCAT(_xlfn.XLOOKUP("[S06_InstallationsVerificationReportsIssueDetail]["&amp;1+ROW(B163)-ROW($B$133)&amp;"][NumberOfIssues]",Submission!$O:$O,Submission!$H:$N,""))</f>
        <v>1</v>
      </c>
      <c r="I163" s="189" t="str">
        <f>_xlfn.CONCAT(_xlfn.XLOOKUP("[S06_InstallationsVerificationReportsIssueDetail]["&amp;1+ROW(B163)-ROW($B$133)&amp;"][ShareOfReportsConservativeEstimate]",Submission!$O:$O,Submission!$H:$N,""))</f>
        <v>0</v>
      </c>
    </row>
    <row r="164" spans="1:9" ht="26.4" hidden="1" customHeight="1" outlineLevel="1" x14ac:dyDescent="0.3">
      <c r="A164" s="13"/>
      <c r="C164" s="274" t="str">
        <f>_xlfn.CONCAT(_xlfn.XLOOKUP("[S06_InstallationsVerificationReportsIssueDetail]["&amp;1+ROW(B164)-ROW($B$133)&amp;"][AnnexIActivity]",Submission!$O:$O,Submission!$H:$N,""))</f>
        <v>24 - Production of pig iron or steel as specified in Annex I of Directive 2003/87/EC</v>
      </c>
      <c r="D164" s="364"/>
      <c r="E164" s="274" t="str">
        <f>_xlfn.CONCAT(_xlfn.XLOOKUP("[S06_InstallationsVerificationReportsIssueDetail]["&amp;1+ROW(B164)-ROW($B$133)&amp;"][TypeOfIssue]",Submission!$O:$O,Submission!$H:$N,""))</f>
        <v>Non-material misstatements</v>
      </c>
      <c r="F164" s="364"/>
      <c r="G164" s="105" t="str">
        <f>_xlfn.CONCAT(_xlfn.XLOOKUP("[S06_InstallationsVerificationReportsIssueDetail]["&amp;1+ROW(B164)-ROW($B$133)&amp;"][NumberOfInstallations]",Submission!$O:$O,Submission!$H:$N,""))</f>
        <v>11</v>
      </c>
      <c r="H164" s="108" t="str">
        <f>_xlfn.CONCAT(_xlfn.XLOOKUP("[S06_InstallationsVerificationReportsIssueDetail]["&amp;1+ROW(B164)-ROW($B$133)&amp;"][NumberOfIssues]",Submission!$O:$O,Submission!$H:$N,""))</f>
        <v>11</v>
      </c>
      <c r="I164" s="189" t="str">
        <f>_xlfn.CONCAT(_xlfn.XLOOKUP("[S06_InstallationsVerificationReportsIssueDetail]["&amp;1+ROW(B164)-ROW($B$133)&amp;"][ShareOfReportsConservativeEstimate]",Submission!$O:$O,Submission!$H:$N,""))</f>
        <v>0</v>
      </c>
    </row>
    <row r="165" spans="1:9" ht="26.4" hidden="1" customHeight="1" outlineLevel="1" x14ac:dyDescent="0.3">
      <c r="A165" s="13"/>
      <c r="C165" s="274" t="str">
        <f>_xlfn.CONCAT(_xlfn.XLOOKUP("[S06_InstallationsVerificationReportsIssueDetail]["&amp;1+ROW(B165)-ROW($B$133)&amp;"][AnnexIActivity]",Submission!$O:$O,Submission!$H:$N,""))</f>
        <v>29 - Production of cement clinker in rotary kilns as specified in Annex I of Directive 2003/87/ EC</v>
      </c>
      <c r="D165" s="364"/>
      <c r="E165" s="274" t="str">
        <f>_xlfn.CONCAT(_xlfn.XLOOKUP("[S06_InstallationsVerificationReportsIssueDetail]["&amp;1+ROW(B165)-ROW($B$133)&amp;"][TypeOfIssue]",Submission!$O:$O,Submission!$H:$N,""))</f>
        <v>Non-material misstatements</v>
      </c>
      <c r="F165" s="364"/>
      <c r="G165" s="105" t="str">
        <f>_xlfn.CONCAT(_xlfn.XLOOKUP("[S06_InstallationsVerificationReportsIssueDetail]["&amp;1+ROW(B165)-ROW($B$133)&amp;"][NumberOfInstallations]",Submission!$O:$O,Submission!$H:$N,""))</f>
        <v>12</v>
      </c>
      <c r="H165" s="108" t="str">
        <f>_xlfn.CONCAT(_xlfn.XLOOKUP("[S06_InstallationsVerificationReportsIssueDetail]["&amp;1+ROW(B165)-ROW($B$133)&amp;"][NumberOfIssues]",Submission!$O:$O,Submission!$H:$N,""))</f>
        <v>12</v>
      </c>
      <c r="I165" s="189" t="str">
        <f>_xlfn.CONCAT(_xlfn.XLOOKUP("[S06_InstallationsVerificationReportsIssueDetail]["&amp;1+ROW(B165)-ROW($B$133)&amp;"][ShareOfReportsConservativeEstimate]",Submission!$O:$O,Submission!$H:$N,""))</f>
        <v>0</v>
      </c>
    </row>
    <row r="166" spans="1:9" ht="26.4" hidden="1" customHeight="1" outlineLevel="1" x14ac:dyDescent="0.3">
      <c r="A166" s="13"/>
      <c r="C166" s="274" t="str">
        <f>_xlfn.CONCAT(_xlfn.XLOOKUP("[S06_InstallationsVerificationReportsIssueDetail]["&amp;1+ROW(B166)-ROW($B$133)&amp;"][AnnexIActivity]",Submission!$O:$O,Submission!$H:$N,""))</f>
        <v xml:space="preserve">43 - Production of hydrogen (H2) and synthesis gas as specified in Annex I of Directive 2003/87/EC </v>
      </c>
      <c r="D166" s="364"/>
      <c r="E166" s="274" t="str">
        <f>_xlfn.CONCAT(_xlfn.XLOOKUP("[S06_InstallationsVerificationReportsIssueDetail]["&amp;1+ROW(B166)-ROW($B$133)&amp;"][TypeOfIssue]",Submission!$O:$O,Submission!$H:$N,""))</f>
        <v>Non-material misstatements</v>
      </c>
      <c r="F166" s="364"/>
      <c r="G166" s="105" t="str">
        <f>_xlfn.CONCAT(_xlfn.XLOOKUP("[S06_InstallationsVerificationReportsIssueDetail]["&amp;1+ROW(B166)-ROW($B$133)&amp;"][NumberOfInstallations]",Submission!$O:$O,Submission!$H:$N,""))</f>
        <v>1</v>
      </c>
      <c r="H166" s="108" t="str">
        <f>_xlfn.CONCAT(_xlfn.XLOOKUP("[S06_InstallationsVerificationReportsIssueDetail]["&amp;1+ROW(B166)-ROW($B$133)&amp;"][NumberOfIssues]",Submission!$O:$O,Submission!$H:$N,""))</f>
        <v>1</v>
      </c>
      <c r="I166" s="189" t="str">
        <f>_xlfn.CONCAT(_xlfn.XLOOKUP("[S06_InstallationsVerificationReportsIssueDetail]["&amp;1+ROW(B166)-ROW($B$133)&amp;"][ShareOfReportsConservativeEstimate]",Submission!$O:$O,Submission!$H:$N,""))</f>
        <v>0</v>
      </c>
    </row>
    <row r="167" spans="1:9" ht="26.4" hidden="1" customHeight="1" outlineLevel="1" x14ac:dyDescent="0.3">
      <c r="A167" s="13"/>
      <c r="C167" s="274" t="str">
        <f>_xlfn.CONCAT(_xlfn.XLOOKUP("[S06_InstallationsVerificationReportsIssueDetail]["&amp;1+ROW(B167)-ROW($B$133)&amp;"][AnnexIActivity]",Submission!$O:$O,Submission!$H:$N,""))</f>
        <v>23 - Metal ore (including sulphide ore) roasting or sintering, including pelletisation</v>
      </c>
      <c r="D167" s="364"/>
      <c r="E167" s="274" t="str">
        <f>_xlfn.CONCAT(_xlfn.XLOOKUP("[S06_InstallationsVerificationReportsIssueDetail]["&amp;1+ROW(B167)-ROW($B$133)&amp;"][TypeOfIssue]",Submission!$O:$O,Submission!$H:$N,""))</f>
        <v>Non-material misstatements</v>
      </c>
      <c r="F167" s="364"/>
      <c r="G167" s="105" t="str">
        <f>_xlfn.CONCAT(_xlfn.XLOOKUP("[S06_InstallationsVerificationReportsIssueDetail]["&amp;1+ROW(B167)-ROW($B$133)&amp;"][NumberOfInstallations]",Submission!$O:$O,Submission!$H:$N,""))</f>
        <v>3</v>
      </c>
      <c r="H167" s="108" t="str">
        <f>_xlfn.CONCAT(_xlfn.XLOOKUP("[S06_InstallationsVerificationReportsIssueDetail]["&amp;1+ROW(B167)-ROW($B$133)&amp;"][NumberOfIssues]",Submission!$O:$O,Submission!$H:$N,""))</f>
        <v>3</v>
      </c>
      <c r="I167" s="189" t="str">
        <f>_xlfn.CONCAT(_xlfn.XLOOKUP("[S06_InstallationsVerificationReportsIssueDetail]["&amp;1+ROW(B167)-ROW($B$133)&amp;"][ShareOfReportsConservativeEstimate]",Submission!$O:$O,Submission!$H:$N,""))</f>
        <v>0</v>
      </c>
    </row>
    <row r="168" spans="1:9" ht="26.4" hidden="1" customHeight="1" outlineLevel="1" x14ac:dyDescent="0.3">
      <c r="A168" s="13"/>
      <c r="C168" s="274" t="str">
        <f>_xlfn.CONCAT(_xlfn.XLOOKUP("[S06_InstallationsVerificationReportsIssueDetail]["&amp;1+ROW(B168)-ROW($B$133)&amp;"][AnnexIActivity]",Submission!$O:$O,Submission!$H:$N,""))</f>
        <v xml:space="preserve">39 - Production of adipic acid </v>
      </c>
      <c r="D168" s="364"/>
      <c r="E168" s="274" t="str">
        <f>_xlfn.CONCAT(_xlfn.XLOOKUP("[S06_InstallationsVerificationReportsIssueDetail]["&amp;1+ROW(B168)-ROW($B$133)&amp;"][TypeOfIssue]",Submission!$O:$O,Submission!$H:$N,""))</f>
        <v>Non-material misstatements</v>
      </c>
      <c r="F168" s="364"/>
      <c r="G168" s="105" t="str">
        <f>_xlfn.CONCAT(_xlfn.XLOOKUP("[S06_InstallationsVerificationReportsIssueDetail]["&amp;1+ROW(B168)-ROW($B$133)&amp;"][NumberOfInstallations]",Submission!$O:$O,Submission!$H:$N,""))</f>
        <v>1</v>
      </c>
      <c r="H168" s="108" t="str">
        <f>_xlfn.CONCAT(_xlfn.XLOOKUP("[S06_InstallationsVerificationReportsIssueDetail]["&amp;1+ROW(B168)-ROW($B$133)&amp;"][NumberOfIssues]",Submission!$O:$O,Submission!$H:$N,""))</f>
        <v>1</v>
      </c>
      <c r="I168" s="189" t="str">
        <f>_xlfn.CONCAT(_xlfn.XLOOKUP("[S06_InstallationsVerificationReportsIssueDetail]["&amp;1+ROW(B168)-ROW($B$133)&amp;"][ShareOfReportsConservativeEstimate]",Submission!$O:$O,Submission!$H:$N,""))</f>
        <v>0</v>
      </c>
    </row>
    <row r="169" spans="1:9" ht="26.4" hidden="1" customHeight="1" outlineLevel="1" x14ac:dyDescent="0.3">
      <c r="A169" s="13"/>
      <c r="C169" s="274" t="str">
        <f>_xlfn.CONCAT(_xlfn.XLOOKUP("[S06_InstallationsVerificationReportsIssueDetail]["&amp;1+ROW(B169)-ROW($B$133)&amp;"][AnnexIActivity]",Submission!$O:$O,Submission!$H:$N,""))</f>
        <v xml:space="preserve">22 - Production of coke </v>
      </c>
      <c r="D169" s="364"/>
      <c r="E169" s="274" t="str">
        <f>_xlfn.CONCAT(_xlfn.XLOOKUP("[S06_InstallationsVerificationReportsIssueDetail]["&amp;1+ROW(B169)-ROW($B$133)&amp;"][TypeOfIssue]",Submission!$O:$O,Submission!$H:$N,""))</f>
        <v>Non-material misstatements</v>
      </c>
      <c r="F169" s="364"/>
      <c r="G169" s="105" t="str">
        <f>_xlfn.CONCAT(_xlfn.XLOOKUP("[S06_InstallationsVerificationReportsIssueDetail]["&amp;1+ROW(B169)-ROW($B$133)&amp;"][NumberOfInstallations]",Submission!$O:$O,Submission!$H:$N,""))</f>
        <v>2</v>
      </c>
      <c r="H169" s="108" t="str">
        <f>_xlfn.CONCAT(_xlfn.XLOOKUP("[S06_InstallationsVerificationReportsIssueDetail]["&amp;1+ROW(B169)-ROW($B$133)&amp;"][NumberOfIssues]",Submission!$O:$O,Submission!$H:$N,""))</f>
        <v>2</v>
      </c>
      <c r="I169" s="189" t="str">
        <f>_xlfn.CONCAT(_xlfn.XLOOKUP("[S06_InstallationsVerificationReportsIssueDetail]["&amp;1+ROW(B169)-ROW($B$133)&amp;"][ShareOfReportsConservativeEstimate]",Submission!$O:$O,Submission!$H:$N,""))</f>
        <v>0</v>
      </c>
    </row>
    <row r="170" spans="1:9" ht="26.4" hidden="1" customHeight="1" outlineLevel="1" x14ac:dyDescent="0.3">
      <c r="A170" s="13"/>
      <c r="C170" s="274" t="str">
        <f>_xlfn.CONCAT(_xlfn.XLOOKUP("[S06_InstallationsVerificationReportsIssueDetail]["&amp;1+ROW(B170)-ROW($B$133)&amp;"][AnnexIActivity]",Submission!$O:$O,Submission!$H:$N,""))</f>
        <v>20 - Combustion of fuels as specified in Annex I of Directive 2003/87/EC</v>
      </c>
      <c r="D170" s="364"/>
      <c r="E170" s="274" t="str">
        <f>_xlfn.CONCAT(_xlfn.XLOOKUP("[S06_InstallationsVerificationReportsIssueDetail]["&amp;1+ROW(B170)-ROW($B$133)&amp;"][TypeOfIssue]",Submission!$O:$O,Submission!$H:$N,""))</f>
        <v>Non-conformities not leading to a negative verification opinion statement</v>
      </c>
      <c r="F170" s="364"/>
      <c r="G170" s="105" t="str">
        <f>_xlfn.CONCAT(_xlfn.XLOOKUP("[S06_InstallationsVerificationReportsIssueDetail]["&amp;1+ROW(B170)-ROW($B$133)&amp;"][NumberOfInstallations]",Submission!$O:$O,Submission!$H:$N,""))</f>
        <v>326</v>
      </c>
      <c r="H170" s="108" t="str">
        <f>_xlfn.CONCAT(_xlfn.XLOOKUP("[S06_InstallationsVerificationReportsIssueDetail]["&amp;1+ROW(B170)-ROW($B$133)&amp;"][NumberOfIssues]",Submission!$O:$O,Submission!$H:$N,""))</f>
        <v>326</v>
      </c>
      <c r="I170" s="189" t="str">
        <f>_xlfn.CONCAT(_xlfn.XLOOKUP("[S06_InstallationsVerificationReportsIssueDetail]["&amp;1+ROW(B170)-ROW($B$133)&amp;"][ShareOfReportsConservativeEstimate]",Submission!$O:$O,Submission!$H:$N,""))</f>
        <v>0</v>
      </c>
    </row>
    <row r="171" spans="1:9" ht="26.4" hidden="1" customHeight="1" outlineLevel="1" x14ac:dyDescent="0.3">
      <c r="A171" s="13"/>
      <c r="C171" s="274" t="str">
        <f>_xlfn.CONCAT(_xlfn.XLOOKUP("[S06_InstallationsVerificationReportsIssueDetail]["&amp;1+ROW(B171)-ROW($B$133)&amp;"][AnnexIActivity]",Submission!$O:$O,Submission!$H:$N,""))</f>
        <v>33 - Manufacture of mineral wool insulation material using glass, rock or slag as specified in Annex I of Directive 2003/87/EC</v>
      </c>
      <c r="D171" s="364"/>
      <c r="E171" s="274" t="str">
        <f>_xlfn.CONCAT(_xlfn.XLOOKUP("[S06_InstallationsVerificationReportsIssueDetail]["&amp;1+ROW(B171)-ROW($B$133)&amp;"][TypeOfIssue]",Submission!$O:$O,Submission!$H:$N,""))</f>
        <v>Non-conformities not leading to a negative verification opinion statement</v>
      </c>
      <c r="F171" s="364"/>
      <c r="G171" s="105" t="str">
        <f>_xlfn.CONCAT(_xlfn.XLOOKUP("[S06_InstallationsVerificationReportsIssueDetail]["&amp;1+ROW(B171)-ROW($B$133)&amp;"][NumberOfInstallations]",Submission!$O:$O,Submission!$H:$N,""))</f>
        <v>3</v>
      </c>
      <c r="H171" s="108" t="str">
        <f>_xlfn.CONCAT(_xlfn.XLOOKUP("[S06_InstallationsVerificationReportsIssueDetail]["&amp;1+ROW(B171)-ROW($B$133)&amp;"][NumberOfIssues]",Submission!$O:$O,Submission!$H:$N,""))</f>
        <v>3</v>
      </c>
      <c r="I171" s="189" t="str">
        <f>_xlfn.CONCAT(_xlfn.XLOOKUP("[S06_InstallationsVerificationReportsIssueDetail]["&amp;1+ROW(B171)-ROW($B$133)&amp;"][ShareOfReportsConservativeEstimate]",Submission!$O:$O,Submission!$H:$N,""))</f>
        <v>0</v>
      </c>
    </row>
    <row r="172" spans="1:9" ht="26.4" hidden="1" customHeight="1" outlineLevel="1" x14ac:dyDescent="0.3">
      <c r="A172" s="13"/>
      <c r="C172" s="274" t="str">
        <f>_xlfn.CONCAT(_xlfn.XLOOKUP("[S06_InstallationsVerificationReportsIssueDetail]["&amp;1+ROW(B172)-ROW($B$133)&amp;"][AnnexIActivity]",Submission!$O:$O,Submission!$H:$N,""))</f>
        <v>35 - Production of pulp as specified in Annex I of Directive 2003/87/EC</v>
      </c>
      <c r="D172" s="364"/>
      <c r="E172" s="274" t="str">
        <f>_xlfn.CONCAT(_xlfn.XLOOKUP("[S06_InstallationsVerificationReportsIssueDetail]["&amp;1+ROW(B172)-ROW($B$133)&amp;"][TypeOfIssue]",Submission!$O:$O,Submission!$H:$N,""))</f>
        <v>Non-conformities not leading to a negative verification opinion statement</v>
      </c>
      <c r="F172" s="364"/>
      <c r="G172" s="105" t="str">
        <f>_xlfn.CONCAT(_xlfn.XLOOKUP("[S06_InstallationsVerificationReportsIssueDetail]["&amp;1+ROW(B172)-ROW($B$133)&amp;"][NumberOfInstallations]",Submission!$O:$O,Submission!$H:$N,""))</f>
        <v>18</v>
      </c>
      <c r="H172" s="108" t="str">
        <f>_xlfn.CONCAT(_xlfn.XLOOKUP("[S06_InstallationsVerificationReportsIssueDetail]["&amp;1+ROW(B172)-ROW($B$133)&amp;"][NumberOfIssues]",Submission!$O:$O,Submission!$H:$N,""))</f>
        <v>18</v>
      </c>
      <c r="I172" s="189" t="str">
        <f>_xlfn.CONCAT(_xlfn.XLOOKUP("[S06_InstallationsVerificationReportsIssueDetail]["&amp;1+ROW(B172)-ROW($B$133)&amp;"][ShareOfReportsConservativeEstimate]",Submission!$O:$O,Submission!$H:$N,""))</f>
        <v>0</v>
      </c>
    </row>
    <row r="173" spans="1:9" ht="26.4" hidden="1" customHeight="1" outlineLevel="1" x14ac:dyDescent="0.3">
      <c r="A173" s="13"/>
      <c r="C173" s="274" t="str">
        <f>_xlfn.CONCAT(_xlfn.XLOOKUP("[S06_InstallationsVerificationReportsIssueDetail]["&amp;1+ROW(B173)-ROW($B$133)&amp;"][AnnexIActivity]",Submission!$O:$O,Submission!$H:$N,""))</f>
        <v>31 - Manufacture of glass as specified in Annex I of Directive 2003/87/EC</v>
      </c>
      <c r="D173" s="364"/>
      <c r="E173" s="274" t="str">
        <f>_xlfn.CONCAT(_xlfn.XLOOKUP("[S06_InstallationsVerificationReportsIssueDetail]["&amp;1+ROW(B173)-ROW($B$133)&amp;"][TypeOfIssue]",Submission!$O:$O,Submission!$H:$N,""))</f>
        <v>Non-conformities not leading to a negative verification opinion statement</v>
      </c>
      <c r="F173" s="364"/>
      <c r="G173" s="105" t="str">
        <f>_xlfn.CONCAT(_xlfn.XLOOKUP("[S06_InstallationsVerificationReportsIssueDetail]["&amp;1+ROW(B173)-ROW($B$133)&amp;"][NumberOfInstallations]",Submission!$O:$O,Submission!$H:$N,""))</f>
        <v>21</v>
      </c>
      <c r="H173" s="108" t="str">
        <f>_xlfn.CONCAT(_xlfn.XLOOKUP("[S06_InstallationsVerificationReportsIssueDetail]["&amp;1+ROW(B173)-ROW($B$133)&amp;"][NumberOfIssues]",Submission!$O:$O,Submission!$H:$N,""))</f>
        <v>21</v>
      </c>
      <c r="I173" s="189" t="str">
        <f>_xlfn.CONCAT(_xlfn.XLOOKUP("[S06_InstallationsVerificationReportsIssueDetail]["&amp;1+ROW(B173)-ROW($B$133)&amp;"][ShareOfReportsConservativeEstimate]",Submission!$O:$O,Submission!$H:$N,""))</f>
        <v>0</v>
      </c>
    </row>
    <row r="174" spans="1:9" ht="26.4" hidden="1" customHeight="1" outlineLevel="1" x14ac:dyDescent="0.3">
      <c r="A174" s="13"/>
      <c r="C174" s="274" t="str">
        <f>_xlfn.CONCAT(_xlfn.XLOOKUP("[S06_InstallationsVerificationReportsIssueDetail]["&amp;1+ROW(B174)-ROW($B$133)&amp;"][AnnexIActivity]",Submission!$O:$O,Submission!$H:$N,""))</f>
        <v xml:space="preserve">36 - Production of paper or cardboard as specified in Annex I of Directive 2003/87/EC </v>
      </c>
      <c r="D174" s="364"/>
      <c r="E174" s="274" t="str">
        <f>_xlfn.CONCAT(_xlfn.XLOOKUP("[S06_InstallationsVerificationReportsIssueDetail]["&amp;1+ROW(B174)-ROW($B$133)&amp;"][TypeOfIssue]",Submission!$O:$O,Submission!$H:$N,""))</f>
        <v>Non-conformities not leading to a negative verification opinion statement</v>
      </c>
      <c r="F174" s="364"/>
      <c r="G174" s="105" t="str">
        <f>_xlfn.CONCAT(_xlfn.XLOOKUP("[S06_InstallationsVerificationReportsIssueDetail]["&amp;1+ROW(B174)-ROW($B$133)&amp;"][NumberOfInstallations]",Submission!$O:$O,Submission!$H:$N,""))</f>
        <v>33</v>
      </c>
      <c r="H174" s="108" t="str">
        <f>_xlfn.CONCAT(_xlfn.XLOOKUP("[S06_InstallationsVerificationReportsIssueDetail]["&amp;1+ROW(B174)-ROW($B$133)&amp;"][NumberOfIssues]",Submission!$O:$O,Submission!$H:$N,""))</f>
        <v>33</v>
      </c>
      <c r="I174" s="189" t="str">
        <f>_xlfn.CONCAT(_xlfn.XLOOKUP("[S06_InstallationsVerificationReportsIssueDetail]["&amp;1+ROW(B174)-ROW($B$133)&amp;"][ShareOfReportsConservativeEstimate]",Submission!$O:$O,Submission!$H:$N,""))</f>
        <v>0</v>
      </c>
    </row>
    <row r="175" spans="1:9" ht="26.4" hidden="1" customHeight="1" outlineLevel="1" x14ac:dyDescent="0.3">
      <c r="A175" s="13"/>
      <c r="C175" s="274" t="str">
        <f>_xlfn.CONCAT(_xlfn.XLOOKUP("[S06_InstallationsVerificationReportsIssueDetail]["&amp;1+ROW(B175)-ROW($B$133)&amp;"][AnnexIActivity]",Submission!$O:$O,Submission!$H:$N,""))</f>
        <v>34 - Drying or calcination of gypsum or production of plaster boards and other gypsum products, as specified in Annex I of Directive 2003/87/EC</v>
      </c>
      <c r="D175" s="364"/>
      <c r="E175" s="274" t="str">
        <f>_xlfn.CONCAT(_xlfn.XLOOKUP("[S06_InstallationsVerificationReportsIssueDetail]["&amp;1+ROW(B175)-ROW($B$133)&amp;"][TypeOfIssue]",Submission!$O:$O,Submission!$H:$N,""))</f>
        <v>Non-conformities not leading to a negative verification opinion statement</v>
      </c>
      <c r="F175" s="364"/>
      <c r="G175" s="105" t="str">
        <f>_xlfn.CONCAT(_xlfn.XLOOKUP("[S06_InstallationsVerificationReportsIssueDetail]["&amp;1+ROW(B175)-ROW($B$133)&amp;"][NumberOfInstallations]",Submission!$O:$O,Submission!$H:$N,""))</f>
        <v>7</v>
      </c>
      <c r="H175" s="108" t="str">
        <f>_xlfn.CONCAT(_xlfn.XLOOKUP("[S06_InstallationsVerificationReportsIssueDetail]["&amp;1+ROW(B175)-ROW($B$133)&amp;"][NumberOfIssues]",Submission!$O:$O,Submission!$H:$N,""))</f>
        <v>7</v>
      </c>
      <c r="I175" s="189" t="str">
        <f>_xlfn.CONCAT(_xlfn.XLOOKUP("[S06_InstallationsVerificationReportsIssueDetail]["&amp;1+ROW(B175)-ROW($B$133)&amp;"][ShareOfReportsConservativeEstimate]",Submission!$O:$O,Submission!$H:$N,""))</f>
        <v>0</v>
      </c>
    </row>
    <row r="176" spans="1:9" ht="26.4" hidden="1" customHeight="1" outlineLevel="1" x14ac:dyDescent="0.3">
      <c r="A176" s="13"/>
      <c r="C176" s="274" t="str">
        <f>_xlfn.CONCAT(_xlfn.XLOOKUP("[S06_InstallationsVerificationReportsIssueDetail]["&amp;1+ROW(B176)-ROW($B$133)&amp;"][AnnexIActivity]",Submission!$O:$O,Submission!$H:$N,""))</f>
        <v>27 - Production of secondary aluminium as specific in Annex I of Directive 2003/87/EC</v>
      </c>
      <c r="D176" s="364"/>
      <c r="E176" s="274" t="str">
        <f>_xlfn.CONCAT(_xlfn.XLOOKUP("[S06_InstallationsVerificationReportsIssueDetail]["&amp;1+ROW(B176)-ROW($B$133)&amp;"][TypeOfIssue]",Submission!$O:$O,Submission!$H:$N,""))</f>
        <v>Non-conformities not leading to a negative verification opinion statement</v>
      </c>
      <c r="F176" s="364"/>
      <c r="G176" s="105" t="str">
        <f>_xlfn.CONCAT(_xlfn.XLOOKUP("[S06_InstallationsVerificationReportsIssueDetail]["&amp;1+ROW(B176)-ROW($B$133)&amp;"][NumberOfInstallations]",Submission!$O:$O,Submission!$H:$N,""))</f>
        <v>1</v>
      </c>
      <c r="H176" s="108" t="str">
        <f>_xlfn.CONCAT(_xlfn.XLOOKUP("[S06_InstallationsVerificationReportsIssueDetail]["&amp;1+ROW(B176)-ROW($B$133)&amp;"][NumberOfIssues]",Submission!$O:$O,Submission!$H:$N,""))</f>
        <v>1</v>
      </c>
      <c r="I176" s="189" t="str">
        <f>_xlfn.CONCAT(_xlfn.XLOOKUP("[S06_InstallationsVerificationReportsIssueDetail]["&amp;1+ROW(B176)-ROW($B$133)&amp;"][ShareOfReportsConservativeEstimate]",Submission!$O:$O,Submission!$H:$N,""))</f>
        <v>0</v>
      </c>
    </row>
    <row r="177" spans="1:9" ht="26.4" hidden="1" customHeight="1" outlineLevel="1" x14ac:dyDescent="0.3">
      <c r="A177" s="13"/>
      <c r="C177" s="274" t="str">
        <f>_xlfn.CONCAT(_xlfn.XLOOKUP("[S06_InstallationsVerificationReportsIssueDetail]["&amp;1+ROW(B177)-ROW($B$133)&amp;"][AnnexIActivity]",Submission!$O:$O,Submission!$H:$N,""))</f>
        <v>32 - Manufacture of ceramic products as specified in Annex I of Directive 2003/87/EC</v>
      </c>
      <c r="D177" s="364"/>
      <c r="E177" s="274" t="str">
        <f>_xlfn.CONCAT(_xlfn.XLOOKUP("[S06_InstallationsVerificationReportsIssueDetail]["&amp;1+ROW(B177)-ROW($B$133)&amp;"][TypeOfIssue]",Submission!$O:$O,Submission!$H:$N,""))</f>
        <v>Non-conformities not leading to a negative verification opinion statement</v>
      </c>
      <c r="F177" s="364"/>
      <c r="G177" s="105" t="str">
        <f>_xlfn.CONCAT(_xlfn.XLOOKUP("[S06_InstallationsVerificationReportsIssueDetail]["&amp;1+ROW(B177)-ROW($B$133)&amp;"][NumberOfInstallations]",Submission!$O:$O,Submission!$H:$N,""))</f>
        <v>11</v>
      </c>
      <c r="H177" s="108" t="str">
        <f>_xlfn.CONCAT(_xlfn.XLOOKUP("[S06_InstallationsVerificationReportsIssueDetail]["&amp;1+ROW(B177)-ROW($B$133)&amp;"][NumberOfIssues]",Submission!$O:$O,Submission!$H:$N,""))</f>
        <v>11</v>
      </c>
      <c r="I177" s="189" t="str">
        <f>_xlfn.CONCAT(_xlfn.XLOOKUP("[S06_InstallationsVerificationReportsIssueDetail]["&amp;1+ROW(B177)-ROW($B$133)&amp;"][ShareOfReportsConservativeEstimate]",Submission!$O:$O,Submission!$H:$N,""))</f>
        <v>0</v>
      </c>
    </row>
    <row r="178" spans="1:9" ht="26.4" hidden="1" customHeight="1" outlineLevel="1" x14ac:dyDescent="0.3">
      <c r="A178" s="13"/>
      <c r="C178" s="274" t="str">
        <f>_xlfn.CONCAT(_xlfn.XLOOKUP("[S06_InstallationsVerificationReportsIssueDetail]["&amp;1+ROW(B178)-ROW($B$133)&amp;"][AnnexIActivity]",Submission!$O:$O,Submission!$H:$N,""))</f>
        <v>30 - Production of lime or calcination of dolomite or magnesite as specified in Annex I of Directive 2003/87/ EC</v>
      </c>
      <c r="D178" s="364"/>
      <c r="E178" s="274" t="str">
        <f>_xlfn.CONCAT(_xlfn.XLOOKUP("[S06_InstallationsVerificationReportsIssueDetail]["&amp;1+ROW(B178)-ROW($B$133)&amp;"][TypeOfIssue]",Submission!$O:$O,Submission!$H:$N,""))</f>
        <v>Non-conformities not leading to a negative verification opinion statement</v>
      </c>
      <c r="F178" s="364"/>
      <c r="G178" s="105" t="str">
        <f>_xlfn.CONCAT(_xlfn.XLOOKUP("[S06_InstallationsVerificationReportsIssueDetail]["&amp;1+ROW(B178)-ROW($B$133)&amp;"][NumberOfInstallations]",Submission!$O:$O,Submission!$H:$N,""))</f>
        <v>15</v>
      </c>
      <c r="H178" s="108" t="str">
        <f>_xlfn.CONCAT(_xlfn.XLOOKUP("[S06_InstallationsVerificationReportsIssueDetail]["&amp;1+ROW(B178)-ROW($B$133)&amp;"][NumberOfIssues]",Submission!$O:$O,Submission!$H:$N,""))</f>
        <v>15</v>
      </c>
      <c r="I178" s="189" t="str">
        <f>_xlfn.CONCAT(_xlfn.XLOOKUP("[S06_InstallationsVerificationReportsIssueDetail]["&amp;1+ROW(B178)-ROW($B$133)&amp;"][ShareOfReportsConservativeEstimate]",Submission!$O:$O,Submission!$H:$N,""))</f>
        <v>0</v>
      </c>
    </row>
    <row r="179" spans="1:9" ht="26.4" hidden="1" customHeight="1" outlineLevel="1" x14ac:dyDescent="0.3">
      <c r="A179" s="13"/>
      <c r="C179" s="274" t="str">
        <f>_xlfn.CONCAT(_xlfn.XLOOKUP("[S06_InstallationsVerificationReportsIssueDetail]["&amp;1+ROW(B179)-ROW($B$133)&amp;"][AnnexIActivity]",Submission!$O:$O,Submission!$H:$N,""))</f>
        <v xml:space="preserve">42 - Production of bulk organic chemicals as specified in Annex I of Directive 2003/87/EC </v>
      </c>
      <c r="D179" s="364"/>
      <c r="E179" s="274" t="str">
        <f>_xlfn.CONCAT(_xlfn.XLOOKUP("[S06_InstallationsVerificationReportsIssueDetail]["&amp;1+ROW(B179)-ROW($B$133)&amp;"][TypeOfIssue]",Submission!$O:$O,Submission!$H:$N,""))</f>
        <v>Non-conformities not leading to a negative verification opinion statement</v>
      </c>
      <c r="F179" s="364"/>
      <c r="G179" s="105" t="str">
        <f>_xlfn.CONCAT(_xlfn.XLOOKUP("[S06_InstallationsVerificationReportsIssueDetail]["&amp;1+ROW(B179)-ROW($B$133)&amp;"][NumberOfInstallations]",Submission!$O:$O,Submission!$H:$N,""))</f>
        <v>19</v>
      </c>
      <c r="H179" s="108" t="str">
        <f>_xlfn.CONCAT(_xlfn.XLOOKUP("[S06_InstallationsVerificationReportsIssueDetail]["&amp;1+ROW(B179)-ROW($B$133)&amp;"][NumberOfIssues]",Submission!$O:$O,Submission!$H:$N,""))</f>
        <v>19</v>
      </c>
      <c r="I179" s="189" t="str">
        <f>_xlfn.CONCAT(_xlfn.XLOOKUP("[S06_InstallationsVerificationReportsIssueDetail]["&amp;1+ROW(B179)-ROW($B$133)&amp;"][ShareOfReportsConservativeEstimate]",Submission!$O:$O,Submission!$H:$N,""))</f>
        <v>0</v>
      </c>
    </row>
    <row r="180" spans="1:9" ht="26.4" hidden="1" customHeight="1" outlineLevel="1" x14ac:dyDescent="0.3">
      <c r="A180" s="13"/>
      <c r="C180" s="274" t="str">
        <f>_xlfn.CONCAT(_xlfn.XLOOKUP("[S06_InstallationsVerificationReportsIssueDetail]["&amp;1+ROW(B180)-ROW($B$133)&amp;"][AnnexIActivity]",Submission!$O:$O,Submission!$H:$N,""))</f>
        <v xml:space="preserve">38 - Production of nitric acid </v>
      </c>
      <c r="D180" s="364"/>
      <c r="E180" s="274" t="str">
        <f>_xlfn.CONCAT(_xlfn.XLOOKUP("[S06_InstallationsVerificationReportsIssueDetail]["&amp;1+ROW(B180)-ROW($B$133)&amp;"][TypeOfIssue]",Submission!$O:$O,Submission!$H:$N,""))</f>
        <v>Non-conformities not leading to a negative verification opinion statement</v>
      </c>
      <c r="F180" s="364"/>
      <c r="G180" s="105" t="str">
        <f>_xlfn.CONCAT(_xlfn.XLOOKUP("[S06_InstallationsVerificationReportsIssueDetail]["&amp;1+ROW(B180)-ROW($B$133)&amp;"][NumberOfInstallations]",Submission!$O:$O,Submission!$H:$N,""))</f>
        <v>1</v>
      </c>
      <c r="H180" s="108" t="str">
        <f>_xlfn.CONCAT(_xlfn.XLOOKUP("[S06_InstallationsVerificationReportsIssueDetail]["&amp;1+ROW(B180)-ROW($B$133)&amp;"][NumberOfIssues]",Submission!$O:$O,Submission!$H:$N,""))</f>
        <v>1</v>
      </c>
      <c r="I180" s="189" t="str">
        <f>_xlfn.CONCAT(_xlfn.XLOOKUP("[S06_InstallationsVerificationReportsIssueDetail]["&amp;1+ROW(B180)-ROW($B$133)&amp;"][ShareOfReportsConservativeEstimate]",Submission!$O:$O,Submission!$H:$N,""))</f>
        <v>0</v>
      </c>
    </row>
    <row r="181" spans="1:9" ht="26.4" hidden="1" customHeight="1" outlineLevel="1" x14ac:dyDescent="0.3">
      <c r="A181" s="13"/>
      <c r="C181" s="274" t="str">
        <f>_xlfn.CONCAT(_xlfn.XLOOKUP("[S06_InstallationsVerificationReportsIssueDetail]["&amp;1+ROW(B181)-ROW($B$133)&amp;"][AnnexIActivity]",Submission!$O:$O,Submission!$H:$N,""))</f>
        <v>24 - Production of pig iron or steel as specified in Annex I of Directive 2003/87/EC</v>
      </c>
      <c r="D181" s="364"/>
      <c r="E181" s="274" t="str">
        <f>_xlfn.CONCAT(_xlfn.XLOOKUP("[S06_InstallationsVerificationReportsIssueDetail]["&amp;1+ROW(B181)-ROW($B$133)&amp;"][TypeOfIssue]",Submission!$O:$O,Submission!$H:$N,""))</f>
        <v>Non-conformities not leading to a negative verification opinion statement</v>
      </c>
      <c r="F181" s="364"/>
      <c r="G181" s="105" t="str">
        <f>_xlfn.CONCAT(_xlfn.XLOOKUP("[S06_InstallationsVerificationReportsIssueDetail]["&amp;1+ROW(B181)-ROW($B$133)&amp;"][NumberOfInstallations]",Submission!$O:$O,Submission!$H:$N,""))</f>
        <v>10</v>
      </c>
      <c r="H181" s="108" t="str">
        <f>_xlfn.CONCAT(_xlfn.XLOOKUP("[S06_InstallationsVerificationReportsIssueDetail]["&amp;1+ROW(B181)-ROW($B$133)&amp;"][NumberOfIssues]",Submission!$O:$O,Submission!$H:$N,""))</f>
        <v>10</v>
      </c>
      <c r="I181" s="189" t="str">
        <f>_xlfn.CONCAT(_xlfn.XLOOKUP("[S06_InstallationsVerificationReportsIssueDetail]["&amp;1+ROW(B181)-ROW($B$133)&amp;"][ShareOfReportsConservativeEstimate]",Submission!$O:$O,Submission!$H:$N,""))</f>
        <v>0</v>
      </c>
    </row>
    <row r="182" spans="1:9" ht="26.4" hidden="1" customHeight="1" outlineLevel="1" x14ac:dyDescent="0.3">
      <c r="A182" s="13"/>
      <c r="C182" s="274" t="str">
        <f>_xlfn.CONCAT(_xlfn.XLOOKUP("[S06_InstallationsVerificationReportsIssueDetail]["&amp;1+ROW(B182)-ROW($B$133)&amp;"][AnnexIActivity]",Submission!$O:$O,Submission!$H:$N,""))</f>
        <v>21 - Refining of mineral oil</v>
      </c>
      <c r="D182" s="364"/>
      <c r="E182" s="274" t="str">
        <f>_xlfn.CONCAT(_xlfn.XLOOKUP("[S06_InstallationsVerificationReportsIssueDetail]["&amp;1+ROW(B182)-ROW($B$133)&amp;"][TypeOfIssue]",Submission!$O:$O,Submission!$H:$N,""))</f>
        <v>Non-conformities not leading to a negative verification opinion statement</v>
      </c>
      <c r="F182" s="364"/>
      <c r="G182" s="105" t="str">
        <f>_xlfn.CONCAT(_xlfn.XLOOKUP("[S06_InstallationsVerificationReportsIssueDetail]["&amp;1+ROW(B182)-ROW($B$133)&amp;"][NumberOfInstallations]",Submission!$O:$O,Submission!$H:$N,""))</f>
        <v>7</v>
      </c>
      <c r="H182" s="108" t="str">
        <f>_xlfn.CONCAT(_xlfn.XLOOKUP("[S06_InstallationsVerificationReportsIssueDetail]["&amp;1+ROW(B182)-ROW($B$133)&amp;"][NumberOfIssues]",Submission!$O:$O,Submission!$H:$N,""))</f>
        <v>7</v>
      </c>
      <c r="I182" s="189" t="str">
        <f>_xlfn.CONCAT(_xlfn.XLOOKUP("[S06_InstallationsVerificationReportsIssueDetail]["&amp;1+ROW(B182)-ROW($B$133)&amp;"][ShareOfReportsConservativeEstimate]",Submission!$O:$O,Submission!$H:$N,""))</f>
        <v>0</v>
      </c>
    </row>
    <row r="183" spans="1:9" ht="26.4" hidden="1" customHeight="1" outlineLevel="1" x14ac:dyDescent="0.3">
      <c r="A183" s="13"/>
      <c r="C183" s="274" t="str">
        <f>_xlfn.CONCAT(_xlfn.XLOOKUP("[S06_InstallationsVerificationReportsIssueDetail]["&amp;1+ROW(B183)-ROW($B$133)&amp;"][AnnexIActivity]",Submission!$O:$O,Submission!$H:$N,""))</f>
        <v>29 - Production of cement clinker in rotary kilns as specified in Annex I of Directive 2003/87/ EC</v>
      </c>
      <c r="D183" s="364"/>
      <c r="E183" s="274" t="str">
        <f>_xlfn.CONCAT(_xlfn.XLOOKUP("[S06_InstallationsVerificationReportsIssueDetail]["&amp;1+ROW(B183)-ROW($B$133)&amp;"][TypeOfIssue]",Submission!$O:$O,Submission!$H:$N,""))</f>
        <v>Non-conformities not leading to a negative verification opinion statement</v>
      </c>
      <c r="F183" s="364"/>
      <c r="G183" s="105" t="str">
        <f>_xlfn.CONCAT(_xlfn.XLOOKUP("[S06_InstallationsVerificationReportsIssueDetail]["&amp;1+ROW(B183)-ROW($B$133)&amp;"][NumberOfInstallations]",Submission!$O:$O,Submission!$H:$N,""))</f>
        <v>17</v>
      </c>
      <c r="H183" s="108" t="str">
        <f>_xlfn.CONCAT(_xlfn.XLOOKUP("[S06_InstallationsVerificationReportsIssueDetail]["&amp;1+ROW(B183)-ROW($B$133)&amp;"][NumberOfIssues]",Submission!$O:$O,Submission!$H:$N,""))</f>
        <v>17</v>
      </c>
      <c r="I183" s="189" t="str">
        <f>_xlfn.CONCAT(_xlfn.XLOOKUP("[S06_InstallationsVerificationReportsIssueDetail]["&amp;1+ROW(B183)-ROW($B$133)&amp;"][ShareOfReportsConservativeEstimate]",Submission!$O:$O,Submission!$H:$N,""))</f>
        <v>0</v>
      </c>
    </row>
    <row r="184" spans="1:9" ht="26.4" hidden="1" customHeight="1" outlineLevel="1" x14ac:dyDescent="0.3">
      <c r="A184" s="13"/>
      <c r="C184" s="274" t="str">
        <f>_xlfn.CONCAT(_xlfn.XLOOKUP("[S06_InstallationsVerificationReportsIssueDetail]["&amp;1+ROW(B184)-ROW($B$133)&amp;"][AnnexIActivity]",Submission!$O:$O,Submission!$H:$N,""))</f>
        <v xml:space="preserve">41 - Production of ammonia </v>
      </c>
      <c r="D184" s="364"/>
      <c r="E184" s="274" t="str">
        <f>_xlfn.CONCAT(_xlfn.XLOOKUP("[S06_InstallationsVerificationReportsIssueDetail]["&amp;1+ROW(B184)-ROW($B$133)&amp;"][TypeOfIssue]",Submission!$O:$O,Submission!$H:$N,""))</f>
        <v>Non-conformities not leading to a negative verification opinion statement</v>
      </c>
      <c r="F184" s="364"/>
      <c r="G184" s="105" t="str">
        <f>_xlfn.CONCAT(_xlfn.XLOOKUP("[S06_InstallationsVerificationReportsIssueDetail]["&amp;1+ROW(B184)-ROW($B$133)&amp;"][NumberOfInstallations]",Submission!$O:$O,Submission!$H:$N,""))</f>
        <v>1</v>
      </c>
      <c r="H184" s="108" t="str">
        <f>_xlfn.CONCAT(_xlfn.XLOOKUP("[S06_InstallationsVerificationReportsIssueDetail]["&amp;1+ROW(B184)-ROW($B$133)&amp;"][NumberOfIssues]",Submission!$O:$O,Submission!$H:$N,""))</f>
        <v>1</v>
      </c>
      <c r="I184" s="189" t="str">
        <f>_xlfn.CONCAT(_xlfn.XLOOKUP("[S06_InstallationsVerificationReportsIssueDetail]["&amp;1+ROW(B184)-ROW($B$133)&amp;"][ShareOfReportsConservativeEstimate]",Submission!$O:$O,Submission!$H:$N,""))</f>
        <v>0</v>
      </c>
    </row>
    <row r="185" spans="1:9" ht="26.4" hidden="1" customHeight="1" outlineLevel="1" x14ac:dyDescent="0.3">
      <c r="A185" s="13"/>
      <c r="C185" s="274" t="str">
        <f>_xlfn.CONCAT(_xlfn.XLOOKUP("[S06_InstallationsVerificationReportsIssueDetail]["&amp;1+ROW(B185)-ROW($B$133)&amp;"][AnnexIActivity]",Submission!$O:$O,Submission!$H:$N,""))</f>
        <v xml:space="preserve">43 - Production of hydrogen (H2) and synthesis gas as specified in Annex I of Directive 2003/87/EC </v>
      </c>
      <c r="D185" s="364"/>
      <c r="E185" s="274" t="str">
        <f>_xlfn.CONCAT(_xlfn.XLOOKUP("[S06_InstallationsVerificationReportsIssueDetail]["&amp;1+ROW(B185)-ROW($B$133)&amp;"][TypeOfIssue]",Submission!$O:$O,Submission!$H:$N,""))</f>
        <v>Non-conformities not leading to a negative verification opinion statement</v>
      </c>
      <c r="F185" s="364"/>
      <c r="G185" s="105" t="str">
        <f>_xlfn.CONCAT(_xlfn.XLOOKUP("[S06_InstallationsVerificationReportsIssueDetail]["&amp;1+ROW(B185)-ROW($B$133)&amp;"][NumberOfInstallations]",Submission!$O:$O,Submission!$H:$N,""))</f>
        <v>2</v>
      </c>
      <c r="H185" s="108" t="str">
        <f>_xlfn.CONCAT(_xlfn.XLOOKUP("[S06_InstallationsVerificationReportsIssueDetail]["&amp;1+ROW(B185)-ROW($B$133)&amp;"][NumberOfIssues]",Submission!$O:$O,Submission!$H:$N,""))</f>
        <v>2</v>
      </c>
      <c r="I185" s="189" t="str">
        <f>_xlfn.CONCAT(_xlfn.XLOOKUP("[S06_InstallationsVerificationReportsIssueDetail]["&amp;1+ROW(B185)-ROW($B$133)&amp;"][ShareOfReportsConservativeEstimate]",Submission!$O:$O,Submission!$H:$N,""))</f>
        <v>0</v>
      </c>
    </row>
    <row r="186" spans="1:9" ht="26.4" hidden="1" customHeight="1" outlineLevel="1" x14ac:dyDescent="0.3">
      <c r="A186" s="13"/>
      <c r="C186" s="274" t="str">
        <f>_xlfn.CONCAT(_xlfn.XLOOKUP("[S06_InstallationsVerificationReportsIssueDetail]["&amp;1+ROW(B186)-ROW($B$133)&amp;"][AnnexIActivity]",Submission!$O:$O,Submission!$H:$N,""))</f>
        <v>23 - Metal ore (including sulphide ore) roasting or sintering, including pelletisation</v>
      </c>
      <c r="D186" s="364"/>
      <c r="E186" s="274" t="str">
        <f>_xlfn.CONCAT(_xlfn.XLOOKUP("[S06_InstallationsVerificationReportsIssueDetail]["&amp;1+ROW(B186)-ROW($B$133)&amp;"][TypeOfIssue]",Submission!$O:$O,Submission!$H:$N,""))</f>
        <v>Non-conformities not leading to a negative verification opinion statement</v>
      </c>
      <c r="F186" s="364"/>
      <c r="G186" s="105" t="str">
        <f>_xlfn.CONCAT(_xlfn.XLOOKUP("[S06_InstallationsVerificationReportsIssueDetail]["&amp;1+ROW(B186)-ROW($B$133)&amp;"][NumberOfInstallations]",Submission!$O:$O,Submission!$H:$N,""))</f>
        <v>3</v>
      </c>
      <c r="H186" s="108" t="str">
        <f>_xlfn.CONCAT(_xlfn.XLOOKUP("[S06_InstallationsVerificationReportsIssueDetail]["&amp;1+ROW(B186)-ROW($B$133)&amp;"][NumberOfIssues]",Submission!$O:$O,Submission!$H:$N,""))</f>
        <v>3</v>
      </c>
      <c r="I186" s="189" t="str">
        <f>_xlfn.CONCAT(_xlfn.XLOOKUP("[S06_InstallationsVerificationReportsIssueDetail]["&amp;1+ROW(B186)-ROW($B$133)&amp;"][ShareOfReportsConservativeEstimate]",Submission!$O:$O,Submission!$H:$N,""))</f>
        <v>0</v>
      </c>
    </row>
    <row r="187" spans="1:9" ht="26.4" hidden="1" customHeight="1" outlineLevel="1" x14ac:dyDescent="0.3">
      <c r="A187" s="13"/>
      <c r="C187" s="274" t="str">
        <f>_xlfn.CONCAT(_xlfn.XLOOKUP("[S06_InstallationsVerificationReportsIssueDetail]["&amp;1+ROW(B187)-ROW($B$133)&amp;"][AnnexIActivity]",Submission!$O:$O,Submission!$H:$N,""))</f>
        <v xml:space="preserve">39 - Production of adipic acid </v>
      </c>
      <c r="D187" s="364"/>
      <c r="E187" s="274" t="str">
        <f>_xlfn.CONCAT(_xlfn.XLOOKUP("[S06_InstallationsVerificationReportsIssueDetail]["&amp;1+ROW(B187)-ROW($B$133)&amp;"][TypeOfIssue]",Submission!$O:$O,Submission!$H:$N,""))</f>
        <v>Non-conformities not leading to a negative verification opinion statement</v>
      </c>
      <c r="F187" s="364"/>
      <c r="G187" s="105" t="str">
        <f>_xlfn.CONCAT(_xlfn.XLOOKUP("[S06_InstallationsVerificationReportsIssueDetail]["&amp;1+ROW(B187)-ROW($B$133)&amp;"][NumberOfInstallations]",Submission!$O:$O,Submission!$H:$N,""))</f>
        <v>1</v>
      </c>
      <c r="H187" s="108" t="str">
        <f>_xlfn.CONCAT(_xlfn.XLOOKUP("[S06_InstallationsVerificationReportsIssueDetail]["&amp;1+ROW(B187)-ROW($B$133)&amp;"][NumberOfIssues]",Submission!$O:$O,Submission!$H:$N,""))</f>
        <v>1</v>
      </c>
      <c r="I187" s="189" t="str">
        <f>_xlfn.CONCAT(_xlfn.XLOOKUP("[S06_InstallationsVerificationReportsIssueDetail]["&amp;1+ROW(B187)-ROW($B$133)&amp;"][ShareOfReportsConservativeEstimate]",Submission!$O:$O,Submission!$H:$N,""))</f>
        <v>0</v>
      </c>
    </row>
    <row r="188" spans="1:9" ht="26.4" hidden="1" customHeight="1" outlineLevel="1" x14ac:dyDescent="0.3">
      <c r="A188" s="13"/>
      <c r="C188" s="274" t="str">
        <f>_xlfn.CONCAT(_xlfn.XLOOKUP("[S06_InstallationsVerificationReportsIssueDetail]["&amp;1+ROW(B188)-ROW($B$133)&amp;"][AnnexIActivity]",Submission!$O:$O,Submission!$H:$N,""))</f>
        <v>44 - Production of soda ash (Na2CO3) and sodium bicarbonate (NaHCO3) as specified in Annex I of Directive 2003/87/EC</v>
      </c>
      <c r="D188" s="364"/>
      <c r="E188" s="274" t="str">
        <f>_xlfn.CONCAT(_xlfn.XLOOKUP("[S06_InstallationsVerificationReportsIssueDetail]["&amp;1+ROW(B188)-ROW($B$133)&amp;"][TypeOfIssue]",Submission!$O:$O,Submission!$H:$N,""))</f>
        <v>Non-conformities not leading to a negative verification opinion statement</v>
      </c>
      <c r="F188" s="364"/>
      <c r="G188" s="105" t="str">
        <f>_xlfn.CONCAT(_xlfn.XLOOKUP("[S06_InstallationsVerificationReportsIssueDetail]["&amp;1+ROW(B188)-ROW($B$133)&amp;"][NumberOfInstallations]",Submission!$O:$O,Submission!$H:$N,""))</f>
        <v>1</v>
      </c>
      <c r="H188" s="108" t="str">
        <f>_xlfn.CONCAT(_xlfn.XLOOKUP("[S06_InstallationsVerificationReportsIssueDetail]["&amp;1+ROW(B188)-ROW($B$133)&amp;"][NumberOfIssues]",Submission!$O:$O,Submission!$H:$N,""))</f>
        <v>1</v>
      </c>
      <c r="I188" s="189" t="str">
        <f>_xlfn.CONCAT(_xlfn.XLOOKUP("[S06_InstallationsVerificationReportsIssueDetail]["&amp;1+ROW(B188)-ROW($B$133)&amp;"][ShareOfReportsConservativeEstimate]",Submission!$O:$O,Submission!$H:$N,""))</f>
        <v>0</v>
      </c>
    </row>
    <row r="189" spans="1:9" ht="26.4" hidden="1" customHeight="1" outlineLevel="1" x14ac:dyDescent="0.3">
      <c r="A189" s="13"/>
      <c r="C189" s="274" t="str">
        <f>_xlfn.CONCAT(_xlfn.XLOOKUP("[S06_InstallationsVerificationReportsIssueDetail]["&amp;1+ROW(B189)-ROW($B$133)&amp;"][AnnexIActivity]",Submission!$O:$O,Submission!$H:$N,""))</f>
        <v xml:space="preserve">22 - Production of coke </v>
      </c>
      <c r="D189" s="364"/>
      <c r="E189" s="274" t="str">
        <f>_xlfn.CONCAT(_xlfn.XLOOKUP("[S06_InstallationsVerificationReportsIssueDetail]["&amp;1+ROW(B189)-ROW($B$133)&amp;"][TypeOfIssue]",Submission!$O:$O,Submission!$H:$N,""))</f>
        <v>Non-conformities not leading to a negative verification opinion statement</v>
      </c>
      <c r="F189" s="364"/>
      <c r="G189" s="105" t="str">
        <f>_xlfn.CONCAT(_xlfn.XLOOKUP("[S06_InstallationsVerificationReportsIssueDetail]["&amp;1+ROW(B189)-ROW($B$133)&amp;"][NumberOfInstallations]",Submission!$O:$O,Submission!$H:$N,""))</f>
        <v>2</v>
      </c>
      <c r="H189" s="108" t="str">
        <f>_xlfn.CONCAT(_xlfn.XLOOKUP("[S06_InstallationsVerificationReportsIssueDetail]["&amp;1+ROW(B189)-ROW($B$133)&amp;"][NumberOfIssues]",Submission!$O:$O,Submission!$H:$N,""))</f>
        <v>2</v>
      </c>
      <c r="I189" s="189" t="str">
        <f>_xlfn.CONCAT(_xlfn.XLOOKUP("[S06_InstallationsVerificationReportsIssueDetail]["&amp;1+ROW(B189)-ROW($B$133)&amp;"][ShareOfReportsConservativeEstimate]",Submission!$O:$O,Submission!$H:$N,""))</f>
        <v>0</v>
      </c>
    </row>
    <row r="190" spans="1:9" ht="26.4" hidden="1" customHeight="1" outlineLevel="1" x14ac:dyDescent="0.3">
      <c r="A190" s="13"/>
      <c r="C190" s="274" t="str">
        <f>_xlfn.CONCAT(_xlfn.XLOOKUP("[S06_InstallationsVerificationReportsIssueDetail]["&amp;1+ROW(B190)-ROW($B$133)&amp;"][AnnexIActivity]",Submission!$O:$O,Submission!$H:$N,""))</f>
        <v>20 - Combustion of fuels as specified in Annex I of Directive 2003/87/EC</v>
      </c>
      <c r="D190" s="364"/>
      <c r="E190" s="274" t="str">
        <f>_xlfn.CONCAT(_xlfn.XLOOKUP("[S06_InstallationsVerificationReportsIssueDetail]["&amp;1+ROW(B190)-ROW($B$133)&amp;"][TypeOfIssue]",Submission!$O:$O,Submission!$H:$N,""))</f>
        <v>Recommendations for improvement</v>
      </c>
      <c r="F190" s="364"/>
      <c r="G190" s="105" t="str">
        <f>_xlfn.CONCAT(_xlfn.XLOOKUP("[S06_InstallationsVerificationReportsIssueDetail]["&amp;1+ROW(B190)-ROW($B$133)&amp;"][NumberOfInstallations]",Submission!$O:$O,Submission!$H:$N,""))</f>
        <v>364</v>
      </c>
      <c r="H190" s="108" t="str">
        <f>_xlfn.CONCAT(_xlfn.XLOOKUP("[S06_InstallationsVerificationReportsIssueDetail]["&amp;1+ROW(B190)-ROW($B$133)&amp;"][NumberOfIssues]",Submission!$O:$O,Submission!$H:$N,""))</f>
        <v>364</v>
      </c>
      <c r="I190" s="189" t="str">
        <f>_xlfn.CONCAT(_xlfn.XLOOKUP("[S06_InstallationsVerificationReportsIssueDetail]["&amp;1+ROW(B190)-ROW($B$133)&amp;"][ShareOfReportsConservativeEstimate]",Submission!$O:$O,Submission!$H:$N,""))</f>
        <v>0</v>
      </c>
    </row>
    <row r="191" spans="1:9" ht="26.4" hidden="1" customHeight="1" outlineLevel="1" x14ac:dyDescent="0.3">
      <c r="A191" s="13"/>
      <c r="C191" s="274" t="str">
        <f>_xlfn.CONCAT(_xlfn.XLOOKUP("[S06_InstallationsVerificationReportsIssueDetail]["&amp;1+ROW(B191)-ROW($B$133)&amp;"][AnnexIActivity]",Submission!$O:$O,Submission!$H:$N,""))</f>
        <v>33 - Manufacture of mineral wool insulation material using glass, rock or slag as specified in Annex I of Directive 2003/87/EC</v>
      </c>
      <c r="D191" s="364"/>
      <c r="E191" s="274" t="str">
        <f>_xlfn.CONCAT(_xlfn.XLOOKUP("[S06_InstallationsVerificationReportsIssueDetail]["&amp;1+ROW(B191)-ROW($B$133)&amp;"][TypeOfIssue]",Submission!$O:$O,Submission!$H:$N,""))</f>
        <v>Recommendations for improvement</v>
      </c>
      <c r="F191" s="364"/>
      <c r="G191" s="105" t="str">
        <f>_xlfn.CONCAT(_xlfn.XLOOKUP("[S06_InstallationsVerificationReportsIssueDetail]["&amp;1+ROW(B191)-ROW($B$133)&amp;"][NumberOfInstallations]",Submission!$O:$O,Submission!$H:$N,""))</f>
        <v>4</v>
      </c>
      <c r="H191" s="108" t="str">
        <f>_xlfn.CONCAT(_xlfn.XLOOKUP("[S06_InstallationsVerificationReportsIssueDetail]["&amp;1+ROW(B191)-ROW($B$133)&amp;"][NumberOfIssues]",Submission!$O:$O,Submission!$H:$N,""))</f>
        <v>4</v>
      </c>
      <c r="I191" s="189" t="str">
        <f>_xlfn.CONCAT(_xlfn.XLOOKUP("[S06_InstallationsVerificationReportsIssueDetail]["&amp;1+ROW(B191)-ROW($B$133)&amp;"][ShareOfReportsConservativeEstimate]",Submission!$O:$O,Submission!$H:$N,""))</f>
        <v>0</v>
      </c>
    </row>
    <row r="192" spans="1:9" ht="26.4" hidden="1" customHeight="1" outlineLevel="1" x14ac:dyDescent="0.3">
      <c r="A192" s="13"/>
      <c r="C192" s="274" t="str">
        <f>_xlfn.CONCAT(_xlfn.XLOOKUP("[S06_InstallationsVerificationReportsIssueDetail]["&amp;1+ROW(B192)-ROW($B$133)&amp;"][AnnexIActivity]",Submission!$O:$O,Submission!$H:$N,""))</f>
        <v>35 - Production of pulp as specified in Annex I of Directive 2003/87/EC</v>
      </c>
      <c r="D192" s="364"/>
      <c r="E192" s="274" t="str">
        <f>_xlfn.CONCAT(_xlfn.XLOOKUP("[S06_InstallationsVerificationReportsIssueDetail]["&amp;1+ROW(B192)-ROW($B$133)&amp;"][TypeOfIssue]",Submission!$O:$O,Submission!$H:$N,""))</f>
        <v>Recommendations for improvement</v>
      </c>
      <c r="F192" s="364"/>
      <c r="G192" s="105" t="str">
        <f>_xlfn.CONCAT(_xlfn.XLOOKUP("[S06_InstallationsVerificationReportsIssueDetail]["&amp;1+ROW(B192)-ROW($B$133)&amp;"][NumberOfInstallations]",Submission!$O:$O,Submission!$H:$N,""))</f>
        <v>19</v>
      </c>
      <c r="H192" s="108" t="str">
        <f>_xlfn.CONCAT(_xlfn.XLOOKUP("[S06_InstallationsVerificationReportsIssueDetail]["&amp;1+ROW(B192)-ROW($B$133)&amp;"][NumberOfIssues]",Submission!$O:$O,Submission!$H:$N,""))</f>
        <v>19</v>
      </c>
      <c r="I192" s="189" t="str">
        <f>_xlfn.CONCAT(_xlfn.XLOOKUP("[S06_InstallationsVerificationReportsIssueDetail]["&amp;1+ROW(B192)-ROW($B$133)&amp;"][ShareOfReportsConservativeEstimate]",Submission!$O:$O,Submission!$H:$N,""))</f>
        <v>0</v>
      </c>
    </row>
    <row r="193" spans="1:9" ht="26.4" hidden="1" customHeight="1" outlineLevel="1" x14ac:dyDescent="0.3">
      <c r="A193" s="13"/>
      <c r="C193" s="274" t="str">
        <f>_xlfn.CONCAT(_xlfn.XLOOKUP("[S06_InstallationsVerificationReportsIssueDetail]["&amp;1+ROW(B193)-ROW($B$133)&amp;"][AnnexIActivity]",Submission!$O:$O,Submission!$H:$N,""))</f>
        <v>31 - Manufacture of glass as specified in Annex I of Directive 2003/87/EC</v>
      </c>
      <c r="D193" s="364"/>
      <c r="E193" s="274" t="str">
        <f>_xlfn.CONCAT(_xlfn.XLOOKUP("[S06_InstallationsVerificationReportsIssueDetail]["&amp;1+ROW(B193)-ROW($B$133)&amp;"][TypeOfIssue]",Submission!$O:$O,Submission!$H:$N,""))</f>
        <v>Recommendations for improvement</v>
      </c>
      <c r="F193" s="364"/>
      <c r="G193" s="105" t="str">
        <f>_xlfn.CONCAT(_xlfn.XLOOKUP("[S06_InstallationsVerificationReportsIssueDetail]["&amp;1+ROW(B193)-ROW($B$133)&amp;"][NumberOfInstallations]",Submission!$O:$O,Submission!$H:$N,""))</f>
        <v>19</v>
      </c>
      <c r="H193" s="108" t="str">
        <f>_xlfn.CONCAT(_xlfn.XLOOKUP("[S06_InstallationsVerificationReportsIssueDetail]["&amp;1+ROW(B193)-ROW($B$133)&amp;"][NumberOfIssues]",Submission!$O:$O,Submission!$H:$N,""))</f>
        <v>19</v>
      </c>
      <c r="I193" s="189" t="str">
        <f>_xlfn.CONCAT(_xlfn.XLOOKUP("[S06_InstallationsVerificationReportsIssueDetail]["&amp;1+ROW(B193)-ROW($B$133)&amp;"][ShareOfReportsConservativeEstimate]",Submission!$O:$O,Submission!$H:$N,""))</f>
        <v>0</v>
      </c>
    </row>
    <row r="194" spans="1:9" ht="26.4" hidden="1" customHeight="1" outlineLevel="1" x14ac:dyDescent="0.3">
      <c r="A194" s="13"/>
      <c r="C194" s="274" t="str">
        <f>_xlfn.CONCAT(_xlfn.XLOOKUP("[S06_InstallationsVerificationReportsIssueDetail]["&amp;1+ROW(B194)-ROW($B$133)&amp;"][AnnexIActivity]",Submission!$O:$O,Submission!$H:$N,""))</f>
        <v xml:space="preserve">36 - Production of paper or cardboard as specified in Annex I of Directive 2003/87/EC </v>
      </c>
      <c r="D194" s="364"/>
      <c r="E194" s="274" t="str">
        <f>_xlfn.CONCAT(_xlfn.XLOOKUP("[S06_InstallationsVerificationReportsIssueDetail]["&amp;1+ROW(B194)-ROW($B$133)&amp;"][TypeOfIssue]",Submission!$O:$O,Submission!$H:$N,""))</f>
        <v>Recommendations for improvement</v>
      </c>
      <c r="F194" s="364"/>
      <c r="G194" s="105" t="str">
        <f>_xlfn.CONCAT(_xlfn.XLOOKUP("[S06_InstallationsVerificationReportsIssueDetail]["&amp;1+ROW(B194)-ROW($B$133)&amp;"][NumberOfInstallations]",Submission!$O:$O,Submission!$H:$N,""))</f>
        <v>53</v>
      </c>
      <c r="H194" s="108" t="str">
        <f>_xlfn.CONCAT(_xlfn.XLOOKUP("[S06_InstallationsVerificationReportsIssueDetail]["&amp;1+ROW(B194)-ROW($B$133)&amp;"][NumberOfIssues]",Submission!$O:$O,Submission!$H:$N,""))</f>
        <v>53</v>
      </c>
      <c r="I194" s="189" t="str">
        <f>_xlfn.CONCAT(_xlfn.XLOOKUP("[S06_InstallationsVerificationReportsIssueDetail]["&amp;1+ROW(B194)-ROW($B$133)&amp;"][ShareOfReportsConservativeEstimate]",Submission!$O:$O,Submission!$H:$N,""))</f>
        <v>0</v>
      </c>
    </row>
    <row r="195" spans="1:9" ht="26.4" hidden="1" customHeight="1" outlineLevel="1" x14ac:dyDescent="0.3">
      <c r="A195" s="13"/>
      <c r="C195" s="274" t="str">
        <f>_xlfn.CONCAT(_xlfn.XLOOKUP("[S06_InstallationsVerificationReportsIssueDetail]["&amp;1+ROW(B195)-ROW($B$133)&amp;"][AnnexIActivity]",Submission!$O:$O,Submission!$H:$N,""))</f>
        <v>34 - Drying or calcination of gypsum or production of plaster boards and other gypsum products, as specified in Annex I of Directive 2003/87/EC</v>
      </c>
      <c r="D195" s="364"/>
      <c r="E195" s="274" t="str">
        <f>_xlfn.CONCAT(_xlfn.XLOOKUP("[S06_InstallationsVerificationReportsIssueDetail]["&amp;1+ROW(B195)-ROW($B$133)&amp;"][TypeOfIssue]",Submission!$O:$O,Submission!$H:$N,""))</f>
        <v>Recommendations for improvement</v>
      </c>
      <c r="F195" s="364"/>
      <c r="G195" s="105" t="str">
        <f>_xlfn.CONCAT(_xlfn.XLOOKUP("[S06_InstallationsVerificationReportsIssueDetail]["&amp;1+ROW(B195)-ROW($B$133)&amp;"][NumberOfInstallations]",Submission!$O:$O,Submission!$H:$N,""))</f>
        <v>6</v>
      </c>
      <c r="H195" s="108" t="str">
        <f>_xlfn.CONCAT(_xlfn.XLOOKUP("[S06_InstallationsVerificationReportsIssueDetail]["&amp;1+ROW(B195)-ROW($B$133)&amp;"][NumberOfIssues]",Submission!$O:$O,Submission!$H:$N,""))</f>
        <v>6</v>
      </c>
      <c r="I195" s="189" t="str">
        <f>_xlfn.CONCAT(_xlfn.XLOOKUP("[S06_InstallationsVerificationReportsIssueDetail]["&amp;1+ROW(B195)-ROW($B$133)&amp;"][ShareOfReportsConservativeEstimate]",Submission!$O:$O,Submission!$H:$N,""))</f>
        <v>0</v>
      </c>
    </row>
    <row r="196" spans="1:9" ht="26.4" hidden="1" customHeight="1" outlineLevel="1" x14ac:dyDescent="0.3">
      <c r="A196" s="13"/>
      <c r="C196" s="274" t="str">
        <f>_xlfn.CONCAT(_xlfn.XLOOKUP("[S06_InstallationsVerificationReportsIssueDetail]["&amp;1+ROW(B196)-ROW($B$133)&amp;"][AnnexIActivity]",Submission!$O:$O,Submission!$H:$N,""))</f>
        <v>27 - Production of secondary aluminium as specific in Annex I of Directive 2003/87/EC</v>
      </c>
      <c r="D196" s="364"/>
      <c r="E196" s="274" t="str">
        <f>_xlfn.CONCAT(_xlfn.XLOOKUP("[S06_InstallationsVerificationReportsIssueDetail]["&amp;1+ROW(B196)-ROW($B$133)&amp;"][TypeOfIssue]",Submission!$O:$O,Submission!$H:$N,""))</f>
        <v>Recommendations for improvement</v>
      </c>
      <c r="F196" s="364"/>
      <c r="G196" s="105" t="str">
        <f>_xlfn.CONCAT(_xlfn.XLOOKUP("[S06_InstallationsVerificationReportsIssueDetail]["&amp;1+ROW(B196)-ROW($B$133)&amp;"][NumberOfInstallations]",Submission!$O:$O,Submission!$H:$N,""))</f>
        <v>1</v>
      </c>
      <c r="H196" s="108" t="str">
        <f>_xlfn.CONCAT(_xlfn.XLOOKUP("[S06_InstallationsVerificationReportsIssueDetail]["&amp;1+ROW(B196)-ROW($B$133)&amp;"][NumberOfIssues]",Submission!$O:$O,Submission!$H:$N,""))</f>
        <v>1</v>
      </c>
      <c r="I196" s="189" t="str">
        <f>_xlfn.CONCAT(_xlfn.XLOOKUP("[S06_InstallationsVerificationReportsIssueDetail]["&amp;1+ROW(B196)-ROW($B$133)&amp;"][ShareOfReportsConservativeEstimate]",Submission!$O:$O,Submission!$H:$N,""))</f>
        <v>0</v>
      </c>
    </row>
    <row r="197" spans="1:9" ht="26.4" hidden="1" customHeight="1" outlineLevel="1" x14ac:dyDescent="0.3">
      <c r="A197" s="13"/>
      <c r="C197" s="274" t="str">
        <f>_xlfn.CONCAT(_xlfn.XLOOKUP("[S06_InstallationsVerificationReportsIssueDetail]["&amp;1+ROW(B197)-ROW($B$133)&amp;"][AnnexIActivity]",Submission!$O:$O,Submission!$H:$N,""))</f>
        <v>32 - Manufacture of ceramic products as specified in Annex I of Directive 2003/87/EC</v>
      </c>
      <c r="D197" s="364"/>
      <c r="E197" s="274" t="str">
        <f>_xlfn.CONCAT(_xlfn.XLOOKUP("[S06_InstallationsVerificationReportsIssueDetail]["&amp;1+ROW(B197)-ROW($B$133)&amp;"][TypeOfIssue]",Submission!$O:$O,Submission!$H:$N,""))</f>
        <v>Recommendations for improvement</v>
      </c>
      <c r="F197" s="364"/>
      <c r="G197" s="105" t="str">
        <f>_xlfn.CONCAT(_xlfn.XLOOKUP("[S06_InstallationsVerificationReportsIssueDetail]["&amp;1+ROW(B197)-ROW($B$133)&amp;"][NumberOfInstallations]",Submission!$O:$O,Submission!$H:$N,""))</f>
        <v>24</v>
      </c>
      <c r="H197" s="108" t="str">
        <f>_xlfn.CONCAT(_xlfn.XLOOKUP("[S06_InstallationsVerificationReportsIssueDetail]["&amp;1+ROW(B197)-ROW($B$133)&amp;"][NumberOfIssues]",Submission!$O:$O,Submission!$H:$N,""))</f>
        <v>24</v>
      </c>
      <c r="I197" s="189" t="str">
        <f>_xlfn.CONCAT(_xlfn.XLOOKUP("[S06_InstallationsVerificationReportsIssueDetail]["&amp;1+ROW(B197)-ROW($B$133)&amp;"][ShareOfReportsConservativeEstimate]",Submission!$O:$O,Submission!$H:$N,""))</f>
        <v>0</v>
      </c>
    </row>
    <row r="198" spans="1:9" ht="26.4" hidden="1" customHeight="1" outlineLevel="1" x14ac:dyDescent="0.3">
      <c r="A198" s="13"/>
      <c r="C198" s="274" t="str">
        <f>_xlfn.CONCAT(_xlfn.XLOOKUP("[S06_InstallationsVerificationReportsIssueDetail]["&amp;1+ROW(B198)-ROW($B$133)&amp;"][AnnexIActivity]",Submission!$O:$O,Submission!$H:$N,""))</f>
        <v>30 - Production of lime or calcination of dolomite or magnesite as specified in Annex I of Directive 2003/87/ EC</v>
      </c>
      <c r="D198" s="364"/>
      <c r="E198" s="274" t="str">
        <f>_xlfn.CONCAT(_xlfn.XLOOKUP("[S06_InstallationsVerificationReportsIssueDetail]["&amp;1+ROW(B198)-ROW($B$133)&amp;"][TypeOfIssue]",Submission!$O:$O,Submission!$H:$N,""))</f>
        <v>Recommendations for improvement</v>
      </c>
      <c r="F198" s="364"/>
      <c r="G198" s="105" t="str">
        <f>_xlfn.CONCAT(_xlfn.XLOOKUP("[S06_InstallationsVerificationReportsIssueDetail]["&amp;1+ROW(B198)-ROW($B$133)&amp;"][NumberOfInstallations]",Submission!$O:$O,Submission!$H:$N,""))</f>
        <v>19</v>
      </c>
      <c r="H198" s="108" t="str">
        <f>_xlfn.CONCAT(_xlfn.XLOOKUP("[S06_InstallationsVerificationReportsIssueDetail]["&amp;1+ROW(B198)-ROW($B$133)&amp;"][NumberOfIssues]",Submission!$O:$O,Submission!$H:$N,""))</f>
        <v>19</v>
      </c>
      <c r="I198" s="189" t="str">
        <f>_xlfn.CONCAT(_xlfn.XLOOKUP("[S06_InstallationsVerificationReportsIssueDetail]["&amp;1+ROW(B198)-ROW($B$133)&amp;"][ShareOfReportsConservativeEstimate]",Submission!$O:$O,Submission!$H:$N,""))</f>
        <v>0</v>
      </c>
    </row>
    <row r="199" spans="1:9" ht="26.4" hidden="1" customHeight="1" outlineLevel="1" x14ac:dyDescent="0.3">
      <c r="A199" s="13"/>
      <c r="C199" s="274" t="str">
        <f>_xlfn.CONCAT(_xlfn.XLOOKUP("[S06_InstallationsVerificationReportsIssueDetail]["&amp;1+ROW(B199)-ROW($B$133)&amp;"][AnnexIActivity]",Submission!$O:$O,Submission!$H:$N,""))</f>
        <v xml:space="preserve">42 - Production of bulk organic chemicals as specified in Annex I of Directive 2003/87/EC </v>
      </c>
      <c r="D199" s="364"/>
      <c r="E199" s="274" t="str">
        <f>_xlfn.CONCAT(_xlfn.XLOOKUP("[S06_InstallationsVerificationReportsIssueDetail]["&amp;1+ROW(B199)-ROW($B$133)&amp;"][TypeOfIssue]",Submission!$O:$O,Submission!$H:$N,""))</f>
        <v>Recommendations for improvement</v>
      </c>
      <c r="F199" s="364"/>
      <c r="G199" s="105" t="str">
        <f>_xlfn.CONCAT(_xlfn.XLOOKUP("[S06_InstallationsVerificationReportsIssueDetail]["&amp;1+ROW(B199)-ROW($B$133)&amp;"][NumberOfInstallations]",Submission!$O:$O,Submission!$H:$N,""))</f>
        <v>23</v>
      </c>
      <c r="H199" s="108" t="str">
        <f>_xlfn.CONCAT(_xlfn.XLOOKUP("[S06_InstallationsVerificationReportsIssueDetail]["&amp;1+ROW(B199)-ROW($B$133)&amp;"][NumberOfIssues]",Submission!$O:$O,Submission!$H:$N,""))</f>
        <v>23</v>
      </c>
      <c r="I199" s="189" t="str">
        <f>_xlfn.CONCAT(_xlfn.XLOOKUP("[S06_InstallationsVerificationReportsIssueDetail]["&amp;1+ROW(B199)-ROW($B$133)&amp;"][ShareOfReportsConservativeEstimate]",Submission!$O:$O,Submission!$H:$N,""))</f>
        <v>0</v>
      </c>
    </row>
    <row r="200" spans="1:9" ht="26.4" hidden="1" customHeight="1" outlineLevel="1" x14ac:dyDescent="0.3">
      <c r="A200" s="13"/>
      <c r="C200" s="274" t="str">
        <f>_xlfn.CONCAT(_xlfn.XLOOKUP("[S06_InstallationsVerificationReportsIssueDetail]["&amp;1+ROW(B200)-ROW($B$133)&amp;"][AnnexIActivity]",Submission!$O:$O,Submission!$H:$N,""))</f>
        <v xml:space="preserve">38 - Production of nitric acid </v>
      </c>
      <c r="D200" s="364"/>
      <c r="E200" s="274" t="str">
        <f>_xlfn.CONCAT(_xlfn.XLOOKUP("[S06_InstallationsVerificationReportsIssueDetail]["&amp;1+ROW(B200)-ROW($B$133)&amp;"][TypeOfIssue]",Submission!$O:$O,Submission!$H:$N,""))</f>
        <v>Recommendations for improvement</v>
      </c>
      <c r="F200" s="364"/>
      <c r="G200" s="105" t="str">
        <f>_xlfn.CONCAT(_xlfn.XLOOKUP("[S06_InstallationsVerificationReportsIssueDetail]["&amp;1+ROW(B200)-ROW($B$133)&amp;"][NumberOfInstallations]",Submission!$O:$O,Submission!$H:$N,""))</f>
        <v>4</v>
      </c>
      <c r="H200" s="108" t="str">
        <f>_xlfn.CONCAT(_xlfn.XLOOKUP("[S06_InstallationsVerificationReportsIssueDetail]["&amp;1+ROW(B200)-ROW($B$133)&amp;"][NumberOfIssues]",Submission!$O:$O,Submission!$H:$N,""))</f>
        <v>4</v>
      </c>
      <c r="I200" s="189" t="str">
        <f>_xlfn.CONCAT(_xlfn.XLOOKUP("[S06_InstallationsVerificationReportsIssueDetail]["&amp;1+ROW(B200)-ROW($B$133)&amp;"][ShareOfReportsConservativeEstimate]",Submission!$O:$O,Submission!$H:$N,""))</f>
        <v>0</v>
      </c>
    </row>
    <row r="201" spans="1:9" ht="26.4" hidden="1" customHeight="1" outlineLevel="1" x14ac:dyDescent="0.3">
      <c r="A201" s="13"/>
      <c r="C201" s="274" t="str">
        <f>_xlfn.CONCAT(_xlfn.XLOOKUP("[S06_InstallationsVerificationReportsIssueDetail]["&amp;1+ROW(B201)-ROW($B$133)&amp;"][AnnexIActivity]",Submission!$O:$O,Submission!$H:$N,""))</f>
        <v>24 - Production of pig iron or steel as specified in Annex I of Directive 2003/87/EC</v>
      </c>
      <c r="D201" s="364"/>
      <c r="E201" s="274" t="str">
        <f>_xlfn.CONCAT(_xlfn.XLOOKUP("[S06_InstallationsVerificationReportsIssueDetail]["&amp;1+ROW(B201)-ROW($B$133)&amp;"][TypeOfIssue]",Submission!$O:$O,Submission!$H:$N,""))</f>
        <v>Recommendations for improvement</v>
      </c>
      <c r="F201" s="364"/>
      <c r="G201" s="105" t="str">
        <f>_xlfn.CONCAT(_xlfn.XLOOKUP("[S06_InstallationsVerificationReportsIssueDetail]["&amp;1+ROW(B201)-ROW($B$133)&amp;"][NumberOfInstallations]",Submission!$O:$O,Submission!$H:$N,""))</f>
        <v>15</v>
      </c>
      <c r="H201" s="108" t="str">
        <f>_xlfn.CONCAT(_xlfn.XLOOKUP("[S06_InstallationsVerificationReportsIssueDetail]["&amp;1+ROW(B201)-ROW($B$133)&amp;"][NumberOfIssues]",Submission!$O:$O,Submission!$H:$N,""))</f>
        <v>15</v>
      </c>
      <c r="I201" s="189" t="str">
        <f>_xlfn.CONCAT(_xlfn.XLOOKUP("[S06_InstallationsVerificationReportsIssueDetail]["&amp;1+ROW(B201)-ROW($B$133)&amp;"][ShareOfReportsConservativeEstimate]",Submission!$O:$O,Submission!$H:$N,""))</f>
        <v>0</v>
      </c>
    </row>
    <row r="202" spans="1:9" ht="26.4" hidden="1" customHeight="1" outlineLevel="1" x14ac:dyDescent="0.3">
      <c r="A202" s="13"/>
      <c r="C202" s="274" t="str">
        <f>_xlfn.CONCAT(_xlfn.XLOOKUP("[S06_InstallationsVerificationReportsIssueDetail]["&amp;1+ROW(B202)-ROW($B$133)&amp;"][AnnexIActivity]",Submission!$O:$O,Submission!$H:$N,""))</f>
        <v>21 - Refining of mineral oil</v>
      </c>
      <c r="D202" s="364"/>
      <c r="E202" s="274" t="str">
        <f>_xlfn.CONCAT(_xlfn.XLOOKUP("[S06_InstallationsVerificationReportsIssueDetail]["&amp;1+ROW(B202)-ROW($B$133)&amp;"][TypeOfIssue]",Submission!$O:$O,Submission!$H:$N,""))</f>
        <v>Recommendations for improvement</v>
      </c>
      <c r="F202" s="364"/>
      <c r="G202" s="105" t="str">
        <f>_xlfn.CONCAT(_xlfn.XLOOKUP("[S06_InstallationsVerificationReportsIssueDetail]["&amp;1+ROW(B202)-ROW($B$133)&amp;"][NumberOfInstallations]",Submission!$O:$O,Submission!$H:$N,""))</f>
        <v>6</v>
      </c>
      <c r="H202" s="108" t="str">
        <f>_xlfn.CONCAT(_xlfn.XLOOKUP("[S06_InstallationsVerificationReportsIssueDetail]["&amp;1+ROW(B202)-ROW($B$133)&amp;"][NumberOfIssues]",Submission!$O:$O,Submission!$H:$N,""))</f>
        <v>6</v>
      </c>
      <c r="I202" s="189" t="str">
        <f>_xlfn.CONCAT(_xlfn.XLOOKUP("[S06_InstallationsVerificationReportsIssueDetail]["&amp;1+ROW(B202)-ROW($B$133)&amp;"][ShareOfReportsConservativeEstimate]",Submission!$O:$O,Submission!$H:$N,""))</f>
        <v>0</v>
      </c>
    </row>
    <row r="203" spans="1:9" ht="26.4" hidden="1" customHeight="1" outlineLevel="1" x14ac:dyDescent="0.3">
      <c r="A203" s="13"/>
      <c r="C203" s="274" t="str">
        <f>_xlfn.CONCAT(_xlfn.XLOOKUP("[S06_InstallationsVerificationReportsIssueDetail]["&amp;1+ROW(B203)-ROW($B$133)&amp;"][AnnexIActivity]",Submission!$O:$O,Submission!$H:$N,""))</f>
        <v>29 - Production of cement clinker in rotary kilns as specified in Annex I of Directive 2003/87/ EC</v>
      </c>
      <c r="D203" s="364"/>
      <c r="E203" s="274" t="str">
        <f>_xlfn.CONCAT(_xlfn.XLOOKUP("[S06_InstallationsVerificationReportsIssueDetail]["&amp;1+ROW(B203)-ROW($B$133)&amp;"][TypeOfIssue]",Submission!$O:$O,Submission!$H:$N,""))</f>
        <v>Recommendations for improvement</v>
      </c>
      <c r="F203" s="364"/>
      <c r="G203" s="105" t="str">
        <f>_xlfn.CONCAT(_xlfn.XLOOKUP("[S06_InstallationsVerificationReportsIssueDetail]["&amp;1+ROW(B203)-ROW($B$133)&amp;"][NumberOfInstallations]",Submission!$O:$O,Submission!$H:$N,""))</f>
        <v>11</v>
      </c>
      <c r="H203" s="108" t="str">
        <f>_xlfn.CONCAT(_xlfn.XLOOKUP("[S06_InstallationsVerificationReportsIssueDetail]["&amp;1+ROW(B203)-ROW($B$133)&amp;"][NumberOfIssues]",Submission!$O:$O,Submission!$H:$N,""))</f>
        <v>11</v>
      </c>
      <c r="I203" s="189" t="str">
        <f>_xlfn.CONCAT(_xlfn.XLOOKUP("[S06_InstallationsVerificationReportsIssueDetail]["&amp;1+ROW(B203)-ROW($B$133)&amp;"][ShareOfReportsConservativeEstimate]",Submission!$O:$O,Submission!$H:$N,""))</f>
        <v>0</v>
      </c>
    </row>
    <row r="204" spans="1:9" ht="26.4" hidden="1" customHeight="1" outlineLevel="1" x14ac:dyDescent="0.3">
      <c r="A204" s="13"/>
      <c r="C204" s="274" t="str">
        <f>_xlfn.CONCAT(_xlfn.XLOOKUP("[S06_InstallationsVerificationReportsIssueDetail]["&amp;1+ROW(B204)-ROW($B$133)&amp;"][AnnexIActivity]",Submission!$O:$O,Submission!$H:$N,""))</f>
        <v xml:space="preserve">41 - Production of ammonia </v>
      </c>
      <c r="D204" s="364"/>
      <c r="E204" s="274" t="str">
        <f>_xlfn.CONCAT(_xlfn.XLOOKUP("[S06_InstallationsVerificationReportsIssueDetail]["&amp;1+ROW(B204)-ROW($B$133)&amp;"][TypeOfIssue]",Submission!$O:$O,Submission!$H:$N,""))</f>
        <v>Recommendations for improvement</v>
      </c>
      <c r="F204" s="364"/>
      <c r="G204" s="105" t="str">
        <f>_xlfn.CONCAT(_xlfn.XLOOKUP("[S06_InstallationsVerificationReportsIssueDetail]["&amp;1+ROW(B204)-ROW($B$133)&amp;"][NumberOfInstallations]",Submission!$O:$O,Submission!$H:$N,""))</f>
        <v>2</v>
      </c>
      <c r="H204" s="108" t="str">
        <f>_xlfn.CONCAT(_xlfn.XLOOKUP("[S06_InstallationsVerificationReportsIssueDetail]["&amp;1+ROW(B204)-ROW($B$133)&amp;"][NumberOfIssues]",Submission!$O:$O,Submission!$H:$N,""))</f>
        <v>2</v>
      </c>
      <c r="I204" s="189" t="str">
        <f>_xlfn.CONCAT(_xlfn.XLOOKUP("[S06_InstallationsVerificationReportsIssueDetail]["&amp;1+ROW(B204)-ROW($B$133)&amp;"][ShareOfReportsConservativeEstimate]",Submission!$O:$O,Submission!$H:$N,""))</f>
        <v>0</v>
      </c>
    </row>
    <row r="205" spans="1:9" ht="26.4" hidden="1" customHeight="1" outlineLevel="1" x14ac:dyDescent="0.3">
      <c r="A205" s="13"/>
      <c r="C205" s="274" t="str">
        <f>_xlfn.CONCAT(_xlfn.XLOOKUP("[S06_InstallationsVerificationReportsIssueDetail]["&amp;1+ROW(B205)-ROW($B$133)&amp;"][AnnexIActivity]",Submission!$O:$O,Submission!$H:$N,""))</f>
        <v xml:space="preserve">43 - Production of hydrogen (H2) and synthesis gas as specified in Annex I of Directive 2003/87/EC </v>
      </c>
      <c r="D205" s="364"/>
      <c r="E205" s="274" t="str">
        <f>_xlfn.CONCAT(_xlfn.XLOOKUP("[S06_InstallationsVerificationReportsIssueDetail]["&amp;1+ROW(B205)-ROW($B$133)&amp;"][TypeOfIssue]",Submission!$O:$O,Submission!$H:$N,""))</f>
        <v>Recommendations for improvement</v>
      </c>
      <c r="F205" s="364"/>
      <c r="G205" s="105" t="str">
        <f>_xlfn.CONCAT(_xlfn.XLOOKUP("[S06_InstallationsVerificationReportsIssueDetail]["&amp;1+ROW(B205)-ROW($B$133)&amp;"][NumberOfInstallations]",Submission!$O:$O,Submission!$H:$N,""))</f>
        <v>2</v>
      </c>
      <c r="H205" s="108" t="str">
        <f>_xlfn.CONCAT(_xlfn.XLOOKUP("[S06_InstallationsVerificationReportsIssueDetail]["&amp;1+ROW(B205)-ROW($B$133)&amp;"][NumberOfIssues]",Submission!$O:$O,Submission!$H:$N,""))</f>
        <v>2</v>
      </c>
      <c r="I205" s="189" t="str">
        <f>_xlfn.CONCAT(_xlfn.XLOOKUP("[S06_InstallationsVerificationReportsIssueDetail]["&amp;1+ROW(B205)-ROW($B$133)&amp;"][ShareOfReportsConservativeEstimate]",Submission!$O:$O,Submission!$H:$N,""))</f>
        <v>0</v>
      </c>
    </row>
    <row r="206" spans="1:9" ht="26.4" hidden="1" customHeight="1" outlineLevel="1" x14ac:dyDescent="0.3">
      <c r="A206" s="13"/>
      <c r="C206" s="274" t="str">
        <f>_xlfn.CONCAT(_xlfn.XLOOKUP("[S06_InstallationsVerificationReportsIssueDetail]["&amp;1+ROW(B206)-ROW($B$133)&amp;"][AnnexIActivity]",Submission!$O:$O,Submission!$H:$N,""))</f>
        <v>23 - Metal ore (including sulphide ore) roasting or sintering, including pelletisation</v>
      </c>
      <c r="D206" s="364"/>
      <c r="E206" s="274" t="str">
        <f>_xlfn.CONCAT(_xlfn.XLOOKUP("[S06_InstallationsVerificationReportsIssueDetail]["&amp;1+ROW(B206)-ROW($B$133)&amp;"][TypeOfIssue]",Submission!$O:$O,Submission!$H:$N,""))</f>
        <v>Recommendations for improvement</v>
      </c>
      <c r="F206" s="364"/>
      <c r="G206" s="105" t="str">
        <f>_xlfn.CONCAT(_xlfn.XLOOKUP("[S06_InstallationsVerificationReportsIssueDetail]["&amp;1+ROW(B206)-ROW($B$133)&amp;"][NumberOfInstallations]",Submission!$O:$O,Submission!$H:$N,""))</f>
        <v>2</v>
      </c>
      <c r="H206" s="108" t="str">
        <f>_xlfn.CONCAT(_xlfn.XLOOKUP("[S06_InstallationsVerificationReportsIssueDetail]["&amp;1+ROW(B206)-ROW($B$133)&amp;"][NumberOfIssues]",Submission!$O:$O,Submission!$H:$N,""))</f>
        <v>2</v>
      </c>
      <c r="I206" s="189" t="str">
        <f>_xlfn.CONCAT(_xlfn.XLOOKUP("[S06_InstallationsVerificationReportsIssueDetail]["&amp;1+ROW(B206)-ROW($B$133)&amp;"][ShareOfReportsConservativeEstimate]",Submission!$O:$O,Submission!$H:$N,""))</f>
        <v>0</v>
      </c>
    </row>
    <row r="207" spans="1:9" ht="26.4" hidden="1" customHeight="1" outlineLevel="1" x14ac:dyDescent="0.3">
      <c r="A207" s="13"/>
      <c r="C207" s="274" t="str">
        <f>_xlfn.CONCAT(_xlfn.XLOOKUP("[S06_InstallationsVerificationReportsIssueDetail]["&amp;1+ROW(B207)-ROW($B$133)&amp;"][AnnexIActivity]",Submission!$O:$O,Submission!$H:$N,""))</f>
        <v xml:space="preserve">39 - Production of adipic acid </v>
      </c>
      <c r="D207" s="364"/>
      <c r="E207" s="274" t="str">
        <f>_xlfn.CONCAT(_xlfn.XLOOKUP("[S06_InstallationsVerificationReportsIssueDetail]["&amp;1+ROW(B207)-ROW($B$133)&amp;"][TypeOfIssue]",Submission!$O:$O,Submission!$H:$N,""))</f>
        <v>Recommendations for improvement</v>
      </c>
      <c r="F207" s="364"/>
      <c r="G207" s="105" t="str">
        <f>_xlfn.CONCAT(_xlfn.XLOOKUP("[S06_InstallationsVerificationReportsIssueDetail]["&amp;1+ROW(B207)-ROW($B$133)&amp;"][NumberOfInstallations]",Submission!$O:$O,Submission!$H:$N,""))</f>
        <v>1</v>
      </c>
      <c r="H207" s="108" t="str">
        <f>_xlfn.CONCAT(_xlfn.XLOOKUP("[S06_InstallationsVerificationReportsIssueDetail]["&amp;1+ROW(B207)-ROW($B$133)&amp;"][NumberOfIssues]",Submission!$O:$O,Submission!$H:$N,""))</f>
        <v>1</v>
      </c>
      <c r="I207" s="189" t="str">
        <f>_xlfn.CONCAT(_xlfn.XLOOKUP("[S06_InstallationsVerificationReportsIssueDetail]["&amp;1+ROW(B207)-ROW($B$133)&amp;"][ShareOfReportsConservativeEstimate]",Submission!$O:$O,Submission!$H:$N,""))</f>
        <v>0</v>
      </c>
    </row>
    <row r="208" spans="1:9" ht="26.4" hidden="1" customHeight="1" outlineLevel="1" x14ac:dyDescent="0.3">
      <c r="A208" s="13"/>
      <c r="C208" s="274" t="str">
        <f>_xlfn.CONCAT(_xlfn.XLOOKUP("[S06_InstallationsVerificationReportsIssueDetail]["&amp;1+ROW(B208)-ROW($B$133)&amp;"][AnnexIActivity]",Submission!$O:$O,Submission!$H:$N,""))</f>
        <v xml:space="preserve">40 - Production of glyoxal and glyoxylic acid </v>
      </c>
      <c r="D208" s="364"/>
      <c r="E208" s="274" t="str">
        <f>_xlfn.CONCAT(_xlfn.XLOOKUP("[S06_InstallationsVerificationReportsIssueDetail]["&amp;1+ROW(B208)-ROW($B$133)&amp;"][TypeOfIssue]",Submission!$O:$O,Submission!$H:$N,""))</f>
        <v>Recommendations for improvement</v>
      </c>
      <c r="F208" s="364"/>
      <c r="G208" s="105" t="str">
        <f>_xlfn.CONCAT(_xlfn.XLOOKUP("[S06_InstallationsVerificationReportsIssueDetail]["&amp;1+ROW(B208)-ROW($B$133)&amp;"][NumberOfInstallations]",Submission!$O:$O,Submission!$H:$N,""))</f>
        <v>1</v>
      </c>
      <c r="H208" s="108" t="str">
        <f>_xlfn.CONCAT(_xlfn.XLOOKUP("[S06_InstallationsVerificationReportsIssueDetail]["&amp;1+ROW(B208)-ROW($B$133)&amp;"][NumberOfIssues]",Submission!$O:$O,Submission!$H:$N,""))</f>
        <v>1</v>
      </c>
      <c r="I208" s="189" t="str">
        <f>_xlfn.CONCAT(_xlfn.XLOOKUP("[S06_InstallationsVerificationReportsIssueDetail]["&amp;1+ROW(B208)-ROW($B$133)&amp;"][ShareOfReportsConservativeEstimate]",Submission!$O:$O,Submission!$H:$N,""))</f>
        <v>0</v>
      </c>
    </row>
    <row r="209" spans="1:9" ht="26.4" hidden="1" customHeight="1" outlineLevel="1" x14ac:dyDescent="0.3">
      <c r="A209" s="13"/>
      <c r="C209" s="274" t="str">
        <f>_xlfn.CONCAT(_xlfn.XLOOKUP("[S06_InstallationsVerificationReportsIssueDetail]["&amp;1+ROW(B209)-ROW($B$133)&amp;"][AnnexIActivity]",Submission!$O:$O,Submission!$H:$N,""))</f>
        <v>44 - Production of soda ash (Na2CO3) and sodium bicarbonate (NaHCO3) as specified in Annex I of Directive 2003/87/EC</v>
      </c>
      <c r="D209" s="364"/>
      <c r="E209" s="274" t="str">
        <f>_xlfn.CONCAT(_xlfn.XLOOKUP("[S06_InstallationsVerificationReportsIssueDetail]["&amp;1+ROW(B209)-ROW($B$133)&amp;"][TypeOfIssue]",Submission!$O:$O,Submission!$H:$N,""))</f>
        <v>Recommendations for improvement</v>
      </c>
      <c r="F209" s="364"/>
      <c r="G209" s="105" t="str">
        <f>_xlfn.CONCAT(_xlfn.XLOOKUP("[S06_InstallationsVerificationReportsIssueDetail]["&amp;1+ROW(B209)-ROW($B$133)&amp;"][NumberOfInstallations]",Submission!$O:$O,Submission!$H:$N,""))</f>
        <v>1</v>
      </c>
      <c r="H209" s="108" t="str">
        <f>_xlfn.CONCAT(_xlfn.XLOOKUP("[S06_InstallationsVerificationReportsIssueDetail]["&amp;1+ROW(B209)-ROW($B$133)&amp;"][NumberOfIssues]",Submission!$O:$O,Submission!$H:$N,""))</f>
        <v>1</v>
      </c>
      <c r="I209" s="189" t="str">
        <f>_xlfn.CONCAT(_xlfn.XLOOKUP("[S06_InstallationsVerificationReportsIssueDetail]["&amp;1+ROW(B209)-ROW($B$133)&amp;"][ShareOfReportsConservativeEstimate]",Submission!$O:$O,Submission!$H:$N,""))</f>
        <v>0</v>
      </c>
    </row>
    <row r="210" spans="1:9" ht="26.4" hidden="1" customHeight="1" outlineLevel="1" x14ac:dyDescent="0.3">
      <c r="A210" s="13"/>
      <c r="C210" s="274" t="str">
        <f>_xlfn.CONCAT(_xlfn.XLOOKUP("[S06_InstallationsVerificationReportsIssueDetail]["&amp;1+ROW(B210)-ROW($B$133)&amp;"][AnnexIActivity]",Submission!$O:$O,Submission!$H:$N,""))</f>
        <v xml:space="preserve">22 - Production of coke </v>
      </c>
      <c r="D210" s="364"/>
      <c r="E210" s="274" t="str">
        <f>_xlfn.CONCAT(_xlfn.XLOOKUP("[S06_InstallationsVerificationReportsIssueDetail]["&amp;1+ROW(B210)-ROW($B$133)&amp;"][TypeOfIssue]",Submission!$O:$O,Submission!$H:$N,""))</f>
        <v>Recommendations for improvement</v>
      </c>
      <c r="F210" s="364"/>
      <c r="G210" s="105" t="str">
        <f>_xlfn.CONCAT(_xlfn.XLOOKUP("[S06_InstallationsVerificationReportsIssueDetail]["&amp;1+ROW(B210)-ROW($B$133)&amp;"][NumberOfInstallations]",Submission!$O:$O,Submission!$H:$N,""))</f>
        <v>1</v>
      </c>
      <c r="H210" s="108" t="str">
        <f>_xlfn.CONCAT(_xlfn.XLOOKUP("[S06_InstallationsVerificationReportsIssueDetail]["&amp;1+ROW(B210)-ROW($B$133)&amp;"][NumberOfIssues]",Submission!$O:$O,Submission!$H:$N,""))</f>
        <v>1</v>
      </c>
      <c r="I210" s="189" t="str">
        <f>_xlfn.CONCAT(_xlfn.XLOOKUP("[S06_InstallationsVerificationReportsIssueDetail]["&amp;1+ROW(B210)-ROW($B$133)&amp;"][ShareOfReportsConservativeEstimate]",Submission!$O:$O,Submission!$H:$N,""))</f>
        <v>0</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0.7</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1</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1</v>
      </c>
      <c r="H232" s="255" t="str">
        <f>_xlfn.CONCAT(_xlfn.XLOOKUP("[S06_InstallationsVerificationReportChecksDetail1][4][FurtherInformation]",Submission!$O:$O,Submission!$H:$N,""))</f>
        <v>Cross check with data from combustion emissions reported for MCP or LCP Directive automatically in the French reporting platform</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0.3</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If the inspector did find some inconsistencies and decided to go further into verification</v>
      </c>
    </row>
    <row r="234" spans="1:9" s="58" customFormat="1" ht="27.6" customHeight="1" x14ac:dyDescent="0.3">
      <c r="C234" s="249" t="s">
        <v>1057</v>
      </c>
      <c r="D234" s="257"/>
      <c r="E234" s="257"/>
      <c r="F234" s="250"/>
      <c r="G234" s="135" t="str">
        <f>_xlfn.CONCAT(_xlfn.XLOOKUP("[S06_InstallationsVerificationReportChecksDetail2][1][NumberOfReports]",Submission!$O:$O,Submission!$H:$N,""))</f>
        <v>1</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4</v>
      </c>
      <c r="H235" s="255" t="str">
        <f>_xlfn.CONCAT(_xlfn.XLOOKUP("[S06_InstallationsVerificationReportChecksDetail2][2][FurtherInformation]",Submission!$O:$O,Submission!$H:$N,""))</f>
        <v>Non conformities and non-approved monitoring plans</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Re-submission from the operator if possible with corrected data, or conservative estimation of emission</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Inspections</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Yes</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Condition I</v>
      </c>
      <c r="D243" s="421"/>
      <c r="E243" s="274" t="str">
        <f>_xlfn.CONCAT(_xlfn.XLOOKUP("[S06_InstallationsVisitsWaivedHighEmittersDetail][1][AnnexIActivity]",Submission!$O:$O,Submission!$H:$N,""))</f>
        <v>20 - Combustion of fuels as specified in Annex I of Directive 2003/87/EC</v>
      </c>
      <c r="F243" s="353"/>
      <c r="G243" s="260"/>
      <c r="H243" s="335" t="str">
        <f>_xlfn.CONCAT(_xlfn.XLOOKUP("[S06_InstallationsVisitsWaivedHighEmittersDetail][1][NumberOfInstallations]",Submission!$O:$O,Submission!$H:$N,""))</f>
        <v>24</v>
      </c>
      <c r="I243" s="337"/>
    </row>
    <row r="244" spans="1:9" ht="15.9" customHeight="1" x14ac:dyDescent="0.3">
      <c r="A244" s="13"/>
      <c r="C244" s="419" t="str">
        <f>_xlfn.CONCAT(_xlfn.XLOOKUP("[S06_InstallationsVisitsWaivedHighEmittersDetail][2][ConditionForWaiving]",Submission!$O:$O,Submission!$H:$N,""))</f>
        <v>Condition II</v>
      </c>
      <c r="D244" s="421"/>
      <c r="E244" s="274" t="str">
        <f>_xlfn.CONCAT(_xlfn.XLOOKUP("[S06_InstallationsVisitsWaivedHighEmittersDetail][2][AnnexIActivity]",Submission!$O:$O,Submission!$H:$N,""))</f>
        <v>20 - Combustion of fuels as specified in Annex I of Directive 2003/87/EC</v>
      </c>
      <c r="F244" s="353"/>
      <c r="G244" s="260"/>
      <c r="H244" s="335" t="str">
        <f>_xlfn.CONCAT(_xlfn.XLOOKUP("[S06_InstallationsVisitsWaivedHighEmittersDetail][2][NumberOfInstallations]",Submission!$O:$O,Submission!$H:$N,""))</f>
        <v>2</v>
      </c>
      <c r="I244" s="337"/>
    </row>
    <row r="245" spans="1:9" ht="15.9" customHeight="1" x14ac:dyDescent="0.3">
      <c r="A245" s="13"/>
      <c r="C245" s="419" t="str">
        <f>_xlfn.CONCAT(_xlfn.XLOOKUP("[S06_InstallationsVisitsWaivedHighEmittersDetail][3][ConditionForWaiving]",Submission!$O:$O,Submission!$H:$N,""))</f>
        <v>Condition III</v>
      </c>
      <c r="D245" s="421"/>
      <c r="E245" s="274" t="str">
        <f>_xlfn.CONCAT(_xlfn.XLOOKUP("[S06_InstallationsVisitsWaivedHighEmittersDetail][3][AnnexIActivity]",Submission!$O:$O,Submission!$H:$N,""))</f>
        <v>20 - Combustion of fuels as specified in Annex I of Directive 2003/87/EC</v>
      </c>
      <c r="F245" s="353"/>
      <c r="G245" s="260"/>
      <c r="H245" s="440" t="str">
        <f>_xlfn.CONCAT(_xlfn.XLOOKUP("[S06_InstallationsVisitsWaivedHighEmittersDetail][3][NumberOfInstallations]",Submission!$O:$O,Submission!$H:$N,""))</f>
        <v>6</v>
      </c>
      <c r="I245" s="441"/>
    </row>
    <row r="246" spans="1:9" ht="15.9" customHeight="1" x14ac:dyDescent="0.3">
      <c r="A246" s="13"/>
      <c r="C246" s="419" t="str">
        <f>_xlfn.CONCAT(_xlfn.XLOOKUP("[S06_InstallationsVisitsWaivedHighEmittersDetail][4][ConditionForWaiving]",Submission!$O:$O,Submission!$H:$N,""))</f>
        <v>Condition I</v>
      </c>
      <c r="D246" s="421"/>
      <c r="E246" s="274" t="str">
        <f>_xlfn.CONCAT(_xlfn.XLOOKUP("[S06_InstallationsVisitsWaivedHighEmittersDetail][4][AnnexIActivity]",Submission!$O:$O,Submission!$H:$N,""))</f>
        <v xml:space="preserve">36 - Production of paper or cardboard as specified in Annex I of Directive 2003/87/EC </v>
      </c>
      <c r="F246" s="353"/>
      <c r="G246" s="260"/>
      <c r="H246" s="335" t="str">
        <f>_xlfn.CONCAT(_xlfn.XLOOKUP("[S06_InstallationsVisitsWaivedHighEmittersDetail][4][NumberOfInstallations]",Submission!$O:$O,Submission!$H:$N,""))</f>
        <v>1</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Yes</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193</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Yes</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Covid-19</v>
      </c>
      <c r="D276" s="444" t="str">
        <f>_xlfn.CONCAT(_xlfn.XLOOKUP("[S06_VirtualVisitsInstallationsDetails][1][NumberOfInstallationsVV]",Submission!$O:$O,Submission!$H:$N,""))</f>
        <v>21</v>
      </c>
      <c r="E276" s="445"/>
      <c r="F276" s="258" t="str">
        <f>_xlfn.CONCAT(_xlfn.XLOOKUP("[S06_VirtualVisitsInstallationsDetails][1][AuthorityApproval]",Submission!$O:$O,Submission!$H:$N,""))</f>
        <v>Generic authorisation under Article 34a(4) of Commission Regulation 2018/2067</v>
      </c>
      <c r="G276" s="260"/>
      <c r="H276" s="258" t="str">
        <f>_xlfn.CONCAT(_xlfn.XLOOKUP("[S06_VirtualVisitsInstallationsDetails][1][ConfirmationConditionsMet]",Submission!$O:$O,Submission!$H:$N,""))</f>
        <v>Yes</v>
      </c>
      <c r="I276" s="260"/>
    </row>
    <row r="277" spans="1:9" ht="25.2" customHeight="1" x14ac:dyDescent="0.3">
      <c r="C277" s="72" t="str">
        <f>_xlfn.CONCAT(_xlfn.XLOOKUP("[S06_VirtualVisitsInstallationsDetails][2][TypeForceMajeur]",Submission!$O:$O,Submission!$H:$N,""))</f>
        <v>Strike (with violence) and curfew in an outermost region</v>
      </c>
      <c r="D277" s="444" t="str">
        <f>_xlfn.CONCAT(_xlfn.XLOOKUP("[S06_VirtualVisitsInstallationsDetails][2][NumberOfInstallationsVV]",Submission!$O:$O,Submission!$H:$N,""))</f>
        <v>1</v>
      </c>
      <c r="E277" s="445"/>
      <c r="F277" s="258" t="str">
        <f>_xlfn.CONCAT(_xlfn.XLOOKUP("[S06_VirtualVisitsInstallationsDetails][2][AuthorityApproval]",Submission!$O:$O,Submission!$H:$N,""))</f>
        <v>Approval by competent authority</v>
      </c>
      <c r="G277" s="260"/>
      <c r="H277" s="258" t="str">
        <f>_xlfn.CONCAT(_xlfn.XLOOKUP("[S06_VirtualVisitsInstallationsDetails][2][ConfirmationConditionsMet]",Submission!$O:$O,Submission!$H:$N,""))</f>
        <v>Yes</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48731</v>
      </c>
      <c r="D295" s="105" t="str">
        <f>_xlfn.CONCAT(_xlfn.XLOOKUP("[S06_AircraftOperatorsConservativeEstimates][1][AircraftOperatorsAnnualEmissionsCO2e]",Submission!$O:$O,Submission!$H:$N,""))</f>
        <v>369</v>
      </c>
      <c r="E295" s="158" t="str">
        <f>_xlfn.CONCAT(_xlfn.XLOOKUP("[S06_AircraftOperatorsConservativeEstimates][1][ReasonConservativeEstimate]",Submission!$O:$O,Submission!$H:$N,""))</f>
        <v>No emission report submitted by the 31st of March</v>
      </c>
      <c r="F295" s="136" t="str">
        <f>_xlfn.CONCAT(_xlfn.XLOOKUP("[S06_AircraftOperatorsConservativeEstimates][1][AircraftOperatorsConservativeShare]",Submission!$O:$O,Submission!$H:$N,""))</f>
        <v>1</v>
      </c>
      <c r="G295" s="72" t="str">
        <f>_xlfn.CONCAT(_xlfn.XLOOKUP("[S06_AircraftOperatorsConservativeEstimates][1][ConservativeMethod]",Submission!$O:$O,Submission!$H:$N,""))</f>
        <v>ETS-SF</v>
      </c>
      <c r="H295" s="72" t="str">
        <f>_xlfn.CONCAT(_xlfn.XLOOKUP("[S06_AircraftOperatorsConservativeEstimates][1][FurtherAction]",Submission!$O:$O,Submission!$H:$N,""))</f>
        <v>Reminder or formal warnings on sanctions sent to aircraft operator</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43240</v>
      </c>
      <c r="D296" s="105" t="str">
        <f>_xlfn.CONCAT(_xlfn.XLOOKUP("[S06_AircraftOperatorsConservativeEstimates][2][AircraftOperatorsAnnualEmissionsCO2e]",Submission!$O:$O,Submission!$H:$N,""))</f>
        <v>231</v>
      </c>
      <c r="E296" s="158" t="str">
        <f>_xlfn.CONCAT(_xlfn.XLOOKUP("[S06_AircraftOperatorsConservativeEstimates][2][ReasonConservativeEstimate]",Submission!$O:$O,Submission!$H:$N,""))</f>
        <v>No emission report submitted by the 31st of March</v>
      </c>
      <c r="F296" s="136" t="str">
        <f>_xlfn.CONCAT(_xlfn.XLOOKUP("[S06_AircraftOperatorsConservativeEstimates][2][AircraftOperatorsConservativeShare]",Submission!$O:$O,Submission!$H:$N,""))</f>
        <v>1</v>
      </c>
      <c r="G296" s="72" t="str">
        <f>_xlfn.CONCAT(_xlfn.XLOOKUP("[S06_AircraftOperatorsConservativeEstimates][2][ConservativeMethod]",Submission!$O:$O,Submission!$H:$N,""))</f>
        <v>ETS-SF</v>
      </c>
      <c r="H296" s="72" t="str">
        <f>_xlfn.CONCAT(_xlfn.XLOOKUP("[S06_AircraftOperatorsConservativeEstimates][2][FurtherAction]",Submission!$O:$O,Submission!$H:$N,""))</f>
        <v>Reminder or formal warnings on sanctions sent to aircraft operator</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30513</v>
      </c>
      <c r="D297" s="105" t="str">
        <f>_xlfn.CONCAT(_xlfn.XLOOKUP("[S06_AircraftOperatorsConservativeEstimates][3][AircraftOperatorsAnnualEmissionsCO2e]",Submission!$O:$O,Submission!$H:$N,""))</f>
        <v>13</v>
      </c>
      <c r="E297" s="158" t="str">
        <f>_xlfn.CONCAT(_xlfn.XLOOKUP("[S06_AircraftOperatorsConservativeEstimates][3][ReasonConservativeEstimate]",Submission!$O:$O,Submission!$H:$N,""))</f>
        <v>No emission report submitted by the 31st of March</v>
      </c>
      <c r="F297" s="136" t="str">
        <f>_xlfn.CONCAT(_xlfn.XLOOKUP("[S06_AircraftOperatorsConservativeEstimates][3][AircraftOperatorsConservativeShare]",Submission!$O:$O,Submission!$H:$N,""))</f>
        <v>1</v>
      </c>
      <c r="G297" s="72" t="str">
        <f>_xlfn.CONCAT(_xlfn.XLOOKUP("[S06_AircraftOperatorsConservativeEstimates][3][ConservativeMethod]",Submission!$O:$O,Submission!$H:$N,""))</f>
        <v>ETS-SF</v>
      </c>
      <c r="H297" s="72" t="str">
        <f>_xlfn.CONCAT(_xlfn.XLOOKUP("[S06_AircraftOperatorsConservativeEstimates][3][FurtherAction]",Submission!$O:$O,Submission!$H:$N,""))</f>
        <v>Reminder or formal warnings on sanctions sent to aircraft operator</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1065</v>
      </c>
      <c r="D298" s="105" t="str">
        <f>_xlfn.CONCAT(_xlfn.XLOOKUP("[S06_AircraftOperatorsConservativeEstimates][4][AircraftOperatorsAnnualEmissionsCO2e]",Submission!$O:$O,Submission!$H:$N,""))</f>
        <v>1365</v>
      </c>
      <c r="E298" s="158" t="str">
        <f>_xlfn.CONCAT(_xlfn.XLOOKUP("[S06_AircraftOperatorsConservativeEstimates][4][ReasonConservativeEstimate]",Submission!$O:$O,Submission!$H:$N,""))</f>
        <v>No emission report submitted by the 31st of March</v>
      </c>
      <c r="F298" s="136" t="str">
        <f>_xlfn.CONCAT(_xlfn.XLOOKUP("[S06_AircraftOperatorsConservativeEstimates][4][AircraftOperatorsConservativeShare]",Submission!$O:$O,Submission!$H:$N,""))</f>
        <v>1</v>
      </c>
      <c r="G298" s="72" t="str">
        <f>_xlfn.CONCAT(_xlfn.XLOOKUP("[S06_AircraftOperatorsConservativeEstimates][4][ConservativeMethod]",Submission!$O:$O,Submission!$H:$N,""))</f>
        <v>ETS-SF</v>
      </c>
      <c r="H298" s="72" t="str">
        <f>_xlfn.CONCAT(_xlfn.XLOOKUP("[S06_AircraftOperatorsConservativeEstimates][4][FurtherAction]",Submission!$O:$O,Submission!$H:$N,""))</f>
        <v>Reminder or formal warnings on sanctions sent to aircraft operator</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33962</v>
      </c>
      <c r="D299" s="105" t="str">
        <f>_xlfn.CONCAT(_xlfn.XLOOKUP("[S06_AircraftOperatorsConservativeEstimates][5][AircraftOperatorsAnnualEmissionsCO2e]",Submission!$O:$O,Submission!$H:$N,""))</f>
        <v>13301</v>
      </c>
      <c r="E299" s="158" t="str">
        <f>_xlfn.CONCAT(_xlfn.XLOOKUP("[S06_AircraftOperatorsConservativeEstimates][5][ReasonConservativeEstimate]",Submission!$O:$O,Submission!$H:$N,""))</f>
        <v>No emission report submitted by the 31st of March</v>
      </c>
      <c r="F299" s="136" t="str">
        <f>_xlfn.CONCAT(_xlfn.XLOOKUP("[S06_AircraftOperatorsConservativeEstimates][5][AircraftOperatorsConservativeShare]",Submission!$O:$O,Submission!$H:$N,""))</f>
        <v>1</v>
      </c>
      <c r="G299" s="72" t="str">
        <f>_xlfn.CONCAT(_xlfn.XLOOKUP("[S06_AircraftOperatorsConservativeEstimates][5][ConservativeMethod]",Submission!$O:$O,Submission!$H:$N,""))</f>
        <v>ETS-SF</v>
      </c>
      <c r="H299" s="72" t="str">
        <f>_xlfn.CONCAT(_xlfn.XLOOKUP("[S06_AircraftOperatorsConservativeEstimates][5][FurtherAction]",Submission!$O:$O,Submission!$H:$N,""))</f>
        <v>Reminder or formal warnings on sanctions sent to aircraft operator</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35668</v>
      </c>
      <c r="D300" s="105" t="str">
        <f>_xlfn.CONCAT(_xlfn.XLOOKUP("[S06_AircraftOperatorsConservativeEstimates][6][AircraftOperatorsAnnualEmissionsCO2e]",Submission!$O:$O,Submission!$H:$N,""))</f>
        <v>3048</v>
      </c>
      <c r="E300" s="158" t="str">
        <f>_xlfn.CONCAT(_xlfn.XLOOKUP("[S06_AircraftOperatorsConservativeEstimates][6][ReasonConservativeEstimate]",Submission!$O:$O,Submission!$H:$N,""))</f>
        <v>No emission report submitted by the 31st of March</v>
      </c>
      <c r="F300" s="134" t="str">
        <f>_xlfn.CONCAT(_xlfn.XLOOKUP("[S06_AircraftOperatorsConservativeEstimates][6][AircraftOperatorsConservativeShare]",Submission!$O:$O,Submission!$H:$N,""))</f>
        <v>1</v>
      </c>
      <c r="G300" s="72" t="str">
        <f>_xlfn.CONCAT(_xlfn.XLOOKUP("[S06_AircraftOperatorsConservativeEstimates][6][ConservativeMethod]",Submission!$O:$O,Submission!$H:$N,""))</f>
        <v>ETS-SF</v>
      </c>
      <c r="H300" s="72" t="str">
        <f>_xlfn.CONCAT(_xlfn.XLOOKUP("[S06_AircraftOperatorsConservativeEstimates][6][FurtherAction]",Submission!$O:$O,Submission!$H:$N,""))</f>
        <v>Reminder or formal warnings on sanctions sent to aircraft operator</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37893</v>
      </c>
      <c r="D301" s="105" t="str">
        <f>_xlfn.CONCAT(_xlfn.XLOOKUP("[S06_AircraftOperatorsConservativeEstimates][7][AircraftOperatorsAnnualEmissionsCO2e]",Submission!$O:$O,Submission!$H:$N,""))</f>
        <v>15</v>
      </c>
      <c r="E301" s="158" t="str">
        <f>_xlfn.CONCAT(_xlfn.XLOOKUP("[S06_AircraftOperatorsConservativeEstimates][7][ReasonConservativeEstimate]",Submission!$O:$O,Submission!$H:$N,""))</f>
        <v>No emission report submitted by the 31st of March</v>
      </c>
      <c r="F301" s="134" t="str">
        <f>_xlfn.CONCAT(_xlfn.XLOOKUP("[S06_AircraftOperatorsConservativeEstimates][7][AircraftOperatorsConservativeShare]",Submission!$O:$O,Submission!$H:$N,""))</f>
        <v>1</v>
      </c>
      <c r="G301" s="72" t="str">
        <f>_xlfn.CONCAT(_xlfn.XLOOKUP("[S06_AircraftOperatorsConservativeEstimates][7][ConservativeMethod]",Submission!$O:$O,Submission!$H:$N,""))</f>
        <v>ETS-SF</v>
      </c>
      <c r="H301" s="72" t="str">
        <f>_xlfn.CONCAT(_xlfn.XLOOKUP("[S06_AircraftOperatorsConservativeEstimates][7][FurtherAction]",Submission!$O:$O,Submission!$H:$N,""))</f>
        <v>Reminder or formal warnings on sanctions sent to aircraft operator</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44896</v>
      </c>
      <c r="D302" s="105" t="str">
        <f>_xlfn.CONCAT(_xlfn.XLOOKUP("[S06_AircraftOperatorsConservativeEstimates][8][AircraftOperatorsAnnualEmissionsCO2e]",Submission!$O:$O,Submission!$H:$N,""))</f>
        <v>72</v>
      </c>
      <c r="E302" s="158" t="str">
        <f>_xlfn.CONCAT(_xlfn.XLOOKUP("[S06_AircraftOperatorsConservativeEstimates][8][ReasonConservativeEstimate]",Submission!$O:$O,Submission!$H:$N,""))</f>
        <v>No emission report submitted by the 31st of March</v>
      </c>
      <c r="F302" s="134" t="str">
        <f>_xlfn.CONCAT(_xlfn.XLOOKUP("[S06_AircraftOperatorsConservativeEstimates][8][AircraftOperatorsConservativeShare]",Submission!$O:$O,Submission!$H:$N,""))</f>
        <v>1</v>
      </c>
      <c r="G302" s="72" t="str">
        <f>_xlfn.CONCAT(_xlfn.XLOOKUP("[S06_AircraftOperatorsConservativeEstimates][8][ConservativeMethod]",Submission!$O:$O,Submission!$H:$N,""))</f>
        <v>ETS-SF</v>
      </c>
      <c r="H302" s="72" t="str">
        <f>_xlfn.CONCAT(_xlfn.XLOOKUP("[S06_AircraftOperatorsConservativeEstimates][8][FurtherAction]",Submission!$O:$O,Submission!$H:$N,""))</f>
        <v>Reminder or formal warnings on sanctions sent to aircraft operator</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42857</v>
      </c>
      <c r="D303" s="105" t="str">
        <f>_xlfn.CONCAT(_xlfn.XLOOKUP("[S06_AircraftOperatorsConservativeEstimates][9][AircraftOperatorsAnnualEmissionsCO2e]",Submission!$O:$O,Submission!$H:$N,""))</f>
        <v>346</v>
      </c>
      <c r="E303" s="158" t="str">
        <f>_xlfn.CONCAT(_xlfn.XLOOKUP("[S06_AircraftOperatorsConservativeEstimates][9][ReasonConservativeEstimate]",Submission!$O:$O,Submission!$H:$N,""))</f>
        <v>No emission report submitted by the 31st of March</v>
      </c>
      <c r="F303" s="134" t="str">
        <f>_xlfn.CONCAT(_xlfn.XLOOKUP("[S06_AircraftOperatorsConservativeEstimates][9][AircraftOperatorsConservativeShare]",Submission!$O:$O,Submission!$H:$N,""))</f>
        <v>1</v>
      </c>
      <c r="G303" s="72" t="str">
        <f>_xlfn.CONCAT(_xlfn.XLOOKUP("[S06_AircraftOperatorsConservativeEstimates][9][ConservativeMethod]",Submission!$O:$O,Submission!$H:$N,""))</f>
        <v>ETS-SF</v>
      </c>
      <c r="H303" s="72" t="str">
        <f>_xlfn.CONCAT(_xlfn.XLOOKUP("[S06_AircraftOperatorsConservativeEstimates][9][FurtherAction]",Submission!$O:$O,Submission!$H:$N,""))</f>
        <v>Reminder or formal warnings on sanctions sent to aircraft operator</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22524</v>
      </c>
      <c r="D304" s="105" t="str">
        <f>_xlfn.CONCAT(_xlfn.XLOOKUP("[S06_AircraftOperatorsConservativeEstimates][10][AircraftOperatorsAnnualEmissionsCO2e]",Submission!$O:$O,Submission!$H:$N,""))</f>
        <v>65</v>
      </c>
      <c r="E304" s="158" t="str">
        <f>_xlfn.CONCAT(_xlfn.XLOOKUP("[S06_AircraftOperatorsConservativeEstimates][10][ReasonConservativeEstimate]",Submission!$O:$O,Submission!$H:$N,""))</f>
        <v>No emission report submitted by the 31st of March</v>
      </c>
      <c r="F304" s="134" t="str">
        <f>_xlfn.CONCAT(_xlfn.XLOOKUP("[S06_AircraftOperatorsConservativeEstimates][10][AircraftOperatorsConservativeShare]",Submission!$O:$O,Submission!$H:$N,""))</f>
        <v>1</v>
      </c>
      <c r="G304" s="72" t="str">
        <f>_xlfn.CONCAT(_xlfn.XLOOKUP("[S06_AircraftOperatorsConservativeEstimates][10][ConservativeMethod]",Submission!$O:$O,Submission!$H:$N,""))</f>
        <v>ETS-SF</v>
      </c>
      <c r="H304" s="72" t="str">
        <f>_xlfn.CONCAT(_xlfn.XLOOKUP("[S06_AircraftOperatorsConservativeEstimates][10][FurtherAction]",Submission!$O:$O,Submission!$H:$N,""))</f>
        <v>Reminder or formal warnings on sanctions sent to aircraft operator</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3932</v>
      </c>
      <c r="D305" s="105" t="str">
        <f>_xlfn.CONCAT(_xlfn.XLOOKUP("[S06_AircraftOperatorsConservativeEstimates][11][AircraftOperatorsAnnualEmissionsCO2e]",Submission!$O:$O,Submission!$H:$N,""))</f>
        <v>153</v>
      </c>
      <c r="E305" s="158" t="str">
        <f>_xlfn.CONCAT(_xlfn.XLOOKUP("[S06_AircraftOperatorsConservativeEstimates][11][ReasonConservativeEstimate]",Submission!$O:$O,Submission!$H:$N,""))</f>
        <v>No emission report submitted by the 31st of March</v>
      </c>
      <c r="F305" s="134" t="str">
        <f>_xlfn.CONCAT(_xlfn.XLOOKUP("[S06_AircraftOperatorsConservativeEstimates][11][AircraftOperatorsConservativeShare]",Submission!$O:$O,Submission!$H:$N,""))</f>
        <v>1</v>
      </c>
      <c r="G305" s="72" t="str">
        <f>_xlfn.CONCAT(_xlfn.XLOOKUP("[S06_AircraftOperatorsConservativeEstimates][11][ConservativeMethod]",Submission!$O:$O,Submission!$H:$N,""))</f>
        <v>ETS-SF</v>
      </c>
      <c r="H305" s="72" t="str">
        <f>_xlfn.CONCAT(_xlfn.XLOOKUP("[S06_AircraftOperatorsConservativeEstimates][11][FurtherAction]",Submission!$O:$O,Submission!$H:$N,""))</f>
        <v>Reminder or formal warnings on sanctions sent to aircraft operator</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11</v>
      </c>
      <c r="I323" s="361"/>
    </row>
    <row r="324" spans="1:9" x14ac:dyDescent="0.3">
      <c r="C324" s="249" t="s">
        <v>1091</v>
      </c>
      <c r="D324" s="257"/>
      <c r="E324" s="257"/>
      <c r="F324" s="257"/>
      <c r="G324" s="250"/>
      <c r="H324" s="351" t="str">
        <f>_xlfn.CONCAT(_xlfn.XLOOKUP("[S06_NegativeOpinionAircraft][2][CountNegativeOpinions]",Submission!$O:$O,Submission!$H:$N,""))</f>
        <v>0</v>
      </c>
      <c r="I324" s="361"/>
    </row>
    <row r="325" spans="1:9" ht="15.9" customHeight="1" x14ac:dyDescent="0.3">
      <c r="C325" s="249" t="s">
        <v>1040</v>
      </c>
      <c r="D325" s="257"/>
      <c r="E325" s="257"/>
      <c r="F325" s="257"/>
      <c r="G325" s="250"/>
      <c r="H325" s="351" t="str">
        <f>_xlfn.CONCAT(_xlfn.XLOOKUP("[S06_NegativeOpinionAircraft][3][CountNegativeOpinions]",Submission!$O:$O,Submission!$H:$N,""))</f>
        <v>0</v>
      </c>
      <c r="I325" s="361"/>
    </row>
    <row r="326" spans="1:9" ht="18" customHeight="1" x14ac:dyDescent="0.3">
      <c r="C326" s="249" t="s">
        <v>1041</v>
      </c>
      <c r="D326" s="257"/>
      <c r="E326" s="257"/>
      <c r="F326" s="257"/>
      <c r="G326" s="250"/>
      <c r="H326" s="351" t="str">
        <f>_xlfn.CONCAT(_xlfn.XLOOKUP("[S06_NegativeOpinionAircraft][4][CountNegativeOpinions]",Submission!$O:$O,Submission!$H:$N,""))</f>
        <v>0</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No</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
      </c>
      <c r="D332" s="420"/>
      <c r="E332" s="421"/>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42" t="str">
        <f>_xlfn.CONCAT(_xlfn.XLOOKUP("[S06_AircraftOperatorsVerificationReportIssuesEmissions][1][ShareOfReportsConservativeEstimate]",Submission!$O:$O,Submission!$H:$N,""))</f>
        <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Yes</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1</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0</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1</v>
      </c>
      <c r="H354" s="255" t="str">
        <f>_xlfn.CONCAT(_xlfn.XLOOKUP("[S06_AircraftOperatorsVerificationEmissionReportChecks1][3][FurtherInformation]",Submission!$O:$O,Submission!$H:$N,""))</f>
        <v>Eurocontrol ETS6SF</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0.8</v>
      </c>
      <c r="H355" s="129" t="str">
        <f>_xlfn.CONCAT(_xlfn.XLOOKUP("[S06_AircraftOperatorsVerificationEmissionReportChecks1][4][SelectingCriteria]",Submission!$O:$O,Submission!$H:$N,""))</f>
        <v>All large aircraft operators</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0</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0</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no rejection</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no check of tonne-kilometre reports</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No</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
      </c>
      <c r="D383" s="351" t="str">
        <f>_xlfn.CONCAT(_xlfn.XLOOKUP("[S06_VirtualVisitsAircraftDetails][1][NumberOfAirOperatorsVV]",Submission!$O:$O,Submission!$H:$N,""))</f>
        <v/>
      </c>
      <c r="E383" s="361"/>
      <c r="F383" s="258" t="str">
        <f>_xlfn.CONCAT(_xlfn.XLOOKUP("[S06_VirtualVisitsAircraftDetails][1][AuthorityApproval]",Submission!$O:$O,Submission!$H:$N,""))</f>
        <v/>
      </c>
      <c r="G383" s="260"/>
      <c r="H383" s="258" t="str">
        <f>_xlfn.CONCAT(_xlfn.XLOOKUP("[S06_VirtualVisitsAircraftDetails][1][ConfirmationConditionsMet]",Submission!$O:$O,Submission!$H:$N,""))</f>
        <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
      </c>
      <c r="D8" s="258" t="str">
        <f>_xlfn.CONCAT(_xlfn.XLOOKUP("[S07_NoFurtherAllowancesSurrendered][1][OperatorName]",Submission!$O:$O,Submission!$H:$N,""))</f>
        <v/>
      </c>
      <c r="E8" s="260"/>
      <c r="F8" s="258" t="str">
        <f>_xlfn.CONCAT(_xlfn.XLOOKUP("[S07_NoFurtherAllowancesSurrendered][1][InstallationName]",Submission!$O:$O,Submission!$H:$N,""))</f>
        <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36</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22230</v>
      </c>
      <c r="D27" s="254"/>
      <c r="E27" s="254"/>
      <c r="F27" s="254"/>
      <c r="G27" s="254" t="str">
        <f>_xlfn.CONCAT(_xlfn.XLOOKUP("[S07_AircraftOperatorsUseArt15MandateDetail][1][AircraftOperatorName]",Submission!$O:$O,Submission!$H:$N,""))</f>
        <v>BANCO SAFRA</v>
      </c>
      <c r="H27" s="254"/>
      <c r="I27" s="254"/>
    </row>
    <row r="28" spans="1:9" s="27" customFormat="1" ht="15.9" customHeight="1" x14ac:dyDescent="0.3">
      <c r="B28" s="10"/>
      <c r="C28" s="254" t="str">
        <f>_xlfn.CONCAT(_xlfn.XLOOKUP("[S07_AircraftOperatorsUseArt15MandateDetail][2][AircraftOperatorID]",Submission!$O:$O,Submission!$H:$N,""))</f>
        <v>37923</v>
      </c>
      <c r="D28" s="254"/>
      <c r="E28" s="254"/>
      <c r="F28" s="254"/>
      <c r="G28" s="254" t="str">
        <f>_xlfn.CONCAT(_xlfn.XLOOKUP("[S07_AircraftOperatorsUseArt15MandateDetail][2][AircraftOperatorName]",Submission!$O:$O,Submission!$H:$N,""))</f>
        <v>LA AVIATION</v>
      </c>
      <c r="H28" s="254"/>
      <c r="I28" s="254"/>
    </row>
    <row r="29" spans="1:9" s="27" customFormat="1" ht="15.9" hidden="1" customHeight="1" outlineLevel="1" x14ac:dyDescent="0.3">
      <c r="B29" s="10"/>
      <c r="C29" s="254" t="str">
        <f>_xlfn.CONCAT(_xlfn.XLOOKUP("[S07_AircraftOperatorsUseArt15MandateDetail][3][AircraftOperatorID]",Submission!$O:$O,Submission!$H:$N,""))</f>
        <v>35455</v>
      </c>
      <c r="D29" s="254"/>
      <c r="E29" s="254"/>
      <c r="F29" s="254"/>
      <c r="G29" s="254" t="str">
        <f>_xlfn.CONCAT(_xlfn.XLOOKUP("[S07_AircraftOperatorsUseArt15MandateDetail][3][AircraftOperatorName]",Submission!$O:$O,Submission!$H:$N,""))</f>
        <v>MONT BLANC AVIATION</v>
      </c>
      <c r="H29" s="254"/>
      <c r="I29" s="254"/>
    </row>
    <row r="30" spans="1:9" s="27" customFormat="1" ht="15.9" hidden="1" customHeight="1" outlineLevel="1" x14ac:dyDescent="0.3">
      <c r="B30" s="10"/>
      <c r="C30" s="254" t="str">
        <f>_xlfn.CONCAT(_xlfn.XLOOKUP("[S07_AircraftOperatorsUseArt15MandateDetail][4][AircraftOperatorID]",Submission!$O:$O,Submission!$H:$N,""))</f>
        <v>31025</v>
      </c>
      <c r="D30" s="254"/>
      <c r="E30" s="254"/>
      <c r="F30" s="254"/>
      <c r="G30" s="254" t="str">
        <f>_xlfn.CONCAT(_xlfn.XLOOKUP("[S07_AircraftOperatorsUseArt15MandateDetail][4][AircraftOperatorName]",Submission!$O:$O,Submission!$H:$N,""))</f>
        <v>NATASHA ESTABLISMENT</v>
      </c>
      <c r="H30" s="254"/>
      <c r="I30" s="254"/>
    </row>
    <row r="31" spans="1:9" s="27" customFormat="1" ht="15.9" hidden="1" customHeight="1" outlineLevel="1" x14ac:dyDescent="0.3">
      <c r="B31" s="10"/>
      <c r="C31" s="254" t="str">
        <f>_xlfn.CONCAT(_xlfn.XLOOKUP("[S07_AircraftOperatorsUseArt15MandateDetail][5][AircraftOperatorID]",Submission!$O:$O,Submission!$H:$N,""))</f>
        <v>44178</v>
      </c>
      <c r="D31" s="254"/>
      <c r="E31" s="254"/>
      <c r="F31" s="254"/>
      <c r="G31" s="254" t="str">
        <f>_xlfn.CONCAT(_xlfn.XLOOKUP("[S07_AircraftOperatorsUseArt15MandateDetail][5][AircraftOperatorName]",Submission!$O:$O,Submission!$H:$N,""))</f>
        <v>SYMPHONY MASTER (JERSEY) LTD</v>
      </c>
      <c r="H31" s="254"/>
      <c r="I31" s="254"/>
    </row>
    <row r="32" spans="1:9" s="27" customFormat="1" ht="15.9" hidden="1" customHeight="1" outlineLevel="1" x14ac:dyDescent="0.3">
      <c r="B32" s="10"/>
      <c r="C32" s="254" t="str">
        <f>_xlfn.CONCAT(_xlfn.XLOOKUP("[S07_AircraftOperatorsUseArt15MandateDetail][6][AircraftOperatorID]",Submission!$O:$O,Submission!$H:$N,""))</f>
        <v>44931</v>
      </c>
      <c r="D32" s="254"/>
      <c r="E32" s="254"/>
      <c r="F32" s="254"/>
      <c r="G32" s="254" t="str">
        <f>_xlfn.CONCAT(_xlfn.XLOOKUP("[S07_AircraftOperatorsUseArt15MandateDetail][6][AircraftOperatorName]",Submission!$O:$O,Submission!$H:$N,""))</f>
        <v>AB AIR HOLDINGS</v>
      </c>
      <c r="H32" s="254"/>
      <c r="I32" s="254"/>
    </row>
    <row r="33" spans="2:9" s="27" customFormat="1" ht="15.9" hidden="1" customHeight="1" outlineLevel="1" x14ac:dyDescent="0.3">
      <c r="B33" s="10"/>
      <c r="C33" s="254" t="str">
        <f>_xlfn.CONCAT(_xlfn.XLOOKUP("[S07_AircraftOperatorsUseArt15MandateDetail][7][AircraftOperatorID]",Submission!$O:$O,Submission!$H:$N,""))</f>
        <v>31488</v>
      </c>
      <c r="D33" s="254"/>
      <c r="E33" s="254"/>
      <c r="F33" s="254"/>
      <c r="G33" s="254" t="str">
        <f>_xlfn.CONCAT(_xlfn.XLOOKUP("[S07_AircraftOperatorsUseArt15MandateDetail][7][AircraftOperatorName]",Submission!$O:$O,Submission!$H:$N,""))</f>
        <v>YYA AVIATION</v>
      </c>
      <c r="H33" s="254"/>
      <c r="I33" s="254"/>
    </row>
    <row r="34" spans="2:9" s="27" customFormat="1" ht="15.9" hidden="1" customHeight="1" outlineLevel="1" x14ac:dyDescent="0.3">
      <c r="B34" s="10"/>
      <c r="C34" s="254" t="str">
        <f>_xlfn.CONCAT(_xlfn.XLOOKUP("[S07_AircraftOperatorsUseArt15MandateDetail][8][AircraftOperatorID]",Submission!$O:$O,Submission!$H:$N,""))</f>
        <v>39587</v>
      </c>
      <c r="D34" s="254"/>
      <c r="E34" s="254"/>
      <c r="F34" s="254"/>
      <c r="G34" s="254" t="str">
        <f>_xlfn.CONCAT(_xlfn.XLOOKUP("[S07_AircraftOperatorsUseArt15MandateDetail][8][AircraftOperatorName]",Submission!$O:$O,Submission!$H:$N,""))</f>
        <v>M-EDIA AVIATION LTD</v>
      </c>
      <c r="H34" s="254"/>
      <c r="I34" s="254"/>
    </row>
    <row r="35" spans="2:9" s="27" customFormat="1" ht="15.9" hidden="1" customHeight="1" outlineLevel="1" x14ac:dyDescent="0.3">
      <c r="B35" s="10"/>
      <c r="C35" s="254" t="str">
        <f>_xlfn.CONCAT(_xlfn.XLOOKUP("[S07_AircraftOperatorsUseArt15MandateDetail][9][AircraftOperatorID]",Submission!$O:$O,Submission!$H:$N,""))</f>
        <v>f14311</v>
      </c>
      <c r="D35" s="254"/>
      <c r="E35" s="254"/>
      <c r="F35" s="254"/>
      <c r="G35" s="254" t="str">
        <f>_xlfn.CONCAT(_xlfn.XLOOKUP("[S07_AircraftOperatorsUseArt15MandateDetail][9][AircraftOperatorName]",Submission!$O:$O,Submission!$H:$N,""))</f>
        <v>Malridge Investments Ltd</v>
      </c>
      <c r="H35" s="254"/>
      <c r="I35" s="254"/>
    </row>
    <row r="36" spans="2:9" s="27" customFormat="1" ht="15.9" hidden="1" customHeight="1" outlineLevel="1" x14ac:dyDescent="0.3">
      <c r="B36" s="10"/>
      <c r="C36" s="254" t="str">
        <f>_xlfn.CONCAT(_xlfn.XLOOKUP("[S07_AircraftOperatorsUseArt15MandateDetail][10][AircraftOperatorID]",Submission!$O:$O,Submission!$H:$N,""))</f>
        <v>37249</v>
      </c>
      <c r="D36" s="254"/>
      <c r="E36" s="254"/>
      <c r="F36" s="254"/>
      <c r="G36" s="254" t="str">
        <f>_xlfn.CONCAT(_xlfn.XLOOKUP("[S07_AircraftOperatorsUseArt15MandateDetail][10][AircraftOperatorName]",Submission!$O:$O,Submission!$H:$N,""))</f>
        <v>IP AVIATION L.P</v>
      </c>
      <c r="H36" s="254"/>
      <c r="I36" s="254"/>
    </row>
    <row r="37" spans="2:9" s="27" customFormat="1" ht="15.9" hidden="1" customHeight="1" outlineLevel="1" x14ac:dyDescent="0.3">
      <c r="B37" s="10"/>
      <c r="C37" s="254" t="str">
        <f>_xlfn.CONCAT(_xlfn.XLOOKUP("[S07_AircraftOperatorsUseArt15MandateDetail][11][AircraftOperatorID]",Submission!$O:$O,Submission!$H:$N,""))</f>
        <v>42839</v>
      </c>
      <c r="D37" s="254"/>
      <c r="E37" s="254"/>
      <c r="F37" s="254"/>
      <c r="G37" s="254" t="str">
        <f>_xlfn.CONCAT(_xlfn.XLOOKUP("[S07_AircraftOperatorsUseArt15MandateDetail][11][AircraftOperatorName]",Submission!$O:$O,Submission!$H:$N,""))</f>
        <v>DP WORLD FZE</v>
      </c>
      <c r="H37" s="254"/>
      <c r="I37" s="254"/>
    </row>
    <row r="38" spans="2:9" s="27" customFormat="1" ht="15.9" hidden="1" customHeight="1" outlineLevel="1" x14ac:dyDescent="0.3">
      <c r="B38" s="10"/>
      <c r="C38" s="254" t="str">
        <f>_xlfn.CONCAT(_xlfn.XLOOKUP("[S07_AircraftOperatorsUseArt15MandateDetail][12][AircraftOperatorID]",Submission!$O:$O,Submission!$H:$N,""))</f>
        <v>4999</v>
      </c>
      <c r="D38" s="254"/>
      <c r="E38" s="254"/>
      <c r="F38" s="254"/>
      <c r="G38" s="254" t="str">
        <f>_xlfn.CONCAT(_xlfn.XLOOKUP("[S07_AircraftOperatorsUseArt15MandateDetail][12][AircraftOperatorName]",Submission!$O:$O,Submission!$H:$N,""))</f>
        <v>ARAMCO SAUDI ARABIA</v>
      </c>
      <c r="H38" s="254"/>
      <c r="I38" s="254"/>
    </row>
    <row r="39" spans="2:9" s="27" customFormat="1" ht="15.9" hidden="1" customHeight="1" outlineLevel="1" x14ac:dyDescent="0.3">
      <c r="B39" s="10"/>
      <c r="C39" s="254" t="str">
        <f>_xlfn.CONCAT(_xlfn.XLOOKUP("[S07_AircraftOperatorsUseArt15MandateDetail][13][AircraftOperatorID]",Submission!$O:$O,Submission!$H:$N,""))</f>
        <v>30051</v>
      </c>
      <c r="D39" s="254"/>
      <c r="E39" s="254"/>
      <c r="F39" s="254"/>
      <c r="G39" s="254" t="str">
        <f>_xlfn.CONCAT(_xlfn.XLOOKUP("[S07_AircraftOperatorsUseArt15MandateDetail][13][AircraftOperatorName]",Submission!$O:$O,Submission!$H:$N,""))</f>
        <v>COSTA AZZOURA LTD</v>
      </c>
      <c r="H39" s="254"/>
      <c r="I39" s="254"/>
    </row>
    <row r="40" spans="2:9" s="27" customFormat="1" ht="15.9" hidden="1" customHeight="1" outlineLevel="1" x14ac:dyDescent="0.3">
      <c r="B40" s="10"/>
      <c r="C40" s="254" t="str">
        <f>_xlfn.CONCAT(_xlfn.XLOOKUP("[S07_AircraftOperatorsUseArt15MandateDetail][14][AircraftOperatorID]",Submission!$O:$O,Submission!$H:$N,""))</f>
        <v>40036</v>
      </c>
      <c r="D40" s="254"/>
      <c r="E40" s="254"/>
      <c r="F40" s="254"/>
      <c r="G40" s="254" t="str">
        <f>_xlfn.CONCAT(_xlfn.XLOOKUP("[S07_AircraftOperatorsUseArt15MandateDetail][14][AircraftOperatorName]",Submission!$O:$O,Submission!$H:$N,""))</f>
        <v>YYA MANAGEMENT LTD</v>
      </c>
      <c r="H40" s="254"/>
      <c r="I40" s="254"/>
    </row>
    <row r="41" spans="2:9" s="27" customFormat="1" ht="15.9" hidden="1" customHeight="1" outlineLevel="1" x14ac:dyDescent="0.3">
      <c r="B41" s="10"/>
      <c r="C41" s="254" t="str">
        <f>_xlfn.CONCAT(_xlfn.XLOOKUP("[S07_AircraftOperatorsUseArt15MandateDetail][15][AircraftOperatorID]",Submission!$O:$O,Submission!$H:$N,""))</f>
        <v>24571</v>
      </c>
      <c r="D41" s="254"/>
      <c r="E41" s="254"/>
      <c r="F41" s="254"/>
      <c r="G41" s="254" t="str">
        <f>_xlfn.CONCAT(_xlfn.XLOOKUP("[S07_AircraftOperatorsUseArt15MandateDetail][15][AircraftOperatorName]",Submission!$O:$O,Submission!$H:$N,""))</f>
        <v>DSWA</v>
      </c>
      <c r="H41" s="254"/>
      <c r="I41" s="254"/>
    </row>
    <row r="42" spans="2:9" s="27" customFormat="1" ht="15.9" hidden="1" customHeight="1" outlineLevel="1" x14ac:dyDescent="0.3">
      <c r="B42" s="10"/>
      <c r="C42" s="254" t="str">
        <f>_xlfn.CONCAT(_xlfn.XLOOKUP("[S07_AircraftOperatorsUseArt15MandateDetail][16][AircraftOperatorID]",Submission!$O:$O,Submission!$H:$N,""))</f>
        <v>31595</v>
      </c>
      <c r="D42" s="254"/>
      <c r="E42" s="254"/>
      <c r="F42" s="254"/>
      <c r="G42" s="254" t="str">
        <f>_xlfn.CONCAT(_xlfn.XLOOKUP("[S07_AircraftOperatorsUseArt15MandateDetail][16][AircraftOperatorName]",Submission!$O:$O,Submission!$H:$N,""))</f>
        <v>JSC Premier Avia</v>
      </c>
      <c r="H42" s="254"/>
      <c r="I42" s="254"/>
    </row>
    <row r="43" spans="2:9" s="27" customFormat="1" ht="15.9" hidden="1" customHeight="1" outlineLevel="1" x14ac:dyDescent="0.3">
      <c r="B43" s="10"/>
      <c r="C43" s="254" t="str">
        <f>_xlfn.CONCAT(_xlfn.XLOOKUP("[S07_AircraftOperatorsUseArt15MandateDetail][17][AircraftOperatorID]",Submission!$O:$O,Submission!$H:$N,""))</f>
        <v>35426</v>
      </c>
      <c r="D43" s="254"/>
      <c r="E43" s="254"/>
      <c r="F43" s="254"/>
      <c r="G43" s="254" t="str">
        <f>_xlfn.CONCAT(_xlfn.XLOOKUP("[S07_AircraftOperatorsUseArt15MandateDetail][17][AircraftOperatorName]",Submission!$O:$O,Submission!$H:$N,""))</f>
        <v>FTC CONSULTING AG</v>
      </c>
      <c r="H43" s="254"/>
      <c r="I43" s="254"/>
    </row>
    <row r="44" spans="2:9" s="27" customFormat="1" ht="15.9" hidden="1" customHeight="1" outlineLevel="1" x14ac:dyDescent="0.3">
      <c r="B44" s="10"/>
      <c r="C44" s="254" t="str">
        <f>_xlfn.CONCAT(_xlfn.XLOOKUP("[S07_AircraftOperatorsUseArt15MandateDetail][18][AircraftOperatorID]",Submission!$O:$O,Submission!$H:$N,""))</f>
        <v>3932</v>
      </c>
      <c r="D44" s="254"/>
      <c r="E44" s="254"/>
      <c r="F44" s="254"/>
      <c r="G44" s="254" t="str">
        <f>_xlfn.CONCAT(_xlfn.XLOOKUP("[S07_AircraftOperatorsUseArt15MandateDetail][18][AircraftOperatorName]",Submission!$O:$O,Submission!$H:$N,""))</f>
        <v>DALLAH ALBARAKA</v>
      </c>
      <c r="H44" s="254"/>
      <c r="I44" s="254"/>
    </row>
    <row r="45" spans="2:9" s="27" customFormat="1" ht="15.9" hidden="1" customHeight="1" outlineLevel="1" x14ac:dyDescent="0.3">
      <c r="B45" s="10"/>
      <c r="C45" s="254" t="str">
        <f>_xlfn.CONCAT(_xlfn.XLOOKUP("[S07_AircraftOperatorsUseArt15MandateDetail][19][AircraftOperatorID]",Submission!$O:$O,Submission!$H:$N,""))</f>
        <v xml:space="preserve">f10497 </v>
      </c>
      <c r="D45" s="254"/>
      <c r="E45" s="254"/>
      <c r="F45" s="254"/>
      <c r="G45" s="254" t="str">
        <f>_xlfn.CONCAT(_xlfn.XLOOKUP("[S07_AircraftOperatorsUseArt15MandateDetail][19][AircraftOperatorName]",Submission!$O:$O,Submission!$H:$N,""))</f>
        <v>THE YUCAIPA COMPANIES LLC</v>
      </c>
      <c r="H45" s="254"/>
      <c r="I45" s="254"/>
    </row>
    <row r="46" spans="2:9" s="27" customFormat="1" ht="15.9" hidden="1" customHeight="1" outlineLevel="1" x14ac:dyDescent="0.3">
      <c r="B46" s="10"/>
      <c r="C46" s="254" t="str">
        <f>_xlfn.CONCAT(_xlfn.XLOOKUP("[S07_AircraftOperatorsUseArt15MandateDetail][20][AircraftOperatorID]",Submission!$O:$O,Submission!$H:$N,""))</f>
        <v>38579</v>
      </c>
      <c r="D46" s="254"/>
      <c r="E46" s="254"/>
      <c r="F46" s="254"/>
      <c r="G46" s="254" t="str">
        <f>_xlfn.CONCAT(_xlfn.XLOOKUP("[S07_AircraftOperatorsUseArt15MandateDetail][20][AircraftOperatorName]",Submission!$O:$O,Submission!$H:$N,""))</f>
        <v>SINO JET MANAGEMENT LIMITED</v>
      </c>
      <c r="H46" s="254"/>
      <c r="I46" s="254"/>
    </row>
    <row r="47" spans="2:9" s="27" customFormat="1" ht="15.9" hidden="1" customHeight="1" outlineLevel="1" x14ac:dyDescent="0.3">
      <c r="B47" s="10"/>
      <c r="C47" s="254" t="str">
        <f>_xlfn.CONCAT(_xlfn.XLOOKUP("[S07_AircraftOperatorsUseArt15MandateDetail][21][AircraftOperatorID]",Submission!$O:$O,Submission!$H:$N,""))</f>
        <v>5362</v>
      </c>
      <c r="D47" s="254"/>
      <c r="E47" s="254"/>
      <c r="F47" s="254"/>
      <c r="G47" s="254" t="str">
        <f>_xlfn.CONCAT(_xlfn.XLOOKUP("[S07_AircraftOperatorsUseArt15MandateDetail][21][AircraftOperatorName]",Submission!$O:$O,Submission!$H:$N,""))</f>
        <v>HALLIBURTON</v>
      </c>
      <c r="H47" s="254"/>
      <c r="I47" s="254"/>
    </row>
    <row r="48" spans="2:9" s="27" customFormat="1" ht="15.9" hidden="1" customHeight="1" outlineLevel="1" x14ac:dyDescent="0.3">
      <c r="B48" s="10"/>
      <c r="C48" s="254" t="str">
        <f>_xlfn.CONCAT(_xlfn.XLOOKUP("[S07_AircraftOperatorsUseArt15MandateDetail][22][AircraftOperatorID]",Submission!$O:$O,Submission!$H:$N,""))</f>
        <v>40684</v>
      </c>
      <c r="D48" s="254"/>
      <c r="E48" s="254"/>
      <c r="F48" s="254"/>
      <c r="G48" s="254" t="str">
        <f>_xlfn.CONCAT(_xlfn.XLOOKUP("[S07_AircraftOperatorsUseArt15MandateDetail][22][AircraftOperatorName]",Submission!$O:$O,Submission!$H:$N,""))</f>
        <v>AMERICAN FLYING JET INC.</v>
      </c>
      <c r="H48" s="254"/>
      <c r="I48" s="254"/>
    </row>
    <row r="49" spans="2:9" s="27" customFormat="1" ht="15.9" hidden="1" customHeight="1" outlineLevel="1" x14ac:dyDescent="0.3">
      <c r="B49" s="10"/>
      <c r="C49" s="254" t="str">
        <f>_xlfn.CONCAT(_xlfn.XLOOKUP("[S07_AircraftOperatorsUseArt15MandateDetail][23][AircraftOperatorID]",Submission!$O:$O,Submission!$H:$N,""))</f>
        <v>799</v>
      </c>
      <c r="D49" s="254"/>
      <c r="E49" s="254"/>
      <c r="F49" s="254"/>
      <c r="G49" s="254" t="str">
        <f>_xlfn.CONCAT(_xlfn.XLOOKUP("[S07_AircraftOperatorsUseArt15MandateDetail][23][AircraftOperatorName]",Submission!$O:$O,Submission!$H:$N,""))</f>
        <v>THE COCA COLA COMPANY</v>
      </c>
      <c r="H49" s="254"/>
      <c r="I49" s="254"/>
    </row>
    <row r="50" spans="2:9" s="27" customFormat="1" ht="15.9" hidden="1" customHeight="1" outlineLevel="1" x14ac:dyDescent="0.3">
      <c r="B50" s="10"/>
      <c r="C50" s="254" t="str">
        <f>_xlfn.CONCAT(_xlfn.XLOOKUP("[S07_AircraftOperatorsUseArt15MandateDetail][24][AircraftOperatorID]",Submission!$O:$O,Submission!$H:$N,""))</f>
        <v>36894</v>
      </c>
      <c r="D50" s="254"/>
      <c r="E50" s="254"/>
      <c r="F50" s="254"/>
      <c r="G50" s="254" t="str">
        <f>_xlfn.CONCAT(_xlfn.XLOOKUP("[S07_AircraftOperatorsUseArt15MandateDetail][24][AircraftOperatorName]",Submission!$O:$O,Submission!$H:$N,""))</f>
        <v>THORN AIR LIMITED</v>
      </c>
      <c r="H50" s="254"/>
      <c r="I50" s="254"/>
    </row>
    <row r="51" spans="2:9" s="27" customFormat="1" ht="15.9" hidden="1" customHeight="1" outlineLevel="1" x14ac:dyDescent="0.3">
      <c r="B51" s="10"/>
      <c r="C51" s="254" t="str">
        <f>_xlfn.CONCAT(_xlfn.XLOOKUP("[S07_AircraftOperatorsUseArt15MandateDetail][25][AircraftOperatorID]",Submission!$O:$O,Submission!$H:$N,""))</f>
        <v>36155</v>
      </c>
      <c r="D51" s="254"/>
      <c r="E51" s="254"/>
      <c r="F51" s="254"/>
      <c r="G51" s="254" t="str">
        <f>_xlfn.CONCAT(_xlfn.XLOOKUP("[S07_AircraftOperatorsUseArt15MandateDetail][25][AircraftOperatorName]",Submission!$O:$O,Submission!$H:$N,""))</f>
        <v>AL-ATHEER TRADING COMPANY</v>
      </c>
      <c r="H51" s="254"/>
      <c r="I51" s="254"/>
    </row>
    <row r="52" spans="2:9" s="27" customFormat="1" ht="15.9" hidden="1" customHeight="1" outlineLevel="1" x14ac:dyDescent="0.3">
      <c r="B52" s="10"/>
      <c r="C52" s="254" t="str">
        <f>_xlfn.CONCAT(_xlfn.XLOOKUP("[S07_AircraftOperatorsUseArt15MandateDetail][26][AircraftOperatorID]",Submission!$O:$O,Submission!$H:$N,""))</f>
        <v>31081</v>
      </c>
      <c r="D52" s="254"/>
      <c r="E52" s="254"/>
      <c r="F52" s="254"/>
      <c r="G52" s="254" t="str">
        <f>_xlfn.CONCAT(_xlfn.XLOOKUP("[S07_AircraftOperatorsUseArt15MandateDetail][26][AircraftOperatorName]",Submission!$O:$O,Submission!$H:$N,""))</f>
        <v>INTERFACE OPS LLC</v>
      </c>
      <c r="H52" s="254"/>
      <c r="I52" s="254"/>
    </row>
    <row r="53" spans="2:9" s="27" customFormat="1" ht="15.9" hidden="1" customHeight="1" outlineLevel="1" x14ac:dyDescent="0.3">
      <c r="B53" s="10"/>
      <c r="C53" s="254" t="str">
        <f>_xlfn.CONCAT(_xlfn.XLOOKUP("[S07_AircraftOperatorsUseArt15MandateDetail][27][AircraftOperatorID]",Submission!$O:$O,Submission!$H:$N,""))</f>
        <v>18982</v>
      </c>
      <c r="D53" s="254"/>
      <c r="E53" s="254"/>
      <c r="F53" s="254"/>
      <c r="G53" s="254" t="str">
        <f>_xlfn.CONCAT(_xlfn.XLOOKUP("[S07_AircraftOperatorsUseArt15MandateDetail][27][AircraftOperatorName]",Submission!$O:$O,Submission!$H:$N,""))</f>
        <v>AIRFLITE</v>
      </c>
      <c r="H53" s="254"/>
      <c r="I53" s="254"/>
    </row>
    <row r="54" spans="2:9" s="27" customFormat="1" ht="15.9" hidden="1" customHeight="1" outlineLevel="1" x14ac:dyDescent="0.3">
      <c r="B54" s="10"/>
      <c r="C54" s="254" t="str">
        <f>_xlfn.CONCAT(_xlfn.XLOOKUP("[S07_AircraftOperatorsUseArt15MandateDetail][28][AircraftOperatorID]",Submission!$O:$O,Submission!$H:$N,""))</f>
        <v>31199</v>
      </c>
      <c r="D54" s="254"/>
      <c r="E54" s="254"/>
      <c r="F54" s="254"/>
      <c r="G54" s="254" t="str">
        <f>_xlfn.CONCAT(_xlfn.XLOOKUP("[S07_AircraftOperatorsUseArt15MandateDetail][28][AircraftOperatorName]",Submission!$O:$O,Submission!$H:$N,""))</f>
        <v>NISSAN NORTH AMERICA INC.</v>
      </c>
      <c r="H54" s="254"/>
      <c r="I54" s="254"/>
    </row>
    <row r="55" spans="2:9" s="27" customFormat="1" ht="15.9" hidden="1" customHeight="1" outlineLevel="1" x14ac:dyDescent="0.3">
      <c r="B55" s="10"/>
      <c r="C55" s="254" t="str">
        <f>_xlfn.CONCAT(_xlfn.XLOOKUP("[S07_AircraftOperatorsUseArt15MandateDetail][29][AircraftOperatorID]",Submission!$O:$O,Submission!$H:$N,""))</f>
        <v>9122</v>
      </c>
      <c r="D55" s="254"/>
      <c r="E55" s="254"/>
      <c r="F55" s="254"/>
      <c r="G55" s="254" t="str">
        <f>_xlfn.CONCAT(_xlfn.XLOOKUP("[S07_AircraftOperatorsUseArt15MandateDetail][29][AircraftOperatorName]",Submission!$O:$O,Submission!$H:$N,""))</f>
        <v>CARTIER EUROPE B.V.</v>
      </c>
      <c r="H55" s="254"/>
      <c r="I55" s="254"/>
    </row>
    <row r="56" spans="2:9" s="27" customFormat="1" ht="15.9" hidden="1" customHeight="1" outlineLevel="1" x14ac:dyDescent="0.3">
      <c r="B56" s="10"/>
      <c r="C56" s="254" t="str">
        <f>_xlfn.CONCAT(_xlfn.XLOOKUP("[S07_AircraftOperatorsUseArt15MandateDetail][30][AircraftOperatorID]",Submission!$O:$O,Submission!$H:$N,""))</f>
        <v>9170</v>
      </c>
      <c r="D56" s="254"/>
      <c r="E56" s="254"/>
      <c r="F56" s="254"/>
      <c r="G56" s="254" t="str">
        <f>_xlfn.CONCAT(_xlfn.XLOOKUP("[S07_AircraftOperatorsUseArt15MandateDetail][30][AircraftOperatorName]",Submission!$O:$O,Submission!$H:$N,""))</f>
        <v>BEL AIR LIMITED</v>
      </c>
      <c r="H56" s="254"/>
      <c r="I56" s="254"/>
    </row>
    <row r="57" spans="2:9" s="27" customFormat="1" ht="15.9" hidden="1" customHeight="1" outlineLevel="1" x14ac:dyDescent="0.3">
      <c r="B57" s="10"/>
      <c r="C57" s="254" t="str">
        <f>_xlfn.CONCAT(_xlfn.XLOOKUP("[S07_AircraftOperatorsUseArt15MandateDetail][31][AircraftOperatorID]",Submission!$O:$O,Submission!$H:$N,""))</f>
        <v>30733</v>
      </c>
      <c r="D57" s="254"/>
      <c r="E57" s="254"/>
      <c r="F57" s="254"/>
      <c r="G57" s="254" t="str">
        <f>_xlfn.CONCAT(_xlfn.XLOOKUP("[S07_AircraftOperatorsUseArt15MandateDetail][31][AircraftOperatorName]",Submission!$O:$O,Submission!$H:$N,""))</f>
        <v>JETSTEFF AVIATION LIMITED</v>
      </c>
      <c r="H57" s="254"/>
      <c r="I57" s="254"/>
    </row>
    <row r="58" spans="2:9" s="27" customFormat="1" ht="15.9" hidden="1" customHeight="1" outlineLevel="1" x14ac:dyDescent="0.3">
      <c r="B58" s="10"/>
      <c r="C58" s="254" t="str">
        <f>_xlfn.CONCAT(_xlfn.XLOOKUP("[S07_AircraftOperatorsUseArt15MandateDetail][32][AircraftOperatorID]",Submission!$O:$O,Submission!$H:$N,""))</f>
        <v>22252</v>
      </c>
      <c r="D58" s="254"/>
      <c r="E58" s="254"/>
      <c r="F58" s="254"/>
      <c r="G58" s="254" t="str">
        <f>_xlfn.CONCAT(_xlfn.XLOOKUP("[S07_AircraftOperatorsUseArt15MandateDetail][32][AircraftOperatorName]",Submission!$O:$O,Submission!$H:$N,""))</f>
        <v>EAGLE AIRCRAFT AND TRANSPORTATION MANAGEMENT INC.</v>
      </c>
      <c r="H58" s="254"/>
      <c r="I58" s="254"/>
    </row>
    <row r="59" spans="2:9" s="27" customFormat="1" ht="15.9" hidden="1" customHeight="1" outlineLevel="1" x14ac:dyDescent="0.3">
      <c r="B59" s="10"/>
      <c r="C59" s="254" t="str">
        <f>_xlfn.CONCAT(_xlfn.XLOOKUP("[S07_AircraftOperatorsUseArt15MandateDetail][33][AircraftOperatorID]",Submission!$O:$O,Submission!$H:$N,""))</f>
        <v>f10420</v>
      </c>
      <c r="D59" s="254"/>
      <c r="E59" s="254"/>
      <c r="F59" s="254"/>
      <c r="G59" s="254" t="str">
        <f>_xlfn.CONCAT(_xlfn.XLOOKUP("[S07_AircraftOperatorsUseArt15MandateDetail][33][AircraftOperatorName]",Submission!$O:$O,Submission!$H:$N,""))</f>
        <v xml:space="preserve">MARMALADE SKIES LLC </v>
      </c>
      <c r="H59" s="254"/>
      <c r="I59" s="254"/>
    </row>
    <row r="60" spans="2:9" s="27" customFormat="1" ht="15.9" hidden="1" customHeight="1" outlineLevel="1" x14ac:dyDescent="0.3">
      <c r="B60" s="10"/>
      <c r="C60" s="254" t="str">
        <f>_xlfn.CONCAT(_xlfn.XLOOKUP("[S07_AircraftOperatorsUseArt15MandateDetail][34][AircraftOperatorID]",Submission!$O:$O,Submission!$H:$N,""))</f>
        <v>34201</v>
      </c>
      <c r="D60" s="254"/>
      <c r="E60" s="254"/>
      <c r="F60" s="254"/>
      <c r="G60" s="254" t="str">
        <f>_xlfn.CONCAT(_xlfn.XLOOKUP("[S07_AircraftOperatorsUseArt15MandateDetail][34][AircraftOperatorName]",Submission!$O:$O,Submission!$H:$N,""))</f>
        <v>ALPHA STAR AVIATION SERVICES</v>
      </c>
      <c r="H60" s="254"/>
      <c r="I60" s="254"/>
    </row>
    <row r="61" spans="2:9" s="27" customFormat="1" ht="15.9" hidden="1" customHeight="1" outlineLevel="1" x14ac:dyDescent="0.3">
      <c r="B61" s="10"/>
      <c r="C61" s="254" t="str">
        <f>_xlfn.CONCAT(_xlfn.XLOOKUP("[S07_AircraftOperatorsUseArt15MandateDetail][35][AircraftOperatorID]",Submission!$O:$O,Submission!$H:$N,""))</f>
        <v>43301</v>
      </c>
      <c r="D61" s="254"/>
      <c r="E61" s="254"/>
      <c r="F61" s="254"/>
      <c r="G61" s="254" t="str">
        <f>_xlfn.CONCAT(_xlfn.XLOOKUP("[S07_AircraftOperatorsUseArt15MandateDetail][35][AircraftOperatorName]",Submission!$O:$O,Submission!$H:$N,""))</f>
        <v>SKY PRIME AVIATION SERVICES</v>
      </c>
      <c r="H61" s="254"/>
      <c r="I61" s="254"/>
    </row>
    <row r="62" spans="2:9" s="27" customFormat="1" ht="15.9" hidden="1" customHeight="1" outlineLevel="1" x14ac:dyDescent="0.3">
      <c r="B62" s="10"/>
      <c r="C62" s="254" t="str">
        <f>_xlfn.CONCAT(_xlfn.XLOOKUP("[S07_AircraftOperatorsUseArt15MandateDetail][36][AircraftOperatorID]",Submission!$O:$O,Submission!$H:$N,""))</f>
        <v>38406</v>
      </c>
      <c r="D62" s="254"/>
      <c r="E62" s="254"/>
      <c r="F62" s="254"/>
      <c r="G62" s="254" t="str">
        <f>_xlfn.CONCAT(_xlfn.XLOOKUP("[S07_AircraftOperatorsUseArt15MandateDetail][36][AircraftOperatorName]",Submission!$O:$O,Submission!$H:$N,""))</f>
        <v>PARADOX INTERNATIONAL BIRDS</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Yes</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1</v>
      </c>
      <c r="H33" s="475"/>
      <c r="I33" s="476"/>
    </row>
    <row r="34" spans="1:9" ht="28.95" customHeight="1" x14ac:dyDescent="0.3">
      <c r="C34" s="314" t="s">
        <v>1156</v>
      </c>
      <c r="D34" s="333"/>
      <c r="E34" s="333"/>
      <c r="F34" s="334"/>
      <c r="G34" s="474" t="str">
        <f>_xlfn.CONCAT(_xlfn.XLOOKUP("[S08_RenunciationSuspensionAllowances][2][NumberOfInstallations]",Submission!$O:$O,Submission!$H:$N,""))</f>
        <v>1061</v>
      </c>
      <c r="H34" s="475"/>
      <c r="I34" s="476"/>
    </row>
    <row r="35" spans="1:9" ht="27" customHeight="1" x14ac:dyDescent="0.3">
      <c r="C35" s="314" t="s">
        <v>1157</v>
      </c>
      <c r="D35" s="333"/>
      <c r="E35" s="333"/>
      <c r="F35" s="334"/>
      <c r="G35" s="474" t="str">
        <f>_xlfn.CONCAT(_xlfn.XLOOKUP("[S08_RenunciationSuspensionAllowances][3][NumberOfInstallations]",Submission!$O:$O,Submission!$H:$N,""))</f>
        <v>0</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Yes</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11</v>
      </c>
      <c r="D40" s="472"/>
      <c r="E40" s="472"/>
      <c r="F40" s="473"/>
      <c r="G40" s="471" t="str">
        <f>_xlfn.CONCAT(_xlfn.XLOOKUP("[S08_SubInstallationBenchmark61Detail][1][HeatBenchmark]",Submission!$O:$O,Submission!$H:$N,""))</f>
        <v>11</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Yes</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3</v>
      </c>
      <c r="D45" s="472"/>
      <c r="E45" s="472"/>
      <c r="F45" s="473"/>
      <c r="G45" s="471" t="str">
        <f>_xlfn.CONCAT(_xlfn.XLOOKUP("[S08_SubInstallationBenchmark61RejectDetail][1][HeatBenchmark]",Submission!$O:$O,Submission!$H:$N,""))</f>
        <v>10</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Yes</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8</v>
      </c>
      <c r="D50" s="472"/>
      <c r="E50" s="472"/>
      <c r="F50" s="473"/>
      <c r="G50" s="471" t="str">
        <f>_xlfn.CONCAT(_xlfn.XLOOKUP("[S08_SubInstallationBenchmark62Detail][1][HeatBenchmark]",Submission!$O:$O,Submission!$H:$N,""))</f>
        <v>4</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3</v>
      </c>
      <c r="H54" s="475"/>
      <c r="I54" s="476"/>
    </row>
    <row r="55" spans="1:9" ht="29.4" customHeight="1" x14ac:dyDescent="0.3">
      <c r="C55" s="249" t="s">
        <v>1168</v>
      </c>
      <c r="D55" s="272"/>
      <c r="E55" s="272"/>
      <c r="F55" s="273"/>
      <c r="G55" s="474" t="str">
        <f>_xlfn.CONCAT(_xlfn.XLOOKUP("[S08_ScopeExclusion][2][NumberOfInstallations]",Submission!$O:$O,Submission!$H:$N,""))</f>
        <v>8</v>
      </c>
      <c r="H55" s="475"/>
      <c r="I55" s="476"/>
    </row>
    <row r="56" spans="1:9" ht="29.4" customHeight="1" x14ac:dyDescent="0.3">
      <c r="C56" s="249" t="s">
        <v>1169</v>
      </c>
      <c r="D56" s="272"/>
      <c r="E56" s="272"/>
      <c r="F56" s="273"/>
      <c r="G56" s="474" t="str">
        <f>_xlfn.CONCAT(_xlfn.XLOOKUP("[S08_ScopeExclusion][3][NumberOfInstallations]",Submission!$O:$O,Submission!$H:$N,""))</f>
        <v>0</v>
      </c>
      <c r="H56" s="475"/>
      <c r="I56" s="476"/>
    </row>
    <row r="57" spans="1:9" ht="29.4" customHeight="1" x14ac:dyDescent="0.3">
      <c r="C57" s="249" t="s">
        <v>1170</v>
      </c>
      <c r="D57" s="272"/>
      <c r="E57" s="272"/>
      <c r="F57" s="273"/>
      <c r="G57" s="474" t="str">
        <f>_xlfn.CONCAT(_xlfn.XLOOKUP("[S08_ScopeExclusion][4][NumberOfInstallations]",Submission!$O:$O,Submission!$H:$N,""))</f>
        <v>0</v>
      </c>
      <c r="H57" s="475"/>
      <c r="I57" s="476"/>
    </row>
    <row r="58" spans="1:9" ht="29.4" customHeight="1" x14ac:dyDescent="0.3">
      <c r="C58" s="249" t="s">
        <v>1171</v>
      </c>
      <c r="D58" s="272"/>
      <c r="E58" s="272"/>
      <c r="F58" s="273"/>
      <c r="G58" s="474" t="str">
        <f>_xlfn.CONCAT(_xlfn.XLOOKUP("[S08_ScopeExclusion][5][NumberOfInstallations]",Submission!$O:$O,Submission!$H:$N,""))</f>
        <v>0</v>
      </c>
      <c r="H58" s="475"/>
      <c r="I58" s="476"/>
    </row>
    <row r="59" spans="1:9" ht="29.4" customHeight="1" x14ac:dyDescent="0.3">
      <c r="C59" s="249" t="s">
        <v>1172</v>
      </c>
      <c r="D59" s="273"/>
      <c r="E59" s="258" t="str">
        <f>_xlfn.CONCAT(_xlfn.XLOOKUP("[S08_ScopeExclusion][6][OtherReasons]",Submission!$O:$O,Submission!$H:$N,""))</f>
        <v/>
      </c>
      <c r="F59" s="260"/>
      <c r="G59" s="474" t="str">
        <f>_xlfn.CONCAT(_xlfn.XLOOKUP("[S08_ScopeExclusion][6][NumberOfInstallations]",Submission!$O:$O,Submission!$H:$N,""))</f>
        <v>0</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0</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0</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0</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Yes</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31 January</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1</v>
      </c>
      <c r="G149" s="406"/>
      <c r="H149" s="406" t="str">
        <f>_xlfn.CONCAT(_xlfn.XLOOKUP("[S08_NegativeOpinionActivityData][1][NumberOfInstallationsConEst]",Submission!$O:$O,Submission!$H:$N,""))</f>
        <v>1</v>
      </c>
      <c r="I149" s="406"/>
    </row>
    <row r="150" spans="1:9" s="95" customFormat="1" ht="27.75" customHeight="1" x14ac:dyDescent="0.3">
      <c r="A150" s="94"/>
      <c r="C150" s="382" t="s">
        <v>1201</v>
      </c>
      <c r="D150" s="382"/>
      <c r="E150" s="382"/>
      <c r="F150" s="406" t="str">
        <f>_xlfn.CONCAT(_xlfn.XLOOKUP("[S08_NegativeOpinionActivityData][2][NumberOfInstallations]",Submission!$O:$O,Submission!$H:$N,""))</f>
        <v>6</v>
      </c>
      <c r="G150" s="406"/>
      <c r="H150" s="406" t="str">
        <f>_xlfn.CONCAT(_xlfn.XLOOKUP("[S08_NegativeOpinionActivityData][2][NumberOfInstallationsConEst]",Submission!$O:$O,Submission!$H:$N,""))</f>
        <v>1</v>
      </c>
      <c r="I150" s="406"/>
    </row>
    <row r="151" spans="1:9" s="95" customFormat="1" ht="27.75" customHeight="1" x14ac:dyDescent="0.3">
      <c r="A151" s="94"/>
      <c r="C151" s="382" t="s">
        <v>1202</v>
      </c>
      <c r="D151" s="382"/>
      <c r="E151" s="382"/>
      <c r="F151" s="406" t="str">
        <f>_xlfn.CONCAT(_xlfn.XLOOKUP("[S08_NegativeOpinionActivityData][3][NumberOfInstallations]",Submission!$O:$O,Submission!$H:$N,""))</f>
        <v>5</v>
      </c>
      <c r="G151" s="406"/>
      <c r="H151" s="406" t="str">
        <f>_xlfn.CONCAT(_xlfn.XLOOKUP("[S08_NegativeOpinionActivityData][3][NumberOfInstallationsConEst]",Submission!$O:$O,Submission!$H:$N,""))</f>
        <v>0</v>
      </c>
      <c r="I151" s="406"/>
    </row>
    <row r="152" spans="1:9" s="95" customFormat="1" ht="27.75" customHeight="1" x14ac:dyDescent="0.3">
      <c r="A152" s="94"/>
      <c r="C152" s="382" t="s">
        <v>1203</v>
      </c>
      <c r="D152" s="382"/>
      <c r="E152" s="382"/>
      <c r="F152" s="406" t="str">
        <f>_xlfn.CONCAT(_xlfn.XLOOKUP("[S08_NegativeOpinionActivityData][4][NumberOfInstallations]",Submission!$O:$O,Submission!$H:$N,""))</f>
        <v>7</v>
      </c>
      <c r="G152" s="406"/>
      <c r="H152" s="406" t="str">
        <f>_xlfn.CONCAT(_xlfn.XLOOKUP("[S08_NegativeOpinionActivityData][4][NumberOfInstallationsConEst]",Submission!$O:$O,Submission!$H:$N,""))</f>
        <v>2</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Yes</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20 - Combustion of fuels as specified in Annex I of Directive 2003/87/EC</v>
      </c>
      <c r="D157" s="260"/>
      <c r="E157" s="72" t="str">
        <f>_xlfn.CONCAT(_xlfn.XLOOKUP("[S08_ActivityDataIssuesDetail]["&amp;ROW(B157)-ROW($B$156)&amp;"][TypeOfIssue]",Submission!$O:$O,Submission!$H:$N,""))</f>
        <v>Non-compliance with Implementing Regulation (EU) 2018/2066</v>
      </c>
      <c r="F157" s="106" t="str">
        <f>_xlfn.CONCAT(_xlfn.XLOOKUP("[S08_ActivityDataIssuesDetail]["&amp;ROW(B157)-ROW($B$156)&amp;"][NumberOfInstallations]",Submission!$O:$O,Submission!$H:$N,""))</f>
        <v>322</v>
      </c>
      <c r="G157" s="106" t="str">
        <f>_xlfn.CONCAT(_xlfn.XLOOKUP("[S08_ActivityDataIssuesDetail]["&amp;ROW(B157)-ROW($B$156)&amp;"][NumberOfIssues]",Submission!$O:$O,Submission!$H:$N,""))</f>
        <v>322</v>
      </c>
      <c r="H157" s="461" t="str">
        <f>_xlfn.CONCAT(_xlfn.XLOOKUP("[S08_ActivityDataIssuesDetail]["&amp;ROW(B157)-ROW($B$156)&amp;"][NumberOfInstallationsConEst]",Submission!$O:$O,Submission!$H:$N,""))</f>
        <v>0</v>
      </c>
      <c r="I157" s="462"/>
    </row>
    <row r="158" spans="1:9" ht="54" customHeight="1" x14ac:dyDescent="0.3">
      <c r="C158" s="258" t="str">
        <f>_xlfn.CONCAT(_xlfn.XLOOKUP("[S08_ActivityDataIssuesDetail]["&amp;ROW(B158)-ROW($B$156)&amp;"][AnnexIActivity]",Submission!$O:$O,Submission!$H:$N,""))</f>
        <v>35 - Production of pulp as specified in Annex I of Directive 2003/87/EC</v>
      </c>
      <c r="D158" s="260"/>
      <c r="E158" s="72" t="str">
        <f>_xlfn.CONCAT(_xlfn.XLOOKUP("[S08_ActivityDataIssuesDetail]["&amp;ROW(B158)-ROW($B$156)&amp;"][TypeOfIssue]",Submission!$O:$O,Submission!$H:$N,""))</f>
        <v>Non-compliance with Implementing Regulation (EU) 2018/2066</v>
      </c>
      <c r="F158" s="106" t="str">
        <f>_xlfn.CONCAT(_xlfn.XLOOKUP("[S08_ActivityDataIssuesDetail]["&amp;ROW(B158)-ROW($B$156)&amp;"][NumberOfInstallations]",Submission!$O:$O,Submission!$H:$N,""))</f>
        <v>25</v>
      </c>
      <c r="G158" s="106" t="str">
        <f>_xlfn.CONCAT(_xlfn.XLOOKUP("[S08_ActivityDataIssuesDetail]["&amp;ROW(B158)-ROW($B$156)&amp;"][NumberOfIssues]",Submission!$O:$O,Submission!$H:$N,""))</f>
        <v>25</v>
      </c>
      <c r="H158" s="461" t="str">
        <f>_xlfn.CONCAT(_xlfn.XLOOKUP("[S08_ActivityDataIssuesDetail]["&amp;ROW(B158)-ROW($B$156)&amp;"][NumberOfInstallationsConEst]",Submission!$O:$O,Submission!$H:$N,""))</f>
        <v>0</v>
      </c>
      <c r="I158" s="462"/>
    </row>
    <row r="159" spans="1:9" ht="54" customHeight="1" x14ac:dyDescent="0.3">
      <c r="C159" s="258" t="str">
        <f>_xlfn.CONCAT(_xlfn.XLOOKUP("[S08_ActivityDataIssuesDetail]["&amp;ROW(B159)-ROW($B$156)&amp;"][AnnexIActivity]",Submission!$O:$O,Submission!$H:$N,""))</f>
        <v>31 - Manufacture of glass as specified in Annex I of Directive 2003/87/EC</v>
      </c>
      <c r="D159" s="260"/>
      <c r="E159" s="72" t="str">
        <f>_xlfn.CONCAT(_xlfn.XLOOKUP("[S08_ActivityDataIssuesDetail]["&amp;ROW(B159)-ROW($B$156)&amp;"][TypeOfIssue]",Submission!$O:$O,Submission!$H:$N,""))</f>
        <v>Non-compliance with Implementing Regulation (EU) 2018/2066</v>
      </c>
      <c r="F159" s="106" t="str">
        <f>_xlfn.CONCAT(_xlfn.XLOOKUP("[S08_ActivityDataIssuesDetail]["&amp;ROW(B159)-ROW($B$156)&amp;"][NumberOfInstallations]",Submission!$O:$O,Submission!$H:$N,""))</f>
        <v>39</v>
      </c>
      <c r="G159" s="106" t="str">
        <f>_xlfn.CONCAT(_xlfn.XLOOKUP("[S08_ActivityDataIssuesDetail]["&amp;ROW(B159)-ROW($B$156)&amp;"][NumberOfIssues]",Submission!$O:$O,Submission!$H:$N,""))</f>
        <v>39</v>
      </c>
      <c r="H159" s="461" t="str">
        <f>_xlfn.CONCAT(_xlfn.XLOOKUP("[S08_ActivityDataIssuesDetail]["&amp;ROW(B159)-ROW($B$156)&amp;"][NumberOfInstallationsConEst]",Submission!$O:$O,Submission!$H:$N,""))</f>
        <v>0</v>
      </c>
      <c r="I159" s="462"/>
    </row>
    <row r="160" spans="1:9" ht="54" customHeight="1" x14ac:dyDescent="0.3">
      <c r="C160" s="258" t="str">
        <f>_xlfn.CONCAT(_xlfn.XLOOKUP("[S08_ActivityDataIssuesDetail]["&amp;ROW(B160)-ROW($B$156)&amp;"][AnnexIActivity]",Submission!$O:$O,Submission!$H:$N,""))</f>
        <v xml:space="preserve">36 - Production of paper or cardboard as specified in Annex I of Directive 2003/87/EC </v>
      </c>
      <c r="D160" s="260"/>
      <c r="E160" s="72" t="str">
        <f>_xlfn.CONCAT(_xlfn.XLOOKUP("[S08_ActivityDataIssuesDetail]["&amp;ROW(B160)-ROW($B$156)&amp;"][TypeOfIssue]",Submission!$O:$O,Submission!$H:$N,""))</f>
        <v>Non-compliance with Implementing Regulation (EU) 2018/2066</v>
      </c>
      <c r="F160" s="106" t="str">
        <f>_xlfn.CONCAT(_xlfn.XLOOKUP("[S08_ActivityDataIssuesDetail]["&amp;ROW(B160)-ROW($B$156)&amp;"][NumberOfInstallations]",Submission!$O:$O,Submission!$H:$N,""))</f>
        <v>58</v>
      </c>
      <c r="G160" s="106" t="str">
        <f>_xlfn.CONCAT(_xlfn.XLOOKUP("[S08_ActivityDataIssuesDetail]["&amp;ROW(B160)-ROW($B$156)&amp;"][NumberOfIssues]",Submission!$O:$O,Submission!$H:$N,""))</f>
        <v>58</v>
      </c>
      <c r="H160" s="461" t="str">
        <f>_xlfn.CONCAT(_xlfn.XLOOKUP("[S08_ActivityDataIssuesDetail]["&amp;ROW(B160)-ROW($B$156)&amp;"][NumberOfInstallationsConEst]",Submission!$O:$O,Submission!$H:$N,""))</f>
        <v>0</v>
      </c>
      <c r="I160" s="462"/>
    </row>
    <row r="161" spans="3:9" ht="54" customHeight="1" x14ac:dyDescent="0.3">
      <c r="C161" s="258" t="str">
        <f>_xlfn.CONCAT(_xlfn.XLOOKUP("[S08_ActivityDataIssuesDetail]["&amp;ROW(B161)-ROW($B$156)&amp;"][AnnexIActivity]",Submission!$O:$O,Submission!$H:$N,""))</f>
        <v>32 - Manufacture of ceramic products as specified in Annex I of Directive 2003/87/EC</v>
      </c>
      <c r="D161" s="260"/>
      <c r="E161" s="72" t="str">
        <f>_xlfn.CONCAT(_xlfn.XLOOKUP("[S08_ActivityDataIssuesDetail]["&amp;ROW(B161)-ROW($B$156)&amp;"][TypeOfIssue]",Submission!$O:$O,Submission!$H:$N,""))</f>
        <v>Non-compliance with Implementing Regulation (EU) 2018/2066</v>
      </c>
      <c r="F161" s="106" t="str">
        <f>_xlfn.CONCAT(_xlfn.XLOOKUP("[S08_ActivityDataIssuesDetail]["&amp;ROW(B161)-ROW($B$156)&amp;"][NumberOfInstallations]",Submission!$O:$O,Submission!$H:$N,""))</f>
        <v>35</v>
      </c>
      <c r="G161" s="106" t="str">
        <f>_xlfn.CONCAT(_xlfn.XLOOKUP("[S08_ActivityDataIssuesDetail]["&amp;ROW(B161)-ROW($B$156)&amp;"][NumberOfIssues]",Submission!$O:$O,Submission!$H:$N,""))</f>
        <v>35</v>
      </c>
      <c r="H161" s="461" t="str">
        <f>_xlfn.CONCAT(_xlfn.XLOOKUP("[S08_ActivityDataIssuesDetail]["&amp;ROW(B161)-ROW($B$156)&amp;"][NumberOfInstallationsConEst]",Submission!$O:$O,Submission!$H:$N,""))</f>
        <v>0</v>
      </c>
      <c r="I161" s="462"/>
    </row>
    <row r="162" spans="3:9" ht="54" customHeight="1" x14ac:dyDescent="0.3">
      <c r="C162" s="258" t="str">
        <f>_xlfn.CONCAT(_xlfn.XLOOKUP("[S08_ActivityDataIssuesDetail]["&amp;ROW(B162)-ROW($B$156)&amp;"][AnnexIActivity]",Submission!$O:$O,Submission!$H:$N,""))</f>
        <v>30 - Production of lime or calcination of dolomite or magnesite as specified in Annex I of Directive 2003/87/ EC</v>
      </c>
      <c r="D162" s="260"/>
      <c r="E162" s="72" t="str">
        <f>_xlfn.CONCAT(_xlfn.XLOOKUP("[S08_ActivityDataIssuesDetail]["&amp;ROW(B162)-ROW($B$156)&amp;"][TypeOfIssue]",Submission!$O:$O,Submission!$H:$N,""))</f>
        <v>Non-compliance with Implementing Regulation (EU) 2018/2066</v>
      </c>
      <c r="F162" s="106" t="str">
        <f>_xlfn.CONCAT(_xlfn.XLOOKUP("[S08_ActivityDataIssuesDetail]["&amp;ROW(B162)-ROW($B$156)&amp;"][NumberOfInstallations]",Submission!$O:$O,Submission!$H:$N,""))</f>
        <v>13</v>
      </c>
      <c r="G162" s="106" t="str">
        <f>_xlfn.CONCAT(_xlfn.XLOOKUP("[S08_ActivityDataIssuesDetail]["&amp;ROW(B162)-ROW($B$156)&amp;"][NumberOfIssues]",Submission!$O:$O,Submission!$H:$N,""))</f>
        <v>13</v>
      </c>
      <c r="H162" s="461" t="str">
        <f>_xlfn.CONCAT(_xlfn.XLOOKUP("[S08_ActivityDataIssuesDetail]["&amp;ROW(B162)-ROW($B$156)&amp;"][NumberOfInstallationsConEst]",Submission!$O:$O,Submission!$H:$N,""))</f>
        <v>0</v>
      </c>
      <c r="I162" s="462"/>
    </row>
    <row r="163" spans="3:9" ht="54" customHeight="1" x14ac:dyDescent="0.3">
      <c r="C163" s="258" t="str">
        <f>_xlfn.CONCAT(_xlfn.XLOOKUP("[S08_ActivityDataIssuesDetail]["&amp;ROW(B163)-ROW($B$156)&amp;"][AnnexIActivity]",Submission!$O:$O,Submission!$H:$N,""))</f>
        <v xml:space="preserve">38 - Production of nitric acid </v>
      </c>
      <c r="D163" s="260"/>
      <c r="E163" s="72" t="str">
        <f>_xlfn.CONCAT(_xlfn.XLOOKUP("[S08_ActivityDataIssuesDetail]["&amp;ROW(B163)-ROW($B$156)&amp;"][TypeOfIssue]",Submission!$O:$O,Submission!$H:$N,""))</f>
        <v>Non-compliance with Implementing Regulation (EU) 2018/2066</v>
      </c>
      <c r="F163" s="106" t="str">
        <f>_xlfn.CONCAT(_xlfn.XLOOKUP("[S08_ActivityDataIssuesDetail]["&amp;ROW(B163)-ROW($B$156)&amp;"][NumberOfInstallations]",Submission!$O:$O,Submission!$H:$N,""))</f>
        <v>4</v>
      </c>
      <c r="G163" s="106" t="str">
        <f>_xlfn.CONCAT(_xlfn.XLOOKUP("[S08_ActivityDataIssuesDetail]["&amp;ROW(B163)-ROW($B$156)&amp;"][NumberOfIssues]",Submission!$O:$O,Submission!$H:$N,""))</f>
        <v>4</v>
      </c>
      <c r="H163" s="461" t="str">
        <f>_xlfn.CONCAT(_xlfn.XLOOKUP("[S08_ActivityDataIssuesDetail]["&amp;ROW(B163)-ROW($B$156)&amp;"][NumberOfInstallationsConEst]",Submission!$O:$O,Submission!$H:$N,""))</f>
        <v>0</v>
      </c>
      <c r="I163" s="462"/>
    </row>
    <row r="164" spans="3:9" ht="54" customHeight="1" x14ac:dyDescent="0.3">
      <c r="C164" s="258" t="str">
        <f>_xlfn.CONCAT(_xlfn.XLOOKUP("[S08_ActivityDataIssuesDetail]["&amp;ROW(B164)-ROW($B$156)&amp;"][AnnexIActivity]",Submission!$O:$O,Submission!$H:$N,""))</f>
        <v>24 - Production of pig iron or steel as specified in Annex I of Directive 2003/87/EC</v>
      </c>
      <c r="D164" s="260"/>
      <c r="E164" s="72" t="str">
        <f>_xlfn.CONCAT(_xlfn.XLOOKUP("[S08_ActivityDataIssuesDetail]["&amp;ROW(B164)-ROW($B$156)&amp;"][TypeOfIssue]",Submission!$O:$O,Submission!$H:$N,""))</f>
        <v>Non-compliance with Implementing Regulation (EU) 2018/2066</v>
      </c>
      <c r="F164" s="106" t="str">
        <f>_xlfn.CONCAT(_xlfn.XLOOKUP("[S08_ActivityDataIssuesDetail]["&amp;ROW(B164)-ROW($B$156)&amp;"][NumberOfInstallations]",Submission!$O:$O,Submission!$H:$N,""))</f>
        <v>14</v>
      </c>
      <c r="G164" s="106" t="str">
        <f>_xlfn.CONCAT(_xlfn.XLOOKUP("[S08_ActivityDataIssuesDetail]["&amp;ROW(B164)-ROW($B$156)&amp;"][NumberOfIssues]",Submission!$O:$O,Submission!$H:$N,""))</f>
        <v>14</v>
      </c>
      <c r="H164" s="461" t="str">
        <f>_xlfn.CONCAT(_xlfn.XLOOKUP("[S08_ActivityDataIssuesDetail]["&amp;ROW(B164)-ROW($B$156)&amp;"][NumberOfInstallationsConEst]",Submission!$O:$O,Submission!$H:$N,""))</f>
        <v>0</v>
      </c>
      <c r="I164" s="462"/>
    </row>
    <row r="165" spans="3:9" ht="54" customHeight="1" x14ac:dyDescent="0.3">
      <c r="C165" s="258" t="str">
        <f>_xlfn.CONCAT(_xlfn.XLOOKUP("[S08_ActivityDataIssuesDetail]["&amp;ROW(B165)-ROW($B$156)&amp;"][AnnexIActivity]",Submission!$O:$O,Submission!$H:$N,""))</f>
        <v>29 - Production of cement clinker in rotary kilns as specified in Annex I of Directive 2003/87/ EC</v>
      </c>
      <c r="D165" s="260"/>
      <c r="E165" s="72" t="str">
        <f>_xlfn.CONCAT(_xlfn.XLOOKUP("[S08_ActivityDataIssuesDetail]["&amp;ROW(B165)-ROW($B$156)&amp;"][TypeOfIssue]",Submission!$O:$O,Submission!$H:$N,""))</f>
        <v>Non-compliance with Implementing Regulation (EU) 2018/2066</v>
      </c>
      <c r="F165" s="106" t="str">
        <f>_xlfn.CONCAT(_xlfn.XLOOKUP("[S08_ActivityDataIssuesDetail]["&amp;ROW(B165)-ROW($B$156)&amp;"][NumberOfInstallations]",Submission!$O:$O,Submission!$H:$N,""))</f>
        <v>4</v>
      </c>
      <c r="G165" s="106" t="str">
        <f>_xlfn.CONCAT(_xlfn.XLOOKUP("[S08_ActivityDataIssuesDetail]["&amp;ROW(B165)-ROW($B$156)&amp;"][NumberOfIssues]",Submission!$O:$O,Submission!$H:$N,""))</f>
        <v>4</v>
      </c>
      <c r="H165" s="461" t="str">
        <f>_xlfn.CONCAT(_xlfn.XLOOKUP("[S08_ActivityDataIssuesDetail]["&amp;ROW(B165)-ROW($B$156)&amp;"][NumberOfInstallationsConEst]",Submission!$O:$O,Submission!$H:$N,""))</f>
        <v>0</v>
      </c>
      <c r="I165" s="462"/>
    </row>
    <row r="166" spans="3:9" ht="54" customHeight="1" x14ac:dyDescent="0.3">
      <c r="C166" s="258" t="str">
        <f>_xlfn.CONCAT(_xlfn.XLOOKUP("[S08_ActivityDataIssuesDetail]["&amp;ROW(B166)-ROW($B$156)&amp;"][AnnexIActivity]",Submission!$O:$O,Submission!$H:$N,""))</f>
        <v>33 - Manufacture of mineral wool insulation material using glass, rock or slag as specified in Annex I of Directive 2003/87/EC</v>
      </c>
      <c r="D166" s="260"/>
      <c r="E166" s="72" t="str">
        <f>_xlfn.CONCAT(_xlfn.XLOOKUP("[S08_ActivityDataIssuesDetail]["&amp;ROW(B166)-ROW($B$156)&amp;"][TypeOfIssue]",Submission!$O:$O,Submission!$H:$N,""))</f>
        <v>Non-compliance with Implementing Regulation (EU) 2018/2066</v>
      </c>
      <c r="F166" s="106" t="str">
        <f>_xlfn.CONCAT(_xlfn.XLOOKUP("[S08_ActivityDataIssuesDetail]["&amp;ROW(B166)-ROW($B$156)&amp;"][NumberOfInstallations]",Submission!$O:$O,Submission!$H:$N,""))</f>
        <v>7</v>
      </c>
      <c r="G166" s="106" t="str">
        <f>_xlfn.CONCAT(_xlfn.XLOOKUP("[S08_ActivityDataIssuesDetail]["&amp;ROW(B166)-ROW($B$156)&amp;"][NumberOfIssues]",Submission!$O:$O,Submission!$H:$N,""))</f>
        <v>7</v>
      </c>
      <c r="H166" s="461" t="str">
        <f>_xlfn.CONCAT(_xlfn.XLOOKUP("[S08_ActivityDataIssuesDetail]["&amp;ROW(B166)-ROW($B$156)&amp;"][NumberOfInstallationsConEst]",Submission!$O:$O,Submission!$H:$N,""))</f>
        <v>0</v>
      </c>
      <c r="I166" s="462"/>
    </row>
    <row r="167" spans="3:9" ht="54" customHeight="1" x14ac:dyDescent="0.3">
      <c r="C167" s="258" t="str">
        <f>_xlfn.CONCAT(_xlfn.XLOOKUP("[S08_ActivityDataIssuesDetail]["&amp;ROW(B167)-ROW($B$156)&amp;"][AnnexIActivity]",Submission!$O:$O,Submission!$H:$N,""))</f>
        <v>21 - Refining of mineral oil</v>
      </c>
      <c r="D167" s="260"/>
      <c r="E167" s="72" t="str">
        <f>_xlfn.CONCAT(_xlfn.XLOOKUP("[S08_ActivityDataIssuesDetail]["&amp;ROW(B167)-ROW($B$156)&amp;"][TypeOfIssue]",Submission!$O:$O,Submission!$H:$N,""))</f>
        <v>Non-compliance with Implementing Regulation (EU) 2018/2066</v>
      </c>
      <c r="F167" s="106" t="str">
        <f>_xlfn.CONCAT(_xlfn.XLOOKUP("[S08_ActivityDataIssuesDetail]["&amp;ROW(B167)-ROW($B$156)&amp;"][NumberOfInstallations]",Submission!$O:$O,Submission!$H:$N,""))</f>
        <v>7</v>
      </c>
      <c r="G167" s="106" t="str">
        <f>_xlfn.CONCAT(_xlfn.XLOOKUP("[S08_ActivityDataIssuesDetail]["&amp;ROW(B167)-ROW($B$156)&amp;"][NumberOfIssues]",Submission!$O:$O,Submission!$H:$N,""))</f>
        <v>7</v>
      </c>
      <c r="H167" s="461" t="str">
        <f>_xlfn.CONCAT(_xlfn.XLOOKUP("[S08_ActivityDataIssuesDetail]["&amp;ROW(B167)-ROW($B$156)&amp;"][NumberOfInstallationsConEst]",Submission!$O:$O,Submission!$H:$N,""))</f>
        <v>0</v>
      </c>
      <c r="I167" s="462"/>
    </row>
    <row r="168" spans="3:9" ht="54" customHeight="1" x14ac:dyDescent="0.3">
      <c r="C168" s="258" t="str">
        <f>_xlfn.CONCAT(_xlfn.XLOOKUP("[S08_ActivityDataIssuesDetail]["&amp;ROW(B168)-ROW($B$156)&amp;"][AnnexIActivity]",Submission!$O:$O,Submission!$H:$N,""))</f>
        <v xml:space="preserve">41 - Production of ammonia </v>
      </c>
      <c r="D168" s="260"/>
      <c r="E168" s="72" t="str">
        <f>_xlfn.CONCAT(_xlfn.XLOOKUP("[S08_ActivityDataIssuesDetail]["&amp;ROW(B168)-ROW($B$156)&amp;"][TypeOfIssue]",Submission!$O:$O,Submission!$H:$N,""))</f>
        <v>Non-compliance with Implementing Regulation (EU) 2018/2066</v>
      </c>
      <c r="F168" s="106" t="str">
        <f>_xlfn.CONCAT(_xlfn.XLOOKUP("[S08_ActivityDataIssuesDetail]["&amp;ROW(B168)-ROW($B$156)&amp;"][NumberOfInstallations]",Submission!$O:$O,Submission!$H:$N,""))</f>
        <v>1</v>
      </c>
      <c r="G168" s="106" t="str">
        <f>_xlfn.CONCAT(_xlfn.XLOOKUP("[S08_ActivityDataIssuesDetail]["&amp;ROW(B168)-ROW($B$156)&amp;"][NumberOfIssues]",Submission!$O:$O,Submission!$H:$N,""))</f>
        <v>1</v>
      </c>
      <c r="H168" s="461" t="str">
        <f>_xlfn.CONCAT(_xlfn.XLOOKUP("[S08_ActivityDataIssuesDetail]["&amp;ROW(B168)-ROW($B$156)&amp;"][NumberOfInstallationsConEst]",Submission!$O:$O,Submission!$H:$N,""))</f>
        <v>0</v>
      </c>
      <c r="I168" s="462"/>
    </row>
    <row r="169" spans="3:9" ht="54" customHeight="1" x14ac:dyDescent="0.3">
      <c r="C169" s="258" t="str">
        <f>_xlfn.CONCAT(_xlfn.XLOOKUP("[S08_ActivityDataIssuesDetail]["&amp;ROW(B169)-ROW($B$156)&amp;"][AnnexIActivity]",Submission!$O:$O,Submission!$H:$N,""))</f>
        <v xml:space="preserve">42 - Production of bulk organic chemicals as specified in Annex I of Directive 2003/87/EC </v>
      </c>
      <c r="D169" s="260"/>
      <c r="E169" s="72" t="str">
        <f>_xlfn.CONCAT(_xlfn.XLOOKUP("[S08_ActivityDataIssuesDetail]["&amp;ROW(B169)-ROW($B$156)&amp;"][TypeOfIssue]",Submission!$O:$O,Submission!$H:$N,""))</f>
        <v>Non-compliance with Implementing Regulation (EU) 2018/2066</v>
      </c>
      <c r="F169" s="106" t="str">
        <f>_xlfn.CONCAT(_xlfn.XLOOKUP("[S08_ActivityDataIssuesDetail]["&amp;ROW(B169)-ROW($B$156)&amp;"][NumberOfInstallations]",Submission!$O:$O,Submission!$H:$N,""))</f>
        <v>23</v>
      </c>
      <c r="G169" s="106" t="str">
        <f>_xlfn.CONCAT(_xlfn.XLOOKUP("[S08_ActivityDataIssuesDetail]["&amp;ROW(B169)-ROW($B$156)&amp;"][NumberOfIssues]",Submission!$O:$O,Submission!$H:$N,""))</f>
        <v>23</v>
      </c>
      <c r="H169" s="461" t="str">
        <f>_xlfn.CONCAT(_xlfn.XLOOKUP("[S08_ActivityDataIssuesDetail]["&amp;ROW(B169)-ROW($B$156)&amp;"][NumberOfInstallationsConEst]",Submission!$O:$O,Submission!$H:$N,""))</f>
        <v>0</v>
      </c>
      <c r="I169" s="462"/>
    </row>
    <row r="170" spans="3:9" ht="54" customHeight="1" x14ac:dyDescent="0.3">
      <c r="C170" s="258" t="str">
        <f>_xlfn.CONCAT(_xlfn.XLOOKUP("[S08_ActivityDataIssuesDetail]["&amp;ROW(B170)-ROW($B$156)&amp;"][AnnexIActivity]",Submission!$O:$O,Submission!$H:$N,""))</f>
        <v xml:space="preserve">43 - Production of hydrogen (H2) and synthesis gas as specified in Annex I of Directive 2003/87/EC </v>
      </c>
      <c r="D170" s="260"/>
      <c r="E170" s="72" t="str">
        <f>_xlfn.CONCAT(_xlfn.XLOOKUP("[S08_ActivityDataIssuesDetail]["&amp;ROW(B170)-ROW($B$156)&amp;"][TypeOfIssue]",Submission!$O:$O,Submission!$H:$N,""))</f>
        <v>Non-compliance with Implementing Regulation (EU) 2018/2066</v>
      </c>
      <c r="F170" s="106" t="str">
        <f>_xlfn.CONCAT(_xlfn.XLOOKUP("[S08_ActivityDataIssuesDetail]["&amp;ROW(B170)-ROW($B$156)&amp;"][NumberOfInstallations]",Submission!$O:$O,Submission!$H:$N,""))</f>
        <v>6</v>
      </c>
      <c r="G170" s="106" t="str">
        <f>_xlfn.CONCAT(_xlfn.XLOOKUP("[S08_ActivityDataIssuesDetail]["&amp;ROW(B170)-ROW($B$156)&amp;"][NumberOfIssues]",Submission!$O:$O,Submission!$H:$N,""))</f>
        <v>6</v>
      </c>
      <c r="H170" s="461" t="str">
        <f>_xlfn.CONCAT(_xlfn.XLOOKUP("[S08_ActivityDataIssuesDetail]["&amp;ROW(B170)-ROW($B$156)&amp;"][NumberOfInstallationsConEst]",Submission!$O:$O,Submission!$H:$N,""))</f>
        <v>0</v>
      </c>
      <c r="I170" s="462"/>
    </row>
    <row r="171" spans="3:9" ht="54" customHeight="1" x14ac:dyDescent="0.3">
      <c r="C171" s="258" t="str">
        <f>_xlfn.CONCAT(_xlfn.XLOOKUP("[S08_ActivityDataIssuesDetail]["&amp;ROW(B171)-ROW($B$156)&amp;"][AnnexIActivity]",Submission!$O:$O,Submission!$H:$N,""))</f>
        <v>23 - Metal ore (including sulphide ore) roasting or sintering, including pelletisation</v>
      </c>
      <c r="D171" s="260"/>
      <c r="E171" s="72" t="str">
        <f>_xlfn.CONCAT(_xlfn.XLOOKUP("[S08_ActivityDataIssuesDetail]["&amp;ROW(B171)-ROW($B$156)&amp;"][TypeOfIssue]",Submission!$O:$O,Submission!$H:$N,""))</f>
        <v>Non-compliance with Implementing Regulation (EU) 2018/2066</v>
      </c>
      <c r="F171" s="106" t="str">
        <f>_xlfn.CONCAT(_xlfn.XLOOKUP("[S08_ActivityDataIssuesDetail]["&amp;ROW(B171)-ROW($B$156)&amp;"][NumberOfInstallations]",Submission!$O:$O,Submission!$H:$N,""))</f>
        <v>3</v>
      </c>
      <c r="G171" s="106" t="str">
        <f>_xlfn.CONCAT(_xlfn.XLOOKUP("[S08_ActivityDataIssuesDetail]["&amp;ROW(B171)-ROW($B$156)&amp;"][NumberOfIssues]",Submission!$O:$O,Submission!$H:$N,""))</f>
        <v>3</v>
      </c>
      <c r="H171" s="461" t="str">
        <f>_xlfn.CONCAT(_xlfn.XLOOKUP("[S08_ActivityDataIssuesDetail]["&amp;ROW(B171)-ROW($B$156)&amp;"][NumberOfInstallationsConEst]",Submission!$O:$O,Submission!$H:$N,""))</f>
        <v>0</v>
      </c>
      <c r="I171" s="462"/>
    </row>
    <row r="172" spans="3:9" ht="54" hidden="1" customHeight="1" outlineLevel="1" x14ac:dyDescent="0.3">
      <c r="C172" s="258" t="str">
        <f>_xlfn.CONCAT(_xlfn.XLOOKUP("[S08_ActivityDataIssuesDetail]["&amp;ROW(B172)-ROW($B$156)&amp;"][AnnexIActivity]",Submission!$O:$O,Submission!$H:$N,""))</f>
        <v xml:space="preserve">39 - Production of adipic acid </v>
      </c>
      <c r="D172" s="260"/>
      <c r="E172" s="72" t="str">
        <f>_xlfn.CONCAT(_xlfn.XLOOKUP("[S08_ActivityDataIssuesDetail]["&amp;ROW(B172)-ROW($B$156)&amp;"][TypeOfIssue]",Submission!$O:$O,Submission!$H:$N,""))</f>
        <v>Non-compliance with Implementing Regulation (EU) 2018/2066</v>
      </c>
      <c r="F172" s="106" t="str">
        <f>_xlfn.CONCAT(_xlfn.XLOOKUP("[S08_ActivityDataIssuesDetail]["&amp;ROW(B172)-ROW($B$156)&amp;"][NumberOfInstallations]",Submission!$O:$O,Submission!$H:$N,""))</f>
        <v>1</v>
      </c>
      <c r="G172" s="106" t="str">
        <f>_xlfn.CONCAT(_xlfn.XLOOKUP("[S08_ActivityDataIssuesDetail]["&amp;ROW(B172)-ROW($B$156)&amp;"][NumberOfIssues]",Submission!$O:$O,Submission!$H:$N,""))</f>
        <v>1</v>
      </c>
      <c r="H172" s="461" t="str">
        <f>_xlfn.CONCAT(_xlfn.XLOOKUP("[S08_ActivityDataIssuesDetail]["&amp;ROW(B172)-ROW($B$156)&amp;"][NumberOfInstallationsConEst]",Submission!$O:$O,Submission!$H:$N,""))</f>
        <v>0</v>
      </c>
      <c r="I172" s="462"/>
    </row>
    <row r="173" spans="3:9" ht="54" hidden="1" customHeight="1" outlineLevel="1" x14ac:dyDescent="0.3">
      <c r="C173" s="258" t="str">
        <f>_xlfn.CONCAT(_xlfn.XLOOKUP("[S08_ActivityDataIssuesDetail]["&amp;ROW(B173)-ROW($B$156)&amp;"][AnnexIActivity]",Submission!$O:$O,Submission!$H:$N,""))</f>
        <v>27 - Production of secondary aluminium as specific in Annex I of Directive 2003/87/EC</v>
      </c>
      <c r="D173" s="260"/>
      <c r="E173" s="72" t="str">
        <f>_xlfn.CONCAT(_xlfn.XLOOKUP("[S08_ActivityDataIssuesDetail]["&amp;ROW(B173)-ROW($B$156)&amp;"][TypeOfIssue]",Submission!$O:$O,Submission!$H:$N,""))</f>
        <v>Non-compliance with Implementing Regulation (EU) 2018/2066</v>
      </c>
      <c r="F173" s="106" t="str">
        <f>_xlfn.CONCAT(_xlfn.XLOOKUP("[S08_ActivityDataIssuesDetail]["&amp;ROW(B173)-ROW($B$156)&amp;"][NumberOfInstallations]",Submission!$O:$O,Submission!$H:$N,""))</f>
        <v>3</v>
      </c>
      <c r="G173" s="106" t="str">
        <f>_xlfn.CONCAT(_xlfn.XLOOKUP("[S08_ActivityDataIssuesDetail]["&amp;ROW(B173)-ROW($B$156)&amp;"][NumberOfIssues]",Submission!$O:$O,Submission!$H:$N,""))</f>
        <v>3</v>
      </c>
      <c r="H173" s="461" t="str">
        <f>_xlfn.CONCAT(_xlfn.XLOOKUP("[S08_ActivityDataIssuesDetail]["&amp;ROW(B173)-ROW($B$156)&amp;"][NumberOfInstallationsConEst]",Submission!$O:$O,Submission!$H:$N,""))</f>
        <v>0</v>
      </c>
      <c r="I173" s="462"/>
    </row>
    <row r="174" spans="3:9" ht="54" hidden="1" customHeight="1" outlineLevel="1" x14ac:dyDescent="0.3">
      <c r="C174" s="258" t="str">
        <f>_xlfn.CONCAT(_xlfn.XLOOKUP("[S08_ActivityDataIssuesDetail]["&amp;ROW(B174)-ROW($B$156)&amp;"][AnnexIActivity]",Submission!$O:$O,Submission!$H:$N,""))</f>
        <v>34 - Drying or calcination of gypsum or production of plaster boards and other gypsum products, as specified in Annex I of Directive 2003/87/EC</v>
      </c>
      <c r="D174" s="260"/>
      <c r="E174" s="72" t="str">
        <f>_xlfn.CONCAT(_xlfn.XLOOKUP("[S08_ActivityDataIssuesDetail]["&amp;ROW(B174)-ROW($B$156)&amp;"][TypeOfIssue]",Submission!$O:$O,Submission!$H:$N,""))</f>
        <v>Non-compliance with Implementing Regulation (EU) 2018/2066</v>
      </c>
      <c r="F174" s="106" t="str">
        <f>_xlfn.CONCAT(_xlfn.XLOOKUP("[S08_ActivityDataIssuesDetail]["&amp;ROW(B174)-ROW($B$156)&amp;"][NumberOfInstallations]",Submission!$O:$O,Submission!$H:$N,""))</f>
        <v>7</v>
      </c>
      <c r="G174" s="106" t="str">
        <f>_xlfn.CONCAT(_xlfn.XLOOKUP("[S08_ActivityDataIssuesDetail]["&amp;ROW(B174)-ROW($B$156)&amp;"][NumberOfIssues]",Submission!$O:$O,Submission!$H:$N,""))</f>
        <v>7</v>
      </c>
      <c r="H174" s="461" t="str">
        <f>_xlfn.CONCAT(_xlfn.XLOOKUP("[S08_ActivityDataIssuesDetail]["&amp;ROW(B174)-ROW($B$156)&amp;"][NumberOfInstallationsConEst]",Submission!$O:$O,Submission!$H:$N,""))</f>
        <v>0</v>
      </c>
      <c r="I174" s="462"/>
    </row>
    <row r="175" spans="3:9" ht="54" hidden="1" customHeight="1" outlineLevel="1" x14ac:dyDescent="0.3">
      <c r="C175" s="258" t="str">
        <f>_xlfn.CONCAT(_xlfn.XLOOKUP("[S08_ActivityDataIssuesDetail]["&amp;ROW(B175)-ROW($B$156)&amp;"][AnnexIActivity]",Submission!$O:$O,Submission!$H:$N,""))</f>
        <v>44 - Production of soda ash (Na2CO3) and sodium bicarbonate (NaHCO3) as specified in Annex I of Directive 2003/87/EC</v>
      </c>
      <c r="D175" s="260"/>
      <c r="E175" s="72" t="str">
        <f>_xlfn.CONCAT(_xlfn.XLOOKUP("[S08_ActivityDataIssuesDetail]["&amp;ROW(B175)-ROW($B$156)&amp;"][TypeOfIssue]",Submission!$O:$O,Submission!$H:$N,""))</f>
        <v>Non-compliance with Implementing Regulation (EU) 2018/2066</v>
      </c>
      <c r="F175" s="106" t="str">
        <f>_xlfn.CONCAT(_xlfn.XLOOKUP("[S08_ActivityDataIssuesDetail]["&amp;ROW(B175)-ROW($B$156)&amp;"][NumberOfInstallations]",Submission!$O:$O,Submission!$H:$N,""))</f>
        <v>2</v>
      </c>
      <c r="G175" s="106" t="str">
        <f>_xlfn.CONCAT(_xlfn.XLOOKUP("[S08_ActivityDataIssuesDetail]["&amp;ROW(B175)-ROW($B$156)&amp;"][NumberOfIssues]",Submission!$O:$O,Submission!$H:$N,""))</f>
        <v>2</v>
      </c>
      <c r="H175" s="461" t="str">
        <f>_xlfn.CONCAT(_xlfn.XLOOKUP("[S08_ActivityDataIssuesDetail]["&amp;ROW(B175)-ROW($B$156)&amp;"][NumberOfInstallationsConEst]",Submission!$O:$O,Submission!$H:$N,""))</f>
        <v>0</v>
      </c>
      <c r="I175" s="462"/>
    </row>
    <row r="176" spans="3:9" ht="54" hidden="1" customHeight="1" outlineLevel="1" x14ac:dyDescent="0.3">
      <c r="C176" s="258" t="str">
        <f>_xlfn.CONCAT(_xlfn.XLOOKUP("[S08_ActivityDataIssuesDetail]["&amp;ROW(B176)-ROW($B$156)&amp;"][AnnexIActivity]",Submission!$O:$O,Submission!$H:$N,""))</f>
        <v xml:space="preserve">22 - Production of coke </v>
      </c>
      <c r="D176" s="260"/>
      <c r="E176" s="72" t="str">
        <f>_xlfn.CONCAT(_xlfn.XLOOKUP("[S08_ActivityDataIssuesDetail]["&amp;ROW(B176)-ROW($B$156)&amp;"][TypeOfIssue]",Submission!$O:$O,Submission!$H:$N,""))</f>
        <v>Non-compliance with Implementing Regulation (EU) 2018/2066</v>
      </c>
      <c r="F176" s="106" t="str">
        <f>_xlfn.CONCAT(_xlfn.XLOOKUP("[S08_ActivityDataIssuesDetail]["&amp;ROW(B176)-ROW($B$156)&amp;"][NumberOfInstallations]",Submission!$O:$O,Submission!$H:$N,""))</f>
        <v>2</v>
      </c>
      <c r="G176" s="106" t="str">
        <f>_xlfn.CONCAT(_xlfn.XLOOKUP("[S08_ActivityDataIssuesDetail]["&amp;ROW(B176)-ROW($B$156)&amp;"][NumberOfIssues]",Submission!$O:$O,Submission!$H:$N,""))</f>
        <v>2</v>
      </c>
      <c r="H176" s="461" t="str">
        <f>_xlfn.CONCAT(_xlfn.XLOOKUP("[S08_ActivityDataIssuesDetail]["&amp;ROW(B176)-ROW($B$156)&amp;"][NumberOfInstallationsConEst]",Submission!$O:$O,Submission!$H:$N,""))</f>
        <v>0</v>
      </c>
      <c r="I176" s="462"/>
    </row>
    <row r="177" spans="3:9" ht="54" hidden="1" customHeight="1" outlineLevel="1" x14ac:dyDescent="0.3">
      <c r="C177" s="258" t="str">
        <f>_xlfn.CONCAT(_xlfn.XLOOKUP("[S08_ActivityDataIssuesDetail]["&amp;ROW(B177)-ROW($B$156)&amp;"][AnnexIActivity]",Submission!$O:$O,Submission!$H:$N,""))</f>
        <v>20 - Combustion of fuels as specified in Annex I of Directive 2003/87/EC</v>
      </c>
      <c r="D177" s="260"/>
      <c r="E177" s="72" t="str">
        <f>_xlfn.CONCAT(_xlfn.XLOOKUP("[S08_ActivityDataIssuesDetail]["&amp;ROW(B177)-ROW($B$156)&amp;"][TypeOfIssue]",Submission!$O:$O,Submission!$H:$N,""))</f>
        <v>Non-material misstatements</v>
      </c>
      <c r="F177" s="106" t="str">
        <f>_xlfn.CONCAT(_xlfn.XLOOKUP("[S08_ActivityDataIssuesDetail]["&amp;ROW(B177)-ROW($B$156)&amp;"][NumberOfInstallations]",Submission!$O:$O,Submission!$H:$N,""))</f>
        <v>161</v>
      </c>
      <c r="G177" s="106" t="str">
        <f>_xlfn.CONCAT(_xlfn.XLOOKUP("[S08_ActivityDataIssuesDetail]["&amp;ROW(B177)-ROW($B$156)&amp;"][NumberOfIssues]",Submission!$O:$O,Submission!$H:$N,""))</f>
        <v>161</v>
      </c>
      <c r="H177" s="461" t="str">
        <f>_xlfn.CONCAT(_xlfn.XLOOKUP("[S08_ActivityDataIssuesDetail]["&amp;ROW(B177)-ROW($B$156)&amp;"][NumberOfInstallationsConEst]",Submission!$O:$O,Submission!$H:$N,""))</f>
        <v>0</v>
      </c>
      <c r="I177" s="462"/>
    </row>
    <row r="178" spans="3:9" ht="54" hidden="1" customHeight="1" outlineLevel="1" x14ac:dyDescent="0.3">
      <c r="C178" s="258" t="str">
        <f>_xlfn.CONCAT(_xlfn.XLOOKUP("[S08_ActivityDataIssuesDetail]["&amp;ROW(B178)-ROW($B$156)&amp;"][AnnexIActivity]",Submission!$O:$O,Submission!$H:$N,""))</f>
        <v>35 - Production of pulp as specified in Annex I of Directive 2003/87/EC</v>
      </c>
      <c r="D178" s="260"/>
      <c r="E178" s="72" t="str">
        <f>_xlfn.CONCAT(_xlfn.XLOOKUP("[S08_ActivityDataIssuesDetail]["&amp;ROW(B178)-ROW($B$156)&amp;"][TypeOfIssue]",Submission!$O:$O,Submission!$H:$N,""))</f>
        <v>Non-material misstatements</v>
      </c>
      <c r="F178" s="106" t="str">
        <f>_xlfn.CONCAT(_xlfn.XLOOKUP("[S08_ActivityDataIssuesDetail]["&amp;ROW(B178)-ROW($B$156)&amp;"][NumberOfInstallations]",Submission!$O:$O,Submission!$H:$N,""))</f>
        <v>2</v>
      </c>
      <c r="G178" s="106" t="str">
        <f>_xlfn.CONCAT(_xlfn.XLOOKUP("[S08_ActivityDataIssuesDetail]["&amp;ROW(B178)-ROW($B$156)&amp;"][NumberOfIssues]",Submission!$O:$O,Submission!$H:$N,""))</f>
        <v>2</v>
      </c>
      <c r="H178" s="461" t="str">
        <f>_xlfn.CONCAT(_xlfn.XLOOKUP("[S08_ActivityDataIssuesDetail]["&amp;ROW(B178)-ROW($B$156)&amp;"][NumberOfInstallationsConEst]",Submission!$O:$O,Submission!$H:$N,""))</f>
        <v>0</v>
      </c>
      <c r="I178" s="462"/>
    </row>
    <row r="179" spans="3:9" ht="54" hidden="1" customHeight="1" outlineLevel="1" x14ac:dyDescent="0.3">
      <c r="C179" s="258" t="str">
        <f>_xlfn.CONCAT(_xlfn.XLOOKUP("[S08_ActivityDataIssuesDetail]["&amp;ROW(B179)-ROW($B$156)&amp;"][AnnexIActivity]",Submission!$O:$O,Submission!$H:$N,""))</f>
        <v>31 - Manufacture of glass as specified in Annex I of Directive 2003/87/EC</v>
      </c>
      <c r="D179" s="260"/>
      <c r="E179" s="72" t="str">
        <f>_xlfn.CONCAT(_xlfn.XLOOKUP("[S08_ActivityDataIssuesDetail]["&amp;ROW(B179)-ROW($B$156)&amp;"][TypeOfIssue]",Submission!$O:$O,Submission!$H:$N,""))</f>
        <v>Non-material misstatements</v>
      </c>
      <c r="F179" s="106" t="str">
        <f>_xlfn.CONCAT(_xlfn.XLOOKUP("[S08_ActivityDataIssuesDetail]["&amp;ROW(B179)-ROW($B$156)&amp;"][NumberOfInstallations]",Submission!$O:$O,Submission!$H:$N,""))</f>
        <v>11</v>
      </c>
      <c r="G179" s="106" t="str">
        <f>_xlfn.CONCAT(_xlfn.XLOOKUP("[S08_ActivityDataIssuesDetail]["&amp;ROW(B179)-ROW($B$156)&amp;"][NumberOfIssues]",Submission!$O:$O,Submission!$H:$N,""))</f>
        <v>11</v>
      </c>
      <c r="H179" s="461" t="str">
        <f>_xlfn.CONCAT(_xlfn.XLOOKUP("[S08_ActivityDataIssuesDetail]["&amp;ROW(B179)-ROW($B$156)&amp;"][NumberOfInstallationsConEst]",Submission!$O:$O,Submission!$H:$N,""))</f>
        <v>0</v>
      </c>
      <c r="I179" s="462"/>
    </row>
    <row r="180" spans="3:9" ht="54" hidden="1" customHeight="1" outlineLevel="1" x14ac:dyDescent="0.3">
      <c r="C180" s="258" t="str">
        <f>_xlfn.CONCAT(_xlfn.XLOOKUP("[S08_ActivityDataIssuesDetail]["&amp;ROW(B180)-ROW($B$156)&amp;"][AnnexIActivity]",Submission!$O:$O,Submission!$H:$N,""))</f>
        <v xml:space="preserve">36 - Production of paper or cardboard as specified in Annex I of Directive 2003/87/EC </v>
      </c>
      <c r="D180" s="260"/>
      <c r="E180" s="72" t="str">
        <f>_xlfn.CONCAT(_xlfn.XLOOKUP("[S08_ActivityDataIssuesDetail]["&amp;ROW(B180)-ROW($B$156)&amp;"][TypeOfIssue]",Submission!$O:$O,Submission!$H:$N,""))</f>
        <v>Non-material misstatements</v>
      </c>
      <c r="F180" s="106" t="str">
        <f>_xlfn.CONCAT(_xlfn.XLOOKUP("[S08_ActivityDataIssuesDetail]["&amp;ROW(B180)-ROW($B$156)&amp;"][NumberOfInstallations]",Submission!$O:$O,Submission!$H:$N,""))</f>
        <v>15</v>
      </c>
      <c r="G180" s="106" t="str">
        <f>_xlfn.CONCAT(_xlfn.XLOOKUP("[S08_ActivityDataIssuesDetail]["&amp;ROW(B180)-ROW($B$156)&amp;"][NumberOfIssues]",Submission!$O:$O,Submission!$H:$N,""))</f>
        <v>15</v>
      </c>
      <c r="H180" s="461" t="str">
        <f>_xlfn.CONCAT(_xlfn.XLOOKUP("[S08_ActivityDataIssuesDetail]["&amp;ROW(B180)-ROW($B$156)&amp;"][NumberOfInstallationsConEst]",Submission!$O:$O,Submission!$H:$N,""))</f>
        <v>0</v>
      </c>
      <c r="I180" s="462"/>
    </row>
    <row r="181" spans="3:9" ht="54" hidden="1" customHeight="1" outlineLevel="1" x14ac:dyDescent="0.3">
      <c r="C181" s="258" t="str">
        <f>_xlfn.CONCAT(_xlfn.XLOOKUP("[S08_ActivityDataIssuesDetail]["&amp;ROW(B181)-ROW($B$156)&amp;"][AnnexIActivity]",Submission!$O:$O,Submission!$H:$N,""))</f>
        <v>25 - Production or processing of ferrous metals as specified in Annex I of Directive 2003/87/EC</v>
      </c>
      <c r="D181" s="260"/>
      <c r="E181" s="72" t="str">
        <f>_xlfn.CONCAT(_xlfn.XLOOKUP("[S08_ActivityDataIssuesDetail]["&amp;ROW(B181)-ROW($B$156)&amp;"][TypeOfIssue]",Submission!$O:$O,Submission!$H:$N,""))</f>
        <v>Non-material misstatements</v>
      </c>
      <c r="F181" s="106" t="str">
        <f>_xlfn.CONCAT(_xlfn.XLOOKUP("[S08_ActivityDataIssuesDetail]["&amp;ROW(B181)-ROW($B$156)&amp;"][NumberOfInstallations]",Submission!$O:$O,Submission!$H:$N,""))</f>
        <v>25</v>
      </c>
      <c r="G181" s="106" t="str">
        <f>_xlfn.CONCAT(_xlfn.XLOOKUP("[S08_ActivityDataIssuesDetail]["&amp;ROW(B181)-ROW($B$156)&amp;"][NumberOfIssues]",Submission!$O:$O,Submission!$H:$N,""))</f>
        <v>25</v>
      </c>
      <c r="H181" s="461" t="str">
        <f>_xlfn.CONCAT(_xlfn.XLOOKUP("[S08_ActivityDataIssuesDetail]["&amp;ROW(B181)-ROW($B$156)&amp;"][NumberOfInstallationsConEst]",Submission!$O:$O,Submission!$H:$N,""))</f>
        <v>0</v>
      </c>
      <c r="I181" s="462"/>
    </row>
    <row r="182" spans="3:9" ht="54" hidden="1" customHeight="1" outlineLevel="1" x14ac:dyDescent="0.3">
      <c r="C182" s="258" t="str">
        <f>_xlfn.CONCAT(_xlfn.XLOOKUP("[S08_ActivityDataIssuesDetail]["&amp;ROW(B182)-ROW($B$156)&amp;"][AnnexIActivity]",Submission!$O:$O,Submission!$H:$N,""))</f>
        <v>32 - Manufacture of ceramic products as specified in Annex I of Directive 2003/87/EC</v>
      </c>
      <c r="D182" s="260"/>
      <c r="E182" s="72" t="str">
        <f>_xlfn.CONCAT(_xlfn.XLOOKUP("[S08_ActivityDataIssuesDetail]["&amp;ROW(B182)-ROW($B$156)&amp;"][TypeOfIssue]",Submission!$O:$O,Submission!$H:$N,""))</f>
        <v>Non-material misstatements</v>
      </c>
      <c r="F182" s="106" t="str">
        <f>_xlfn.CONCAT(_xlfn.XLOOKUP("[S08_ActivityDataIssuesDetail]["&amp;ROW(B182)-ROW($B$156)&amp;"][NumberOfInstallations]",Submission!$O:$O,Submission!$H:$N,""))</f>
        <v>5</v>
      </c>
      <c r="G182" s="106" t="str">
        <f>_xlfn.CONCAT(_xlfn.XLOOKUP("[S08_ActivityDataIssuesDetail]["&amp;ROW(B182)-ROW($B$156)&amp;"][NumberOfIssues]",Submission!$O:$O,Submission!$H:$N,""))</f>
        <v>5</v>
      </c>
      <c r="H182" s="461" t="str">
        <f>_xlfn.CONCAT(_xlfn.XLOOKUP("[S08_ActivityDataIssuesDetail]["&amp;ROW(B182)-ROW($B$156)&amp;"][NumberOfInstallationsConEst]",Submission!$O:$O,Submission!$H:$N,""))</f>
        <v>0</v>
      </c>
      <c r="I182" s="462"/>
    </row>
    <row r="183" spans="3:9" ht="54" hidden="1" customHeight="1" outlineLevel="1" x14ac:dyDescent="0.3">
      <c r="C183" s="258" t="str">
        <f>_xlfn.CONCAT(_xlfn.XLOOKUP("[S08_ActivityDataIssuesDetail]["&amp;ROW(B183)-ROW($B$156)&amp;"][AnnexIActivity]",Submission!$O:$O,Submission!$H:$N,""))</f>
        <v>30 - Production of lime or calcination of dolomite or magnesite as specified in Annex I of Directive 2003/87/ EC</v>
      </c>
      <c r="D183" s="260"/>
      <c r="E183" s="72" t="str">
        <f>_xlfn.CONCAT(_xlfn.XLOOKUP("[S08_ActivityDataIssuesDetail]["&amp;ROW(B183)-ROW($B$156)&amp;"][TypeOfIssue]",Submission!$O:$O,Submission!$H:$N,""))</f>
        <v>Non-material misstatements</v>
      </c>
      <c r="F183" s="106" t="str">
        <f>_xlfn.CONCAT(_xlfn.XLOOKUP("[S08_ActivityDataIssuesDetail]["&amp;ROW(B183)-ROW($B$156)&amp;"][NumberOfInstallations]",Submission!$O:$O,Submission!$H:$N,""))</f>
        <v>1</v>
      </c>
      <c r="G183" s="106" t="str">
        <f>_xlfn.CONCAT(_xlfn.XLOOKUP("[S08_ActivityDataIssuesDetail]["&amp;ROW(B183)-ROW($B$156)&amp;"][NumberOfIssues]",Submission!$O:$O,Submission!$H:$N,""))</f>
        <v>1</v>
      </c>
      <c r="H183" s="461" t="str">
        <f>_xlfn.CONCAT(_xlfn.XLOOKUP("[S08_ActivityDataIssuesDetail]["&amp;ROW(B183)-ROW($B$156)&amp;"][NumberOfInstallationsConEst]",Submission!$O:$O,Submission!$H:$N,""))</f>
        <v>0</v>
      </c>
      <c r="I183" s="462"/>
    </row>
    <row r="184" spans="3:9" ht="54" hidden="1" customHeight="1" outlineLevel="1" x14ac:dyDescent="0.3">
      <c r="C184" s="258" t="str">
        <f>_xlfn.CONCAT(_xlfn.XLOOKUP("[S08_ActivityDataIssuesDetail]["&amp;ROW(B184)-ROW($B$156)&amp;"][AnnexIActivity]",Submission!$O:$O,Submission!$H:$N,""))</f>
        <v>24 - Production of pig iron or steel as specified in Annex I of Directive 2003/87/EC</v>
      </c>
      <c r="D184" s="260"/>
      <c r="E184" s="72" t="str">
        <f>_xlfn.CONCAT(_xlfn.XLOOKUP("[S08_ActivityDataIssuesDetail]["&amp;ROW(B184)-ROW($B$156)&amp;"][TypeOfIssue]",Submission!$O:$O,Submission!$H:$N,""))</f>
        <v>Non-material misstatements</v>
      </c>
      <c r="F184" s="106" t="str">
        <f>_xlfn.CONCAT(_xlfn.XLOOKUP("[S08_ActivityDataIssuesDetail]["&amp;ROW(B184)-ROW($B$156)&amp;"][NumberOfInstallations]",Submission!$O:$O,Submission!$H:$N,""))</f>
        <v>1</v>
      </c>
      <c r="G184" s="106" t="str">
        <f>_xlfn.CONCAT(_xlfn.XLOOKUP("[S08_ActivityDataIssuesDetail]["&amp;ROW(B184)-ROW($B$156)&amp;"][NumberOfIssues]",Submission!$O:$O,Submission!$H:$N,""))</f>
        <v>1</v>
      </c>
      <c r="H184" s="461" t="str">
        <f>_xlfn.CONCAT(_xlfn.XLOOKUP("[S08_ActivityDataIssuesDetail]["&amp;ROW(B184)-ROW($B$156)&amp;"][NumberOfInstallationsConEst]",Submission!$O:$O,Submission!$H:$N,""))</f>
        <v>0</v>
      </c>
      <c r="I184" s="462"/>
    </row>
    <row r="185" spans="3:9" ht="54" hidden="1" customHeight="1" outlineLevel="1" x14ac:dyDescent="0.3">
      <c r="C185" s="258" t="str">
        <f>_xlfn.CONCAT(_xlfn.XLOOKUP("[S08_ActivityDataIssuesDetail]["&amp;ROW(B185)-ROW($B$156)&amp;"][AnnexIActivity]",Submission!$O:$O,Submission!$H:$N,""))</f>
        <v>29 - Production of cement clinker in rotary kilns as specified in Annex I of Directive 2003/87/ EC</v>
      </c>
      <c r="D185" s="260"/>
      <c r="E185" s="72" t="str">
        <f>_xlfn.CONCAT(_xlfn.XLOOKUP("[S08_ActivityDataIssuesDetail]["&amp;ROW(B185)-ROW($B$156)&amp;"][TypeOfIssue]",Submission!$O:$O,Submission!$H:$N,""))</f>
        <v>Non-material misstatements</v>
      </c>
      <c r="F185" s="106" t="str">
        <f>_xlfn.CONCAT(_xlfn.XLOOKUP("[S08_ActivityDataIssuesDetail]["&amp;ROW(B185)-ROW($B$156)&amp;"][NumberOfInstallations]",Submission!$O:$O,Submission!$H:$N,""))</f>
        <v>11</v>
      </c>
      <c r="G185" s="106" t="str">
        <f>_xlfn.CONCAT(_xlfn.XLOOKUP("[S08_ActivityDataIssuesDetail]["&amp;ROW(B185)-ROW($B$156)&amp;"][NumberOfIssues]",Submission!$O:$O,Submission!$H:$N,""))</f>
        <v>11</v>
      </c>
      <c r="H185" s="461" t="str">
        <f>_xlfn.CONCAT(_xlfn.XLOOKUP("[S08_ActivityDataIssuesDetail]["&amp;ROW(B185)-ROW($B$156)&amp;"][NumberOfInstallationsConEst]",Submission!$O:$O,Submission!$H:$N,""))</f>
        <v>0</v>
      </c>
      <c r="I185" s="462"/>
    </row>
    <row r="186" spans="3:9" ht="54" hidden="1" customHeight="1" outlineLevel="1" x14ac:dyDescent="0.3">
      <c r="C186" s="258" t="str">
        <f>_xlfn.CONCAT(_xlfn.XLOOKUP("[S08_ActivityDataIssuesDetail]["&amp;ROW(B186)-ROW($B$156)&amp;"][AnnexIActivity]",Submission!$O:$O,Submission!$H:$N,""))</f>
        <v>33 - Manufacture of mineral wool insulation material using glass, rock or slag as specified in Annex I of Directive 2003/87/EC</v>
      </c>
      <c r="D186" s="260"/>
      <c r="E186" s="72" t="str">
        <f>_xlfn.CONCAT(_xlfn.XLOOKUP("[S08_ActivityDataIssuesDetail]["&amp;ROW(B186)-ROW($B$156)&amp;"][TypeOfIssue]",Submission!$O:$O,Submission!$H:$N,""))</f>
        <v>Non-material misstatements</v>
      </c>
      <c r="F186" s="106" t="str">
        <f>_xlfn.CONCAT(_xlfn.XLOOKUP("[S08_ActivityDataIssuesDetail]["&amp;ROW(B186)-ROW($B$156)&amp;"][NumberOfInstallations]",Submission!$O:$O,Submission!$H:$N,""))</f>
        <v>13</v>
      </c>
      <c r="G186" s="106" t="str">
        <f>_xlfn.CONCAT(_xlfn.XLOOKUP("[S08_ActivityDataIssuesDetail]["&amp;ROW(B186)-ROW($B$156)&amp;"][NumberOfIssues]",Submission!$O:$O,Submission!$H:$N,""))</f>
        <v>13</v>
      </c>
      <c r="H186" s="461" t="str">
        <f>_xlfn.CONCAT(_xlfn.XLOOKUP("[S08_ActivityDataIssuesDetail]["&amp;ROW(B186)-ROW($B$156)&amp;"][NumberOfInstallationsConEst]",Submission!$O:$O,Submission!$H:$N,""))</f>
        <v>0</v>
      </c>
      <c r="I186" s="462"/>
    </row>
    <row r="187" spans="3:9" ht="54" hidden="1" customHeight="1" outlineLevel="1" x14ac:dyDescent="0.3">
      <c r="C187" s="258" t="str">
        <f>_xlfn.CONCAT(_xlfn.XLOOKUP("[S08_ActivityDataIssuesDetail]["&amp;ROW(B187)-ROW($B$156)&amp;"][AnnexIActivity]",Submission!$O:$O,Submission!$H:$N,""))</f>
        <v>21 - Refining of mineral oil</v>
      </c>
      <c r="D187" s="260"/>
      <c r="E187" s="72" t="str">
        <f>_xlfn.CONCAT(_xlfn.XLOOKUP("[S08_ActivityDataIssuesDetail]["&amp;ROW(B187)-ROW($B$156)&amp;"][TypeOfIssue]",Submission!$O:$O,Submission!$H:$N,""))</f>
        <v>Non-material misstatements</v>
      </c>
      <c r="F187" s="106" t="str">
        <f>_xlfn.CONCAT(_xlfn.XLOOKUP("[S08_ActivityDataIssuesDetail]["&amp;ROW(B187)-ROW($B$156)&amp;"][NumberOfInstallations]",Submission!$O:$O,Submission!$H:$N,""))</f>
        <v>3</v>
      </c>
      <c r="G187" s="106" t="str">
        <f>_xlfn.CONCAT(_xlfn.XLOOKUP("[S08_ActivityDataIssuesDetail]["&amp;ROW(B187)-ROW($B$156)&amp;"][NumberOfIssues]",Submission!$O:$O,Submission!$H:$N,""))</f>
        <v>3</v>
      </c>
      <c r="H187" s="461" t="str">
        <f>_xlfn.CONCAT(_xlfn.XLOOKUP("[S08_ActivityDataIssuesDetail]["&amp;ROW(B187)-ROW($B$156)&amp;"][NumberOfInstallationsConEst]",Submission!$O:$O,Submission!$H:$N,""))</f>
        <v>0</v>
      </c>
      <c r="I187" s="462"/>
    </row>
    <row r="188" spans="3:9" ht="54" hidden="1" customHeight="1" outlineLevel="1" x14ac:dyDescent="0.3">
      <c r="C188" s="258" t="str">
        <f>_xlfn.CONCAT(_xlfn.XLOOKUP("[S08_ActivityDataIssuesDetail]["&amp;ROW(B188)-ROW($B$156)&amp;"][AnnexIActivity]",Submission!$O:$O,Submission!$H:$N,""))</f>
        <v xml:space="preserve">41 - Production of ammonia </v>
      </c>
      <c r="D188" s="260"/>
      <c r="E188" s="72" t="str">
        <f>_xlfn.CONCAT(_xlfn.XLOOKUP("[S08_ActivityDataIssuesDetail]["&amp;ROW(B188)-ROW($B$156)&amp;"][TypeOfIssue]",Submission!$O:$O,Submission!$H:$N,""))</f>
        <v>Non-material misstatements</v>
      </c>
      <c r="F188" s="106" t="str">
        <f>_xlfn.CONCAT(_xlfn.XLOOKUP("[S08_ActivityDataIssuesDetail]["&amp;ROW(B188)-ROW($B$156)&amp;"][NumberOfInstallations]",Submission!$O:$O,Submission!$H:$N,""))</f>
        <v>9</v>
      </c>
      <c r="G188" s="106" t="str">
        <f>_xlfn.CONCAT(_xlfn.XLOOKUP("[S08_ActivityDataIssuesDetail]["&amp;ROW(B188)-ROW($B$156)&amp;"][NumberOfIssues]",Submission!$O:$O,Submission!$H:$N,""))</f>
        <v>9</v>
      </c>
      <c r="H188" s="461" t="str">
        <f>_xlfn.CONCAT(_xlfn.XLOOKUP("[S08_ActivityDataIssuesDetail]["&amp;ROW(B188)-ROW($B$156)&amp;"][NumberOfInstallationsConEst]",Submission!$O:$O,Submission!$H:$N,""))</f>
        <v>0</v>
      </c>
      <c r="I188" s="462"/>
    </row>
    <row r="189" spans="3:9" ht="54" hidden="1" customHeight="1" outlineLevel="1" x14ac:dyDescent="0.3">
      <c r="C189" s="258" t="str">
        <f>_xlfn.CONCAT(_xlfn.XLOOKUP("[S08_ActivityDataIssuesDetail]["&amp;ROW(B189)-ROW($B$156)&amp;"][AnnexIActivity]",Submission!$O:$O,Submission!$H:$N,""))</f>
        <v xml:space="preserve">42 - Production of bulk organic chemicals as specified in Annex I of Directive 2003/87/EC </v>
      </c>
      <c r="D189" s="260"/>
      <c r="E189" s="72" t="str">
        <f>_xlfn.CONCAT(_xlfn.XLOOKUP("[S08_ActivityDataIssuesDetail]["&amp;ROW(B189)-ROW($B$156)&amp;"][TypeOfIssue]",Submission!$O:$O,Submission!$H:$N,""))</f>
        <v>Non-material misstatements</v>
      </c>
      <c r="F189" s="106" t="str">
        <f>_xlfn.CONCAT(_xlfn.XLOOKUP("[S08_ActivityDataIssuesDetail]["&amp;ROW(B189)-ROW($B$156)&amp;"][NumberOfInstallations]",Submission!$O:$O,Submission!$H:$N,""))</f>
        <v>1</v>
      </c>
      <c r="G189" s="106" t="str">
        <f>_xlfn.CONCAT(_xlfn.XLOOKUP("[S08_ActivityDataIssuesDetail]["&amp;ROW(B189)-ROW($B$156)&amp;"][NumberOfIssues]",Submission!$O:$O,Submission!$H:$N,""))</f>
        <v>1</v>
      </c>
      <c r="H189" s="461" t="str">
        <f>_xlfn.CONCAT(_xlfn.XLOOKUP("[S08_ActivityDataIssuesDetail]["&amp;ROW(B189)-ROW($B$156)&amp;"][NumberOfInstallationsConEst]",Submission!$O:$O,Submission!$H:$N,""))</f>
        <v>0</v>
      </c>
      <c r="I189" s="462"/>
    </row>
    <row r="190" spans="3:9" ht="54" hidden="1" customHeight="1" outlineLevel="1" x14ac:dyDescent="0.3">
      <c r="C190" s="258" t="str">
        <f>_xlfn.CONCAT(_xlfn.XLOOKUP("[S08_ActivityDataIssuesDetail]["&amp;ROW(B190)-ROW($B$156)&amp;"][AnnexIActivity]",Submission!$O:$O,Submission!$H:$N,""))</f>
        <v xml:space="preserve">43 - Production of hydrogen (H2) and synthesis gas as specified in Annex I of Directive 2003/87/EC </v>
      </c>
      <c r="D190" s="260"/>
      <c r="E190" s="72" t="str">
        <f>_xlfn.CONCAT(_xlfn.XLOOKUP("[S08_ActivityDataIssuesDetail]["&amp;ROW(B190)-ROW($B$156)&amp;"][TypeOfIssue]",Submission!$O:$O,Submission!$H:$N,""))</f>
        <v>Non-material misstatements</v>
      </c>
      <c r="F190" s="106" t="str">
        <f>_xlfn.CONCAT(_xlfn.XLOOKUP("[S08_ActivityDataIssuesDetail]["&amp;ROW(B190)-ROW($B$156)&amp;"][NumberOfInstallations]",Submission!$O:$O,Submission!$H:$N,""))</f>
        <v>19</v>
      </c>
      <c r="G190" s="106" t="str">
        <f>_xlfn.CONCAT(_xlfn.XLOOKUP("[S08_ActivityDataIssuesDetail]["&amp;ROW(B190)-ROW($B$156)&amp;"][NumberOfIssues]",Submission!$O:$O,Submission!$H:$N,""))</f>
        <v>19</v>
      </c>
      <c r="H190" s="461" t="str">
        <f>_xlfn.CONCAT(_xlfn.XLOOKUP("[S08_ActivityDataIssuesDetail]["&amp;ROW(B190)-ROW($B$156)&amp;"][NumberOfInstallationsConEst]",Submission!$O:$O,Submission!$H:$N,""))</f>
        <v>0</v>
      </c>
      <c r="I190" s="462"/>
    </row>
    <row r="191" spans="3:9" ht="54" hidden="1" customHeight="1" outlineLevel="1" x14ac:dyDescent="0.3">
      <c r="C191" s="258" t="str">
        <f>_xlfn.CONCAT(_xlfn.XLOOKUP("[S08_ActivityDataIssuesDetail]["&amp;ROW(B191)-ROW($B$156)&amp;"][AnnexIActivity]",Submission!$O:$O,Submission!$H:$N,""))</f>
        <v xml:space="preserve">39 - Production of adipic acid </v>
      </c>
      <c r="D191" s="260"/>
      <c r="E191" s="72" t="str">
        <f>_xlfn.CONCAT(_xlfn.XLOOKUP("[S08_ActivityDataIssuesDetail]["&amp;ROW(B191)-ROW($B$156)&amp;"][TypeOfIssue]",Submission!$O:$O,Submission!$H:$N,""))</f>
        <v>Non-material misstatements</v>
      </c>
      <c r="F191" s="106" t="str">
        <f>_xlfn.CONCAT(_xlfn.XLOOKUP("[S08_ActivityDataIssuesDetail]["&amp;ROW(B191)-ROW($B$156)&amp;"][NumberOfInstallations]",Submission!$O:$O,Submission!$H:$N,""))</f>
        <v>1</v>
      </c>
      <c r="G191" s="106" t="str">
        <f>_xlfn.CONCAT(_xlfn.XLOOKUP("[S08_ActivityDataIssuesDetail]["&amp;ROW(B191)-ROW($B$156)&amp;"][NumberOfIssues]",Submission!$O:$O,Submission!$H:$N,""))</f>
        <v>1</v>
      </c>
      <c r="H191" s="461" t="str">
        <f>_xlfn.CONCAT(_xlfn.XLOOKUP("[S08_ActivityDataIssuesDetail]["&amp;ROW(B191)-ROW($B$156)&amp;"][NumberOfInstallationsConEst]",Submission!$O:$O,Submission!$H:$N,""))</f>
        <v>0</v>
      </c>
      <c r="I191" s="462"/>
    </row>
    <row r="192" spans="3:9" ht="54" hidden="1" customHeight="1" outlineLevel="1" x14ac:dyDescent="0.3">
      <c r="C192" s="258" t="str">
        <f>_xlfn.CONCAT(_xlfn.XLOOKUP("[S08_ActivityDataIssuesDetail]["&amp;ROW(B192)-ROW($B$156)&amp;"][AnnexIActivity]",Submission!$O:$O,Submission!$H:$N,""))</f>
        <v>28 - Production or processing of non-ferrous metals as specified in Annex I of Directive 2003/87/EC</v>
      </c>
      <c r="D192" s="260"/>
      <c r="E192" s="72" t="str">
        <f>_xlfn.CONCAT(_xlfn.XLOOKUP("[S08_ActivityDataIssuesDetail]["&amp;ROW(B192)-ROW($B$156)&amp;"][TypeOfIssue]",Submission!$O:$O,Submission!$H:$N,""))</f>
        <v>Non-material misstatements</v>
      </c>
      <c r="F192" s="106" t="str">
        <f>_xlfn.CONCAT(_xlfn.XLOOKUP("[S08_ActivityDataIssuesDetail]["&amp;ROW(B192)-ROW($B$156)&amp;"][NumberOfInstallations]",Submission!$O:$O,Submission!$H:$N,""))</f>
        <v>3</v>
      </c>
      <c r="G192" s="106" t="str">
        <f>_xlfn.CONCAT(_xlfn.XLOOKUP("[S08_ActivityDataIssuesDetail]["&amp;ROW(B192)-ROW($B$156)&amp;"][NumberOfIssues]",Submission!$O:$O,Submission!$H:$N,""))</f>
        <v>3</v>
      </c>
      <c r="H192" s="461" t="str">
        <f>_xlfn.CONCAT(_xlfn.XLOOKUP("[S08_ActivityDataIssuesDetail]["&amp;ROW(B192)-ROW($B$156)&amp;"][NumberOfInstallationsConEst]",Submission!$O:$O,Submission!$H:$N,""))</f>
        <v>0</v>
      </c>
      <c r="I192" s="462"/>
    </row>
    <row r="193" spans="3:9" ht="54" hidden="1" customHeight="1" outlineLevel="1" x14ac:dyDescent="0.3">
      <c r="C193" s="258" t="str">
        <f>_xlfn.CONCAT(_xlfn.XLOOKUP("[S08_ActivityDataIssuesDetail]["&amp;ROW(B193)-ROW($B$156)&amp;"][AnnexIActivity]",Submission!$O:$O,Submission!$H:$N,""))</f>
        <v>34 - Drying or calcination of gypsum or production of plaster boards and other gypsum products, as specified in Annex I of Directive 2003/87/EC</v>
      </c>
      <c r="D193" s="260"/>
      <c r="E193" s="72" t="str">
        <f>_xlfn.CONCAT(_xlfn.XLOOKUP("[S08_ActivityDataIssuesDetail]["&amp;ROW(B193)-ROW($B$156)&amp;"][TypeOfIssue]",Submission!$O:$O,Submission!$H:$N,""))</f>
        <v>Non-material misstatements</v>
      </c>
      <c r="F193" s="106" t="str">
        <f>_xlfn.CONCAT(_xlfn.XLOOKUP("[S08_ActivityDataIssuesDetail]["&amp;ROW(B193)-ROW($B$156)&amp;"][NumberOfInstallations]",Submission!$O:$O,Submission!$H:$N,""))</f>
        <v>1</v>
      </c>
      <c r="G193" s="106" t="str">
        <f>_xlfn.CONCAT(_xlfn.XLOOKUP("[S08_ActivityDataIssuesDetail]["&amp;ROW(B193)-ROW($B$156)&amp;"][NumberOfIssues]",Submission!$O:$O,Submission!$H:$N,""))</f>
        <v>1</v>
      </c>
      <c r="H193" s="461" t="str">
        <f>_xlfn.CONCAT(_xlfn.XLOOKUP("[S08_ActivityDataIssuesDetail]["&amp;ROW(B193)-ROW($B$156)&amp;"][NumberOfInstallationsConEst]",Submission!$O:$O,Submission!$H:$N,""))</f>
        <v>0</v>
      </c>
      <c r="I193" s="462"/>
    </row>
    <row r="194" spans="3:9" ht="54" hidden="1" customHeight="1" outlineLevel="1" x14ac:dyDescent="0.3">
      <c r="C194" s="258" t="str">
        <f>_xlfn.CONCAT(_xlfn.XLOOKUP("[S08_ActivityDataIssuesDetail]["&amp;ROW(B194)-ROW($B$156)&amp;"][AnnexIActivity]",Submission!$O:$O,Submission!$H:$N,""))</f>
        <v>26 - Production of primary aluminium</v>
      </c>
      <c r="D194" s="260"/>
      <c r="E194" s="72" t="str">
        <f>_xlfn.CONCAT(_xlfn.XLOOKUP("[S08_ActivityDataIssuesDetail]["&amp;ROW(B194)-ROW($B$156)&amp;"][TypeOfIssue]",Submission!$O:$O,Submission!$H:$N,""))</f>
        <v>Non-material misstatements</v>
      </c>
      <c r="F194" s="106" t="str">
        <f>_xlfn.CONCAT(_xlfn.XLOOKUP("[S08_ActivityDataIssuesDetail]["&amp;ROW(B194)-ROW($B$156)&amp;"][NumberOfInstallations]",Submission!$O:$O,Submission!$H:$N,""))</f>
        <v>1</v>
      </c>
      <c r="G194" s="106" t="str">
        <f>_xlfn.CONCAT(_xlfn.XLOOKUP("[S08_ActivityDataIssuesDetail]["&amp;ROW(B194)-ROW($B$156)&amp;"][NumberOfIssues]",Submission!$O:$O,Submission!$H:$N,""))</f>
        <v>1</v>
      </c>
      <c r="H194" s="461" t="str">
        <f>_xlfn.CONCAT(_xlfn.XLOOKUP("[S08_ActivityDataIssuesDetail]["&amp;ROW(B194)-ROW($B$156)&amp;"][NumberOfInstallationsConEst]",Submission!$O:$O,Submission!$H:$N,""))</f>
        <v>0</v>
      </c>
      <c r="I194" s="462"/>
    </row>
    <row r="195" spans="3:9" ht="54" hidden="1" customHeight="1" outlineLevel="1" x14ac:dyDescent="0.3">
      <c r="C195" s="258" t="str">
        <f>_xlfn.CONCAT(_xlfn.XLOOKUP("[S08_ActivityDataIssuesDetail]["&amp;ROW(B195)-ROW($B$156)&amp;"][AnnexIActivity]",Submission!$O:$O,Submission!$H:$N,""))</f>
        <v xml:space="preserve">22 - Production of coke </v>
      </c>
      <c r="D195" s="260"/>
      <c r="E195" s="72" t="str">
        <f>_xlfn.CONCAT(_xlfn.XLOOKUP("[S08_ActivityDataIssuesDetail]["&amp;ROW(B195)-ROW($B$156)&amp;"][TypeOfIssue]",Submission!$O:$O,Submission!$H:$N,""))</f>
        <v>Non-material misstatements</v>
      </c>
      <c r="F195" s="106" t="str">
        <f>_xlfn.CONCAT(_xlfn.XLOOKUP("[S08_ActivityDataIssuesDetail]["&amp;ROW(B195)-ROW($B$156)&amp;"][NumberOfInstallations]",Submission!$O:$O,Submission!$H:$N,""))</f>
        <v>17</v>
      </c>
      <c r="G195" s="106" t="str">
        <f>_xlfn.CONCAT(_xlfn.XLOOKUP("[S08_ActivityDataIssuesDetail]["&amp;ROW(B195)-ROW($B$156)&amp;"][NumberOfIssues]",Submission!$O:$O,Submission!$H:$N,""))</f>
        <v>17</v>
      </c>
      <c r="H195" s="461" t="str">
        <f>_xlfn.CONCAT(_xlfn.XLOOKUP("[S08_ActivityDataIssuesDetail]["&amp;ROW(B195)-ROW($B$156)&amp;"][NumberOfInstallationsConEst]",Submission!$O:$O,Submission!$H:$N,""))</f>
        <v>0</v>
      </c>
      <c r="I195" s="462"/>
    </row>
    <row r="196" spans="3:9" ht="54" hidden="1" customHeight="1" outlineLevel="1" x14ac:dyDescent="0.3">
      <c r="C196" s="258" t="str">
        <f>_xlfn.CONCAT(_xlfn.XLOOKUP("[S08_ActivityDataIssuesDetail]["&amp;ROW(B196)-ROW($B$156)&amp;"][AnnexIActivity]",Submission!$O:$O,Submission!$H:$N,""))</f>
        <v>20 - Combustion of fuels as specified in Annex I of Directive 2003/87/EC</v>
      </c>
      <c r="D196" s="260"/>
      <c r="E196" s="72" t="str">
        <f>_xlfn.CONCAT(_xlfn.XLOOKUP("[S08_ActivityDataIssuesDetail]["&amp;ROW(B196)-ROW($B$156)&amp;"][TypeOfIssue]",Submission!$O:$O,Submission!$H:$N,""))</f>
        <v>Non-conformities not leading to a negative verification opinion statement</v>
      </c>
      <c r="F196" s="106" t="str">
        <f>_xlfn.CONCAT(_xlfn.XLOOKUP("[S08_ActivityDataIssuesDetail]["&amp;ROW(B196)-ROW($B$156)&amp;"][NumberOfInstallations]",Submission!$O:$O,Submission!$H:$N,""))</f>
        <v>240</v>
      </c>
      <c r="G196" s="106" t="str">
        <f>_xlfn.CONCAT(_xlfn.XLOOKUP("[S08_ActivityDataIssuesDetail]["&amp;ROW(B196)-ROW($B$156)&amp;"][NumberOfIssues]",Submission!$O:$O,Submission!$H:$N,""))</f>
        <v>240</v>
      </c>
      <c r="H196" s="461" t="str">
        <f>_xlfn.CONCAT(_xlfn.XLOOKUP("[S08_ActivityDataIssuesDetail]["&amp;ROW(B196)-ROW($B$156)&amp;"][NumberOfInstallationsConEst]",Submission!$O:$O,Submission!$H:$N,""))</f>
        <v>0</v>
      </c>
      <c r="I196" s="462"/>
    </row>
    <row r="197" spans="3:9" ht="54" hidden="1" customHeight="1" outlineLevel="1" x14ac:dyDescent="0.3">
      <c r="C197" s="258" t="str">
        <f>_xlfn.CONCAT(_xlfn.XLOOKUP("[S08_ActivityDataIssuesDetail]["&amp;ROW(B197)-ROW($B$156)&amp;"][AnnexIActivity]",Submission!$O:$O,Submission!$H:$N,""))</f>
        <v>35 - Production of pulp as specified in Annex I of Directive 2003/87/EC</v>
      </c>
      <c r="D197" s="260"/>
      <c r="E197" s="72" t="str">
        <f>_xlfn.CONCAT(_xlfn.XLOOKUP("[S08_ActivityDataIssuesDetail]["&amp;ROW(B197)-ROW($B$156)&amp;"][TypeOfIssue]",Submission!$O:$O,Submission!$H:$N,""))</f>
        <v>Non-conformities not leading to a negative verification opinion statement</v>
      </c>
      <c r="F197" s="106" t="str">
        <f>_xlfn.CONCAT(_xlfn.XLOOKUP("[S08_ActivityDataIssuesDetail]["&amp;ROW(B197)-ROW($B$156)&amp;"][NumberOfInstallations]",Submission!$O:$O,Submission!$H:$N,""))</f>
        <v>3</v>
      </c>
      <c r="G197" s="106" t="str">
        <f>_xlfn.CONCAT(_xlfn.XLOOKUP("[S08_ActivityDataIssuesDetail]["&amp;ROW(B197)-ROW($B$156)&amp;"][NumberOfIssues]",Submission!$O:$O,Submission!$H:$N,""))</f>
        <v>3</v>
      </c>
      <c r="H197" s="461" t="str">
        <f>_xlfn.CONCAT(_xlfn.XLOOKUP("[S08_ActivityDataIssuesDetail]["&amp;ROW(B197)-ROW($B$156)&amp;"][NumberOfInstallationsConEst]",Submission!$O:$O,Submission!$H:$N,""))</f>
        <v>0</v>
      </c>
      <c r="I197" s="462"/>
    </row>
    <row r="198" spans="3:9" ht="54" hidden="1" customHeight="1" outlineLevel="1" x14ac:dyDescent="0.3">
      <c r="C198" s="258" t="str">
        <f>_xlfn.CONCAT(_xlfn.XLOOKUP("[S08_ActivityDataIssuesDetail]["&amp;ROW(B198)-ROW($B$156)&amp;"][AnnexIActivity]",Submission!$O:$O,Submission!$H:$N,""))</f>
        <v>31 - Manufacture of glass as specified in Annex I of Directive 2003/87/EC</v>
      </c>
      <c r="D198" s="260"/>
      <c r="E198" s="72" t="str">
        <f>_xlfn.CONCAT(_xlfn.XLOOKUP("[S08_ActivityDataIssuesDetail]["&amp;ROW(B198)-ROW($B$156)&amp;"][TypeOfIssue]",Submission!$O:$O,Submission!$H:$N,""))</f>
        <v>Non-conformities not leading to a negative verification opinion statement</v>
      </c>
      <c r="F198" s="106" t="str">
        <f>_xlfn.CONCAT(_xlfn.XLOOKUP("[S08_ActivityDataIssuesDetail]["&amp;ROW(B198)-ROW($B$156)&amp;"][NumberOfInstallations]",Submission!$O:$O,Submission!$H:$N,""))</f>
        <v>10</v>
      </c>
      <c r="G198" s="106" t="str">
        <f>_xlfn.CONCAT(_xlfn.XLOOKUP("[S08_ActivityDataIssuesDetail]["&amp;ROW(B198)-ROW($B$156)&amp;"][NumberOfIssues]",Submission!$O:$O,Submission!$H:$N,""))</f>
        <v>10</v>
      </c>
      <c r="H198" s="461" t="str">
        <f>_xlfn.CONCAT(_xlfn.XLOOKUP("[S08_ActivityDataIssuesDetail]["&amp;ROW(B198)-ROW($B$156)&amp;"][NumberOfInstallationsConEst]",Submission!$O:$O,Submission!$H:$N,""))</f>
        <v>0</v>
      </c>
      <c r="I198" s="462"/>
    </row>
    <row r="199" spans="3:9" ht="54" hidden="1" customHeight="1" outlineLevel="1" x14ac:dyDescent="0.3">
      <c r="C199" s="258" t="str">
        <f>_xlfn.CONCAT(_xlfn.XLOOKUP("[S08_ActivityDataIssuesDetail]["&amp;ROW(B199)-ROW($B$156)&amp;"][AnnexIActivity]",Submission!$O:$O,Submission!$H:$N,""))</f>
        <v xml:space="preserve">36 - Production of paper or cardboard as specified in Annex I of Directive 2003/87/EC </v>
      </c>
      <c r="D199" s="260"/>
      <c r="E199" s="72" t="str">
        <f>_xlfn.CONCAT(_xlfn.XLOOKUP("[S08_ActivityDataIssuesDetail]["&amp;ROW(B199)-ROW($B$156)&amp;"][TypeOfIssue]",Submission!$O:$O,Submission!$H:$N,""))</f>
        <v>Non-conformities not leading to a negative verification opinion statement</v>
      </c>
      <c r="F199" s="106" t="str">
        <f>_xlfn.CONCAT(_xlfn.XLOOKUP("[S08_ActivityDataIssuesDetail]["&amp;ROW(B199)-ROW($B$156)&amp;"][NumberOfInstallations]",Submission!$O:$O,Submission!$H:$N,""))</f>
        <v>26</v>
      </c>
      <c r="G199" s="106" t="str">
        <f>_xlfn.CONCAT(_xlfn.XLOOKUP("[S08_ActivityDataIssuesDetail]["&amp;ROW(B199)-ROW($B$156)&amp;"][NumberOfIssues]",Submission!$O:$O,Submission!$H:$N,""))</f>
        <v>26</v>
      </c>
      <c r="H199" s="461" t="str">
        <f>_xlfn.CONCAT(_xlfn.XLOOKUP("[S08_ActivityDataIssuesDetail]["&amp;ROW(B199)-ROW($B$156)&amp;"][NumberOfInstallationsConEst]",Submission!$O:$O,Submission!$H:$N,""))</f>
        <v>0</v>
      </c>
      <c r="I199" s="462"/>
    </row>
    <row r="200" spans="3:9" ht="54" hidden="1" customHeight="1" outlineLevel="1" x14ac:dyDescent="0.3">
      <c r="C200" s="258" t="str">
        <f>_xlfn.CONCAT(_xlfn.XLOOKUP("[S08_ActivityDataIssuesDetail]["&amp;ROW(B200)-ROW($B$156)&amp;"][AnnexIActivity]",Submission!$O:$O,Submission!$H:$N,""))</f>
        <v>25 - Production or processing of ferrous metals as specified in Annex I of Directive 2003/87/EC</v>
      </c>
      <c r="D200" s="260"/>
      <c r="E200" s="72" t="str">
        <f>_xlfn.CONCAT(_xlfn.XLOOKUP("[S08_ActivityDataIssuesDetail]["&amp;ROW(B200)-ROW($B$156)&amp;"][TypeOfIssue]",Submission!$O:$O,Submission!$H:$N,""))</f>
        <v>Non-conformities not leading to a negative verification opinion statement</v>
      </c>
      <c r="F200" s="106" t="str">
        <f>_xlfn.CONCAT(_xlfn.XLOOKUP("[S08_ActivityDataIssuesDetail]["&amp;ROW(B200)-ROW($B$156)&amp;"][NumberOfInstallations]",Submission!$O:$O,Submission!$H:$N,""))</f>
        <v>30</v>
      </c>
      <c r="G200" s="106" t="str">
        <f>_xlfn.CONCAT(_xlfn.XLOOKUP("[S08_ActivityDataIssuesDetail]["&amp;ROW(B200)-ROW($B$156)&amp;"][NumberOfIssues]",Submission!$O:$O,Submission!$H:$N,""))</f>
        <v>30</v>
      </c>
      <c r="H200" s="461" t="str">
        <f>_xlfn.CONCAT(_xlfn.XLOOKUP("[S08_ActivityDataIssuesDetail]["&amp;ROW(B200)-ROW($B$156)&amp;"][NumberOfInstallationsConEst]",Submission!$O:$O,Submission!$H:$N,""))</f>
        <v>0</v>
      </c>
      <c r="I200" s="462"/>
    </row>
    <row r="201" spans="3:9" ht="54" hidden="1" customHeight="1" outlineLevel="1" x14ac:dyDescent="0.3">
      <c r="C201" s="258" t="str">
        <f>_xlfn.CONCAT(_xlfn.XLOOKUP("[S08_ActivityDataIssuesDetail]["&amp;ROW(B201)-ROW($B$156)&amp;"][AnnexIActivity]",Submission!$O:$O,Submission!$H:$N,""))</f>
        <v>32 - Manufacture of ceramic products as specified in Annex I of Directive 2003/87/EC</v>
      </c>
      <c r="D201" s="260"/>
      <c r="E201" s="72" t="str">
        <f>_xlfn.CONCAT(_xlfn.XLOOKUP("[S08_ActivityDataIssuesDetail]["&amp;ROW(B201)-ROW($B$156)&amp;"][TypeOfIssue]",Submission!$O:$O,Submission!$H:$N,""))</f>
        <v>Non-conformities not leading to a negative verification opinion statement</v>
      </c>
      <c r="F201" s="106" t="str">
        <f>_xlfn.CONCAT(_xlfn.XLOOKUP("[S08_ActivityDataIssuesDetail]["&amp;ROW(B201)-ROW($B$156)&amp;"][NumberOfInstallations]",Submission!$O:$O,Submission!$H:$N,""))</f>
        <v>8</v>
      </c>
      <c r="G201" s="106" t="str">
        <f>_xlfn.CONCAT(_xlfn.XLOOKUP("[S08_ActivityDataIssuesDetail]["&amp;ROW(B201)-ROW($B$156)&amp;"][NumberOfIssues]",Submission!$O:$O,Submission!$H:$N,""))</f>
        <v>8</v>
      </c>
      <c r="H201" s="461" t="str">
        <f>_xlfn.CONCAT(_xlfn.XLOOKUP("[S08_ActivityDataIssuesDetail]["&amp;ROW(B201)-ROW($B$156)&amp;"][NumberOfInstallationsConEst]",Submission!$O:$O,Submission!$H:$N,""))</f>
        <v>0</v>
      </c>
      <c r="I201" s="462"/>
    </row>
    <row r="202" spans="3:9" ht="54" hidden="1" customHeight="1" outlineLevel="1" x14ac:dyDescent="0.3">
      <c r="C202" s="258" t="str">
        <f>_xlfn.CONCAT(_xlfn.XLOOKUP("[S08_ActivityDataIssuesDetail]["&amp;ROW(B202)-ROW($B$156)&amp;"][AnnexIActivity]",Submission!$O:$O,Submission!$H:$N,""))</f>
        <v>24 - Production of pig iron or steel as specified in Annex I of Directive 2003/87/EC</v>
      </c>
      <c r="D202" s="260"/>
      <c r="E202" s="72" t="str">
        <f>_xlfn.CONCAT(_xlfn.XLOOKUP("[S08_ActivityDataIssuesDetail]["&amp;ROW(B202)-ROW($B$156)&amp;"][TypeOfIssue]",Submission!$O:$O,Submission!$H:$N,""))</f>
        <v>Non-conformities not leading to a negative verification opinion statement</v>
      </c>
      <c r="F202" s="106" t="str">
        <f>_xlfn.CONCAT(_xlfn.XLOOKUP("[S08_ActivityDataIssuesDetail]["&amp;ROW(B202)-ROW($B$156)&amp;"][NumberOfInstallations]",Submission!$O:$O,Submission!$H:$N,""))</f>
        <v>1</v>
      </c>
      <c r="G202" s="106" t="str">
        <f>_xlfn.CONCAT(_xlfn.XLOOKUP("[S08_ActivityDataIssuesDetail]["&amp;ROW(B202)-ROW($B$156)&amp;"][NumberOfIssues]",Submission!$O:$O,Submission!$H:$N,""))</f>
        <v>1</v>
      </c>
      <c r="H202" s="461" t="str">
        <f>_xlfn.CONCAT(_xlfn.XLOOKUP("[S08_ActivityDataIssuesDetail]["&amp;ROW(B202)-ROW($B$156)&amp;"][NumberOfInstallationsConEst]",Submission!$O:$O,Submission!$H:$N,""))</f>
        <v>0</v>
      </c>
      <c r="I202" s="462"/>
    </row>
    <row r="203" spans="3:9" ht="54" hidden="1" customHeight="1" outlineLevel="1" x14ac:dyDescent="0.3">
      <c r="C203" s="258" t="str">
        <f>_xlfn.CONCAT(_xlfn.XLOOKUP("[S08_ActivityDataIssuesDetail]["&amp;ROW(B203)-ROW($B$156)&amp;"][AnnexIActivity]",Submission!$O:$O,Submission!$H:$N,""))</f>
        <v>29 - Production of cement clinker in rotary kilns as specified in Annex I of Directive 2003/87/ EC</v>
      </c>
      <c r="D203" s="260"/>
      <c r="E203" s="72" t="str">
        <f>_xlfn.CONCAT(_xlfn.XLOOKUP("[S08_ActivityDataIssuesDetail]["&amp;ROW(B203)-ROW($B$156)&amp;"][TypeOfIssue]",Submission!$O:$O,Submission!$H:$N,""))</f>
        <v>Non-conformities not leading to a negative verification opinion statement</v>
      </c>
      <c r="F203" s="106" t="str">
        <f>_xlfn.CONCAT(_xlfn.XLOOKUP("[S08_ActivityDataIssuesDetail]["&amp;ROW(B203)-ROW($B$156)&amp;"][NumberOfInstallations]",Submission!$O:$O,Submission!$H:$N,""))</f>
        <v>14</v>
      </c>
      <c r="G203" s="106" t="str">
        <f>_xlfn.CONCAT(_xlfn.XLOOKUP("[S08_ActivityDataIssuesDetail]["&amp;ROW(B203)-ROW($B$156)&amp;"][NumberOfIssues]",Submission!$O:$O,Submission!$H:$N,""))</f>
        <v>14</v>
      </c>
      <c r="H203" s="461" t="str">
        <f>_xlfn.CONCAT(_xlfn.XLOOKUP("[S08_ActivityDataIssuesDetail]["&amp;ROW(B203)-ROW($B$156)&amp;"][NumberOfInstallationsConEst]",Submission!$O:$O,Submission!$H:$N,""))</f>
        <v>0</v>
      </c>
      <c r="I203" s="462"/>
    </row>
    <row r="204" spans="3:9" ht="54" hidden="1" customHeight="1" outlineLevel="1" x14ac:dyDescent="0.3">
      <c r="C204" s="258" t="str">
        <f>_xlfn.CONCAT(_xlfn.XLOOKUP("[S08_ActivityDataIssuesDetail]["&amp;ROW(B204)-ROW($B$156)&amp;"][AnnexIActivity]",Submission!$O:$O,Submission!$H:$N,""))</f>
        <v>33 - Manufacture of mineral wool insulation material using glass, rock or slag as specified in Annex I of Directive 2003/87/EC</v>
      </c>
      <c r="D204" s="260"/>
      <c r="E204" s="72" t="str">
        <f>_xlfn.CONCAT(_xlfn.XLOOKUP("[S08_ActivityDataIssuesDetail]["&amp;ROW(B204)-ROW($B$156)&amp;"][TypeOfIssue]",Submission!$O:$O,Submission!$H:$N,""))</f>
        <v>Non-conformities not leading to a negative verification opinion statement</v>
      </c>
      <c r="F204" s="106" t="str">
        <f>_xlfn.CONCAT(_xlfn.XLOOKUP("[S08_ActivityDataIssuesDetail]["&amp;ROW(B204)-ROW($B$156)&amp;"][NumberOfInstallations]",Submission!$O:$O,Submission!$H:$N,""))</f>
        <v>19</v>
      </c>
      <c r="G204" s="106" t="str">
        <f>_xlfn.CONCAT(_xlfn.XLOOKUP("[S08_ActivityDataIssuesDetail]["&amp;ROW(B204)-ROW($B$156)&amp;"][NumberOfIssues]",Submission!$O:$O,Submission!$H:$N,""))</f>
        <v>19</v>
      </c>
      <c r="H204" s="461" t="str">
        <f>_xlfn.CONCAT(_xlfn.XLOOKUP("[S08_ActivityDataIssuesDetail]["&amp;ROW(B204)-ROW($B$156)&amp;"][NumberOfInstallationsConEst]",Submission!$O:$O,Submission!$H:$N,""))</f>
        <v>0</v>
      </c>
      <c r="I204" s="462"/>
    </row>
    <row r="205" spans="3:9" ht="54" hidden="1" customHeight="1" outlineLevel="1" x14ac:dyDescent="0.3">
      <c r="C205" s="258" t="str">
        <f>_xlfn.CONCAT(_xlfn.XLOOKUP("[S08_ActivityDataIssuesDetail]["&amp;ROW(B205)-ROW($B$156)&amp;"][AnnexIActivity]",Submission!$O:$O,Submission!$H:$N,""))</f>
        <v>21 - Refining of mineral oil</v>
      </c>
      <c r="D205" s="260"/>
      <c r="E205" s="72" t="str">
        <f>_xlfn.CONCAT(_xlfn.XLOOKUP("[S08_ActivityDataIssuesDetail]["&amp;ROW(B205)-ROW($B$156)&amp;"][TypeOfIssue]",Submission!$O:$O,Submission!$H:$N,""))</f>
        <v>Non-conformities not leading to a negative verification opinion statement</v>
      </c>
      <c r="F205" s="106" t="str">
        <f>_xlfn.CONCAT(_xlfn.XLOOKUP("[S08_ActivityDataIssuesDetail]["&amp;ROW(B205)-ROW($B$156)&amp;"][NumberOfInstallations]",Submission!$O:$O,Submission!$H:$N,""))</f>
        <v>1</v>
      </c>
      <c r="G205" s="106" t="str">
        <f>_xlfn.CONCAT(_xlfn.XLOOKUP("[S08_ActivityDataIssuesDetail]["&amp;ROW(B205)-ROW($B$156)&amp;"][NumberOfIssues]",Submission!$O:$O,Submission!$H:$N,""))</f>
        <v>1</v>
      </c>
      <c r="H205" s="461" t="str">
        <f>_xlfn.CONCAT(_xlfn.XLOOKUP("[S08_ActivityDataIssuesDetail]["&amp;ROW(B205)-ROW($B$156)&amp;"][NumberOfInstallationsConEst]",Submission!$O:$O,Submission!$H:$N,""))</f>
        <v>0</v>
      </c>
      <c r="I205" s="462"/>
    </row>
    <row r="206" spans="3:9" ht="54" hidden="1" customHeight="1" outlineLevel="1" x14ac:dyDescent="0.3">
      <c r="C206" s="258" t="str">
        <f>_xlfn.CONCAT(_xlfn.XLOOKUP("[S08_ActivityDataIssuesDetail]["&amp;ROW(B206)-ROW($B$156)&amp;"][AnnexIActivity]",Submission!$O:$O,Submission!$H:$N,""))</f>
        <v xml:space="preserve">41 - Production of ammonia </v>
      </c>
      <c r="D206" s="260"/>
      <c r="E206" s="72" t="str">
        <f>_xlfn.CONCAT(_xlfn.XLOOKUP("[S08_ActivityDataIssuesDetail]["&amp;ROW(B206)-ROW($B$156)&amp;"][TypeOfIssue]",Submission!$O:$O,Submission!$H:$N,""))</f>
        <v>Non-conformities not leading to a negative verification opinion statement</v>
      </c>
      <c r="F206" s="106" t="str">
        <f>_xlfn.CONCAT(_xlfn.XLOOKUP("[S08_ActivityDataIssuesDetail]["&amp;ROW(B206)-ROW($B$156)&amp;"][NumberOfInstallations]",Submission!$O:$O,Submission!$H:$N,""))</f>
        <v>6</v>
      </c>
      <c r="G206" s="106" t="str">
        <f>_xlfn.CONCAT(_xlfn.XLOOKUP("[S08_ActivityDataIssuesDetail]["&amp;ROW(B206)-ROW($B$156)&amp;"][NumberOfIssues]",Submission!$O:$O,Submission!$H:$N,""))</f>
        <v>6</v>
      </c>
      <c r="H206" s="461" t="str">
        <f>_xlfn.CONCAT(_xlfn.XLOOKUP("[S08_ActivityDataIssuesDetail]["&amp;ROW(B206)-ROW($B$156)&amp;"][NumberOfInstallationsConEst]",Submission!$O:$O,Submission!$H:$N,""))</f>
        <v>0</v>
      </c>
      <c r="I206" s="462"/>
    </row>
    <row r="207" spans="3:9" ht="54" hidden="1" customHeight="1" outlineLevel="1" x14ac:dyDescent="0.3">
      <c r="C207" s="258" t="str">
        <f>_xlfn.CONCAT(_xlfn.XLOOKUP("[S08_ActivityDataIssuesDetail]["&amp;ROW(B207)-ROW($B$156)&amp;"][AnnexIActivity]",Submission!$O:$O,Submission!$H:$N,""))</f>
        <v xml:space="preserve">42 - Production of bulk organic chemicals as specified in Annex I of Directive 2003/87/EC </v>
      </c>
      <c r="D207" s="260"/>
      <c r="E207" s="72" t="str">
        <f>_xlfn.CONCAT(_xlfn.XLOOKUP("[S08_ActivityDataIssuesDetail]["&amp;ROW(B207)-ROW($B$156)&amp;"][TypeOfIssue]",Submission!$O:$O,Submission!$H:$N,""))</f>
        <v>Non-conformities not leading to a negative verification opinion statement</v>
      </c>
      <c r="F207" s="106" t="str">
        <f>_xlfn.CONCAT(_xlfn.XLOOKUP("[S08_ActivityDataIssuesDetail]["&amp;ROW(B207)-ROW($B$156)&amp;"][NumberOfInstallations]",Submission!$O:$O,Submission!$H:$N,""))</f>
        <v>7</v>
      </c>
      <c r="G207" s="106" t="str">
        <f>_xlfn.CONCAT(_xlfn.XLOOKUP("[S08_ActivityDataIssuesDetail]["&amp;ROW(B207)-ROW($B$156)&amp;"][NumberOfIssues]",Submission!$O:$O,Submission!$H:$N,""))</f>
        <v>7</v>
      </c>
      <c r="H207" s="461" t="str">
        <f>_xlfn.CONCAT(_xlfn.XLOOKUP("[S08_ActivityDataIssuesDetail]["&amp;ROW(B207)-ROW($B$156)&amp;"][NumberOfInstallationsConEst]",Submission!$O:$O,Submission!$H:$N,""))</f>
        <v>0</v>
      </c>
      <c r="I207" s="462"/>
    </row>
    <row r="208" spans="3:9" ht="54" hidden="1" customHeight="1" outlineLevel="1" x14ac:dyDescent="0.3">
      <c r="C208" s="258" t="str">
        <f>_xlfn.CONCAT(_xlfn.XLOOKUP("[S08_ActivityDataIssuesDetail]["&amp;ROW(B208)-ROW($B$156)&amp;"][AnnexIActivity]",Submission!$O:$O,Submission!$H:$N,""))</f>
        <v xml:space="preserve">43 - Production of hydrogen (H2) and synthesis gas as specified in Annex I of Directive 2003/87/EC </v>
      </c>
      <c r="D208" s="260"/>
      <c r="E208" s="72" t="str">
        <f>_xlfn.CONCAT(_xlfn.XLOOKUP("[S08_ActivityDataIssuesDetail]["&amp;ROW(B208)-ROW($B$156)&amp;"][TypeOfIssue]",Submission!$O:$O,Submission!$H:$N,""))</f>
        <v>Non-conformities not leading to a negative verification opinion statement</v>
      </c>
      <c r="F208" s="106" t="str">
        <f>_xlfn.CONCAT(_xlfn.XLOOKUP("[S08_ActivityDataIssuesDetail]["&amp;ROW(B208)-ROW($B$156)&amp;"][NumberOfInstallations]",Submission!$O:$O,Submission!$H:$N,""))</f>
        <v>1</v>
      </c>
      <c r="G208" s="106" t="str">
        <f>_xlfn.CONCAT(_xlfn.XLOOKUP("[S08_ActivityDataIssuesDetail]["&amp;ROW(B208)-ROW($B$156)&amp;"][NumberOfIssues]",Submission!$O:$O,Submission!$H:$N,""))</f>
        <v>1</v>
      </c>
      <c r="H208" s="461" t="str">
        <f>_xlfn.CONCAT(_xlfn.XLOOKUP("[S08_ActivityDataIssuesDetail]["&amp;ROW(B208)-ROW($B$156)&amp;"][NumberOfInstallationsConEst]",Submission!$O:$O,Submission!$H:$N,""))</f>
        <v>0</v>
      </c>
      <c r="I208" s="462"/>
    </row>
    <row r="209" spans="3:9" ht="54" hidden="1" customHeight="1" outlineLevel="1" x14ac:dyDescent="0.3">
      <c r="C209" s="258" t="str">
        <f>_xlfn.CONCAT(_xlfn.XLOOKUP("[S08_ActivityDataIssuesDetail]["&amp;ROW(B209)-ROW($B$156)&amp;"][AnnexIActivity]",Submission!$O:$O,Submission!$H:$N,""))</f>
        <v>28 - Production or processing of non-ferrous metals as specified in Annex I of Directive 2003/87/EC</v>
      </c>
      <c r="D209" s="260"/>
      <c r="E209" s="72" t="str">
        <f>_xlfn.CONCAT(_xlfn.XLOOKUP("[S08_ActivityDataIssuesDetail]["&amp;ROW(B209)-ROW($B$156)&amp;"][TypeOfIssue]",Submission!$O:$O,Submission!$H:$N,""))</f>
        <v>Non-conformities not leading to a negative verification opinion statement</v>
      </c>
      <c r="F209" s="106" t="str">
        <f>_xlfn.CONCAT(_xlfn.XLOOKUP("[S08_ActivityDataIssuesDetail]["&amp;ROW(B209)-ROW($B$156)&amp;"][NumberOfInstallations]",Submission!$O:$O,Submission!$H:$N,""))</f>
        <v>2</v>
      </c>
      <c r="G209" s="106" t="str">
        <f>_xlfn.CONCAT(_xlfn.XLOOKUP("[S08_ActivityDataIssuesDetail]["&amp;ROW(B209)-ROW($B$156)&amp;"][NumberOfIssues]",Submission!$O:$O,Submission!$H:$N,""))</f>
        <v>2</v>
      </c>
      <c r="H209" s="461" t="str">
        <f>_xlfn.CONCAT(_xlfn.XLOOKUP("[S08_ActivityDataIssuesDetail]["&amp;ROW(B209)-ROW($B$156)&amp;"][NumberOfInstallationsConEst]",Submission!$O:$O,Submission!$H:$N,""))</f>
        <v>0</v>
      </c>
      <c r="I209" s="462"/>
    </row>
    <row r="210" spans="3:9" ht="54" hidden="1" customHeight="1" outlineLevel="1" x14ac:dyDescent="0.3">
      <c r="C210" s="258" t="str">
        <f>_xlfn.CONCAT(_xlfn.XLOOKUP("[S08_ActivityDataIssuesDetail]["&amp;ROW(B210)-ROW($B$156)&amp;"][AnnexIActivity]",Submission!$O:$O,Submission!$H:$N,""))</f>
        <v>34 - Drying or calcination of gypsum or production of plaster boards and other gypsum products, as specified in Annex I of Directive 2003/87/EC</v>
      </c>
      <c r="D210" s="260"/>
      <c r="E210" s="72" t="str">
        <f>_xlfn.CONCAT(_xlfn.XLOOKUP("[S08_ActivityDataIssuesDetail]["&amp;ROW(B210)-ROW($B$156)&amp;"][TypeOfIssue]",Submission!$O:$O,Submission!$H:$N,""))</f>
        <v>Non-conformities not leading to a negative verification opinion statement</v>
      </c>
      <c r="F210" s="106" t="str">
        <f>_xlfn.CONCAT(_xlfn.XLOOKUP("[S08_ActivityDataIssuesDetail]["&amp;ROW(B210)-ROW($B$156)&amp;"][NumberOfInstallations]",Submission!$O:$O,Submission!$H:$N,""))</f>
        <v>2</v>
      </c>
      <c r="G210" s="106" t="str">
        <f>_xlfn.CONCAT(_xlfn.XLOOKUP("[S08_ActivityDataIssuesDetail]["&amp;ROW(B210)-ROW($B$156)&amp;"][NumberOfIssues]",Submission!$O:$O,Submission!$H:$N,""))</f>
        <v>2</v>
      </c>
      <c r="H210" s="461" t="str">
        <f>_xlfn.CONCAT(_xlfn.XLOOKUP("[S08_ActivityDataIssuesDetail]["&amp;ROW(B210)-ROW($B$156)&amp;"][NumberOfInstallationsConEst]",Submission!$O:$O,Submission!$H:$N,""))</f>
        <v>0</v>
      </c>
      <c r="I210" s="462"/>
    </row>
    <row r="211" spans="3:9" ht="54" hidden="1" customHeight="1" outlineLevel="1" x14ac:dyDescent="0.3">
      <c r="C211" s="258" t="str">
        <f>_xlfn.CONCAT(_xlfn.XLOOKUP("[S08_ActivityDataIssuesDetail]["&amp;ROW(B211)-ROW($B$156)&amp;"][AnnexIActivity]",Submission!$O:$O,Submission!$H:$N,""))</f>
        <v xml:space="preserve">22 - Production of coke </v>
      </c>
      <c r="D211" s="260"/>
      <c r="E211" s="72" t="str">
        <f>_xlfn.CONCAT(_xlfn.XLOOKUP("[S08_ActivityDataIssuesDetail]["&amp;ROW(B211)-ROW($B$156)&amp;"][TypeOfIssue]",Submission!$O:$O,Submission!$H:$N,""))</f>
        <v>Non-conformities not leading to a negative verification opinion statement</v>
      </c>
      <c r="F211" s="106" t="str">
        <f>_xlfn.CONCAT(_xlfn.XLOOKUP("[S08_ActivityDataIssuesDetail]["&amp;ROW(B211)-ROW($B$156)&amp;"][NumberOfInstallations]",Submission!$O:$O,Submission!$H:$N,""))</f>
        <v>22</v>
      </c>
      <c r="G211" s="106" t="str">
        <f>_xlfn.CONCAT(_xlfn.XLOOKUP("[S08_ActivityDataIssuesDetail]["&amp;ROW(B211)-ROW($B$156)&amp;"][NumberOfIssues]",Submission!$O:$O,Submission!$H:$N,""))</f>
        <v>22</v>
      </c>
      <c r="H211" s="461" t="str">
        <f>_xlfn.CONCAT(_xlfn.XLOOKUP("[S08_ActivityDataIssuesDetail]["&amp;ROW(B211)-ROW($B$156)&amp;"][NumberOfInstallationsConEst]",Submission!$O:$O,Submission!$H:$N,""))</f>
        <v>0</v>
      </c>
      <c r="I211" s="462"/>
    </row>
    <row r="212" spans="3:9" ht="54" hidden="1" customHeight="1" outlineLevel="1" x14ac:dyDescent="0.3">
      <c r="C212" s="258" t="str">
        <f>_xlfn.CONCAT(_xlfn.XLOOKUP("[S08_ActivityDataIssuesDetail]["&amp;ROW(B212)-ROW($B$156)&amp;"][AnnexIActivity]",Submission!$O:$O,Submission!$H:$N,""))</f>
        <v xml:space="preserve">40 - Production of glyoxal and glyoxylic acid </v>
      </c>
      <c r="D212" s="260"/>
      <c r="E212" s="72" t="str">
        <f>_xlfn.CONCAT(_xlfn.XLOOKUP("[S08_ActivityDataIssuesDetail]["&amp;ROW(B212)-ROW($B$156)&amp;"][TypeOfIssue]",Submission!$O:$O,Submission!$H:$N,""))</f>
        <v>Non-conformities not leading to a negative verification opinion statement</v>
      </c>
      <c r="F212" s="106" t="str">
        <f>_xlfn.CONCAT(_xlfn.XLOOKUP("[S08_ActivityDataIssuesDetail]["&amp;ROW(B212)-ROW($B$156)&amp;"][NumberOfInstallations]",Submission!$O:$O,Submission!$H:$N,""))</f>
        <v>1</v>
      </c>
      <c r="G212" s="106" t="str">
        <f>_xlfn.CONCAT(_xlfn.XLOOKUP("[S08_ActivityDataIssuesDetail]["&amp;ROW(B212)-ROW($B$156)&amp;"][NumberOfIssues]",Submission!$O:$O,Submission!$H:$N,""))</f>
        <v>1</v>
      </c>
      <c r="H212" s="461" t="str">
        <f>_xlfn.CONCAT(_xlfn.XLOOKUP("[S08_ActivityDataIssuesDetail]["&amp;ROW(B212)-ROW($B$156)&amp;"][NumberOfInstallationsConEst]",Submission!$O:$O,Submission!$H:$N,""))</f>
        <v>0</v>
      </c>
      <c r="I212" s="462"/>
    </row>
    <row r="213" spans="3:9" ht="54" hidden="1" customHeight="1" outlineLevel="1" x14ac:dyDescent="0.3">
      <c r="C213" s="258" t="str">
        <f>_xlfn.CONCAT(_xlfn.XLOOKUP("[S08_ActivityDataIssuesDetail]["&amp;ROW(B213)-ROW($B$156)&amp;"][AnnexIActivity]",Submission!$O:$O,Submission!$H:$N,""))</f>
        <v>20 - Combustion of fuels as specified in Annex I of Directive 2003/87/EC</v>
      </c>
      <c r="D213" s="260"/>
      <c r="E213" s="72" t="str">
        <f>_xlfn.CONCAT(_xlfn.XLOOKUP("[S08_ActivityDataIssuesDetail]["&amp;ROW(B213)-ROW($B$156)&amp;"][TypeOfIssue]",Submission!$O:$O,Submission!$H:$N,""))</f>
        <v>Recommendations for improvement</v>
      </c>
      <c r="F213" s="106" t="str">
        <f>_xlfn.CONCAT(_xlfn.XLOOKUP("[S08_ActivityDataIssuesDetail]["&amp;ROW(B213)-ROW($B$156)&amp;"][NumberOfInstallations]",Submission!$O:$O,Submission!$H:$N,""))</f>
        <v>283</v>
      </c>
      <c r="G213" s="106" t="str">
        <f>_xlfn.CONCAT(_xlfn.XLOOKUP("[S08_ActivityDataIssuesDetail]["&amp;ROW(B213)-ROW($B$156)&amp;"][NumberOfIssues]",Submission!$O:$O,Submission!$H:$N,""))</f>
        <v>283</v>
      </c>
      <c r="H213" s="461" t="str">
        <f>_xlfn.CONCAT(_xlfn.XLOOKUP("[S08_ActivityDataIssuesDetail]["&amp;ROW(B213)-ROW($B$156)&amp;"][NumberOfInstallationsConEst]",Submission!$O:$O,Submission!$H:$N,""))</f>
        <v>0</v>
      </c>
      <c r="I213" s="462"/>
    </row>
    <row r="214" spans="3:9" ht="54" hidden="1" customHeight="1" outlineLevel="1" x14ac:dyDescent="0.3">
      <c r="C214" s="258" t="str">
        <f>_xlfn.CONCAT(_xlfn.XLOOKUP("[S08_ActivityDataIssuesDetail]["&amp;ROW(B214)-ROW($B$156)&amp;"][AnnexIActivity]",Submission!$O:$O,Submission!$H:$N,""))</f>
        <v>35 - Production of pulp as specified in Annex I of Directive 2003/87/EC</v>
      </c>
      <c r="D214" s="260"/>
      <c r="E214" s="72" t="str">
        <f>_xlfn.CONCAT(_xlfn.XLOOKUP("[S08_ActivityDataIssuesDetail]["&amp;ROW(B214)-ROW($B$156)&amp;"][TypeOfIssue]",Submission!$O:$O,Submission!$H:$N,""))</f>
        <v>Recommendations for improvement</v>
      </c>
      <c r="F214" s="106" t="str">
        <f>_xlfn.CONCAT(_xlfn.XLOOKUP("[S08_ActivityDataIssuesDetail]["&amp;ROW(B214)-ROW($B$156)&amp;"][NumberOfInstallations]",Submission!$O:$O,Submission!$H:$N,""))</f>
        <v>3</v>
      </c>
      <c r="G214" s="106" t="str">
        <f>_xlfn.CONCAT(_xlfn.XLOOKUP("[S08_ActivityDataIssuesDetail]["&amp;ROW(B214)-ROW($B$156)&amp;"][NumberOfIssues]",Submission!$O:$O,Submission!$H:$N,""))</f>
        <v>3</v>
      </c>
      <c r="H214" s="461" t="str">
        <f>_xlfn.CONCAT(_xlfn.XLOOKUP("[S08_ActivityDataIssuesDetail]["&amp;ROW(B214)-ROW($B$156)&amp;"][NumberOfInstallationsConEst]",Submission!$O:$O,Submission!$H:$N,""))</f>
        <v>0</v>
      </c>
      <c r="I214" s="462"/>
    </row>
    <row r="215" spans="3:9" ht="54" hidden="1" customHeight="1" outlineLevel="1" x14ac:dyDescent="0.3">
      <c r="C215" s="258" t="str">
        <f>_xlfn.CONCAT(_xlfn.XLOOKUP("[S08_ActivityDataIssuesDetail]["&amp;ROW(B215)-ROW($B$156)&amp;"][AnnexIActivity]",Submission!$O:$O,Submission!$H:$N,""))</f>
        <v>31 - Manufacture of glass as specified in Annex I of Directive 2003/87/EC</v>
      </c>
      <c r="D215" s="260"/>
      <c r="E215" s="72" t="str">
        <f>_xlfn.CONCAT(_xlfn.XLOOKUP("[S08_ActivityDataIssuesDetail]["&amp;ROW(B215)-ROW($B$156)&amp;"][TypeOfIssue]",Submission!$O:$O,Submission!$H:$N,""))</f>
        <v>Recommendations for improvement</v>
      </c>
      <c r="F215" s="106" t="str">
        <f>_xlfn.CONCAT(_xlfn.XLOOKUP("[S08_ActivityDataIssuesDetail]["&amp;ROW(B215)-ROW($B$156)&amp;"][NumberOfInstallations]",Submission!$O:$O,Submission!$H:$N,""))</f>
        <v>14</v>
      </c>
      <c r="G215" s="106" t="str">
        <f>_xlfn.CONCAT(_xlfn.XLOOKUP("[S08_ActivityDataIssuesDetail]["&amp;ROW(B215)-ROW($B$156)&amp;"][NumberOfIssues]",Submission!$O:$O,Submission!$H:$N,""))</f>
        <v>14</v>
      </c>
      <c r="H215" s="461" t="str">
        <f>_xlfn.CONCAT(_xlfn.XLOOKUP("[S08_ActivityDataIssuesDetail]["&amp;ROW(B215)-ROW($B$156)&amp;"][NumberOfInstallationsConEst]",Submission!$O:$O,Submission!$H:$N,""))</f>
        <v>0</v>
      </c>
      <c r="I215" s="462"/>
    </row>
    <row r="216" spans="3:9" ht="54" hidden="1" customHeight="1" outlineLevel="1" x14ac:dyDescent="0.3">
      <c r="C216" s="258" t="str">
        <f>_xlfn.CONCAT(_xlfn.XLOOKUP("[S08_ActivityDataIssuesDetail]["&amp;ROW(B216)-ROW($B$156)&amp;"][AnnexIActivity]",Submission!$O:$O,Submission!$H:$N,""))</f>
        <v xml:space="preserve">36 - Production of paper or cardboard as specified in Annex I of Directive 2003/87/EC </v>
      </c>
      <c r="D216" s="260"/>
      <c r="E216" s="72" t="str">
        <f>_xlfn.CONCAT(_xlfn.XLOOKUP("[S08_ActivityDataIssuesDetail]["&amp;ROW(B216)-ROW($B$156)&amp;"][TypeOfIssue]",Submission!$O:$O,Submission!$H:$N,""))</f>
        <v>Recommendations for improvement</v>
      </c>
      <c r="F216" s="106" t="str">
        <f>_xlfn.CONCAT(_xlfn.XLOOKUP("[S08_ActivityDataIssuesDetail]["&amp;ROW(B216)-ROW($B$156)&amp;"][NumberOfInstallations]",Submission!$O:$O,Submission!$H:$N,""))</f>
        <v>24</v>
      </c>
      <c r="G216" s="106" t="str">
        <f>_xlfn.CONCAT(_xlfn.XLOOKUP("[S08_ActivityDataIssuesDetail]["&amp;ROW(B216)-ROW($B$156)&amp;"][NumberOfIssues]",Submission!$O:$O,Submission!$H:$N,""))</f>
        <v>24</v>
      </c>
      <c r="H216" s="461" t="str">
        <f>_xlfn.CONCAT(_xlfn.XLOOKUP("[S08_ActivityDataIssuesDetail]["&amp;ROW(B216)-ROW($B$156)&amp;"][NumberOfInstallationsConEst]",Submission!$O:$O,Submission!$H:$N,""))</f>
        <v>0</v>
      </c>
      <c r="I216" s="462"/>
    </row>
    <row r="217" spans="3:9" ht="54" hidden="1" customHeight="1" outlineLevel="1" x14ac:dyDescent="0.3">
      <c r="C217" s="258" t="str">
        <f>_xlfn.CONCAT(_xlfn.XLOOKUP("[S08_ActivityDataIssuesDetail]["&amp;ROW(B217)-ROW($B$156)&amp;"][AnnexIActivity]",Submission!$O:$O,Submission!$H:$N,""))</f>
        <v>25 - Production or processing of ferrous metals as specified in Annex I of Directive 2003/87/EC</v>
      </c>
      <c r="D217" s="260"/>
      <c r="E217" s="72" t="str">
        <f>_xlfn.CONCAT(_xlfn.XLOOKUP("[S08_ActivityDataIssuesDetail]["&amp;ROW(B217)-ROW($B$156)&amp;"][TypeOfIssue]",Submission!$O:$O,Submission!$H:$N,""))</f>
        <v>Recommendations for improvement</v>
      </c>
      <c r="F217" s="106" t="str">
        <f>_xlfn.CONCAT(_xlfn.XLOOKUP("[S08_ActivityDataIssuesDetail]["&amp;ROW(B217)-ROW($B$156)&amp;"][NumberOfInstallations]",Submission!$O:$O,Submission!$H:$N,""))</f>
        <v>36</v>
      </c>
      <c r="G217" s="106" t="str">
        <f>_xlfn.CONCAT(_xlfn.XLOOKUP("[S08_ActivityDataIssuesDetail]["&amp;ROW(B217)-ROW($B$156)&amp;"][NumberOfIssues]",Submission!$O:$O,Submission!$H:$N,""))</f>
        <v>36</v>
      </c>
      <c r="H217" s="461" t="str">
        <f>_xlfn.CONCAT(_xlfn.XLOOKUP("[S08_ActivityDataIssuesDetail]["&amp;ROW(B217)-ROW($B$156)&amp;"][NumberOfInstallationsConEst]",Submission!$O:$O,Submission!$H:$N,""))</f>
        <v>0</v>
      </c>
      <c r="I217" s="462"/>
    </row>
    <row r="218" spans="3:9" ht="54" hidden="1" customHeight="1" outlineLevel="1" x14ac:dyDescent="0.3">
      <c r="C218" s="258" t="str">
        <f>_xlfn.CONCAT(_xlfn.XLOOKUP("[S08_ActivityDataIssuesDetail]["&amp;ROW(B218)-ROW($B$156)&amp;"][AnnexIActivity]",Submission!$O:$O,Submission!$H:$N,""))</f>
        <v>32 - Manufacture of ceramic products as specified in Annex I of Directive 2003/87/EC</v>
      </c>
      <c r="D218" s="260"/>
      <c r="E218" s="72" t="str">
        <f>_xlfn.CONCAT(_xlfn.XLOOKUP("[S08_ActivityDataIssuesDetail]["&amp;ROW(B218)-ROW($B$156)&amp;"][TypeOfIssue]",Submission!$O:$O,Submission!$H:$N,""))</f>
        <v>Recommendations for improvement</v>
      </c>
      <c r="F218" s="106" t="str">
        <f>_xlfn.CONCAT(_xlfn.XLOOKUP("[S08_ActivityDataIssuesDetail]["&amp;ROW(B218)-ROW($B$156)&amp;"][NumberOfInstallations]",Submission!$O:$O,Submission!$H:$N,""))</f>
        <v>1</v>
      </c>
      <c r="G218" s="106" t="str">
        <f>_xlfn.CONCAT(_xlfn.XLOOKUP("[S08_ActivityDataIssuesDetail]["&amp;ROW(B218)-ROW($B$156)&amp;"][NumberOfIssues]",Submission!$O:$O,Submission!$H:$N,""))</f>
        <v>1</v>
      </c>
      <c r="H218" s="461" t="str">
        <f>_xlfn.CONCAT(_xlfn.XLOOKUP("[S08_ActivityDataIssuesDetail]["&amp;ROW(B218)-ROW($B$156)&amp;"][NumberOfInstallationsConEst]",Submission!$O:$O,Submission!$H:$N,""))</f>
        <v>0</v>
      </c>
      <c r="I218" s="462"/>
    </row>
    <row r="219" spans="3:9" ht="54" hidden="1" customHeight="1" outlineLevel="1" x14ac:dyDescent="0.3">
      <c r="C219" s="258" t="str">
        <f>_xlfn.CONCAT(_xlfn.XLOOKUP("[S08_ActivityDataIssuesDetail]["&amp;ROW(B219)-ROW($B$156)&amp;"][AnnexIActivity]",Submission!$O:$O,Submission!$H:$N,""))</f>
        <v>30 - Production of lime or calcination of dolomite or magnesite as specified in Annex I of Directive 2003/87/ EC</v>
      </c>
      <c r="D219" s="260"/>
      <c r="E219" s="72" t="str">
        <f>_xlfn.CONCAT(_xlfn.XLOOKUP("[S08_ActivityDataIssuesDetail]["&amp;ROW(B219)-ROW($B$156)&amp;"][TypeOfIssue]",Submission!$O:$O,Submission!$H:$N,""))</f>
        <v>Recommendations for improvement</v>
      </c>
      <c r="F219" s="106" t="str">
        <f>_xlfn.CONCAT(_xlfn.XLOOKUP("[S08_ActivityDataIssuesDetail]["&amp;ROW(B219)-ROW($B$156)&amp;"][NumberOfInstallations]",Submission!$O:$O,Submission!$H:$N,""))</f>
        <v>2</v>
      </c>
      <c r="G219" s="106" t="str">
        <f>_xlfn.CONCAT(_xlfn.XLOOKUP("[S08_ActivityDataIssuesDetail]["&amp;ROW(B219)-ROW($B$156)&amp;"][NumberOfIssues]",Submission!$O:$O,Submission!$H:$N,""))</f>
        <v>2</v>
      </c>
      <c r="H219" s="461" t="str">
        <f>_xlfn.CONCAT(_xlfn.XLOOKUP("[S08_ActivityDataIssuesDetail]["&amp;ROW(B219)-ROW($B$156)&amp;"][NumberOfInstallationsConEst]",Submission!$O:$O,Submission!$H:$N,""))</f>
        <v>0</v>
      </c>
      <c r="I219" s="462"/>
    </row>
    <row r="220" spans="3:9" ht="54" hidden="1" customHeight="1" outlineLevel="1" x14ac:dyDescent="0.3">
      <c r="C220" s="258" t="str">
        <f>_xlfn.CONCAT(_xlfn.XLOOKUP("[S08_ActivityDataIssuesDetail]["&amp;ROW(B220)-ROW($B$156)&amp;"][AnnexIActivity]",Submission!$O:$O,Submission!$H:$N,""))</f>
        <v>24 - Production of pig iron or steel as specified in Annex I of Directive 2003/87/EC</v>
      </c>
      <c r="D220" s="260"/>
      <c r="E220" s="72" t="str">
        <f>_xlfn.CONCAT(_xlfn.XLOOKUP("[S08_ActivityDataIssuesDetail]["&amp;ROW(B220)-ROW($B$156)&amp;"][TypeOfIssue]",Submission!$O:$O,Submission!$H:$N,""))</f>
        <v>Recommendations for improvement</v>
      </c>
      <c r="F220" s="106" t="str">
        <f>_xlfn.CONCAT(_xlfn.XLOOKUP("[S08_ActivityDataIssuesDetail]["&amp;ROW(B220)-ROW($B$156)&amp;"][NumberOfInstallations]",Submission!$O:$O,Submission!$H:$N,""))</f>
        <v>10</v>
      </c>
      <c r="G220" s="106" t="str">
        <f>_xlfn.CONCAT(_xlfn.XLOOKUP("[S08_ActivityDataIssuesDetail]["&amp;ROW(B220)-ROW($B$156)&amp;"][NumberOfIssues]",Submission!$O:$O,Submission!$H:$N,""))</f>
        <v>10</v>
      </c>
      <c r="H220" s="461" t="str">
        <f>_xlfn.CONCAT(_xlfn.XLOOKUP("[S08_ActivityDataIssuesDetail]["&amp;ROW(B220)-ROW($B$156)&amp;"][NumberOfInstallationsConEst]",Submission!$O:$O,Submission!$H:$N,""))</f>
        <v>0</v>
      </c>
      <c r="I220" s="462"/>
    </row>
    <row r="221" spans="3:9" ht="54" hidden="1" customHeight="1" outlineLevel="1" x14ac:dyDescent="0.3">
      <c r="C221" s="258" t="str">
        <f>_xlfn.CONCAT(_xlfn.XLOOKUP("[S08_ActivityDataIssuesDetail]["&amp;ROW(B221)-ROW($B$156)&amp;"][AnnexIActivity]",Submission!$O:$O,Submission!$H:$N,""))</f>
        <v>29 - Production of cement clinker in rotary kilns as specified in Annex I of Directive 2003/87/ EC</v>
      </c>
      <c r="D221" s="260"/>
      <c r="E221" s="72" t="str">
        <f>_xlfn.CONCAT(_xlfn.XLOOKUP("[S08_ActivityDataIssuesDetail]["&amp;ROW(B221)-ROW($B$156)&amp;"][TypeOfIssue]",Submission!$O:$O,Submission!$H:$N,""))</f>
        <v>Recommendations for improvement</v>
      </c>
      <c r="F221" s="106" t="str">
        <f>_xlfn.CONCAT(_xlfn.XLOOKUP("[S08_ActivityDataIssuesDetail]["&amp;ROW(B221)-ROW($B$156)&amp;"][NumberOfInstallations]",Submission!$O:$O,Submission!$H:$N,""))</f>
        <v>18</v>
      </c>
      <c r="G221" s="106" t="str">
        <f>_xlfn.CONCAT(_xlfn.XLOOKUP("[S08_ActivityDataIssuesDetail]["&amp;ROW(B221)-ROW($B$156)&amp;"][NumberOfIssues]",Submission!$O:$O,Submission!$H:$N,""))</f>
        <v>18</v>
      </c>
      <c r="H221" s="461" t="str">
        <f>_xlfn.CONCAT(_xlfn.XLOOKUP("[S08_ActivityDataIssuesDetail]["&amp;ROW(B221)-ROW($B$156)&amp;"][NumberOfInstallationsConEst]",Submission!$O:$O,Submission!$H:$N,""))</f>
        <v>0</v>
      </c>
      <c r="I221" s="462"/>
    </row>
    <row r="222" spans="3:9" ht="54" hidden="1" customHeight="1" outlineLevel="1" x14ac:dyDescent="0.3">
      <c r="C222" s="258" t="str">
        <f>_xlfn.CONCAT(_xlfn.XLOOKUP("[S08_ActivityDataIssuesDetail]["&amp;ROW(B222)-ROW($B$156)&amp;"][AnnexIActivity]",Submission!$O:$O,Submission!$H:$N,""))</f>
        <v>33 - Manufacture of mineral wool insulation material using glass, rock or slag as specified in Annex I of Directive 2003/87/EC</v>
      </c>
      <c r="D222" s="260"/>
      <c r="E222" s="72" t="str">
        <f>_xlfn.CONCAT(_xlfn.XLOOKUP("[S08_ActivityDataIssuesDetail]["&amp;ROW(B222)-ROW($B$156)&amp;"][TypeOfIssue]",Submission!$O:$O,Submission!$H:$N,""))</f>
        <v>Recommendations for improvement</v>
      </c>
      <c r="F222" s="106" t="str">
        <f>_xlfn.CONCAT(_xlfn.XLOOKUP("[S08_ActivityDataIssuesDetail]["&amp;ROW(B222)-ROW($B$156)&amp;"][NumberOfInstallations]",Submission!$O:$O,Submission!$H:$N,""))</f>
        <v>21</v>
      </c>
      <c r="G222" s="106" t="str">
        <f>_xlfn.CONCAT(_xlfn.XLOOKUP("[S08_ActivityDataIssuesDetail]["&amp;ROW(B222)-ROW($B$156)&amp;"][NumberOfIssues]",Submission!$O:$O,Submission!$H:$N,""))</f>
        <v>21</v>
      </c>
      <c r="H222" s="461" t="str">
        <f>_xlfn.CONCAT(_xlfn.XLOOKUP("[S08_ActivityDataIssuesDetail]["&amp;ROW(B222)-ROW($B$156)&amp;"][NumberOfInstallationsConEst]",Submission!$O:$O,Submission!$H:$N,""))</f>
        <v>0</v>
      </c>
      <c r="I222" s="462"/>
    </row>
    <row r="223" spans="3:9" ht="54" hidden="1" customHeight="1" outlineLevel="1" x14ac:dyDescent="0.3">
      <c r="C223" s="258" t="str">
        <f>_xlfn.CONCAT(_xlfn.XLOOKUP("[S08_ActivityDataIssuesDetail]["&amp;ROW(B223)-ROW($B$156)&amp;"][AnnexIActivity]",Submission!$O:$O,Submission!$H:$N,""))</f>
        <v>21 - Refining of mineral oil</v>
      </c>
      <c r="D223" s="260"/>
      <c r="E223" s="72" t="str">
        <f>_xlfn.CONCAT(_xlfn.XLOOKUP("[S08_ActivityDataIssuesDetail]["&amp;ROW(B223)-ROW($B$156)&amp;"][TypeOfIssue]",Submission!$O:$O,Submission!$H:$N,""))</f>
        <v>Recommendations for improvement</v>
      </c>
      <c r="F223" s="106" t="str">
        <f>_xlfn.CONCAT(_xlfn.XLOOKUP("[S08_ActivityDataIssuesDetail]["&amp;ROW(B223)-ROW($B$156)&amp;"][NumberOfInstallations]",Submission!$O:$O,Submission!$H:$N,""))</f>
        <v>4</v>
      </c>
      <c r="G223" s="106" t="str">
        <f>_xlfn.CONCAT(_xlfn.XLOOKUP("[S08_ActivityDataIssuesDetail]["&amp;ROW(B223)-ROW($B$156)&amp;"][NumberOfIssues]",Submission!$O:$O,Submission!$H:$N,""))</f>
        <v>4</v>
      </c>
      <c r="H223" s="461" t="str">
        <f>_xlfn.CONCAT(_xlfn.XLOOKUP("[S08_ActivityDataIssuesDetail]["&amp;ROW(B223)-ROW($B$156)&amp;"][NumberOfInstallationsConEst]",Submission!$O:$O,Submission!$H:$N,""))</f>
        <v>0</v>
      </c>
      <c r="I223" s="462"/>
    </row>
    <row r="224" spans="3:9" ht="54" hidden="1" customHeight="1" outlineLevel="1" x14ac:dyDescent="0.3">
      <c r="C224" s="258" t="str">
        <f>_xlfn.CONCAT(_xlfn.XLOOKUP("[S08_ActivityDataIssuesDetail]["&amp;ROW(B224)-ROW($B$156)&amp;"][AnnexIActivity]",Submission!$O:$O,Submission!$H:$N,""))</f>
        <v xml:space="preserve">41 - Production of ammonia </v>
      </c>
      <c r="D224" s="260"/>
      <c r="E224" s="72" t="str">
        <f>_xlfn.CONCAT(_xlfn.XLOOKUP("[S08_ActivityDataIssuesDetail]["&amp;ROW(B224)-ROW($B$156)&amp;"][TypeOfIssue]",Submission!$O:$O,Submission!$H:$N,""))</f>
        <v>Recommendations for improvement</v>
      </c>
      <c r="F224" s="106" t="str">
        <f>_xlfn.CONCAT(_xlfn.XLOOKUP("[S08_ActivityDataIssuesDetail]["&amp;ROW(B224)-ROW($B$156)&amp;"][NumberOfInstallations]",Submission!$O:$O,Submission!$H:$N,""))</f>
        <v>17</v>
      </c>
      <c r="G224" s="106" t="str">
        <f>_xlfn.CONCAT(_xlfn.XLOOKUP("[S08_ActivityDataIssuesDetail]["&amp;ROW(B224)-ROW($B$156)&amp;"][NumberOfIssues]",Submission!$O:$O,Submission!$H:$N,""))</f>
        <v>17</v>
      </c>
      <c r="H224" s="461" t="str">
        <f>_xlfn.CONCAT(_xlfn.XLOOKUP("[S08_ActivityDataIssuesDetail]["&amp;ROW(B224)-ROW($B$156)&amp;"][NumberOfInstallationsConEst]",Submission!$O:$O,Submission!$H:$N,""))</f>
        <v>0</v>
      </c>
      <c r="I224" s="462"/>
    </row>
    <row r="225" spans="1:9" ht="54" hidden="1" customHeight="1" outlineLevel="1" x14ac:dyDescent="0.3">
      <c r="C225" s="258" t="str">
        <f>_xlfn.CONCAT(_xlfn.XLOOKUP("[S08_ActivityDataIssuesDetail]["&amp;ROW(B225)-ROW($B$156)&amp;"][AnnexIActivity]",Submission!$O:$O,Submission!$H:$N,""))</f>
        <v xml:space="preserve">42 - Production of bulk organic chemicals as specified in Annex I of Directive 2003/87/EC </v>
      </c>
      <c r="D225" s="260"/>
      <c r="E225" s="72" t="str">
        <f>_xlfn.CONCAT(_xlfn.XLOOKUP("[S08_ActivityDataIssuesDetail]["&amp;ROW(B225)-ROW($B$156)&amp;"][TypeOfIssue]",Submission!$O:$O,Submission!$H:$N,""))</f>
        <v>Recommendations for improvement</v>
      </c>
      <c r="F225" s="106" t="str">
        <f>_xlfn.CONCAT(_xlfn.XLOOKUP("[S08_ActivityDataIssuesDetail]["&amp;ROW(B225)-ROW($B$156)&amp;"][NumberOfInstallations]",Submission!$O:$O,Submission!$H:$N,""))</f>
        <v>1</v>
      </c>
      <c r="G225" s="106" t="str">
        <f>_xlfn.CONCAT(_xlfn.XLOOKUP("[S08_ActivityDataIssuesDetail]["&amp;ROW(B225)-ROW($B$156)&amp;"][NumberOfIssues]",Submission!$O:$O,Submission!$H:$N,""))</f>
        <v>1</v>
      </c>
      <c r="H225" s="461" t="str">
        <f>_xlfn.CONCAT(_xlfn.XLOOKUP("[S08_ActivityDataIssuesDetail]["&amp;ROW(B225)-ROW($B$156)&amp;"][NumberOfInstallationsConEst]",Submission!$O:$O,Submission!$H:$N,""))</f>
        <v>0</v>
      </c>
      <c r="I225" s="462"/>
    </row>
    <row r="226" spans="1:9" ht="54" hidden="1" customHeight="1" outlineLevel="1" x14ac:dyDescent="0.3">
      <c r="C226" s="258" t="str">
        <f>_xlfn.CONCAT(_xlfn.XLOOKUP("[S08_ActivityDataIssuesDetail]["&amp;ROW(B226)-ROW($B$156)&amp;"][AnnexIActivity]",Submission!$O:$O,Submission!$H:$N,""))</f>
        <v xml:space="preserve">43 - Production of hydrogen (H2) and synthesis gas as specified in Annex I of Directive 2003/87/EC </v>
      </c>
      <c r="D226" s="260"/>
      <c r="E226" s="72" t="str">
        <f>_xlfn.CONCAT(_xlfn.XLOOKUP("[S08_ActivityDataIssuesDetail]["&amp;ROW(B226)-ROW($B$156)&amp;"][TypeOfIssue]",Submission!$O:$O,Submission!$H:$N,""))</f>
        <v>Recommendations for improvement</v>
      </c>
      <c r="F226" s="106" t="str">
        <f>_xlfn.CONCAT(_xlfn.XLOOKUP("[S08_ActivityDataIssuesDetail]["&amp;ROW(B226)-ROW($B$156)&amp;"][NumberOfInstallations]",Submission!$O:$O,Submission!$H:$N,""))</f>
        <v>6</v>
      </c>
      <c r="G226" s="106" t="str">
        <f>_xlfn.CONCAT(_xlfn.XLOOKUP("[S08_ActivityDataIssuesDetail]["&amp;ROW(B226)-ROW($B$156)&amp;"][NumberOfIssues]",Submission!$O:$O,Submission!$H:$N,""))</f>
        <v>6</v>
      </c>
      <c r="H226" s="461" t="str">
        <f>_xlfn.CONCAT(_xlfn.XLOOKUP("[S08_ActivityDataIssuesDetail]["&amp;ROW(B226)-ROW($B$156)&amp;"][NumberOfInstallationsConEst]",Submission!$O:$O,Submission!$H:$N,""))</f>
        <v>0</v>
      </c>
      <c r="I226" s="462"/>
    </row>
    <row r="227" spans="1:9" ht="54" hidden="1" customHeight="1" outlineLevel="1" x14ac:dyDescent="0.3">
      <c r="C227" s="258" t="str">
        <f>_xlfn.CONCAT(_xlfn.XLOOKUP("[S08_ActivityDataIssuesDetail]["&amp;ROW(B227)-ROW($B$156)&amp;"][AnnexIActivity]",Submission!$O:$O,Submission!$H:$N,""))</f>
        <v xml:space="preserve">39 - Production of adipic acid </v>
      </c>
      <c r="D227" s="260"/>
      <c r="E227" s="72" t="str">
        <f>_xlfn.CONCAT(_xlfn.XLOOKUP("[S08_ActivityDataIssuesDetail]["&amp;ROW(B227)-ROW($B$156)&amp;"][TypeOfIssue]",Submission!$O:$O,Submission!$H:$N,""))</f>
        <v>Recommendations for improvement</v>
      </c>
      <c r="F227" s="106" t="str">
        <f>_xlfn.CONCAT(_xlfn.XLOOKUP("[S08_ActivityDataIssuesDetail]["&amp;ROW(B227)-ROW($B$156)&amp;"][NumberOfInstallations]",Submission!$O:$O,Submission!$H:$N,""))</f>
        <v>1</v>
      </c>
      <c r="G227" s="106" t="str">
        <f>_xlfn.CONCAT(_xlfn.XLOOKUP("[S08_ActivityDataIssuesDetail]["&amp;ROW(B227)-ROW($B$156)&amp;"][NumberOfIssues]",Submission!$O:$O,Submission!$H:$N,""))</f>
        <v>1</v>
      </c>
      <c r="H227" s="461" t="str">
        <f>_xlfn.CONCAT(_xlfn.XLOOKUP("[S08_ActivityDataIssuesDetail]["&amp;ROW(B227)-ROW($B$156)&amp;"][NumberOfInstallationsConEst]",Submission!$O:$O,Submission!$H:$N,""))</f>
        <v>0</v>
      </c>
      <c r="I227" s="462"/>
    </row>
    <row r="228" spans="1:9" ht="54" hidden="1" customHeight="1" outlineLevel="1" x14ac:dyDescent="0.3">
      <c r="C228" s="258" t="str">
        <f>_xlfn.CONCAT(_xlfn.XLOOKUP("[S08_ActivityDataIssuesDetail]["&amp;ROW(B228)-ROW($B$156)&amp;"][AnnexIActivity]",Submission!$O:$O,Submission!$H:$N,""))</f>
        <v>28 - Production or processing of non-ferrous metals as specified in Annex I of Directive 2003/87/EC</v>
      </c>
      <c r="D228" s="260"/>
      <c r="E228" s="72" t="str">
        <f>_xlfn.CONCAT(_xlfn.XLOOKUP("[S08_ActivityDataIssuesDetail]["&amp;ROW(B228)-ROW($B$156)&amp;"][TypeOfIssue]",Submission!$O:$O,Submission!$H:$N,""))</f>
        <v>Recommendations for improvement</v>
      </c>
      <c r="F228" s="106" t="str">
        <f>_xlfn.CONCAT(_xlfn.XLOOKUP("[S08_ActivityDataIssuesDetail]["&amp;ROW(B228)-ROW($B$156)&amp;"][NumberOfInstallations]",Submission!$O:$O,Submission!$H:$N,""))</f>
        <v>2</v>
      </c>
      <c r="G228" s="106" t="str">
        <f>_xlfn.CONCAT(_xlfn.XLOOKUP("[S08_ActivityDataIssuesDetail]["&amp;ROW(B228)-ROW($B$156)&amp;"][NumberOfIssues]",Submission!$O:$O,Submission!$H:$N,""))</f>
        <v>2</v>
      </c>
      <c r="H228" s="461" t="str">
        <f>_xlfn.CONCAT(_xlfn.XLOOKUP("[S08_ActivityDataIssuesDetail]["&amp;ROW(B228)-ROW($B$156)&amp;"][NumberOfInstallationsConEst]",Submission!$O:$O,Submission!$H:$N,""))</f>
        <v>0</v>
      </c>
      <c r="I228" s="462"/>
    </row>
    <row r="229" spans="1:9" ht="54" hidden="1" customHeight="1" outlineLevel="1" x14ac:dyDescent="0.3">
      <c r="C229" s="258" t="str">
        <f>_xlfn.CONCAT(_xlfn.XLOOKUP("[S08_ActivityDataIssuesDetail]["&amp;ROW(B229)-ROW($B$156)&amp;"][AnnexIActivity]",Submission!$O:$O,Submission!$H:$N,""))</f>
        <v>34 - Drying or calcination of gypsum or production of plaster boards and other gypsum products, as specified in Annex I of Directive 2003/87/EC</v>
      </c>
      <c r="D229" s="260"/>
      <c r="E229" s="72" t="str">
        <f>_xlfn.CONCAT(_xlfn.XLOOKUP("[S08_ActivityDataIssuesDetail]["&amp;ROW(B229)-ROW($B$156)&amp;"][TypeOfIssue]",Submission!$O:$O,Submission!$H:$N,""))</f>
        <v>Recommendations for improvement</v>
      </c>
      <c r="F229" s="106" t="str">
        <f>_xlfn.CONCAT(_xlfn.XLOOKUP("[S08_ActivityDataIssuesDetail]["&amp;ROW(B229)-ROW($B$156)&amp;"][NumberOfInstallations]",Submission!$O:$O,Submission!$H:$N,""))</f>
        <v>3</v>
      </c>
      <c r="G229" s="106" t="str">
        <f>_xlfn.CONCAT(_xlfn.XLOOKUP("[S08_ActivityDataIssuesDetail]["&amp;ROW(B229)-ROW($B$156)&amp;"][NumberOfIssues]",Submission!$O:$O,Submission!$H:$N,""))</f>
        <v>3</v>
      </c>
      <c r="H229" s="461" t="str">
        <f>_xlfn.CONCAT(_xlfn.XLOOKUP("[S08_ActivityDataIssuesDetail]["&amp;ROW(B229)-ROW($B$156)&amp;"][NumberOfInstallationsConEst]",Submission!$O:$O,Submission!$H:$N,""))</f>
        <v>0</v>
      </c>
      <c r="I229" s="462"/>
    </row>
    <row r="230" spans="1:9" ht="54" hidden="1" customHeight="1" outlineLevel="1" x14ac:dyDescent="0.3">
      <c r="C230" s="258" t="str">
        <f>_xlfn.CONCAT(_xlfn.XLOOKUP("[S08_ActivityDataIssuesDetail]["&amp;ROW(B230)-ROW($B$156)&amp;"][AnnexIActivity]",Submission!$O:$O,Submission!$H:$N,""))</f>
        <v>26 - Production of primary aluminium</v>
      </c>
      <c r="D230" s="260"/>
      <c r="E230" s="72" t="str">
        <f>_xlfn.CONCAT(_xlfn.XLOOKUP("[S08_ActivityDataIssuesDetail]["&amp;ROW(B230)-ROW($B$156)&amp;"][TypeOfIssue]",Submission!$O:$O,Submission!$H:$N,""))</f>
        <v>Recommendations for improvement</v>
      </c>
      <c r="F230" s="106" t="str">
        <f>_xlfn.CONCAT(_xlfn.XLOOKUP("[S08_ActivityDataIssuesDetail]["&amp;ROW(B230)-ROW($B$156)&amp;"][NumberOfInstallations]",Submission!$O:$O,Submission!$H:$N,""))</f>
        <v>1</v>
      </c>
      <c r="G230" s="106" t="str">
        <f>_xlfn.CONCAT(_xlfn.XLOOKUP("[S08_ActivityDataIssuesDetail]["&amp;ROW(B230)-ROW($B$156)&amp;"][NumberOfIssues]",Submission!$O:$O,Submission!$H:$N,""))</f>
        <v>1</v>
      </c>
      <c r="H230" s="461" t="str">
        <f>_xlfn.CONCAT(_xlfn.XLOOKUP("[S08_ActivityDataIssuesDetail]["&amp;ROW(B230)-ROW($B$156)&amp;"][NumberOfInstallationsConEst]",Submission!$O:$O,Submission!$H:$N,""))</f>
        <v>0</v>
      </c>
      <c r="I230" s="462"/>
    </row>
    <row r="231" spans="1:9" ht="54" hidden="1" customHeight="1" outlineLevel="1" x14ac:dyDescent="0.3">
      <c r="C231" s="258" t="str">
        <f>_xlfn.CONCAT(_xlfn.XLOOKUP("[S08_ActivityDataIssuesDetail]["&amp;ROW(B231)-ROW($B$156)&amp;"][AnnexIActivity]",Submission!$O:$O,Submission!$H:$N,""))</f>
        <v xml:space="preserve">22 - Production of coke </v>
      </c>
      <c r="D231" s="260"/>
      <c r="E231" s="72" t="str">
        <f>_xlfn.CONCAT(_xlfn.XLOOKUP("[S08_ActivityDataIssuesDetail]["&amp;ROW(B231)-ROW($B$156)&amp;"][TypeOfIssue]",Submission!$O:$O,Submission!$H:$N,""))</f>
        <v>Recommendations for improvement</v>
      </c>
      <c r="F231" s="106" t="str">
        <f>_xlfn.CONCAT(_xlfn.XLOOKUP("[S08_ActivityDataIssuesDetail]["&amp;ROW(B231)-ROW($B$156)&amp;"][NumberOfInstallations]",Submission!$O:$O,Submission!$H:$N,""))</f>
        <v>22</v>
      </c>
      <c r="G231" s="106" t="str">
        <f>_xlfn.CONCAT(_xlfn.XLOOKUP("[S08_ActivityDataIssuesDetail]["&amp;ROW(B231)-ROW($B$156)&amp;"][NumberOfIssues]",Submission!$O:$O,Submission!$H:$N,""))</f>
        <v>22</v>
      </c>
      <c r="H231" s="461" t="str">
        <f>_xlfn.CONCAT(_xlfn.XLOOKUP("[S08_ActivityDataIssuesDetail]["&amp;ROW(B231)-ROW($B$156)&amp;"][NumberOfInstallationsConEst]",Submission!$O:$O,Submission!$H:$N,""))</f>
        <v>0</v>
      </c>
      <c r="I231" s="462"/>
    </row>
    <row r="232" spans="1:9" ht="54" hidden="1" customHeight="1" outlineLevel="1" x14ac:dyDescent="0.3">
      <c r="C232" s="258" t="str">
        <f>_xlfn.CONCAT(_xlfn.XLOOKUP("[S08_ActivityDataIssuesDetail]["&amp;ROW(B232)-ROW($B$156)&amp;"][AnnexIActivity]",Submission!$O:$O,Submission!$H:$N,""))</f>
        <v xml:space="preserve">40 - Production of glyoxal and glyoxylic acid </v>
      </c>
      <c r="D232" s="260"/>
      <c r="E232" s="72" t="str">
        <f>_xlfn.CONCAT(_xlfn.XLOOKUP("[S08_ActivityDataIssuesDetail]["&amp;ROW(B232)-ROW($B$156)&amp;"][TypeOfIssue]",Submission!$O:$O,Submission!$H:$N,""))</f>
        <v>Recommendations for improvement</v>
      </c>
      <c r="F232" s="106" t="str">
        <f>_xlfn.CONCAT(_xlfn.XLOOKUP("[S08_ActivityDataIssuesDetail]["&amp;ROW(B232)-ROW($B$156)&amp;"][NumberOfInstallations]",Submission!$O:$O,Submission!$H:$N,""))</f>
        <v>1</v>
      </c>
      <c r="G232" s="106" t="str">
        <f>_xlfn.CONCAT(_xlfn.XLOOKUP("[S08_ActivityDataIssuesDetail]["&amp;ROW(B232)-ROW($B$156)&amp;"][NumberOfIssues]",Submission!$O:$O,Submission!$H:$N,""))</f>
        <v>1</v>
      </c>
      <c r="H232" s="461" t="str">
        <f>_xlfn.CONCAT(_xlfn.XLOOKUP("[S08_ActivityDataIssuesDetail]["&amp;ROW(B232)-ROW($B$156)&amp;"][NumberOfInstallationsConEst]",Submission!$O:$O,Submission!$H:$N,""))</f>
        <v>0</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Yes</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1</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3</v>
      </c>
      <c r="G244" s="361"/>
      <c r="H244" s="351" t="str">
        <f>_xlfn.CONCAT(_xlfn.XLOOKUP("[S08_ActivityReportRejectedDetail][2][ReasonForRejection]",Submission!$O:$O,Submission!$H:$N,""))</f>
        <v>material misstatement / non conformities / No annual activity level report submitted by 31 March</v>
      </c>
      <c r="I244" s="361"/>
    </row>
    <row r="245" spans="1:9" s="58" customFormat="1" ht="48" customHeight="1" x14ac:dyDescent="0.3">
      <c r="A245" s="75"/>
      <c r="C245" s="249" t="s">
        <v>1210</v>
      </c>
      <c r="D245" s="272"/>
      <c r="E245" s="273"/>
      <c r="F245" s="258" t="str">
        <f>_xlfn.CONCAT(_xlfn.XLOOKUP("[S08_ActivityReportRejectedDetail][3][ActionsTaken]",Submission!$O:$O,Submission!$H:$N,""))</f>
        <v>Establishment of conservative estimation</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Inspection</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No</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0</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0</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0</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0</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0</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Yes</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Covid-19</v>
      </c>
      <c r="D264" s="335" t="str">
        <f>_xlfn.CONCAT(_xlfn.XLOOKUP("[S08_VirtualVisitsActivityLevelDetail][1][NumberOfInstallationsVV]",Submission!$O:$O,Submission!$H:$N,""))</f>
        <v>46</v>
      </c>
      <c r="E264" s="337"/>
      <c r="F264" s="419" t="str">
        <f>_xlfn.CONCAT(_xlfn.XLOOKUP("[S08_VirtualVisitsActivityLevelDetail][1][AuthorityApproval]",Submission!$O:$O,Submission!$H:$N,""))</f>
        <v>Generic authorisation under Article 34a of Implementing Regulation (EU) 2018/2067</v>
      </c>
      <c r="G264" s="421"/>
      <c r="H264" s="419" t="str">
        <f>_xlfn.CONCAT(_xlfn.XLOOKUP("[S08_VirtualVisitsActivityLevelDetail][1][ConfirmationConditionsMet]",Submission!$O:$O,Submission!$H:$N,""))</f>
        <v>Yes</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formal notice</v>
      </c>
    </row>
    <row r="284" spans="1:10" ht="58.2" customHeight="1" x14ac:dyDescent="0.3">
      <c r="C284" s="249" t="s">
        <v>1231</v>
      </c>
      <c r="D284" s="273"/>
      <c r="E284" s="105" t="str">
        <f>_xlfn.CONCAT(_xlfn.XLOOKUP("[S08_PenaltiesAllocation][2][MinFine]",Submission!$O:$O,Submission!$H:$N,""))</f>
        <v/>
      </c>
      <c r="F284" s="105" t="str">
        <f>_xlfn.CONCAT(_xlfn.XLOOKUP("[S08_PenaltiesAllocation][2][MaxFine]",Submission!$O:$O,Submission!$H:$N,""))</f>
        <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formal notice</v>
      </c>
    </row>
    <row r="285" spans="1:10" ht="58.2" customHeight="1" x14ac:dyDescent="0.3">
      <c r="C285" s="249" t="s">
        <v>1232</v>
      </c>
      <c r="D285" s="273"/>
      <c r="E285" s="105" t="str">
        <f>_xlfn.CONCAT(_xlfn.XLOOKUP("[S08_PenaltiesAllocation][3][MinFine]",Submission!$O:$O,Submission!$H:$N,""))</f>
        <v/>
      </c>
      <c r="F285" s="105" t="str">
        <f>_xlfn.CONCAT(_xlfn.XLOOKUP("[S08_PenaltiesAllocation][3][MaxFine]",Submission!$O:$O,Submission!$H:$N,""))</f>
        <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formal notice</v>
      </c>
    </row>
    <row r="286" spans="1:10" ht="36" customHeight="1" x14ac:dyDescent="0.3">
      <c r="C286" s="486" t="s">
        <v>1233</v>
      </c>
      <c r="D286" s="487"/>
      <c r="E286" s="105" t="str">
        <f>_xlfn.CONCAT(_xlfn.XLOOKUP("[S08_PenaltiesAllocation][4][MinFine]",Submission!$O:$O,Submission!$H:$N,""))</f>
        <v/>
      </c>
      <c r="F286" s="105" t="str">
        <f>_xlfn.CONCAT(_xlfn.XLOOKUP("[S08_PenaltiesAllocation][4][MaxFine]",Submission!$O:$O,Submission!$H:$N,""))</f>
        <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formal notice</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Failure to submit an annual activity level report by the required deadline</v>
      </c>
      <c r="D296" s="260"/>
      <c r="E296" s="105" t="str">
        <f>_xlfn.CONCAT(_xlfn.XLOOKUP("[S08_InfringementsIncurredAllocation][1][ActualFines]",Submission!$O:$O,Submission!$H:$N,""))</f>
        <v>0</v>
      </c>
      <c r="F296" s="105" t="str">
        <f>_xlfn.CONCAT(_xlfn.XLOOKUP("[S08_InfringementsIncurredAllocation][1][ActualImprisonment]",Submission!$O:$O,Submission!$H:$N,""))</f>
        <v>0</v>
      </c>
      <c r="G296" s="105" t="str">
        <f>_xlfn.CONCAT(_xlfn.XLOOKUP("[S08_InfringementsIncurredAllocation][1][ACtualOtherPenalties]",Submission!$O:$O,Submission!$H:$N,""))</f>
        <v>formal notice</v>
      </c>
      <c r="H296" s="41" t="str">
        <f>_xlfn.CONCAT(_xlfn.XLOOKUP("[S08_InfringementsIncurredAllocation][1][OngoingProceedings]",Submission!$O:$O,Submission!$H:$N,""))</f>
        <v>No</v>
      </c>
      <c r="I296" s="41" t="str">
        <f>_xlfn.CONCAT(_xlfn.XLOOKUP("[S08_InfringementsIncurredAllocation][1][PenaltyEnforcedWithinPeriod]",Submission!$O:$O,Submission!$H:$N,""))</f>
        <v>Yes</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No</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No</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
      </c>
      <c r="H9" s="465"/>
      <c r="I9" s="462"/>
    </row>
    <row r="10" spans="1:9" x14ac:dyDescent="0.3">
      <c r="C10" s="468" t="s">
        <v>1253</v>
      </c>
      <c r="D10" s="469"/>
      <c r="E10" s="469"/>
      <c r="F10" s="470"/>
      <c r="G10" s="461" t="str">
        <f>_xlfn.CONCAT(_xlfn.XLOOKUP("[S09_InstallationOperatorFeesPermits][2][FeesAmount]",Submission!$O:$O,Submission!$H:$N,""))</f>
        <v/>
      </c>
      <c r="H10" s="465"/>
      <c r="I10" s="462"/>
    </row>
    <row r="11" spans="1:9" x14ac:dyDescent="0.3">
      <c r="C11" s="468" t="s">
        <v>1254</v>
      </c>
      <c r="D11" s="469"/>
      <c r="E11" s="469"/>
      <c r="F11" s="470"/>
      <c r="G11" s="461" t="str">
        <f>_xlfn.CONCAT(_xlfn.XLOOKUP("[S09_InstallationOperatorFeesPermits][3][FeesAmount]",Submission!$O:$O,Submission!$H:$N,""))</f>
        <v/>
      </c>
      <c r="H11" s="465"/>
      <c r="I11" s="462"/>
    </row>
    <row r="12" spans="1:9" x14ac:dyDescent="0.3">
      <c r="C12" s="468" t="s">
        <v>1255</v>
      </c>
      <c r="D12" s="469"/>
      <c r="E12" s="469"/>
      <c r="F12" s="470"/>
      <c r="G12" s="461" t="str">
        <f>_xlfn.CONCAT(_xlfn.XLOOKUP("[S09_InstallationOperatorFeesPermits][4][FeesAmount]",Submission!$O:$O,Submission!$H:$N,""))</f>
        <v/>
      </c>
      <c r="H12" s="465"/>
      <c r="I12" s="462"/>
    </row>
    <row r="13" spans="1:9" x14ac:dyDescent="0.3">
      <c r="C13" s="468" t="s">
        <v>1256</v>
      </c>
      <c r="D13" s="469"/>
      <c r="E13" s="469"/>
      <c r="F13" s="470"/>
      <c r="G13" s="461" t="str">
        <f>_xlfn.CONCAT(_xlfn.XLOOKUP("[S09_InstallationOperatorFeesPermits][5][FeesAmount]",Submission!$O:$O,Submission!$H:$N,""))</f>
        <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account opening fee for operator holding account</v>
      </c>
      <c r="D60" s="460"/>
      <c r="E60" s="460"/>
      <c r="F60" s="256"/>
      <c r="G60" s="461" t="str">
        <f>_xlfn.CONCAT(_xlfn.XLOOKUP("[S09_RegistryAccountOneOffFees][1][OneOffFeeAmount]",Submission!$O:$O,Submission!$H:$N,""))</f>
        <v>500</v>
      </c>
      <c r="H60" s="465"/>
      <c r="I60" s="462"/>
    </row>
    <row r="61" spans="1:9" x14ac:dyDescent="0.3">
      <c r="C61" s="255" t="str">
        <f>_xlfn.CONCAT(_xlfn.XLOOKUP("[S09_RegistryAccountOneOffFees][2][OneOffFeeReason]",Submission!$O:$O,Submission!$H:$N,""))</f>
        <v>account opening fee for aircraft operator holding account</v>
      </c>
      <c r="D61" s="460"/>
      <c r="E61" s="460"/>
      <c r="F61" s="256"/>
      <c r="G61" s="461" t="str">
        <f>_xlfn.CONCAT(_xlfn.XLOOKUP("[S09_RegistryAccountOneOffFees][2][OneOffFeeAmount]",Submission!$O:$O,Submission!$H:$N,""))</f>
        <v>500</v>
      </c>
      <c r="H61" s="465"/>
      <c r="I61" s="462"/>
    </row>
    <row r="62" spans="1:9" x14ac:dyDescent="0.3">
      <c r="C62" s="255" t="str">
        <f>_xlfn.CONCAT(_xlfn.XLOOKUP("[S09_RegistryAccountOneOffFees][3][OneOffFeeReason]",Submission!$O:$O,Submission!$H:$N,""))</f>
        <v>account opening fee for trading account</v>
      </c>
      <c r="D62" s="460"/>
      <c r="E62" s="460"/>
      <c r="F62" s="256"/>
      <c r="G62" s="461" t="str">
        <f>_xlfn.CONCAT(_xlfn.XLOOKUP("[S09_RegistryAccountOneOffFees][3][OneOffFeeAmount]",Submission!$O:$O,Submission!$H:$N,""))</f>
        <v>1100</v>
      </c>
      <c r="H62" s="465"/>
      <c r="I62" s="462"/>
    </row>
    <row r="63" spans="1:9" x14ac:dyDescent="0.3">
      <c r="C63" s="255" t="str">
        <f>_xlfn.CONCAT(_xlfn.XLOOKUP("[S09_RegistryAccountOneOffFees][4][OneOffFeeReason]",Submission!$O:$O,Submission!$H:$N,""))</f>
        <v>account opening fee for person holding account</v>
      </c>
      <c r="D63" s="460"/>
      <c r="E63" s="460"/>
      <c r="F63" s="256"/>
      <c r="G63" s="461" t="str">
        <f>_xlfn.CONCAT(_xlfn.XLOOKUP("[S09_RegistryAccountOneOffFees][4][OneOffFeeAmount]",Submission!$O:$O,Submission!$H:$N,""))</f>
        <v>1100</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annual management fee for operator holding account for VEs of 2019 fewer than 25000 tons</v>
      </c>
      <c r="D74" s="460"/>
      <c r="E74" s="460"/>
      <c r="F74" s="256"/>
      <c r="G74" s="461" t="str">
        <f>_xlfn.CONCAT(_xlfn.XLOOKUP("[S09_RegistryAccountAnnualFees][1][AnnualFeeAmount]",Submission!$O:$O,Submission!$H:$N,""))</f>
        <v>150</v>
      </c>
      <c r="H74" s="465"/>
      <c r="I74" s="462"/>
    </row>
    <row r="75" spans="2:9" x14ac:dyDescent="0.3">
      <c r="C75" s="255" t="str">
        <f>_xlfn.CONCAT(_xlfn.XLOOKUP("[S09_RegistryAccountAnnualFees][2][AnnualFeeReason]",Submission!$O:$O,Submission!$H:$N,""))</f>
        <v>annual management fee for operator holding account with VEs more or equal to 25000 tons</v>
      </c>
      <c r="D75" s="460"/>
      <c r="E75" s="460"/>
      <c r="F75" s="256"/>
      <c r="G75" s="461" t="str">
        <f>_xlfn.CONCAT(_xlfn.XLOOKUP("[S09_RegistryAccountAnnualFees][2][AnnualFeeAmount]",Submission!$O:$O,Submission!$H:$N,""))</f>
        <v>250</v>
      </c>
      <c r="H75" s="465"/>
      <c r="I75" s="462"/>
    </row>
    <row r="76" spans="2:9" x14ac:dyDescent="0.3">
      <c r="C76" s="255" t="str">
        <f>_xlfn.CONCAT(_xlfn.XLOOKUP("[S09_RegistryAccountAnnualFees][3][AnnualFeeReason]",Submission!$O:$O,Submission!$H:$N,""))</f>
        <v>annual management fee for aircraft operators holding account (non excluded in 2021)</v>
      </c>
      <c r="D76" s="460"/>
      <c r="E76" s="460"/>
      <c r="F76" s="256"/>
      <c r="G76" s="461" t="str">
        <f>_xlfn.CONCAT(_xlfn.XLOOKUP("[S09_RegistryAccountAnnualFees][3][AnnualFeeAmount]",Submission!$O:$O,Submission!$H:$N,""))</f>
        <v>250</v>
      </c>
      <c r="H76" s="465"/>
      <c r="I76" s="462"/>
    </row>
    <row r="77" spans="2:9" x14ac:dyDescent="0.3">
      <c r="C77" s="255" t="str">
        <f>_xlfn.CONCAT(_xlfn.XLOOKUP("[S09_RegistryAccountAnnualFees][4][AnnualFeeReason]",Submission!$O:$O,Submission!$H:$N,""))</f>
        <v>annual management fee for trading account</v>
      </c>
      <c r="D77" s="460"/>
      <c r="E77" s="460"/>
      <c r="F77" s="256"/>
      <c r="G77" s="461" t="str">
        <f>_xlfn.CONCAT(_xlfn.XLOOKUP("[S09_RegistryAccountAnnualFees][4][AnnualFeeAmount]",Submission!$O:$O,Submission!$H:$N,""))</f>
        <v>950</v>
      </c>
      <c r="H77" s="465"/>
      <c r="I77" s="462"/>
    </row>
    <row r="78" spans="2:9" x14ac:dyDescent="0.3">
      <c r="C78" s="255" t="str">
        <f>_xlfn.CONCAT(_xlfn.XLOOKUP("[S09_RegistryAccountAnnualFees][5][AnnualFeeReason]",Submission!$O:$O,Submission!$H:$N,""))</f>
        <v>annual management fee for person holding account</v>
      </c>
      <c r="D78" s="460"/>
      <c r="E78" s="460"/>
      <c r="F78" s="256"/>
      <c r="G78" s="461" t="str">
        <f>_xlfn.CONCAT(_xlfn.XLOOKUP("[S09_RegistryAccountAnnualFees][5][AnnualFeeAmount]",Submission!$O:$O,Submission!$H:$N,""))</f>
        <v>950</v>
      </c>
      <c r="H78" s="465"/>
      <c r="I78" s="462"/>
    </row>
    <row r="79" spans="2:9" hidden="1" outlineLevel="1" x14ac:dyDescent="0.3">
      <c r="C79" s="255" t="str">
        <f>_xlfn.CONCAT(_xlfn.XLOOKUP("[S09_RegistryAccountAnnualFees][6][AnnualFeeReason]",Submission!$O:$O,Submission!$H:$N,""))</f>
        <v xml:space="preserve">per ton of VE in 2020 for operator holding account </v>
      </c>
      <c r="D79" s="460"/>
      <c r="E79" s="460"/>
      <c r="F79" s="256"/>
      <c r="G79" s="461" t="str">
        <f>_xlfn.CONCAT(_xlfn.XLOOKUP("[S09_RegistryAccountAnnualFees][6][AnnualFeeAmount]",Submission!$O:$O,Submission!$H:$N,""))</f>
        <v>0.007</v>
      </c>
      <c r="H79" s="465"/>
      <c r="I79" s="462"/>
    </row>
    <row r="80" spans="2:9" hidden="1" outlineLevel="1" x14ac:dyDescent="0.3">
      <c r="C80" s="255" t="str">
        <f>_xlfn.CONCAT(_xlfn.XLOOKUP("[S09_RegistryAccountAnnualFees][7][AnnualFeeReason]",Submission!$O:$O,Submission!$H:$N,""))</f>
        <v>per ton of VE in 2021 for aircratf operator holding account</v>
      </c>
      <c r="D80" s="460"/>
      <c r="E80" s="460"/>
      <c r="F80" s="256"/>
      <c r="G80" s="461" t="str">
        <f>_xlfn.CONCAT(_xlfn.XLOOKUP("[S09_RegistryAccountAnnualFees][7][AnnualFeeAmount]",Submission!$O:$O,Submission!$H:$N,""))</f>
        <v>0.02</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Yes</v>
      </c>
      <c r="I7" s="72" t="str">
        <f>_xlfn.CONCAT(_xlfn.XLOOKUP("[S10_InstallationsComplianceMeasures][1][ComplianceMeasuresComment]",Submission!$O:$O,Submission!$H:$N,""))</f>
        <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Yes</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Yes</v>
      </c>
      <c r="I9" s="72" t="str">
        <f>_xlfn.CONCAT(_xlfn.XLOOKUP("[S10_InstallationsComplianceMeasures][3][ComplianceMeasuresComment]",Submission!$O:$O,Submission!$H:$N,""))</f>
        <v>In 2021, a workshop occured to explain to operators the main changes with Phase 4. No regular trainings or workshops are in place at national levels for operators, but regional competent authorities do help operators understand regulation during emissions and activity level campaign.</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
      </c>
      <c r="F21" s="105" t="str">
        <f>_xlfn.CONCAT(_xlfn.XLOOKUP("[S10_InstallationsInfringementPenalties]["&amp;ROW(B21)-ROW($B$20)&amp;"][MaxFine]",Submission!$O:$O,Submission!$H:$N,""))</f>
        <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Not possible to operate without a permit</v>
      </c>
    </row>
    <row r="22" spans="1:9" ht="33" customHeight="1" x14ac:dyDescent="0.3">
      <c r="A22" s="13"/>
      <c r="C22" s="249" t="s">
        <v>1288</v>
      </c>
      <c r="D22" s="250"/>
      <c r="E22" s="105" t="str">
        <f>_xlfn.CONCAT(_xlfn.XLOOKUP("[S10_InstallationsInfringementPenalties]["&amp;ROW(B22)-ROW($B$20)&amp;"][MinFine]",Submission!$O:$O,Submission!$H:$N,""))</f>
        <v/>
      </c>
      <c r="F22" s="105" t="str">
        <f>_xlfn.CONCAT(_xlfn.XLOOKUP("[S10_InstallationsInfringementPenalties]["&amp;ROW(B22)-ROW($B$20)&amp;"][MaxFine]",Submission!$O:$O,Submission!$H:$N,""))</f>
        <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Formal notice</v>
      </c>
    </row>
    <row r="23" spans="1:9" ht="33" customHeight="1" x14ac:dyDescent="0.3">
      <c r="A23" s="13"/>
      <c r="C23" s="249" t="s">
        <v>1289</v>
      </c>
      <c r="D23" s="250"/>
      <c r="E23" s="105" t="str">
        <f>_xlfn.CONCAT(_xlfn.XLOOKUP("[S10_InstallationsInfringementPenalties]["&amp;ROW(B23)-ROW($B$20)&amp;"][MinFine]",Submission!$O:$O,Submission!$H:$N,""))</f>
        <v/>
      </c>
      <c r="F23" s="105" t="str">
        <f>_xlfn.CONCAT(_xlfn.XLOOKUP("[S10_InstallationsInfringementPenalties]["&amp;ROW(B23)-ROW($B$20)&amp;"][MaxFine]",Submission!$O:$O,Submission!$H:$N,""))</f>
        <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Formal notice</v>
      </c>
    </row>
    <row r="24" spans="1:9" ht="41.4" customHeight="1" x14ac:dyDescent="0.3">
      <c r="A24" s="13"/>
      <c r="C24" s="249" t="s">
        <v>1290</v>
      </c>
      <c r="D24" s="250"/>
      <c r="E24" s="105" t="str">
        <f>_xlfn.CONCAT(_xlfn.XLOOKUP("[S10_InstallationsInfringementPenalties]["&amp;ROW(B24)-ROW($B$20)&amp;"][MinFine]",Submission!$O:$O,Submission!$H:$N,""))</f>
        <v/>
      </c>
      <c r="F24" s="105" t="str">
        <f>_xlfn.CONCAT(_xlfn.XLOOKUP("[S10_InstallationsInfringementPenalties]["&amp;ROW(B24)-ROW($B$20)&amp;"][MaxFine]",Submission!$O:$O,Submission!$H:$N,""))</f>
        <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Formal notice</v>
      </c>
    </row>
    <row r="25" spans="1:9" ht="33" customHeight="1" x14ac:dyDescent="0.3">
      <c r="C25" s="249" t="s">
        <v>1291</v>
      </c>
      <c r="D25" s="250"/>
      <c r="E25" s="105" t="str">
        <f>_xlfn.CONCAT(_xlfn.XLOOKUP("[S10_InstallationsInfringementPenalties]["&amp;ROW(B25)-ROW($B$20)&amp;"][MinFine]",Submission!$O:$O,Submission!$H:$N,""))</f>
        <v/>
      </c>
      <c r="F25" s="105" t="str">
        <f>_xlfn.CONCAT(_xlfn.XLOOKUP("[S10_InstallationsInfringementPenalties]["&amp;ROW(B25)-ROW($B$20)&amp;"][MaxFine]",Submission!$O:$O,Submission!$H:$N,""))</f>
        <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Formal notice</v>
      </c>
    </row>
    <row r="26" spans="1:9" ht="41.4" customHeight="1" x14ac:dyDescent="0.3">
      <c r="C26" s="249" t="s">
        <v>1292</v>
      </c>
      <c r="D26" s="250"/>
      <c r="E26" s="105" t="str">
        <f>_xlfn.CONCAT(_xlfn.XLOOKUP("[S10_InstallationsInfringementPenalties]["&amp;ROW(B26)-ROW($B$20)&amp;"][MinFine]",Submission!$O:$O,Submission!$H:$N,""))</f>
        <v/>
      </c>
      <c r="F26" s="105" t="str">
        <f>_xlfn.CONCAT(_xlfn.XLOOKUP("[S10_InstallationsInfringementPenalties]["&amp;ROW(B26)-ROW($B$20)&amp;"][MaxFine]",Submission!$O:$O,Submission!$H:$N,""))</f>
        <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Formal notice</v>
      </c>
    </row>
    <row r="27" spans="1:9" ht="41.4" customHeight="1" x14ac:dyDescent="0.3">
      <c r="C27" s="249" t="s">
        <v>1293</v>
      </c>
      <c r="D27" s="250"/>
      <c r="E27" s="105" t="str">
        <f>_xlfn.CONCAT(_xlfn.XLOOKUP("[S10_InstallationsInfringementPenalties]["&amp;ROW(B27)-ROW($B$20)&amp;"][MinFine]",Submission!$O:$O,Submission!$H:$N,""))</f>
        <v/>
      </c>
      <c r="F27" s="105" t="str">
        <f>_xlfn.CONCAT(_xlfn.XLOOKUP("[S10_InstallationsInfringementPenalties]["&amp;ROW(B27)-ROW($B$20)&amp;"][MaxFine]",Submission!$O:$O,Submission!$H:$N,""))</f>
        <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Formal notice</v>
      </c>
    </row>
    <row r="28" spans="1:9" ht="33" customHeight="1" x14ac:dyDescent="0.3">
      <c r="C28" s="249" t="s">
        <v>1294</v>
      </c>
      <c r="D28" s="250"/>
      <c r="E28" s="105" t="str">
        <f>_xlfn.CONCAT(_xlfn.XLOOKUP("[S10_InstallationsInfringementPenalties]["&amp;ROW(B28)-ROW($B$20)&amp;"][MinFine]",Submission!$O:$O,Submission!$H:$N,""))</f>
        <v/>
      </c>
      <c r="F28" s="105" t="str">
        <f>_xlfn.CONCAT(_xlfn.XLOOKUP("[S10_InstallationsInfringementPenalties]["&amp;ROW(B28)-ROW($B$20)&amp;"][MaxFine]",Submission!$O:$O,Submission!$H:$N,""))</f>
        <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Formal notice, conservative estimation of emissions</v>
      </c>
    </row>
    <row r="29" spans="1:9" ht="33" customHeight="1" x14ac:dyDescent="0.3">
      <c r="C29" s="249" t="s">
        <v>1295</v>
      </c>
      <c r="D29" s="250"/>
      <c r="E29" s="105" t="str">
        <f>_xlfn.CONCAT(_xlfn.XLOOKUP("[S10_InstallationsInfringementPenalties]["&amp;ROW(B29)-ROW($B$20)&amp;"][MinFine]",Submission!$O:$O,Submission!$H:$N,""))</f>
        <v/>
      </c>
      <c r="F29" s="105" t="str">
        <f>_xlfn.CONCAT(_xlfn.XLOOKUP("[S10_InstallationsInfringementPenalties]["&amp;ROW(B29)-ROW($B$20)&amp;"][MaxFine]",Submission!$O:$O,Submission!$H:$N,""))</f>
        <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Formal notice</v>
      </c>
    </row>
    <row r="30" spans="1:9" ht="33" customHeight="1" x14ac:dyDescent="0.3">
      <c r="C30" s="249" t="s">
        <v>1296</v>
      </c>
      <c r="D30" s="250"/>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Formal notice</v>
      </c>
    </row>
    <row r="31" spans="1:9" ht="33" customHeight="1" x14ac:dyDescent="0.3">
      <c r="C31" s="249" t="s">
        <v>1297</v>
      </c>
      <c r="D31" s="250"/>
      <c r="E31" s="105" t="str">
        <f>_xlfn.CONCAT(_xlfn.XLOOKUP("[S10_InstallationsInfringementPenalties]["&amp;ROW(B31)-ROW($B$20)&amp;"][MinFine]",Submission!$O:$O,Submission!$H:$N,""))</f>
        <v/>
      </c>
      <c r="F31" s="105" t="str">
        <f>_xlfn.CONCAT(_xlfn.XLOOKUP("[S10_InstallationsInfringementPenalties]["&amp;ROW(B31)-ROW($B$20)&amp;"][MaxFine]",Submission!$O:$O,Submission!$H:$N,""))</f>
        <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Formal notice, conservative estimation of emissions</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Article L. 229-10 II and L. 229-8 of the Environmental Code</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Failure to submit a verified emission report by 31 March or earlier if the competent authority set an earlier deadline</v>
      </c>
      <c r="D66" s="260"/>
      <c r="E66" s="105" t="str">
        <f>_xlfn.CONCAT(_xlfn.XLOOKUP("[S10_InstallationsPenaltiesImposed][1][ActualFines]",Submission!$O:$O,Submission!$H:$N,""))</f>
        <v>0</v>
      </c>
      <c r="F66" s="105" t="str">
        <f>_xlfn.CONCAT(_xlfn.XLOOKUP("[S10_InstallationsPenaltiesImposed][1][ActualImprisonment]",Submission!$O:$O,Submission!$H:$N,""))</f>
        <v>0</v>
      </c>
      <c r="G66" s="92" t="str">
        <f>_xlfn.CONCAT(_xlfn.XLOOKUP("[S10_InstallationsPenaltiesImposed][1][ACtualOtherPenalties]",Submission!$O:$O,Submission!$H:$N,""))</f>
        <v>Formal notice, conservative estimation of emissions</v>
      </c>
      <c r="H66" s="63" t="str">
        <f>_xlfn.CONCAT(_xlfn.XLOOKUP("[S10_InstallationsPenaltiesImposed][1][OngoingProceedings]",Submission!$O:$O,Submission!$H:$N,""))</f>
        <v>No</v>
      </c>
      <c r="I66" s="89" t="str">
        <f>_xlfn.CONCAT(_xlfn.XLOOKUP("[S10_InstallationsPenaltiesImposed][1][PenaltyEnforcedWithinPeriod]",Submission!$O:$O,Submission!$H:$N,""))</f>
        <v>Yes</v>
      </c>
    </row>
    <row r="67" spans="1:9" ht="41.4" customHeight="1" x14ac:dyDescent="0.3">
      <c r="A67" s="13"/>
      <c r="C67" s="258" t="str">
        <f>_xlfn.CONCAT(_xlfn.XLOOKUP("[S10_InstallationsPenaltiesImposed][2][InfringementType]",Submission!$O:$O,Submission!$H:$N,""))</f>
        <v>The verified emission report is found not to be in line with Implementing Regulation (EU) 2018/2066</v>
      </c>
      <c r="D67" s="260"/>
      <c r="E67" s="105" t="str">
        <f>_xlfn.CONCAT(_xlfn.XLOOKUP("[S10_InstallationsPenaltiesImposed][2][ActualFines]",Submission!$O:$O,Submission!$H:$N,""))</f>
        <v>0</v>
      </c>
      <c r="F67" s="105" t="str">
        <f>_xlfn.CONCAT(_xlfn.XLOOKUP("[S10_InstallationsPenaltiesImposed][2][ActualImprisonment]",Submission!$O:$O,Submission!$H:$N,""))</f>
        <v>0</v>
      </c>
      <c r="G67" s="92" t="str">
        <f>_xlfn.CONCAT(_xlfn.XLOOKUP("[S10_InstallationsPenaltiesImposed][2][ACtualOtherPenalties]",Submission!$O:$O,Submission!$H:$N,""))</f>
        <v>Formal notice, conservative estimation of emissions</v>
      </c>
      <c r="H67" s="63" t="str">
        <f>_xlfn.CONCAT(_xlfn.XLOOKUP("[S10_InstallationsPenaltiesImposed][2][OngoingProceedings]",Submission!$O:$O,Submission!$H:$N,""))</f>
        <v>No</v>
      </c>
      <c r="I67" s="89" t="str">
        <f>_xlfn.CONCAT(_xlfn.XLOOKUP("[S10_InstallationsPenaltiesImposed][2][PenaltyEnforcedWithinPeriod]",Submission!$O:$O,Submission!$H:$N,""))</f>
        <v>Yes</v>
      </c>
    </row>
    <row r="68" spans="1:9" ht="41.4" customHeight="1" x14ac:dyDescent="0.3">
      <c r="A68" s="13"/>
      <c r="C68" s="258" t="str">
        <f>_xlfn.CONCAT(_xlfn.XLOOKUP("[S10_InstallationsPenaltiesImposed][3][InfringementType]",Submission!$O:$O,Submission!$H:$N,""))</f>
        <v>Failure to hold a required sampling plan(s) approved by the competent authority</v>
      </c>
      <c r="D68" s="260"/>
      <c r="E68" s="105" t="str">
        <f>_xlfn.CONCAT(_xlfn.XLOOKUP("[S10_InstallationsPenaltiesImposed][3][ActualFines]",Submission!$O:$O,Submission!$H:$N,""))</f>
        <v>0</v>
      </c>
      <c r="F68" s="105" t="str">
        <f>_xlfn.CONCAT(_xlfn.XLOOKUP("[S10_InstallationsPenaltiesImposed][3][ActualImprisonment]",Submission!$O:$O,Submission!$H:$N,""))</f>
        <v>0</v>
      </c>
      <c r="G68" s="92" t="str">
        <f>_xlfn.CONCAT(_xlfn.XLOOKUP("[S10_InstallationsPenaltiesImposed][3][ACtualOtherPenalties]",Submission!$O:$O,Submission!$H:$N,""))</f>
        <v>Formal notice</v>
      </c>
      <c r="H68" s="63" t="str">
        <f>_xlfn.CONCAT(_xlfn.XLOOKUP("[S10_InstallationsPenaltiesImposed][3][OngoingProceedings]",Submission!$O:$O,Submission!$H:$N,""))</f>
        <v>No</v>
      </c>
      <c r="I68" s="89" t="str">
        <f>_xlfn.CONCAT(_xlfn.XLOOKUP("[S10_InstallationsPenaltiesImposed][3][PenaltyEnforcedWithinPeriod]",Submission!$O:$O,Submission!$H:$N,""))</f>
        <v>Yes</v>
      </c>
    </row>
    <row r="69" spans="1:9" ht="41.4" customHeight="1" x14ac:dyDescent="0.3">
      <c r="A69" s="13"/>
      <c r="C69" s="258" t="str">
        <f>_xlfn.CONCAT(_xlfn.XLOOKUP("[S10_InstallationsPenaltiesImposed][4][InfringementType]",Submission!$O:$O,Submission!$H:$N,""))</f>
        <v>Failure to monitor and implement procedures in accordance with the approved monitoring plan and Implementing Regulation (EU) 2018/2066</v>
      </c>
      <c r="D69" s="260"/>
      <c r="E69" s="105" t="str">
        <f>_xlfn.CONCAT(_xlfn.XLOOKUP("[S10_InstallationsPenaltiesImposed][4][ActualFines]",Submission!$O:$O,Submission!$H:$N,""))</f>
        <v>0</v>
      </c>
      <c r="F69" s="105" t="str">
        <f>_xlfn.CONCAT(_xlfn.XLOOKUP("[S10_InstallationsPenaltiesImposed][4][ActualImprisonment]",Submission!$O:$O,Submission!$H:$N,""))</f>
        <v>0</v>
      </c>
      <c r="G69" s="92" t="str">
        <f>_xlfn.CONCAT(_xlfn.XLOOKUP("[S10_InstallationsPenaltiesImposed][4][ACtualOtherPenalties]",Submission!$O:$O,Submission!$H:$N,""))</f>
        <v>Formal notice</v>
      </c>
      <c r="H69" s="63" t="str">
        <f>_xlfn.CONCAT(_xlfn.XLOOKUP("[S10_InstallationsPenaltiesImposed][4][OngoingProceedings]",Submission!$O:$O,Submission!$H:$N,""))</f>
        <v>No</v>
      </c>
      <c r="I69" s="89" t="str">
        <f>_xlfn.CONCAT(_xlfn.XLOOKUP("[S10_InstallationsPenaltiesImposed][4][PenaltyEnforcedWithinPeriod]",Submission!$O:$O,Submission!$H:$N,""))</f>
        <v>Yes</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No</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
      </c>
      <c r="D115" s="353"/>
      <c r="E115" s="260"/>
      <c r="F115" s="258" t="str">
        <f>_xlfn.CONCAT(_xlfn.XLOOKUP("[S10_InstallationPenalties][1][OperatorName]",Submission!$O:$O,Submission!$H:$N,""))</f>
        <v/>
      </c>
      <c r="G115" s="353"/>
      <c r="H115" s="353"/>
      <c r="I115" s="260"/>
    </row>
    <row r="116" spans="1:9" ht="15.9" customHeight="1" x14ac:dyDescent="0.3">
      <c r="A116" s="12"/>
      <c r="B116" s="23"/>
      <c r="C116" s="258" t="str">
        <f>_xlfn.CONCAT(_xlfn.XLOOKUP("[S10_InstallationPenalties][2][InstallationID]",Submission!$O:$O,Submission!$H:$N,""))</f>
        <v/>
      </c>
      <c r="D116" s="353"/>
      <c r="E116" s="260"/>
      <c r="F116" s="258" t="str">
        <f>_xlfn.CONCAT(_xlfn.XLOOKUP("[S10_InstallationPenalties][2][OperatorName]",Submission!$O:$O,Submission!$H:$N,""))</f>
        <v/>
      </c>
      <c r="G116" s="353"/>
      <c r="H116" s="353"/>
      <c r="I116" s="260"/>
    </row>
    <row r="117" spans="1:9" ht="15.9" hidden="1" customHeight="1" outlineLevel="1" x14ac:dyDescent="0.3">
      <c r="A117" s="12"/>
      <c r="B117" s="23"/>
      <c r="C117" s="258" t="str">
        <f>_xlfn.CONCAT(_xlfn.XLOOKUP("[S10_InstallationPenalties][3][InstallationID]",Submission!$O:$O,Submission!$H:$N,""))</f>
        <v/>
      </c>
      <c r="D117" s="353"/>
      <c r="E117" s="260"/>
      <c r="F117" s="258" t="str">
        <f>_xlfn.CONCAT(_xlfn.XLOOKUP("[S10_InstallationPenalties][3][OperatorName]",Submission!$O:$O,Submission!$H:$N,""))</f>
        <v/>
      </c>
      <c r="G117" s="353"/>
      <c r="H117" s="353"/>
      <c r="I117" s="260"/>
    </row>
    <row r="118" spans="1:9" ht="15.9" hidden="1" customHeight="1" outlineLevel="1" x14ac:dyDescent="0.3">
      <c r="A118" s="12"/>
      <c r="B118" s="23"/>
      <c r="C118" s="258" t="str">
        <f>_xlfn.CONCAT(_xlfn.XLOOKUP("[S10_InstallationPenalties][4][InstallationID]",Submission!$O:$O,Submission!$H:$N,""))</f>
        <v/>
      </c>
      <c r="D118" s="353"/>
      <c r="E118" s="260"/>
      <c r="F118" s="258" t="str">
        <f>_xlfn.CONCAT(_xlfn.XLOOKUP("[S10_InstallationPenalties][4][OperatorName]",Submission!$O:$O,Submission!$H:$N,""))</f>
        <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No</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
      </c>
      <c r="F147" s="105" t="str">
        <f>_xlfn.CONCAT(_xlfn.XLOOKUP("[S10_AircraftInfringementPenalties][1][MaxFine]",Submission!$O:$O,Submission!$H:$N,""))</f>
        <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9" t="s">
        <v>1290</v>
      </c>
      <c r="D148" s="273"/>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9" t="s">
        <v>1312</v>
      </c>
      <c r="D149" s="273"/>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9" t="s">
        <v>1293</v>
      </c>
      <c r="D150" s="273"/>
      <c r="E150" s="105" t="str">
        <f>_xlfn.CONCAT(_xlfn.XLOOKUP("[S10_AircraftInfringementPenalties][4][MinFine]",Submission!$O:$O,Submission!$H:$N,""))</f>
        <v/>
      </c>
      <c r="F150" s="105" t="str">
        <f>_xlfn.CONCAT(_xlfn.XLOOKUP("[S10_AircraftInfringementPenalties][4][MaxFine]",Submission!$O:$O,Submission!$H:$N,""))</f>
        <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9" t="s">
        <v>1313</v>
      </c>
      <c r="D151" s="273"/>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9" t="s">
        <v>1294</v>
      </c>
      <c r="D152" s="273"/>
      <c r="E152" s="105" t="str">
        <f>_xlfn.CONCAT(_xlfn.XLOOKUP("[S10_AircraftInfringementPenalties][6][MinFine]",Submission!$O:$O,Submission!$H:$N,""))</f>
        <v/>
      </c>
      <c r="F152" s="105" t="str">
        <f>_xlfn.CONCAT(_xlfn.XLOOKUP("[S10_AircraftInfringementPenalties][6][MaxFine]",Submission!$O:$O,Submission!$H:$N,""))</f>
        <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9" t="s">
        <v>1295</v>
      </c>
      <c r="D153" s="273"/>
      <c r="E153" s="105" t="str">
        <f>_xlfn.CONCAT(_xlfn.XLOOKUP("[S10_AircraftInfringementPenalties][7][MinFine]",Submission!$O:$O,Submission!$H:$N,""))</f>
        <v/>
      </c>
      <c r="F153" s="105" t="str">
        <f>_xlfn.CONCAT(_xlfn.XLOOKUP("[S10_AircraftInfringementPenalties][7][MaxFine]",Submission!$O:$O,Submission!$H:$N,""))</f>
        <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9" t="s">
        <v>1296</v>
      </c>
      <c r="D154" s="273"/>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9" t="s">
        <v>1297</v>
      </c>
      <c r="D155" s="273"/>
      <c r="E155" s="105" t="str">
        <f>_xlfn.CONCAT(_xlfn.XLOOKUP("[S10_AircraftInfringementPenalties][9][MinFine]",Submission!$O:$O,Submission!$H:$N,""))</f>
        <v/>
      </c>
      <c r="F155" s="105" t="str">
        <f>_xlfn.CONCAT(_xlfn.XLOOKUP("[S10_AircraftInfringementPenalties][9][MaxFine]",Submission!$O:$O,Submission!$H:$N,""))</f>
        <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
      </c>
      <c r="F156" s="105" t="str">
        <f>_xlfn.CONCAT(_xlfn.XLOOKUP("[S10_AircraftInfringementPenalties][10][MaxFine]",Submission!$O:$O,Submission!$H:$N,""))</f>
        <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No</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The allowances are chattels (personal/tangible/moveable asset) whose property is materialised by an entry in the account of the holder in the registry (Article L. 229-11 of the Environmental Code).</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There are two different regimes depending on the model of the person in question ("production" model, or "trading" model).
"Production" (installations) :
- Allowances are recorded in inventory accounts (purchase value or zero for the free allocation); 
- They are substracted from the stocks when CO2 is emitted, in return for a production charge; 
- In case of shortage of allowances: recognition of a liability (the subsequent purchase of allowances puts an end to the liability). 
"Trading" (intermediaries) : 
- Allowances are recorded at their acquisition cost; 
- If the current value is less than their carrying amount, the latter is reduced to the present value through an impairment; 
- Gains and losses are recognized in the income statement.</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No</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
      </c>
      <c r="D18" s="353"/>
      <c r="E18" s="353"/>
      <c r="F18" s="260"/>
      <c r="G18" s="258" t="str">
        <f>_xlfn.CONCAT(_xlfn.XLOOKUP("[S11_TypeOfTaxRatesApplied][1][TaxRateApplied]",Submission!$O:$O,Submission!$H:$N,""))</f>
        <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There is no special arrangement specifically for free allocation of allowances. TRACFIN is the financial intelligence unit in France. Its mission is to fight against illegal financial channels, money laundering and the financing of terrorism. It is under the authority of the Ministry of Finance (competent authority). Persons falling within the scope of TRACFIN have an obligation to report activities that they know, suspect or have reasonable grounds to suspect that they might be fraudulent.</v>
      </c>
      <c r="H7" s="353"/>
      <c r="I7" s="260"/>
    </row>
    <row r="8" spans="1:9" ht="45" customHeight="1" x14ac:dyDescent="0.3">
      <c r="C8" s="249" t="s">
        <v>1337</v>
      </c>
      <c r="D8" s="257"/>
      <c r="E8" s="257"/>
      <c r="F8" s="250"/>
      <c r="G8" s="258" t="str">
        <f>_xlfn.CONCAT(_xlfn.XLOOKUP("[S12_FraudFreeAllocationOfAllowances][2][DetailsOfProceduresInNationalLaw]",Submission!$O:$O,Submission!$H:$N,""))</f>
        <v>There is no special arrangement specifically for free allocation of allowances. In the course of its investigations, TRACFIN has powers which are provided in the monetary and financial code in terms of access to information and intervention in transactions.</v>
      </c>
      <c r="H8" s="353"/>
      <c r="I8" s="260"/>
    </row>
    <row r="9" spans="1:9" ht="45" customHeight="1" x14ac:dyDescent="0.3">
      <c r="C9" s="249" t="s">
        <v>1338</v>
      </c>
      <c r="D9" s="257"/>
      <c r="E9" s="257"/>
      <c r="F9" s="250"/>
      <c r="G9" s="258" t="str">
        <f>_xlfn.CONCAT(_xlfn.XLOOKUP("[S12_FraudFreeAllocationOfAllowances][3][DetailsOfProceduresInNationalLaw]",Submission!$O:$O,Submission!$H:$N,""))</f>
        <v/>
      </c>
      <c r="H9" s="353"/>
      <c r="I9" s="260"/>
    </row>
    <row r="10" spans="1:9" ht="45" customHeight="1" x14ac:dyDescent="0.3">
      <c r="C10" s="249" t="s">
        <v>1339</v>
      </c>
      <c r="D10" s="257"/>
      <c r="E10" s="257"/>
      <c r="F10" s="250"/>
      <c r="G10" s="258" t="str">
        <f>_xlfn.CONCAT(_xlfn.XLOOKUP("[S12_FraudFreeAllocationOfAllowances][4][DetailsOfProceduresInNationalLaw]",Submission!$O:$O,Submission!$H:$N,""))</f>
        <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In cases related to tax fraud, the author can be punishable: € 500,000 fine and 5 years imprisonment. These penalties are increased to € 2 million fine and seven years' imprisonment where the offense was committed by an organized gang or through: opening accounts or subscription contracts with entities established abroad the interposition of persons or foreign-based screen agencies, the use of a false identity or forged documents (or any falsification) a debit or a fictitious or artificial abroad act."</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The competent authority for the EU ETS has regular contacts and exchanges with the AMLD competent authority and with the registry, which itself has regular contacts with TRACFIN (French financial intelligence unit).</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See answer to the first question</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See answer to the first question</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See answer to the first question</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0</v>
      </c>
      <c r="I28" s="352"/>
    </row>
    <row r="29" spans="1:9" ht="20.399999999999999" customHeight="1" x14ac:dyDescent="0.3">
      <c r="C29" s="249" t="s">
        <v>1357</v>
      </c>
      <c r="D29" s="257"/>
      <c r="E29" s="257"/>
      <c r="F29" s="257"/>
      <c r="G29" s="250"/>
      <c r="H29" s="351" t="str">
        <f>_xlfn.CONCAT(_xlfn.XLOOKUP("[S12_InformationOnFraudActivities][2][NumberOfActivities]",Submission!$O:$O,Submission!$H:$N,""))</f>
        <v>0</v>
      </c>
      <c r="I29" s="352"/>
    </row>
    <row r="30" spans="1:9" ht="20.399999999999999" customHeight="1" x14ac:dyDescent="0.3">
      <c r="C30" s="249" t="s">
        <v>1358</v>
      </c>
      <c r="D30" s="257"/>
      <c r="E30" s="257"/>
      <c r="F30" s="257"/>
      <c r="G30" s="250"/>
      <c r="H30" s="351" t="str">
        <f>_xlfn.CONCAT(_xlfn.XLOOKUP("[S12_InformationOnFraudActivities][3][NumberOfActivities]",Submission!$O:$O,Submission!$H:$N,""))</f>
        <v>0</v>
      </c>
      <c r="I30" s="352"/>
    </row>
    <row r="31" spans="1:9" ht="20.399999999999999" customHeight="1" x14ac:dyDescent="0.3">
      <c r="C31" s="249" t="s">
        <v>1359</v>
      </c>
      <c r="D31" s="257"/>
      <c r="E31" s="257"/>
      <c r="F31" s="257"/>
      <c r="G31" s="250"/>
      <c r="H31" s="351" t="str">
        <f>_xlfn.CONCAT(_xlfn.XLOOKUP("[S12_InformationOnFraudActivities][4][NumberOfActivities]",Submission!$O:$O,Submission!$H:$N,""))</f>
        <v>0</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Question 2.1</v>
      </c>
      <c r="E9" s="353" t="str">
        <f>_xlfn.CONCAT(_xlfn.XLOOKUP("[S13_AnyOtherIssues][3][OtherInformationOrIssues]",Submission!$O:$O,Submission!$H:$N,""))</f>
        <v>The EU ETS teams in the DREAL are usually regional competent authorities. But for 2 regions, some assessments of emissions and annual activity level reports were performed by the "Unités départementales", local competent authorities.</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Question 5.6</v>
      </c>
      <c r="E18" s="353" t="str">
        <f>_xlfn.CONCAT(_xlfn.XLOOKUP("[S13_AnyOtherIssues][12][OtherInformationOrIssues]",Submission!$O:$O,Submission!$H:$N,""))</f>
        <v>Compared with last year: 
Q5.6 is based on the work done for MMR-Annex V (in compliance with Regulation (EU) No 525/2013) and provided in March 2022. The ratios used for 2020 ETS data are applied on 2021 ETS emissions.
ETS emissions allocated to 2D3 are now allocated in 2H (because 2D3 is not in the list anymore).
ETS emissions from iron and steel, combining 1A1c, 1A2a and 2C1 are now allocated in majority in 2C1, in compliance with the IPCC guidelines, in particular for integrated steel plants (with coke production, iron production and steel production with blast furnaces).</v>
      </c>
      <c r="F18" s="353"/>
      <c r="G18" s="353"/>
      <c r="H18" s="353"/>
      <c r="I18" s="260"/>
      <c r="K18" s="192"/>
    </row>
    <row r="19" spans="3:11" ht="27" customHeight="1" x14ac:dyDescent="0.3">
      <c r="C19" s="566"/>
      <c r="D19" s="161" t="str">
        <f>_xlfn.CONCAT(_xlfn.XLOOKUP("[S13_AnyOtherIssues][13][QuestionnaireSubQuestion]",Submission!$O:$O,Submission!$H:$N,""))</f>
        <v>Question 5.7</v>
      </c>
      <c r="E19" s="353" t="str">
        <f>_xlfn.CONCAT(_xlfn.XLOOKUP("[S13_AnyOtherIssues][13][OtherInformationOrIssues]",Submission!$O:$O,Submission!$H:$N,""))</f>
        <v xml:space="preserve">We do not have the means to answer this question </v>
      </c>
      <c r="F19" s="353"/>
      <c r="G19" s="353"/>
      <c r="H19" s="353"/>
      <c r="I19" s="260"/>
    </row>
    <row r="20" spans="3:11" ht="27" hidden="1" customHeight="1" outlineLevel="1" x14ac:dyDescent="0.3">
      <c r="C20" s="566"/>
      <c r="D20" s="161" t="str">
        <f>_xlfn.CONCAT(_xlfn.XLOOKUP("[S13_AnyOtherIssues][14][QuestionnaireSubQuestion]",Submission!$O:$O,Submission!$H:$N,""))</f>
        <v>Question 5.8</v>
      </c>
      <c r="E20" s="353" t="str">
        <f>_xlfn.CONCAT(_xlfn.XLOOKUP("[S13_AnyOtherIssues][14][OtherInformationOrIssues]",Submission!$O:$O,Submission!$H:$N,""))</f>
        <v>Information is very difficult to collect and it is very time-consuming because it needs an analysis of all monitoring plan (1040).</v>
      </c>
      <c r="F20" s="353"/>
      <c r="G20" s="353"/>
      <c r="H20" s="353"/>
      <c r="I20" s="260"/>
    </row>
    <row r="21" spans="3:11" ht="27" hidden="1" customHeight="1" outlineLevel="1" x14ac:dyDescent="0.3">
      <c r="C21" s="566"/>
      <c r="D21" s="161" t="str">
        <f>_xlfn.CONCAT(_xlfn.XLOOKUP("[S13_AnyOtherIssues][15][QuestionnaireSubQuestion]",Submission!$O:$O,Submission!$H:$N,""))</f>
        <v>Question 5.12</v>
      </c>
      <c r="E21" s="353" t="str">
        <f>_xlfn.CONCAT(_xlfn.XLOOKUP("[S13_AnyOtherIssues][15][OtherInformationOrIssues]",Submission!$O:$O,Submission!$H:$N,""))</f>
        <v>The data on improvement report in 2021 is different from other years. Indeed, competent authorities asked all operators to send a new monitoring plan for Phase 4 using the template from the Commission for September 2021. Therefore all operators has sent new monitoring plans, instead of an improvement report, most of them taking into account the remarks from the verifiers. It is difficult to check that all comments from verifiers were indeed included in the modified monitoring plan at a national level. Some cases where neither improvement report or monitoring plan were received are sometimes cases of cessations or merging of installations.</v>
      </c>
      <c r="F21" s="353"/>
      <c r="G21" s="353"/>
      <c r="H21" s="353"/>
      <c r="I21" s="260"/>
    </row>
    <row r="22" spans="3:11" ht="27" hidden="1" customHeight="1" outlineLevel="1" x14ac:dyDescent="0.3">
      <c r="C22" s="566"/>
      <c r="D22" s="161" t="str">
        <f>_xlfn.CONCAT(_xlfn.XLOOKUP("[S13_AnyOtherIssues][16][QuestionnaireSubQuestion]",Submission!$O:$O,Submission!$H:$N,""))</f>
        <v>Question 5.15</v>
      </c>
      <c r="E22" s="353" t="str">
        <f>_xlfn.CONCAT(_xlfn.XLOOKUP("[S13_AnyOtherIssues][16][OtherInformationOrIssues]",Submission!$O:$O,Submission!$H:$N,""))</f>
        <v>11 source streams with emissions from sustainable biomass had no associated energy content (2 were estimated). 
We also included process emissions in this question.</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Question 6.3</v>
      </c>
      <c r="E41" s="353" t="str">
        <f>_xlfn.CONCAT(_xlfn.XLOOKUP("[S13_AnyOtherIssues][35][OtherInformationOrIssues]",Submission!$O:$O,Submission!$H:$N,""))</f>
        <v>We are currently waiting for the conservative estimation of emissions for 3 installations</v>
      </c>
      <c r="F41" s="353"/>
      <c r="G41" s="353"/>
      <c r="H41" s="353"/>
      <c r="I41" s="260"/>
    </row>
    <row r="42" spans="3:9" ht="27" customHeight="1" x14ac:dyDescent="0.3">
      <c r="C42" s="566"/>
      <c r="D42" s="161" t="str">
        <f>_xlfn.CONCAT(_xlfn.XLOOKUP("[S13_AnyOtherIssues][36][QuestionnaireSubQuestion]",Submission!$O:$O,Submission!$H:$N,""))</f>
        <v>Question 6.4</v>
      </c>
      <c r="E42" s="353" t="str">
        <f>_xlfn.CONCAT(_xlfn.XLOOKUP("[S13_AnyOtherIssues][36][OtherInformationOrIssues]",Submission!$O:$O,Submission!$H:$N,""))</f>
        <v>Regarding the column "number of issues" : we use data from our online reporting platform and we cannot know the number of issues for each installation, only the type of issue encountered. The number of issue is therefore understated.</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Question 7.3</v>
      </c>
      <c r="E53" s="353" t="str">
        <f>_xlfn.CONCAT(_xlfn.XLOOKUP("[S13_AnyOtherIssues][47][OtherInformationOrIssues]",Submission!$O:$O,Submission!$H:$N,""))</f>
        <v>36 AOHA use a mandate (out of a total of 135  AOHA opened  at the end of 2021)</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Question 8.4</v>
      </c>
      <c r="E56" s="353" t="str">
        <f>_xlfn.CONCAT(_xlfn.XLOOKUP("[S13_AnyOtherIssues][50][OtherInformationOrIssues]",Submission!$O:$O,Submission!$H:$N,""))</f>
        <v xml:space="preserve">All allowances were suspended until the assement by the competent authority. </v>
      </c>
      <c r="F56" s="353"/>
      <c r="G56" s="353"/>
      <c r="H56" s="353"/>
      <c r="I56" s="260"/>
    </row>
    <row r="57" spans="3:9" ht="27" customHeight="1" x14ac:dyDescent="0.3">
      <c r="C57" s="566"/>
      <c r="D57" s="161" t="str">
        <f>_xlfn.CONCAT(_xlfn.XLOOKUP("[S13_AnyOtherIssues][51][QuestionnaireSubQuestion]",Submission!$O:$O,Submission!$H:$N,""))</f>
        <v>Question 8.8</v>
      </c>
      <c r="E57" s="353" t="str">
        <f>_xlfn.CONCAT(_xlfn.XLOOKUP("[S13_AnyOtherIssues][51][OtherInformationOrIssues]",Submission!$O:$O,Submission!$H:$N,""))</f>
        <v>We do not have the means to answer this question</v>
      </c>
      <c r="F57" s="353"/>
      <c r="G57" s="353"/>
      <c r="H57" s="353"/>
      <c r="I57" s="260"/>
    </row>
    <row r="58" spans="3:9" ht="27" hidden="1" customHeight="1" outlineLevel="1" x14ac:dyDescent="0.3">
      <c r="C58" s="566"/>
      <c r="D58" s="161" t="str">
        <f>_xlfn.CONCAT(_xlfn.XLOOKUP("[S13_AnyOtherIssues][52][QuestionnaireSubQuestion]",Submission!$O:$O,Submission!$H:$N,""))</f>
        <v>Question 8.9</v>
      </c>
      <c r="E58" s="353" t="str">
        <f>_xlfn.CONCAT(_xlfn.XLOOKUP("[S13_AnyOtherIssues][52][OtherInformationOrIssues]",Submission!$O:$O,Submission!$H:$N,""))</f>
        <v>We do not have the means to answer this question</v>
      </c>
      <c r="F58" s="353"/>
      <c r="G58" s="353"/>
      <c r="H58" s="353"/>
      <c r="I58" s="260"/>
    </row>
    <row r="59" spans="3:9" ht="27" hidden="1" customHeight="1" outlineLevel="1" x14ac:dyDescent="0.3">
      <c r="C59" s="566"/>
      <c r="D59" s="161" t="str">
        <f>_xlfn.CONCAT(_xlfn.XLOOKUP("[S13_AnyOtherIssues][53][QuestionnaireSubQuestion]",Submission!$O:$O,Submission!$H:$N,""))</f>
        <v>Question 8.13</v>
      </c>
      <c r="E59" s="353" t="str">
        <f>_xlfn.CONCAT(_xlfn.XLOOKUP("[S13_AnyOtherIssues][53][OtherInformationOrIssues]",Submission!$O:$O,Submission!$H:$N,""))</f>
        <v>Regarding the column "number of issues" : we use data from our online reporting platform and we cannot know the number of issues for each installation, only the type of issue encountered. The number of issue is therefore understated.</v>
      </c>
      <c r="F59" s="353"/>
      <c r="G59" s="353"/>
      <c r="H59" s="353"/>
      <c r="I59" s="260"/>
    </row>
    <row r="60" spans="3:9" ht="27" hidden="1" customHeight="1" outlineLevel="1" x14ac:dyDescent="0.3">
      <c r="C60" s="566"/>
      <c r="D60" s="161" t="str">
        <f>_xlfn.CONCAT(_xlfn.XLOOKUP("[S13_AnyOtherIssues][54][QuestionnaireSubQuestion]",Submission!$O:$O,Submission!$H:$N,""))</f>
        <v>Question 8.16</v>
      </c>
      <c r="E60" s="353" t="str">
        <f>_xlfn.CONCAT(_xlfn.XLOOKUP("[S13_AnyOtherIssues][54][OtherInformationOrIssues]",Submission!$O:$O,Submission!$H:$N,""))</f>
        <v>We cannot differentiate virtual site visits carried out for emission and activity levels in 2021. Usually, during the pandemic, both emissions and activity levels were checked virtually by the verifier for the affected installations.</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Question 10.4</v>
      </c>
      <c r="E77" s="353" t="str">
        <f>_xlfn.CONCAT(_xlfn.XLOOKUP("[S13_AnyOtherIssues][71][OtherInformationOrIssues]",Submission!$O:$O,Submission!$H:$N,""))</f>
        <v>The financial sanction is very dissuasive and in the facts, it is not necessary to implement it since operators respect the obligation of returning the excess allowances.</v>
      </c>
      <c r="F77" s="353"/>
      <c r="G77" s="353"/>
      <c r="H77" s="353"/>
      <c r="I77" s="260"/>
    </row>
    <row r="78" spans="3:9" ht="27" customHeight="1" x14ac:dyDescent="0.3">
      <c r="C78" s="566"/>
      <c r="D78" s="161" t="str">
        <f>_xlfn.CONCAT(_xlfn.XLOOKUP("[S13_AnyOtherIssues][72][QuestionnaireSubQuestion]",Submission!$O:$O,Submission!$H:$N,""))</f>
        <v>Question 10.5</v>
      </c>
      <c r="E78" s="353" t="str">
        <f>_xlfn.CONCAT(_xlfn.XLOOKUP("[S13_AnyOtherIssues][72][OtherInformationOrIssues]",Submission!$O:$O,Submission!$H:$N,""))</f>
        <v>Questions 10.5 to 10.9: no penalties were imposed</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MTE-DGEC</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MTE-DGEC</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MTE-DGAC</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COFRAC</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COFRAC</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COFRAC</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CDC</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ASN</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DGE</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AFT</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DREAL</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Ministère de la transition énergétique</v>
      </c>
    </row>
    <row r="3" spans="1:21" x14ac:dyDescent="0.3">
      <c r="A3" t="s">
        <v>1738</v>
      </c>
      <c r="B3" t="s">
        <v>1739</v>
      </c>
      <c r="C3">
        <v>0</v>
      </c>
      <c r="D3" t="s">
        <v>1447</v>
      </c>
      <c r="E3" t="s">
        <v>1742</v>
      </c>
      <c r="F3" t="s">
        <v>1741</v>
      </c>
      <c r="G3" t="str">
        <f>IF(ISBLANK('Q 1'!E6),"",IF('Q 1'!E6="&lt;please select&gt;","",'Q 1'!E6))</f>
        <v>Anaïs Vedovati</v>
      </c>
    </row>
    <row r="4" spans="1:21" x14ac:dyDescent="0.3">
      <c r="A4" t="s">
        <v>1738</v>
      </c>
      <c r="B4" t="s">
        <v>1739</v>
      </c>
      <c r="C4">
        <v>0</v>
      </c>
      <c r="D4" t="s">
        <v>1447</v>
      </c>
      <c r="E4" t="s">
        <v>1743</v>
      </c>
      <c r="F4" t="s">
        <v>1741</v>
      </c>
      <c r="G4" t="str">
        <f>IF(ISBLANK('Q 1'!E7),"",IF('Q 1'!E7="&lt;please select&gt;","",'Q 1'!E7))</f>
        <v>Policy Officer</v>
      </c>
    </row>
    <row r="5" spans="1:21" x14ac:dyDescent="0.3">
      <c r="A5" t="s">
        <v>1738</v>
      </c>
      <c r="B5" t="s">
        <v>1739</v>
      </c>
      <c r="C5">
        <v>0</v>
      </c>
      <c r="D5" t="s">
        <v>1447</v>
      </c>
      <c r="E5" t="s">
        <v>1744</v>
      </c>
      <c r="F5" t="s">
        <v>1741</v>
      </c>
      <c r="G5" t="str">
        <f>IF(ISBLANK('Q 1'!E8),"",IF('Q 1'!E8="&lt;please select&gt;","",'Q 1'!E8))</f>
        <v>Tour Séquoia 92055 La Défense CEDEX</v>
      </c>
    </row>
    <row r="6" spans="1:21" x14ac:dyDescent="0.3">
      <c r="A6" t="s">
        <v>1738</v>
      </c>
      <c r="B6" t="s">
        <v>1739</v>
      </c>
      <c r="C6">
        <v>0</v>
      </c>
      <c r="D6" t="s">
        <v>1447</v>
      </c>
      <c r="E6" t="s">
        <v>1745</v>
      </c>
      <c r="F6" t="s">
        <v>1741</v>
      </c>
      <c r="G6" t="str">
        <f>IF(ISBLANK('Q 1'!E9),"",IF('Q 1'!E9="&lt;please select&gt;","",'Q 1'!E9))</f>
        <v>+33 (0)1 40 81 97 71</v>
      </c>
    </row>
    <row r="7" spans="1:21" x14ac:dyDescent="0.3">
      <c r="A7" t="s">
        <v>1738</v>
      </c>
      <c r="B7" t="s">
        <v>1739</v>
      </c>
      <c r="C7">
        <v>0</v>
      </c>
      <c r="D7" t="s">
        <v>1447</v>
      </c>
      <c r="E7" t="s">
        <v>1746</v>
      </c>
      <c r="F7" t="s">
        <v>1741</v>
      </c>
      <c r="G7" t="str">
        <f>IF(ISBLANK('Q 1'!E10),"",IF('Q 1'!E10="&lt;please select&gt;","",'Q 1'!E10))</f>
        <v>anais.vedovati@developpement-durable.gouv.fr</v>
      </c>
    </row>
    <row r="8" spans="1:21" x14ac:dyDescent="0.3">
      <c r="A8" t="s">
        <v>1738</v>
      </c>
      <c r="B8" t="s">
        <v>1739</v>
      </c>
      <c r="C8">
        <v>0</v>
      </c>
      <c r="D8" t="s">
        <v>1447</v>
      </c>
      <c r="E8" t="s">
        <v>1747</v>
      </c>
      <c r="F8" t="s">
        <v>1748</v>
      </c>
      <c r="H8" t="str">
        <f>IF(ISBLANK('Q 1'!E11),"",IF('Q 1'!E11="&lt;please select&gt;","",'Q 1'!E11))</f>
        <v>2021</v>
      </c>
    </row>
    <row r="9" spans="1:21" x14ac:dyDescent="0.3">
      <c r="A9" t="s">
        <v>1749</v>
      </c>
      <c r="B9" t="s">
        <v>1750</v>
      </c>
      <c r="C9">
        <v>1</v>
      </c>
      <c r="D9" t="s">
        <v>1447</v>
      </c>
      <c r="E9" t="s">
        <v>1751</v>
      </c>
      <c r="F9" t="s">
        <v>1741</v>
      </c>
      <c r="G9" t="str">
        <f>IF(ISBLANK('Q 2'!C7),"",IF('Q 2'!C7="&lt;please select&gt;","",'Q 2'!C7))</f>
        <v>Anaïs VEDOVATI (Direction générale de l'énergie et du climat)</v>
      </c>
    </row>
    <row r="10" spans="1:21" x14ac:dyDescent="0.3">
      <c r="A10" t="s">
        <v>1749</v>
      </c>
      <c r="B10" t="s">
        <v>1750</v>
      </c>
      <c r="C10">
        <v>2</v>
      </c>
      <c r="D10" t="s">
        <v>1447</v>
      </c>
      <c r="E10" t="s">
        <v>1751</v>
      </c>
      <c r="F10" t="s">
        <v>1741</v>
      </c>
      <c r="G10" t="str">
        <f>IF(ISBLANK('Q 2'!C8),"",IF('Q 2'!C8="&lt;please select&gt;","",'Q 2'!C8))</f>
        <v>Anne-Laure FAUQUET (Direction générale de l'énergie et du climat)</v>
      </c>
    </row>
    <row r="11" spans="1:21" x14ac:dyDescent="0.3">
      <c r="A11" t="s">
        <v>1749</v>
      </c>
      <c r="B11" t="s">
        <v>1750</v>
      </c>
      <c r="C11">
        <v>3</v>
      </c>
      <c r="D11" t="s">
        <v>1447</v>
      </c>
      <c r="E11" t="s">
        <v>1751</v>
      </c>
      <c r="F11" t="s">
        <v>1741</v>
      </c>
      <c r="G11" t="str">
        <f>IF(ISBLANK('Q 2'!C9),"",IF('Q 2'!C9="&lt;please select&gt;","",'Q 2'!C9))</f>
        <v>Direction générale de l'aviation civile</v>
      </c>
    </row>
    <row r="12" spans="1:21" x14ac:dyDescent="0.3">
      <c r="A12" t="s">
        <v>1749</v>
      </c>
      <c r="B12" t="s">
        <v>1750</v>
      </c>
      <c r="C12">
        <v>4</v>
      </c>
      <c r="D12" t="s">
        <v>1447</v>
      </c>
      <c r="E12" t="s">
        <v>1751</v>
      </c>
      <c r="F12" t="s">
        <v>1741</v>
      </c>
      <c r="G12" t="str">
        <f>IF(ISBLANK('Q 2'!C10),"",IF('Q 2'!C10="&lt;please select&gt;","",'Q 2'!C10))</f>
        <v>Cécile COSSON</v>
      </c>
    </row>
    <row r="13" spans="1:21" x14ac:dyDescent="0.3">
      <c r="A13" t="s">
        <v>1749</v>
      </c>
      <c r="B13" t="s">
        <v>1750</v>
      </c>
      <c r="C13">
        <v>5</v>
      </c>
      <c r="D13" t="s">
        <v>1447</v>
      </c>
      <c r="E13" t="s">
        <v>1751</v>
      </c>
      <c r="F13" t="s">
        <v>1741</v>
      </c>
      <c r="G13" t="str">
        <f>IF(ISBLANK('Q 2'!C11),"",IF('Q 2'!C11="&lt;please select&gt;","",'Q 2'!C11))</f>
        <v>Guillaume DELAGE</v>
      </c>
    </row>
    <row r="14" spans="1:21" x14ac:dyDescent="0.3">
      <c r="A14" t="s">
        <v>1749</v>
      </c>
      <c r="B14" t="s">
        <v>1750</v>
      </c>
      <c r="C14">
        <v>6</v>
      </c>
      <c r="D14" t="s">
        <v>1447</v>
      </c>
      <c r="E14" t="s">
        <v>1751</v>
      </c>
      <c r="F14" t="s">
        <v>1741</v>
      </c>
      <c r="G14" t="str">
        <f>IF(ISBLANK('Q 2'!C12),"",IF('Q 2'!C12="&lt;please select&gt;","",'Q 2'!C12))</f>
        <v>Philippe CASSAN</v>
      </c>
    </row>
    <row r="15" spans="1:21" x14ac:dyDescent="0.3">
      <c r="A15" t="s">
        <v>1749</v>
      </c>
      <c r="B15" t="s">
        <v>1750</v>
      </c>
      <c r="C15">
        <v>7</v>
      </c>
      <c r="D15" t="s">
        <v>1447</v>
      </c>
      <c r="E15" t="s">
        <v>1751</v>
      </c>
      <c r="F15" t="s">
        <v>1741</v>
      </c>
      <c r="G15" t="str">
        <f>IF(ISBLANK('Q 2'!C13),"",IF('Q 2'!C13="&lt;please select&gt;","",'Q 2'!C13))</f>
        <v>Malick MBATH</v>
      </c>
    </row>
    <row r="16" spans="1:21" x14ac:dyDescent="0.3">
      <c r="A16" t="s">
        <v>1749</v>
      </c>
      <c r="B16" t="s">
        <v>1750</v>
      </c>
      <c r="C16">
        <v>8</v>
      </c>
      <c r="D16" t="s">
        <v>1447</v>
      </c>
      <c r="E16" t="s">
        <v>1751</v>
      </c>
      <c r="F16" t="s">
        <v>1741</v>
      </c>
      <c r="G16" t="str">
        <f>IF(ISBLANK('Q 2'!C14),"",IF('Q 2'!C14="&lt;please select&gt;","",'Q 2'!C14))</f>
        <v>Autorité de sûreté nucléaire</v>
      </c>
    </row>
    <row r="17" spans="1:7" x14ac:dyDescent="0.3">
      <c r="A17" t="s">
        <v>1749</v>
      </c>
      <c r="B17" t="s">
        <v>1750</v>
      </c>
      <c r="C17">
        <v>9</v>
      </c>
      <c r="D17" t="s">
        <v>1447</v>
      </c>
      <c r="E17" t="s">
        <v>1751</v>
      </c>
      <c r="F17" t="s">
        <v>1741</v>
      </c>
      <c r="G17" t="str">
        <f>IF(ISBLANK('Q 2'!C15),"",IF('Q 2'!C15="&lt;please select&gt;","",'Q 2'!C15))</f>
        <v>Direction générale des entreprises</v>
      </c>
    </row>
    <row r="18" spans="1:7" x14ac:dyDescent="0.3">
      <c r="A18" t="s">
        <v>1749</v>
      </c>
      <c r="B18" t="s">
        <v>1750</v>
      </c>
      <c r="C18">
        <v>10</v>
      </c>
      <c r="D18" t="s">
        <v>1447</v>
      </c>
      <c r="E18" t="s">
        <v>1751</v>
      </c>
      <c r="F18" t="s">
        <v>1741</v>
      </c>
      <c r="G18" t="str">
        <f>IF(ISBLANK('Q 2'!C16),"",IF('Q 2'!C16="&lt;please select&gt;","",'Q 2'!C16))</f>
        <v>Agence France Trésor</v>
      </c>
    </row>
    <row r="19" spans="1:7" x14ac:dyDescent="0.3">
      <c r="A19" t="s">
        <v>1749</v>
      </c>
      <c r="B19" t="s">
        <v>1750</v>
      </c>
      <c r="C19">
        <v>11</v>
      </c>
      <c r="D19" t="s">
        <v>1447</v>
      </c>
      <c r="E19" t="s">
        <v>1751</v>
      </c>
      <c r="F19" t="s">
        <v>1741</v>
      </c>
      <c r="G19" t="str">
        <f>IF(ISBLANK('Q 2'!C17),"",IF('Q 2'!C17="&lt;please select&gt;","",'Q 2'!C17))</f>
        <v>Directions Régionales de l'Aménagement et du Logement</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MTE-DGEC</v>
      </c>
    </row>
    <row r="32" spans="1:7" x14ac:dyDescent="0.3">
      <c r="A32" t="s">
        <v>1749</v>
      </c>
      <c r="B32" t="s">
        <v>1750</v>
      </c>
      <c r="C32">
        <v>2</v>
      </c>
      <c r="D32" t="s">
        <v>1447</v>
      </c>
      <c r="E32" t="s">
        <v>1752</v>
      </c>
      <c r="F32" t="s">
        <v>1741</v>
      </c>
      <c r="G32" t="str">
        <f>IF(ISBLANK('Q 2'!D8),"",IF('Q 2'!D8="&lt;please select&gt;","",'Q 2'!D8))</f>
        <v>MTE-DGEC</v>
      </c>
    </row>
    <row r="33" spans="1:7" x14ac:dyDescent="0.3">
      <c r="A33" t="s">
        <v>1749</v>
      </c>
      <c r="B33" t="s">
        <v>1750</v>
      </c>
      <c r="C33">
        <v>3</v>
      </c>
      <c r="D33" t="s">
        <v>1447</v>
      </c>
      <c r="E33" t="s">
        <v>1752</v>
      </c>
      <c r="F33" t="s">
        <v>1741</v>
      </c>
      <c r="G33" t="str">
        <f>IF(ISBLANK('Q 2'!D9),"",IF('Q 2'!D9="&lt;please select&gt;","",'Q 2'!D9))</f>
        <v>MTE-DGAC</v>
      </c>
    </row>
    <row r="34" spans="1:7" x14ac:dyDescent="0.3">
      <c r="A34" t="s">
        <v>1749</v>
      </c>
      <c r="B34" t="s">
        <v>1750</v>
      </c>
      <c r="C34">
        <v>4</v>
      </c>
      <c r="D34" t="s">
        <v>1447</v>
      </c>
      <c r="E34" t="s">
        <v>1752</v>
      </c>
      <c r="F34" t="s">
        <v>1741</v>
      </c>
      <c r="G34" t="str">
        <f>IF(ISBLANK('Q 2'!D10),"",IF('Q 2'!D10="&lt;please select&gt;","",'Q 2'!D10))</f>
        <v>COFRAC</v>
      </c>
    </row>
    <row r="35" spans="1:7" x14ac:dyDescent="0.3">
      <c r="A35" t="s">
        <v>1749</v>
      </c>
      <c r="B35" t="s">
        <v>1750</v>
      </c>
      <c r="C35">
        <v>5</v>
      </c>
      <c r="D35" t="s">
        <v>1447</v>
      </c>
      <c r="E35" t="s">
        <v>1752</v>
      </c>
      <c r="F35" t="s">
        <v>1741</v>
      </c>
      <c r="G35" t="str">
        <f>IF(ISBLANK('Q 2'!D11),"",IF('Q 2'!D11="&lt;please select&gt;","",'Q 2'!D11))</f>
        <v>COFRAC</v>
      </c>
    </row>
    <row r="36" spans="1:7" x14ac:dyDescent="0.3">
      <c r="A36" t="s">
        <v>1749</v>
      </c>
      <c r="B36" t="s">
        <v>1750</v>
      </c>
      <c r="C36">
        <v>6</v>
      </c>
      <c r="D36" t="s">
        <v>1447</v>
      </c>
      <c r="E36" t="s">
        <v>1752</v>
      </c>
      <c r="F36" t="s">
        <v>1741</v>
      </c>
      <c r="G36" t="str">
        <f>IF(ISBLANK('Q 2'!D12),"",IF('Q 2'!D12="&lt;please select&gt;","",'Q 2'!D12))</f>
        <v>COFRAC</v>
      </c>
    </row>
    <row r="37" spans="1:7" x14ac:dyDescent="0.3">
      <c r="A37" t="s">
        <v>1749</v>
      </c>
      <c r="B37" t="s">
        <v>1750</v>
      </c>
      <c r="C37">
        <v>7</v>
      </c>
      <c r="D37" t="s">
        <v>1447</v>
      </c>
      <c r="E37" t="s">
        <v>1752</v>
      </c>
      <c r="F37" t="s">
        <v>1741</v>
      </c>
      <c r="G37" t="str">
        <f>IF(ISBLANK('Q 2'!D13),"",IF('Q 2'!D13="&lt;please select&gt;","",'Q 2'!D13))</f>
        <v>CDC</v>
      </c>
    </row>
    <row r="38" spans="1:7" x14ac:dyDescent="0.3">
      <c r="A38" t="s">
        <v>1749</v>
      </c>
      <c r="B38" t="s">
        <v>1750</v>
      </c>
      <c r="C38">
        <v>8</v>
      </c>
      <c r="D38" t="s">
        <v>1447</v>
      </c>
      <c r="E38" t="s">
        <v>1752</v>
      </c>
      <c r="F38" t="s">
        <v>1741</v>
      </c>
      <c r="G38" t="str">
        <f>IF(ISBLANK('Q 2'!D14),"",IF('Q 2'!D14="&lt;please select&gt;","",'Q 2'!D14))</f>
        <v>ASN</v>
      </c>
    </row>
    <row r="39" spans="1:7" x14ac:dyDescent="0.3">
      <c r="A39" t="s">
        <v>1749</v>
      </c>
      <c r="B39" t="s">
        <v>1750</v>
      </c>
      <c r="C39">
        <v>9</v>
      </c>
      <c r="D39" t="s">
        <v>1447</v>
      </c>
      <c r="E39" t="s">
        <v>1752</v>
      </c>
      <c r="F39" t="s">
        <v>1741</v>
      </c>
      <c r="G39" t="str">
        <f>IF(ISBLANK('Q 2'!D15),"",IF('Q 2'!D15="&lt;please select&gt;","",'Q 2'!D15))</f>
        <v>DGE</v>
      </c>
    </row>
    <row r="40" spans="1:7" x14ac:dyDescent="0.3">
      <c r="A40" t="s">
        <v>1749</v>
      </c>
      <c r="B40" t="s">
        <v>1750</v>
      </c>
      <c r="C40">
        <v>10</v>
      </c>
      <c r="D40" t="s">
        <v>1447</v>
      </c>
      <c r="E40" t="s">
        <v>1752</v>
      </c>
      <c r="F40" t="s">
        <v>1741</v>
      </c>
      <c r="G40" t="str">
        <f>IF(ISBLANK('Q 2'!D16),"",IF('Q 2'!D16="&lt;please select&gt;","",'Q 2'!D16))</f>
        <v>AFT</v>
      </c>
    </row>
    <row r="41" spans="1:7" x14ac:dyDescent="0.3">
      <c r="A41" t="s">
        <v>1749</v>
      </c>
      <c r="B41" t="s">
        <v>1750</v>
      </c>
      <c r="C41">
        <v>11</v>
      </c>
      <c r="D41" t="s">
        <v>1447</v>
      </c>
      <c r="E41" t="s">
        <v>1752</v>
      </c>
      <c r="F41" t="s">
        <v>1741</v>
      </c>
      <c r="G41" t="str">
        <f>IF(ISBLANK('Q 2'!D17),"",IF('Q 2'!D17="&lt;please select&gt;","",'Q 2'!D17))</f>
        <v>DREAL</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Central competent authority</v>
      </c>
    </row>
    <row r="55" spans="1:7" x14ac:dyDescent="0.3">
      <c r="A55" t="s">
        <v>1749</v>
      </c>
      <c r="B55" t="s">
        <v>1750</v>
      </c>
      <c r="C55">
        <v>3</v>
      </c>
      <c r="D55" t="s">
        <v>1447</v>
      </c>
      <c r="E55" t="s">
        <v>1753</v>
      </c>
      <c r="F55" t="s">
        <v>1741</v>
      </c>
      <c r="G55" t="str">
        <f>IF(ISBLANK('Q 2'!E9),"",IF('Q 2'!E9="&lt;please select&gt;","",'Q 2'!E9))</f>
        <v>Central competent authority</v>
      </c>
    </row>
    <row r="56" spans="1:7" x14ac:dyDescent="0.3">
      <c r="A56" t="s">
        <v>1749</v>
      </c>
      <c r="B56" t="s">
        <v>1750</v>
      </c>
      <c r="C56">
        <v>4</v>
      </c>
      <c r="D56" t="s">
        <v>1447</v>
      </c>
      <c r="E56" t="s">
        <v>1753</v>
      </c>
      <c r="F56" t="s">
        <v>1741</v>
      </c>
      <c r="G56" t="str">
        <f>IF(ISBLANK('Q 2'!E10),"",IF('Q 2'!E10="&lt;please select&gt;","",'Q 2'!E10))</f>
        <v>Other</v>
      </c>
    </row>
    <row r="57" spans="1:7" x14ac:dyDescent="0.3">
      <c r="A57" t="s">
        <v>1749</v>
      </c>
      <c r="B57" t="s">
        <v>1750</v>
      </c>
      <c r="C57">
        <v>5</v>
      </c>
      <c r="D57" t="s">
        <v>1447</v>
      </c>
      <c r="E57" t="s">
        <v>1753</v>
      </c>
      <c r="F57" t="s">
        <v>1741</v>
      </c>
      <c r="G57" t="str">
        <f>IF(ISBLANK('Q 2'!E11),"",IF('Q 2'!E11="&lt;please select&gt;","",'Q 2'!E11))</f>
        <v>Other</v>
      </c>
    </row>
    <row r="58" spans="1:7" x14ac:dyDescent="0.3">
      <c r="A58" t="s">
        <v>1749</v>
      </c>
      <c r="B58" t="s">
        <v>1750</v>
      </c>
      <c r="C58">
        <v>6</v>
      </c>
      <c r="D58" t="s">
        <v>1447</v>
      </c>
      <c r="E58" t="s">
        <v>1753</v>
      </c>
      <c r="F58" t="s">
        <v>1741</v>
      </c>
      <c r="G58" t="str">
        <f>IF(ISBLANK('Q 2'!E12),"",IF('Q 2'!E12="&lt;please select&gt;","",'Q 2'!E12))</f>
        <v>Other</v>
      </c>
    </row>
    <row r="59" spans="1:7" x14ac:dyDescent="0.3">
      <c r="A59" t="s">
        <v>1749</v>
      </c>
      <c r="B59" t="s">
        <v>1750</v>
      </c>
      <c r="C59">
        <v>7</v>
      </c>
      <c r="D59" t="s">
        <v>1447</v>
      </c>
      <c r="E59" t="s">
        <v>1753</v>
      </c>
      <c r="F59" t="s">
        <v>1741</v>
      </c>
      <c r="G59" t="str">
        <f>IF(ISBLANK('Q 2'!E13),"",IF('Q 2'!E13="&lt;please select&gt;","",'Q 2'!E13))</f>
        <v>Other</v>
      </c>
    </row>
    <row r="60" spans="1:7" x14ac:dyDescent="0.3">
      <c r="A60" t="s">
        <v>1749</v>
      </c>
      <c r="B60" t="s">
        <v>1750</v>
      </c>
      <c r="C60">
        <v>8</v>
      </c>
      <c r="D60" t="s">
        <v>1447</v>
      </c>
      <c r="E60" t="s">
        <v>1753</v>
      </c>
      <c r="F60" t="s">
        <v>1741</v>
      </c>
      <c r="G60" t="str">
        <f>IF(ISBLANK('Q 2'!E14),"",IF('Q 2'!E14="&lt;please select&gt;","",'Q 2'!E14))</f>
        <v>Central competent authority</v>
      </c>
    </row>
    <row r="61" spans="1:7" x14ac:dyDescent="0.3">
      <c r="A61" t="s">
        <v>1749</v>
      </c>
      <c r="B61" t="s">
        <v>1750</v>
      </c>
      <c r="C61">
        <v>9</v>
      </c>
      <c r="D61" t="s">
        <v>1447</v>
      </c>
      <c r="E61" t="s">
        <v>1753</v>
      </c>
      <c r="F61" t="s">
        <v>1741</v>
      </c>
      <c r="G61" t="str">
        <f>IF(ISBLANK('Q 2'!E15),"",IF('Q 2'!E15="&lt;please select&gt;","",'Q 2'!E15))</f>
        <v>Other</v>
      </c>
    </row>
    <row r="62" spans="1:7" x14ac:dyDescent="0.3">
      <c r="A62" t="s">
        <v>1749</v>
      </c>
      <c r="B62" t="s">
        <v>1750</v>
      </c>
      <c r="C62">
        <v>10</v>
      </c>
      <c r="D62" t="s">
        <v>1447</v>
      </c>
      <c r="E62" t="s">
        <v>1753</v>
      </c>
      <c r="F62" t="s">
        <v>1741</v>
      </c>
      <c r="G62" t="str">
        <f>IF(ISBLANK('Q 2'!E16),"",IF('Q 2'!E16="&lt;please select&gt;","",'Q 2'!E16))</f>
        <v>Other</v>
      </c>
    </row>
    <row r="63" spans="1:7" x14ac:dyDescent="0.3">
      <c r="A63" t="s">
        <v>1749</v>
      </c>
      <c r="B63" t="s">
        <v>1750</v>
      </c>
      <c r="C63">
        <v>11</v>
      </c>
      <c r="D63" t="s">
        <v>1447</v>
      </c>
      <c r="E63" t="s">
        <v>1753</v>
      </c>
      <c r="F63" t="s">
        <v>1741</v>
      </c>
      <c r="G63" t="str">
        <f>IF(ISBLANK('Q 2'!E17),"",IF('Q 2'!E17="&lt;please select&gt;","",'Q 2'!E17))</f>
        <v>Regional competent authority</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13</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+33 1 40 81 97 71</v>
      </c>
    </row>
    <row r="98" spans="1:7" x14ac:dyDescent="0.3">
      <c r="A98" t="s">
        <v>1749</v>
      </c>
      <c r="B98" t="s">
        <v>1750</v>
      </c>
      <c r="C98">
        <v>2</v>
      </c>
      <c r="D98" t="s">
        <v>1447</v>
      </c>
      <c r="E98" t="s">
        <v>1755</v>
      </c>
      <c r="F98" t="s">
        <v>1741</v>
      </c>
      <c r="G98" t="str">
        <f>IF(ISBLANK('Q 2'!G8),"",IF('Q 2'!G8="&lt;please select&gt;","",'Q 2'!G8))</f>
        <v>+33 1 40 81 70 71</v>
      </c>
    </row>
    <row r="99" spans="1:7" x14ac:dyDescent="0.3">
      <c r="A99" t="s">
        <v>1749</v>
      </c>
      <c r="B99" t="s">
        <v>1750</v>
      </c>
      <c r="C99">
        <v>3</v>
      </c>
      <c r="D99" t="s">
        <v>1447</v>
      </c>
      <c r="E99" t="s">
        <v>1755</v>
      </c>
      <c r="F99" t="s">
        <v>1741</v>
      </c>
      <c r="G99" t="str">
        <f>IF(ISBLANK('Q 2'!G9),"",IF('Q 2'!G9="&lt;please select&gt;","",'Q 2'!G9))</f>
        <v>+33 1 58 09 41 90</v>
      </c>
    </row>
    <row r="100" spans="1:7" x14ac:dyDescent="0.3">
      <c r="A100" t="s">
        <v>1749</v>
      </c>
      <c r="B100" t="s">
        <v>1750</v>
      </c>
      <c r="C100">
        <v>4</v>
      </c>
      <c r="D100" t="s">
        <v>1447</v>
      </c>
      <c r="E100" t="s">
        <v>1755</v>
      </c>
      <c r="F100" t="s">
        <v>1741</v>
      </c>
      <c r="G100" t="str">
        <f>IF(ISBLANK('Q 2'!G10),"",IF('Q 2'!G10="&lt;please select&gt;","",'Q 2'!G10))</f>
        <v>+33 1 44 68 64 69</v>
      </c>
    </row>
    <row r="101" spans="1:7" x14ac:dyDescent="0.3">
      <c r="A101" t="s">
        <v>1749</v>
      </c>
      <c r="B101" t="s">
        <v>1750</v>
      </c>
      <c r="C101">
        <v>5</v>
      </c>
      <c r="D101" t="s">
        <v>1447</v>
      </c>
      <c r="E101" t="s">
        <v>1755</v>
      </c>
      <c r="F101" t="s">
        <v>1741</v>
      </c>
      <c r="G101" t="str">
        <f>IF(ISBLANK('Q 2'!G11),"",IF('Q 2'!G11="&lt;please select&gt;","",'Q 2'!G11))</f>
        <v>+33 1 44 68 64 69</v>
      </c>
    </row>
    <row r="102" spans="1:7" x14ac:dyDescent="0.3">
      <c r="A102" t="s">
        <v>1749</v>
      </c>
      <c r="B102" t="s">
        <v>1750</v>
      </c>
      <c r="C102">
        <v>6</v>
      </c>
      <c r="D102" t="s">
        <v>1447</v>
      </c>
      <c r="E102" t="s">
        <v>1755</v>
      </c>
      <c r="F102" t="s">
        <v>1741</v>
      </c>
      <c r="G102" t="str">
        <f>IF(ISBLANK('Q 2'!G12),"",IF('Q 2'!G12="&lt;please select&gt;","",'Q 2'!G12))</f>
        <v>+33 1 44 68 64 69</v>
      </c>
    </row>
    <row r="103" spans="1:7" x14ac:dyDescent="0.3">
      <c r="A103" t="s">
        <v>1749</v>
      </c>
      <c r="B103" t="s">
        <v>1750</v>
      </c>
      <c r="C103">
        <v>7</v>
      </c>
      <c r="D103" t="s">
        <v>1447</v>
      </c>
      <c r="E103" t="s">
        <v>1755</v>
      </c>
      <c r="F103" t="s">
        <v>1741</v>
      </c>
      <c r="G103" t="str">
        <f>IF(ISBLANK('Q 2'!G13),"",IF('Q 2'!G13="&lt;please select&gt;","",'Q 2'!G13))</f>
        <v>+33 6 13 01 67 10</v>
      </c>
    </row>
    <row r="104" spans="1:7" x14ac:dyDescent="0.3">
      <c r="A104" t="s">
        <v>1749</v>
      </c>
      <c r="B104" t="s">
        <v>1750</v>
      </c>
      <c r="C104">
        <v>8</v>
      </c>
      <c r="D104" t="s">
        <v>1447</v>
      </c>
      <c r="E104" t="s">
        <v>1755</v>
      </c>
      <c r="F104" t="s">
        <v>1741</v>
      </c>
      <c r="G104" t="str">
        <f>IF(ISBLANK('Q 2'!G14),"",IF('Q 2'!G14="&lt;please select&gt;","",'Q 2'!G14))</f>
        <v>/</v>
      </c>
    </row>
    <row r="105" spans="1:7" x14ac:dyDescent="0.3">
      <c r="A105" t="s">
        <v>1749</v>
      </c>
      <c r="B105" t="s">
        <v>1750</v>
      </c>
      <c r="C105">
        <v>9</v>
      </c>
      <c r="D105" t="s">
        <v>1447</v>
      </c>
      <c r="E105" t="s">
        <v>1755</v>
      </c>
      <c r="F105" t="s">
        <v>1741</v>
      </c>
      <c r="G105" t="str">
        <f>IF(ISBLANK('Q 2'!G15),"",IF('Q 2'!G15="&lt;please select&gt;","",'Q 2'!G15))</f>
        <v>/</v>
      </c>
    </row>
    <row r="106" spans="1:7" x14ac:dyDescent="0.3">
      <c r="A106" t="s">
        <v>1749</v>
      </c>
      <c r="B106" t="s">
        <v>1750</v>
      </c>
      <c r="C106">
        <v>10</v>
      </c>
      <c r="D106" t="s">
        <v>1447</v>
      </c>
      <c r="E106" t="s">
        <v>1755</v>
      </c>
      <c r="F106" t="s">
        <v>1741</v>
      </c>
      <c r="G106" t="str">
        <f>IF(ISBLANK('Q 2'!G16),"",IF('Q 2'!G16="&lt;please select&gt;","",'Q 2'!G16))</f>
        <v>/</v>
      </c>
    </row>
    <row r="107" spans="1:7" x14ac:dyDescent="0.3">
      <c r="A107" t="s">
        <v>1749</v>
      </c>
      <c r="B107" t="s">
        <v>1750</v>
      </c>
      <c r="C107">
        <v>11</v>
      </c>
      <c r="D107" t="s">
        <v>1447</v>
      </c>
      <c r="E107" t="s">
        <v>1755</v>
      </c>
      <c r="F107" t="s">
        <v>1741</v>
      </c>
      <c r="G107" t="str">
        <f>IF(ISBLANK('Q 2'!G17),"",IF('Q 2'!G17="&lt;please select&gt;","",'Q 2'!G17))</f>
        <v>/</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anais.vedovati@developpement-durable.gouv.fr</v>
      </c>
    </row>
    <row r="120" spans="1:7" x14ac:dyDescent="0.3">
      <c r="A120" t="s">
        <v>1749</v>
      </c>
      <c r="B120" t="s">
        <v>1750</v>
      </c>
      <c r="C120">
        <v>2</v>
      </c>
      <c r="D120" t="s">
        <v>1447</v>
      </c>
      <c r="E120" t="s">
        <v>1756</v>
      </c>
      <c r="F120" t="s">
        <v>1741</v>
      </c>
      <c r="G120" t="str">
        <f>IF(ISBLANK('Q 2'!H8),"",IF('Q 2'!H8="&lt;please select&gt;","",'Q 2'!H8))</f>
        <v>anne-laure.fauquet@developpement-durable.gouv.fr</v>
      </c>
    </row>
    <row r="121" spans="1:7" x14ac:dyDescent="0.3">
      <c r="A121" t="s">
        <v>1749</v>
      </c>
      <c r="B121" t="s">
        <v>1750</v>
      </c>
      <c r="C121">
        <v>3</v>
      </c>
      <c r="D121" t="s">
        <v>1447</v>
      </c>
      <c r="E121" t="s">
        <v>1756</v>
      </c>
      <c r="F121" t="s">
        <v>1741</v>
      </c>
      <c r="G121" t="str">
        <f>IF(ISBLANK('Q 2'!H9),"",IF('Q 2'!H9="&lt;please select&gt;","",'Q 2'!H9))</f>
        <v/>
      </c>
    </row>
    <row r="122" spans="1:7" x14ac:dyDescent="0.3">
      <c r="A122" t="s">
        <v>1749</v>
      </c>
      <c r="B122" t="s">
        <v>1750</v>
      </c>
      <c r="C122">
        <v>4</v>
      </c>
      <c r="D122" t="s">
        <v>1447</v>
      </c>
      <c r="E122" t="s">
        <v>1756</v>
      </c>
      <c r="F122" t="s">
        <v>1741</v>
      </c>
      <c r="G122" t="str">
        <f>IF(ISBLANK('Q 2'!H10),"",IF('Q 2'!H10="&lt;please select&gt;","",'Q 2'!H10))</f>
        <v>cecile.cosson@cofrac.fr</v>
      </c>
    </row>
    <row r="123" spans="1:7" x14ac:dyDescent="0.3">
      <c r="A123" t="s">
        <v>1749</v>
      </c>
      <c r="B123" t="s">
        <v>1750</v>
      </c>
      <c r="C123">
        <v>5</v>
      </c>
      <c r="D123" t="s">
        <v>1447</v>
      </c>
      <c r="E123" t="s">
        <v>1756</v>
      </c>
      <c r="F123" t="s">
        <v>1741</v>
      </c>
      <c r="G123" t="str">
        <f>IF(ISBLANK('Q 2'!H11),"",IF('Q 2'!H11="&lt;please select&gt;","",'Q 2'!H11))</f>
        <v>guillaume.delage@cofrac.fr</v>
      </c>
    </row>
    <row r="124" spans="1:7" x14ac:dyDescent="0.3">
      <c r="A124" t="s">
        <v>1749</v>
      </c>
      <c r="B124" t="s">
        <v>1750</v>
      </c>
      <c r="C124">
        <v>6</v>
      </c>
      <c r="D124" t="s">
        <v>1447</v>
      </c>
      <c r="E124" t="s">
        <v>1756</v>
      </c>
      <c r="F124" t="s">
        <v>1741</v>
      </c>
      <c r="G124" t="str">
        <f>IF(ISBLANK('Q 2'!H12),"",IF('Q 2'!H12="&lt;please select&gt;","",'Q 2'!H12))</f>
        <v>philippe.cassan@cofrac.fr</v>
      </c>
    </row>
    <row r="125" spans="1:7" x14ac:dyDescent="0.3">
      <c r="A125" t="s">
        <v>1749</v>
      </c>
      <c r="B125" t="s">
        <v>1750</v>
      </c>
      <c r="C125">
        <v>7</v>
      </c>
      <c r="D125" t="s">
        <v>1447</v>
      </c>
      <c r="E125" t="s">
        <v>1756</v>
      </c>
      <c r="F125" t="s">
        <v>1741</v>
      </c>
      <c r="G125" t="str">
        <f>IF(ISBLANK('Q 2'!H13),"",IF('Q 2'!H13="&lt;please select&gt;","",'Q 2'!H13))</f>
        <v>malick.mbath@caissedesdepots.fr</v>
      </c>
    </row>
    <row r="126" spans="1:7" x14ac:dyDescent="0.3">
      <c r="A126" t="s">
        <v>1749</v>
      </c>
      <c r="B126" t="s">
        <v>1750</v>
      </c>
      <c r="C126">
        <v>8</v>
      </c>
      <c r="D126" t="s">
        <v>1447</v>
      </c>
      <c r="E126" t="s">
        <v>1756</v>
      </c>
      <c r="F126" t="s">
        <v>1741</v>
      </c>
      <c r="G126" t="str">
        <f>IF(ISBLANK('Q 2'!H14),"",IF('Q 2'!H14="&lt;please select&gt;","",'Q 2'!H14))</f>
        <v>/</v>
      </c>
    </row>
    <row r="127" spans="1:7" x14ac:dyDescent="0.3">
      <c r="A127" t="s">
        <v>1749</v>
      </c>
      <c r="B127" t="s">
        <v>1750</v>
      </c>
      <c r="C127">
        <v>9</v>
      </c>
      <c r="D127" t="s">
        <v>1447</v>
      </c>
      <c r="E127" t="s">
        <v>1756</v>
      </c>
      <c r="F127" t="s">
        <v>1741</v>
      </c>
      <c r="G127" t="str">
        <f>IF(ISBLANK('Q 2'!H15),"",IF('Q 2'!H15="&lt;please select&gt;","",'Q 2'!H15))</f>
        <v>/</v>
      </c>
    </row>
    <row r="128" spans="1:7" x14ac:dyDescent="0.3">
      <c r="A128" t="s">
        <v>1749</v>
      </c>
      <c r="B128" t="s">
        <v>1750</v>
      </c>
      <c r="C128">
        <v>10</v>
      </c>
      <c r="D128" t="s">
        <v>1447</v>
      </c>
      <c r="E128" t="s">
        <v>1756</v>
      </c>
      <c r="F128" t="s">
        <v>1741</v>
      </c>
      <c r="G128" t="str">
        <f>IF(ISBLANK('Q 2'!H16),"",IF('Q 2'!H16="&lt;please select&gt;","",'Q 2'!H16))</f>
        <v>/</v>
      </c>
    </row>
    <row r="129" spans="1:7" x14ac:dyDescent="0.3">
      <c r="A129" t="s">
        <v>1749</v>
      </c>
      <c r="B129" t="s">
        <v>1750</v>
      </c>
      <c r="C129">
        <v>11</v>
      </c>
      <c r="D129" t="s">
        <v>1447</v>
      </c>
      <c r="E129" t="s">
        <v>1756</v>
      </c>
      <c r="F129" t="s">
        <v>1741</v>
      </c>
      <c r="G129" t="str">
        <f>IF(ISBLANK('Q 2'!H17),"",IF('Q 2'!H17="&lt;please select&gt;","",'Q 2'!H17))</f>
        <v>/</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https://www.ecologie.gouv.fr/</v>
      </c>
    </row>
    <row r="142" spans="1:7" x14ac:dyDescent="0.3">
      <c r="A142" t="s">
        <v>1749</v>
      </c>
      <c r="B142" t="s">
        <v>1750</v>
      </c>
      <c r="C142">
        <v>2</v>
      </c>
      <c r="D142" t="s">
        <v>1447</v>
      </c>
      <c r="E142" t="s">
        <v>1757</v>
      </c>
      <c r="F142" t="s">
        <v>1741</v>
      </c>
      <c r="G142" t="str">
        <f>IF(ISBLANK('Q 2'!I8),"",IF('Q 2'!I8="&lt;please select&gt;","",'Q 2'!I8))</f>
        <v>https://www.ecologie.gouv.fr/</v>
      </c>
    </row>
    <row r="143" spans="1:7" x14ac:dyDescent="0.3">
      <c r="A143" t="s">
        <v>1749</v>
      </c>
      <c r="B143" t="s">
        <v>1750</v>
      </c>
      <c r="C143">
        <v>3</v>
      </c>
      <c r="D143" t="s">
        <v>1447</v>
      </c>
      <c r="E143" t="s">
        <v>1757</v>
      </c>
      <c r="F143" t="s">
        <v>1741</v>
      </c>
      <c r="G143" t="str">
        <f>IF(ISBLANK('Q 2'!I9),"",IF('Q 2'!I9="&lt;please select&gt;","",'Q 2'!I9))</f>
        <v>https://www.ecologie.gouv.fr/</v>
      </c>
    </row>
    <row r="144" spans="1:7" x14ac:dyDescent="0.3">
      <c r="A144" t="s">
        <v>1749</v>
      </c>
      <c r="B144" t="s">
        <v>1750</v>
      </c>
      <c r="C144">
        <v>4</v>
      </c>
      <c r="D144" t="s">
        <v>1447</v>
      </c>
      <c r="E144" t="s">
        <v>1757</v>
      </c>
      <c r="F144" t="s">
        <v>1741</v>
      </c>
      <c r="G144" t="str">
        <f>IF(ISBLANK('Q 2'!I10),"",IF('Q 2'!I10="&lt;please select&gt;","",'Q 2'!I10))</f>
        <v>www.cofrac.fr</v>
      </c>
    </row>
    <row r="145" spans="1:7" x14ac:dyDescent="0.3">
      <c r="A145" t="s">
        <v>1749</v>
      </c>
      <c r="B145" t="s">
        <v>1750</v>
      </c>
      <c r="C145">
        <v>5</v>
      </c>
      <c r="D145" t="s">
        <v>1447</v>
      </c>
      <c r="E145" t="s">
        <v>1757</v>
      </c>
      <c r="F145" t="s">
        <v>1741</v>
      </c>
      <c r="G145" t="str">
        <f>IF(ISBLANK('Q 2'!I11),"",IF('Q 2'!I11="&lt;please select&gt;","",'Q 2'!I11))</f>
        <v>www.cofrac.fr</v>
      </c>
    </row>
    <row r="146" spans="1:7" x14ac:dyDescent="0.3">
      <c r="A146" t="s">
        <v>1749</v>
      </c>
      <c r="B146" t="s">
        <v>1750</v>
      </c>
      <c r="C146">
        <v>6</v>
      </c>
      <c r="D146" t="s">
        <v>1447</v>
      </c>
      <c r="E146" t="s">
        <v>1757</v>
      </c>
      <c r="F146" t="s">
        <v>1741</v>
      </c>
      <c r="G146" t="str">
        <f>IF(ISBLANK('Q 2'!I12),"",IF('Q 2'!I12="&lt;please select&gt;","",'Q 2'!I12))</f>
        <v>www.cofrac.fr</v>
      </c>
    </row>
    <row r="147" spans="1:7" x14ac:dyDescent="0.3">
      <c r="A147" t="s">
        <v>1749</v>
      </c>
      <c r="B147" t="s">
        <v>1750</v>
      </c>
      <c r="C147">
        <v>7</v>
      </c>
      <c r="D147" t="s">
        <v>1447</v>
      </c>
      <c r="E147" t="s">
        <v>1757</v>
      </c>
      <c r="F147" t="s">
        <v>1741</v>
      </c>
      <c r="G147" t="str">
        <f>IF(ISBLANK('Q 2'!I13),"",IF('Q 2'!I13="&lt;please select&gt;","",'Q 2'!I13))</f>
        <v>https://politiques-sociales.caissedesdepots.fr/SERINGAS/accueil-seringas</v>
      </c>
    </row>
    <row r="148" spans="1:7" x14ac:dyDescent="0.3">
      <c r="A148" t="s">
        <v>1749</v>
      </c>
      <c r="B148" t="s">
        <v>1750</v>
      </c>
      <c r="C148">
        <v>8</v>
      </c>
      <c r="D148" t="s">
        <v>1447</v>
      </c>
      <c r="E148" t="s">
        <v>1757</v>
      </c>
      <c r="F148" t="s">
        <v>1741</v>
      </c>
      <c r="G148" t="str">
        <f>IF(ISBLANK('Q 2'!I14),"",IF('Q 2'!I14="&lt;please select&gt;","",'Q 2'!I14))</f>
        <v>https://www.asn.fr/</v>
      </c>
    </row>
    <row r="149" spans="1:7" x14ac:dyDescent="0.3">
      <c r="A149" t="s">
        <v>1749</v>
      </c>
      <c r="B149" t="s">
        <v>1750</v>
      </c>
      <c r="C149">
        <v>9</v>
      </c>
      <c r="D149" t="s">
        <v>1447</v>
      </c>
      <c r="E149" t="s">
        <v>1757</v>
      </c>
      <c r="F149" t="s">
        <v>1741</v>
      </c>
      <c r="G149" t="str">
        <f>IF(ISBLANK('Q 2'!I15),"",IF('Q 2'!I15="&lt;please select&gt;","",'Q 2'!I15))</f>
        <v>https://www.entreprises.gouv.fr/fr</v>
      </c>
    </row>
    <row r="150" spans="1:7" x14ac:dyDescent="0.3">
      <c r="A150" t="s">
        <v>1749</v>
      </c>
      <c r="B150" t="s">
        <v>1750</v>
      </c>
      <c r="C150">
        <v>10</v>
      </c>
      <c r="D150" t="s">
        <v>1447</v>
      </c>
      <c r="E150" t="s">
        <v>1757</v>
      </c>
      <c r="F150" t="s">
        <v>1741</v>
      </c>
      <c r="G150" t="str">
        <f>IF(ISBLANK('Q 2'!I16),"",IF('Q 2'!I16="&lt;please select&gt;","",'Q 2'!I16))</f>
        <v>https://www.aft.gouv.fr/</v>
      </c>
    </row>
    <row r="151" spans="1:7" x14ac:dyDescent="0.3">
      <c r="A151" t="s">
        <v>1749</v>
      </c>
      <c r="B151" t="s">
        <v>1750</v>
      </c>
      <c r="C151">
        <v>11</v>
      </c>
      <c r="D151" t="s">
        <v>1447</v>
      </c>
      <c r="E151" t="s">
        <v>1757</v>
      </c>
      <c r="F151" t="s">
        <v>1741</v>
      </c>
      <c r="G151" t="str">
        <f>IF(ISBLANK('Q 2'!I17),"",IF('Q 2'!I17="&lt;please select&gt;","",'Q 2'!I17))</f>
        <v>/</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Comité français d'accréditation
COSSON Cécile  / DELAGE Guillaume / CASSAN Philippe</v>
      </c>
    </row>
    <row r="165" spans="1:11" x14ac:dyDescent="0.3">
      <c r="A165" t="s">
        <v>1749</v>
      </c>
      <c r="B165" t="s">
        <v>1760</v>
      </c>
      <c r="C165">
        <v>1</v>
      </c>
      <c r="D165" t="s">
        <v>1447</v>
      </c>
      <c r="E165" t="s">
        <v>1762</v>
      </c>
      <c r="F165" t="s">
        <v>1741</v>
      </c>
      <c r="G165" t="str">
        <f>IF(ISBLANK('Q 2'!E39),"",IF('Q 2'!E39="&lt;please select&gt;","",'Q 2'!E39))</f>
        <v>COFRAC</v>
      </c>
    </row>
    <row r="166" spans="1:11" x14ac:dyDescent="0.3">
      <c r="A166" t="s">
        <v>1749</v>
      </c>
      <c r="B166" t="s">
        <v>1760</v>
      </c>
      <c r="C166">
        <v>1</v>
      </c>
      <c r="D166" t="s">
        <v>1447</v>
      </c>
      <c r="E166" t="s">
        <v>1763</v>
      </c>
      <c r="F166" t="s">
        <v>1741</v>
      </c>
      <c r="G166" t="str">
        <f>IF(ISBLANK('Q 2'!F39),"",IF('Q 2'!F39="&lt;please select&gt;","",'Q 2'!F39))</f>
        <v>+33 1 44 68 64 69</v>
      </c>
    </row>
    <row r="167" spans="1:11" x14ac:dyDescent="0.3">
      <c r="A167" t="s">
        <v>1749</v>
      </c>
      <c r="B167" t="s">
        <v>1760</v>
      </c>
      <c r="C167">
        <v>1</v>
      </c>
      <c r="D167" t="s">
        <v>1447</v>
      </c>
      <c r="E167" t="s">
        <v>1764</v>
      </c>
      <c r="F167" t="s">
        <v>1741</v>
      </c>
      <c r="G167" t="str">
        <f>IF(ISBLANK('Q 2'!G39),"",IF('Q 2'!G39="&lt;please select&gt;","",'Q 2'!G39))</f>
        <v>cecile.cosson@cofrac.fr / philippe.cassan@cofrac.fr / guillaume.delage@cofrac.fr</v>
      </c>
    </row>
    <row r="168" spans="1:11" x14ac:dyDescent="0.3">
      <c r="A168" t="s">
        <v>1749</v>
      </c>
      <c r="B168" t="s">
        <v>1760</v>
      </c>
      <c r="C168">
        <v>1</v>
      </c>
      <c r="D168" t="s">
        <v>1447</v>
      </c>
      <c r="E168" t="s">
        <v>1765</v>
      </c>
      <c r="F168" t="s">
        <v>1741</v>
      </c>
      <c r="G168" t="str">
        <f>IF(ISBLANK('Q 2'!H39),"",IF('Q 2'!H39="&lt;please select&gt;","",'Q 2'!H39))</f>
        <v>https://www.cofrac.fr/</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 xml:space="preserve">Caisse des dépôts et consignations
MBATH Malick </v>
      </c>
    </row>
    <row r="176" spans="1:11" x14ac:dyDescent="0.3">
      <c r="A176" t="s">
        <v>1749</v>
      </c>
      <c r="B176" t="s">
        <v>1773</v>
      </c>
      <c r="C176">
        <v>1</v>
      </c>
      <c r="D176" t="s">
        <v>1447</v>
      </c>
      <c r="E176" t="s">
        <v>1775</v>
      </c>
      <c r="F176" t="s">
        <v>1741</v>
      </c>
      <c r="G176" t="str">
        <f>IF(ISBLANK('Q 2'!E49),"",IF('Q 2'!E49="&lt;please select&gt;","",'Q 2'!E49))</f>
        <v>CDC</v>
      </c>
    </row>
    <row r="177" spans="1:7" x14ac:dyDescent="0.3">
      <c r="A177" t="s">
        <v>1749</v>
      </c>
      <c r="B177" t="s">
        <v>1773</v>
      </c>
      <c r="C177">
        <v>1</v>
      </c>
      <c r="D177" t="s">
        <v>1447</v>
      </c>
      <c r="E177" t="s">
        <v>1776</v>
      </c>
      <c r="F177" t="s">
        <v>1741</v>
      </c>
      <c r="G177" t="str">
        <f>IF(ISBLANK('Q 2'!F49),"",IF('Q 2'!F49="&lt;please select&gt;","",'Q 2'!F49))</f>
        <v>+33 6 13 01 67 10</v>
      </c>
    </row>
    <row r="178" spans="1:7" x14ac:dyDescent="0.3">
      <c r="A178" t="s">
        <v>1749</v>
      </c>
      <c r="B178" t="s">
        <v>1773</v>
      </c>
      <c r="C178">
        <v>1</v>
      </c>
      <c r="D178" t="s">
        <v>1447</v>
      </c>
      <c r="E178" t="s">
        <v>1777</v>
      </c>
      <c r="F178" t="s">
        <v>1741</v>
      </c>
      <c r="G178" t="str">
        <f>IF(ISBLANK('Q 2'!G49),"",IF('Q 2'!G49="&lt;please select&gt;","",'Q 2'!G49))</f>
        <v>malick.mbath@caissedesdepots.fr</v>
      </c>
    </row>
    <row r="179" spans="1:7" x14ac:dyDescent="0.3">
      <c r="A179" t="s">
        <v>1749</v>
      </c>
      <c r="B179" t="s">
        <v>1773</v>
      </c>
      <c r="C179">
        <v>1</v>
      </c>
      <c r="D179" t="s">
        <v>1447</v>
      </c>
      <c r="E179" t="s">
        <v>1778</v>
      </c>
      <c r="F179" t="s">
        <v>1741</v>
      </c>
      <c r="G179" t="str">
        <f>IF(ISBLANK('Q 2'!H49),"",IF('Q 2'!H49="&lt;please select&gt;","",'Q 2'!H49))</f>
        <v>https://politiques-sociales.caissedesdepots.fr/SERINGAS/accueil-seringas</v>
      </c>
    </row>
    <row r="180" spans="1:7" x14ac:dyDescent="0.3">
      <c r="A180" t="s">
        <v>1779</v>
      </c>
      <c r="B180" t="s">
        <v>1780</v>
      </c>
      <c r="C180">
        <v>1</v>
      </c>
      <c r="D180" t="s">
        <v>1447</v>
      </c>
      <c r="E180" t="s">
        <v>1781</v>
      </c>
      <c r="F180" t="s">
        <v>1741</v>
      </c>
      <c r="G180" t="str">
        <f>IF(ISBLANK('Q 2'!F54),"",IF('Q 2'!F54="&lt;please select&gt;","",'Q 2'!F54))</f>
        <v>DREAL, ASN</v>
      </c>
    </row>
    <row r="181" spans="1:7" x14ac:dyDescent="0.3">
      <c r="A181" t="s">
        <v>1779</v>
      </c>
      <c r="B181" t="s">
        <v>1780</v>
      </c>
      <c r="C181">
        <v>2</v>
      </c>
      <c r="D181" t="s">
        <v>1447</v>
      </c>
      <c r="E181" t="s">
        <v>1781</v>
      </c>
      <c r="F181" t="s">
        <v>1741</v>
      </c>
      <c r="G181" t="str">
        <f>IF(ISBLANK('Q 2'!F55),"",IF('Q 2'!F55="&lt;please select&gt;","",'Q 2'!F55))</f>
        <v>DREAL, ASN</v>
      </c>
    </row>
    <row r="182" spans="1:7" x14ac:dyDescent="0.3">
      <c r="A182" t="s">
        <v>1779</v>
      </c>
      <c r="B182" t="s">
        <v>1780</v>
      </c>
      <c r="C182">
        <v>3</v>
      </c>
      <c r="D182" t="s">
        <v>1447</v>
      </c>
      <c r="E182" t="s">
        <v>1781</v>
      </c>
      <c r="F182" t="s">
        <v>1741</v>
      </c>
      <c r="G182" t="str">
        <f>IF(ISBLANK('Q 2'!F56),"",IF('Q 2'!F56="&lt;please select&gt;","",'Q 2'!F56))</f>
        <v>DREAL, ASN</v>
      </c>
    </row>
    <row r="183" spans="1:7" x14ac:dyDescent="0.3">
      <c r="A183" t="s">
        <v>1779</v>
      </c>
      <c r="B183" t="s">
        <v>1780</v>
      </c>
      <c r="C183">
        <v>4</v>
      </c>
      <c r="D183" t="s">
        <v>1447</v>
      </c>
      <c r="E183" t="s">
        <v>1781</v>
      </c>
      <c r="F183" t="s">
        <v>1741</v>
      </c>
      <c r="G183" t="str">
        <f>IF(ISBLANK('Q 2'!F57),"",IF('Q 2'!F57="&lt;please select&gt;","",'Q 2'!F57))</f>
        <v>DREAL, ASN</v>
      </c>
    </row>
    <row r="184" spans="1:7" x14ac:dyDescent="0.3">
      <c r="A184" t="s">
        <v>1779</v>
      </c>
      <c r="B184" t="s">
        <v>1780</v>
      </c>
      <c r="C184">
        <v>6</v>
      </c>
      <c r="D184" t="s">
        <v>1447</v>
      </c>
      <c r="E184" t="s">
        <v>1781</v>
      </c>
      <c r="F184" t="s">
        <v>1741</v>
      </c>
      <c r="G184" t="str">
        <f>IF(ISBLANK('Q 2'!F59),"",IF('Q 2'!F59="&lt;please select&gt;","",'Q 2'!F59))</f>
        <v>AFT</v>
      </c>
    </row>
    <row r="185" spans="1:7" x14ac:dyDescent="0.3">
      <c r="A185" t="s">
        <v>1779</v>
      </c>
      <c r="B185" t="s">
        <v>1780</v>
      </c>
      <c r="C185">
        <v>7</v>
      </c>
      <c r="D185" t="s">
        <v>1447</v>
      </c>
      <c r="E185" t="s">
        <v>1781</v>
      </c>
      <c r="F185" t="s">
        <v>1741</v>
      </c>
      <c r="G185" t="str">
        <f>IF(ISBLANK('Q 2'!F60),"",IF('Q 2'!F60="&lt;please select&gt;","",'Q 2'!F60))</f>
        <v>CDC</v>
      </c>
    </row>
    <row r="186" spans="1:7" x14ac:dyDescent="0.3">
      <c r="A186" t="s">
        <v>1779</v>
      </c>
      <c r="B186" t="s">
        <v>1780</v>
      </c>
      <c r="C186">
        <v>8</v>
      </c>
      <c r="D186" t="s">
        <v>1447</v>
      </c>
      <c r="E186" t="s">
        <v>1781</v>
      </c>
      <c r="F186" t="s">
        <v>1741</v>
      </c>
      <c r="G186" t="str">
        <f>IF(ISBLANK('Q 2'!F61),"",IF('Q 2'!F61="&lt;please select&gt;","",'Q 2'!F61))</f>
        <v>DREAL, ASN</v>
      </c>
    </row>
    <row r="187" spans="1:7" x14ac:dyDescent="0.3">
      <c r="A187" t="s">
        <v>1779</v>
      </c>
      <c r="B187" t="s">
        <v>1780</v>
      </c>
      <c r="C187">
        <v>9</v>
      </c>
      <c r="D187" t="s">
        <v>1447</v>
      </c>
      <c r="E187" t="s">
        <v>1781</v>
      </c>
      <c r="F187" t="s">
        <v>1741</v>
      </c>
      <c r="G187" t="str">
        <f>IF(ISBLANK('Q 2'!F62),"",IF('Q 2'!F62="&lt;please select&gt;","",'Q 2'!F62))</f>
        <v>DREAL, ASN</v>
      </c>
    </row>
    <row r="188" spans="1:7" x14ac:dyDescent="0.3">
      <c r="A188" t="s">
        <v>1779</v>
      </c>
      <c r="B188" t="s">
        <v>1780</v>
      </c>
      <c r="C188">
        <v>10</v>
      </c>
      <c r="D188" t="s">
        <v>1447</v>
      </c>
      <c r="E188" t="s">
        <v>1781</v>
      </c>
      <c r="F188" t="s">
        <v>1741</v>
      </c>
      <c r="G188" t="str">
        <f>IF(ISBLANK('Q 2'!F63),"",IF('Q 2'!F63="&lt;please select&gt;","",'Q 2'!F63))</f>
        <v>DREAL, ASN</v>
      </c>
    </row>
    <row r="189" spans="1:7" x14ac:dyDescent="0.3">
      <c r="A189" t="s">
        <v>1779</v>
      </c>
      <c r="B189" t="s">
        <v>1780</v>
      </c>
      <c r="C189">
        <v>11</v>
      </c>
      <c r="D189" t="s">
        <v>1447</v>
      </c>
      <c r="E189" t="s">
        <v>1781</v>
      </c>
      <c r="F189" t="s">
        <v>1741</v>
      </c>
      <c r="G189" t="str">
        <f>IF(ISBLANK('Q 2'!F64),"",IF('Q 2'!F64="&lt;please select&gt;","",'Q 2'!F64))</f>
        <v>DREAL, ASN</v>
      </c>
    </row>
    <row r="190" spans="1:7" x14ac:dyDescent="0.3">
      <c r="A190" t="s">
        <v>1779</v>
      </c>
      <c r="B190" t="s">
        <v>1780</v>
      </c>
      <c r="C190">
        <v>12</v>
      </c>
      <c r="D190" t="s">
        <v>1447</v>
      </c>
      <c r="E190" t="s">
        <v>1781</v>
      </c>
      <c r="F190" t="s">
        <v>1741</v>
      </c>
      <c r="G190" t="str">
        <f>IF(ISBLANK('Q 2'!F65),"",IF('Q 2'!F65="&lt;please select&gt;","",'Q 2'!F65))</f>
        <v>/</v>
      </c>
    </row>
    <row r="191" spans="1:7" x14ac:dyDescent="0.3">
      <c r="A191" t="s">
        <v>1779</v>
      </c>
      <c r="B191" t="s">
        <v>1780</v>
      </c>
      <c r="C191">
        <v>13</v>
      </c>
      <c r="D191" t="s">
        <v>1447</v>
      </c>
      <c r="E191" t="s">
        <v>1781</v>
      </c>
      <c r="F191" t="s">
        <v>1741</v>
      </c>
      <c r="G191" t="str">
        <f>IF(ISBLANK('Q 2'!F66),"",IF('Q 2'!F66="&lt;please select&gt;","",'Q 2'!F66))</f>
        <v>MTE-DGEC, DREAL</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MTE-DGAC</v>
      </c>
    </row>
    <row r="197" spans="1:7" x14ac:dyDescent="0.3">
      <c r="A197" t="s">
        <v>1779</v>
      </c>
      <c r="B197" t="s">
        <v>1780</v>
      </c>
      <c r="C197">
        <v>6</v>
      </c>
      <c r="D197" t="s">
        <v>1447</v>
      </c>
      <c r="E197" t="s">
        <v>1782</v>
      </c>
      <c r="F197" t="s">
        <v>1741</v>
      </c>
      <c r="G197" t="str">
        <f>IF(ISBLANK('Q 2'!H59),"",IF('Q 2'!H59="&lt;please select&gt;","",'Q 2'!H59))</f>
        <v/>
      </c>
    </row>
    <row r="198" spans="1:7" x14ac:dyDescent="0.3">
      <c r="A198" t="s">
        <v>1779</v>
      </c>
      <c r="B198" t="s">
        <v>1780</v>
      </c>
      <c r="C198">
        <v>7</v>
      </c>
      <c r="D198" t="s">
        <v>1447</v>
      </c>
      <c r="E198" t="s">
        <v>1782</v>
      </c>
      <c r="F198" t="s">
        <v>1741</v>
      </c>
      <c r="G198" t="str">
        <f>IF(ISBLANK('Q 2'!H60),"",IF('Q 2'!H60="&lt;please select&gt;","",'Q 2'!H60))</f>
        <v>MTE-DGAC</v>
      </c>
    </row>
    <row r="199" spans="1:7" x14ac:dyDescent="0.3">
      <c r="A199" t="s">
        <v>1779</v>
      </c>
      <c r="B199" t="s">
        <v>1780</v>
      </c>
      <c r="C199">
        <v>8</v>
      </c>
      <c r="D199" t="s">
        <v>1447</v>
      </c>
      <c r="E199" t="s">
        <v>1782</v>
      </c>
      <c r="F199" t="s">
        <v>1741</v>
      </c>
      <c r="G199" t="str">
        <f>IF(ISBLANK('Q 2'!H61),"",IF('Q 2'!H61="&lt;please select&gt;","",'Q 2'!H61))</f>
        <v>MTE-DGAC</v>
      </c>
    </row>
    <row r="200" spans="1:7" x14ac:dyDescent="0.3">
      <c r="A200" t="s">
        <v>1779</v>
      </c>
      <c r="B200" t="s">
        <v>1780</v>
      </c>
      <c r="C200">
        <v>9</v>
      </c>
      <c r="D200" t="s">
        <v>1447</v>
      </c>
      <c r="E200" t="s">
        <v>1782</v>
      </c>
      <c r="F200" t="s">
        <v>1741</v>
      </c>
      <c r="G200" t="str">
        <f>IF(ISBLANK('Q 2'!H62),"",IF('Q 2'!H62="&lt;please select&gt;","",'Q 2'!H62))</f>
        <v>MTE-DGAC</v>
      </c>
    </row>
    <row r="201" spans="1:7" x14ac:dyDescent="0.3">
      <c r="A201" t="s">
        <v>1779</v>
      </c>
      <c r="B201" t="s">
        <v>1780</v>
      </c>
      <c r="C201">
        <v>10</v>
      </c>
      <c r="D201" t="s">
        <v>1447</v>
      </c>
      <c r="E201" t="s">
        <v>1782</v>
      </c>
      <c r="F201" t="s">
        <v>1741</v>
      </c>
      <c r="G201" t="str">
        <f>IF(ISBLANK('Q 2'!H63),"",IF('Q 2'!H63="&lt;please select&gt;","",'Q 2'!H63))</f>
        <v>MTE-DGAC</v>
      </c>
    </row>
    <row r="202" spans="1:7" x14ac:dyDescent="0.3">
      <c r="A202" t="s">
        <v>1779</v>
      </c>
      <c r="B202" t="s">
        <v>1780</v>
      </c>
      <c r="C202">
        <v>11</v>
      </c>
      <c r="D202" t="s">
        <v>1447</v>
      </c>
      <c r="E202" t="s">
        <v>1782</v>
      </c>
      <c r="F202" t="s">
        <v>1741</v>
      </c>
      <c r="G202" t="str">
        <f>IF(ISBLANK('Q 2'!H64),"",IF('Q 2'!H64="&lt;please select&gt;","",'Q 2'!H64))</f>
        <v>MTE-DGAC</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Direction générale de l'énergie et du climat (for installations)
Direction générale de l'aviation civile (for aircrafts)</v>
      </c>
    </row>
    <row r="212" spans="1:11" x14ac:dyDescent="0.3">
      <c r="A212" t="s">
        <v>1784</v>
      </c>
      <c r="B212" t="s">
        <v>1785</v>
      </c>
      <c r="C212">
        <v>0</v>
      </c>
      <c r="D212" t="s">
        <v>1447</v>
      </c>
      <c r="E212" t="s">
        <v>1787</v>
      </c>
      <c r="F212" t="s">
        <v>1741</v>
      </c>
      <c r="G212" t="str">
        <f>IF(ISBLANK('Q 2'!$G$82),"",IF('Q 2'!$G$82="&lt;please select&gt;","",'Q 2'!$G$82))</f>
        <v>MTE-DGEC
MTE-DGAC</v>
      </c>
    </row>
    <row r="213" spans="1:11" x14ac:dyDescent="0.3">
      <c r="A213" t="s">
        <v>1784</v>
      </c>
      <c r="B213" t="s">
        <v>1788</v>
      </c>
      <c r="C213">
        <v>1</v>
      </c>
      <c r="D213" t="s">
        <v>1447</v>
      </c>
      <c r="E213" t="s">
        <v>1789</v>
      </c>
      <c r="F213" t="s">
        <v>1759</v>
      </c>
      <c r="K213" t="str">
        <f>IF(ISBLANK('Q 2'!G86),"",IF('Q 2'!G86="&lt;please select&gt;","",'Q 2'!G86))</f>
        <v>No</v>
      </c>
    </row>
    <row r="214" spans="1:11" x14ac:dyDescent="0.3">
      <c r="A214" t="s">
        <v>1784</v>
      </c>
      <c r="B214" t="s">
        <v>1788</v>
      </c>
      <c r="C214">
        <v>2</v>
      </c>
      <c r="D214" t="s">
        <v>1447</v>
      </c>
      <c r="E214" t="s">
        <v>1789</v>
      </c>
      <c r="F214" t="s">
        <v>1759</v>
      </c>
      <c r="K214" t="str">
        <f>IF(ISBLANK('Q 2'!G87),"",IF('Q 2'!G87="&lt;please select&gt;","",'Q 2'!G87))</f>
        <v>Yes</v>
      </c>
    </row>
    <row r="215" spans="1:11" x14ac:dyDescent="0.3">
      <c r="A215" t="s">
        <v>1784</v>
      </c>
      <c r="B215" t="s">
        <v>1788</v>
      </c>
      <c r="C215">
        <v>3</v>
      </c>
      <c r="D215" t="s">
        <v>1447</v>
      </c>
      <c r="E215" t="s">
        <v>1789</v>
      </c>
      <c r="F215" t="s">
        <v>1759</v>
      </c>
      <c r="K215" t="str">
        <f>IF(ISBLANK('Q 2'!G88),"",IF('Q 2'!G88="&lt;please select&gt;","",'Q 2'!G88))</f>
        <v>Yes</v>
      </c>
    </row>
    <row r="216" spans="1:11" x14ac:dyDescent="0.3">
      <c r="A216" t="s">
        <v>1784</v>
      </c>
      <c r="B216" t="s">
        <v>1788</v>
      </c>
      <c r="C216">
        <v>4</v>
      </c>
      <c r="D216" t="s">
        <v>1447</v>
      </c>
      <c r="E216" t="s">
        <v>1789</v>
      </c>
      <c r="F216" t="s">
        <v>1759</v>
      </c>
      <c r="K216" t="str">
        <f>IF(ISBLANK('Q 2'!G89),"",IF('Q 2'!G89="&lt;please select&gt;","",'Q 2'!G89))</f>
        <v>Yes</v>
      </c>
    </row>
    <row r="217" spans="1:11" x14ac:dyDescent="0.3">
      <c r="A217" t="s">
        <v>1784</v>
      </c>
      <c r="B217" t="s">
        <v>1788</v>
      </c>
      <c r="C217">
        <v>5</v>
      </c>
      <c r="D217" t="s">
        <v>1447</v>
      </c>
      <c r="E217" t="s">
        <v>1789</v>
      </c>
      <c r="F217" t="s">
        <v>1759</v>
      </c>
      <c r="K217" t="str">
        <f>IF(ISBLANK('Q 2'!G90),"",IF('Q 2'!G90="&lt;please select&gt;","",'Q 2'!G90))</f>
        <v>Yes</v>
      </c>
    </row>
    <row r="218" spans="1:11" x14ac:dyDescent="0.3">
      <c r="A218" t="s">
        <v>1784</v>
      </c>
      <c r="B218" t="s">
        <v>1788</v>
      </c>
      <c r="C218">
        <v>6</v>
      </c>
      <c r="D218" t="s">
        <v>1447</v>
      </c>
      <c r="E218" t="s">
        <v>1789</v>
      </c>
      <c r="F218" t="s">
        <v>1759</v>
      </c>
      <c r="K218" t="str">
        <f>IF(ISBLANK('Q 2'!G91),"",IF('Q 2'!G91="&lt;please select&gt;","",'Q 2'!G91))</f>
        <v>Yes</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
      </c>
    </row>
    <row r="224" spans="1:11" x14ac:dyDescent="0.3">
      <c r="A224" t="s">
        <v>1784</v>
      </c>
      <c r="B224" t="s">
        <v>1788</v>
      </c>
      <c r="C224">
        <v>2</v>
      </c>
      <c r="D224" t="s">
        <v>1447</v>
      </c>
      <c r="E224" t="s">
        <v>1790</v>
      </c>
      <c r="F224" t="s">
        <v>1791</v>
      </c>
      <c r="J224" t="str">
        <f>IF(ISBLANK('Q 2'!H87),"",IF('Q 2'!H87="&lt;please select&gt;","",'Q 2'!H87))</f>
        <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
      </c>
    </row>
    <row r="227" spans="1:11" x14ac:dyDescent="0.3">
      <c r="A227" t="s">
        <v>1784</v>
      </c>
      <c r="B227" t="s">
        <v>1788</v>
      </c>
      <c r="C227">
        <v>5</v>
      </c>
      <c r="D227" t="s">
        <v>1447</v>
      </c>
      <c r="E227" t="s">
        <v>1790</v>
      </c>
      <c r="F227" t="s">
        <v>1791</v>
      </c>
      <c r="J227" t="str">
        <f>IF(ISBLANK('Q 2'!H90),"",IF('Q 2'!H90="&lt;please select&gt;","",'Q 2'!H90))</f>
        <v/>
      </c>
    </row>
    <row r="228" spans="1:11" x14ac:dyDescent="0.3">
      <c r="A228" t="s">
        <v>1784</v>
      </c>
      <c r="B228" t="s">
        <v>1788</v>
      </c>
      <c r="C228">
        <v>6</v>
      </c>
      <c r="D228" t="s">
        <v>1447</v>
      </c>
      <c r="E228" t="s">
        <v>1790</v>
      </c>
      <c r="F228" t="s">
        <v>1791</v>
      </c>
      <c r="J228" t="str">
        <f>IF(ISBLANK('Q 2'!H91),"",IF('Q 2'!H91="&lt;please select&gt;","",'Q 2'!H91))</f>
        <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Yes</v>
      </c>
    </row>
    <row r="234" spans="1:11" x14ac:dyDescent="0.3">
      <c r="A234" t="s">
        <v>1792</v>
      </c>
      <c r="B234" t="s">
        <v>1793</v>
      </c>
      <c r="C234">
        <v>2</v>
      </c>
      <c r="D234" t="s">
        <v>1447</v>
      </c>
      <c r="E234" t="s">
        <v>1794</v>
      </c>
      <c r="F234" t="s">
        <v>1759</v>
      </c>
      <c r="K234" t="str">
        <f>IF(ISBLANK('Q 2'!G101),"",IF('Q 2'!G101="&lt;please select&gt;","",'Q 2'!G101))</f>
        <v>Yes</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
      </c>
    </row>
    <row r="241" spans="1:11" x14ac:dyDescent="0.3">
      <c r="A241" t="s">
        <v>1792</v>
      </c>
      <c r="B241" t="s">
        <v>1793</v>
      </c>
      <c r="C241">
        <v>2</v>
      </c>
      <c r="D241" t="s">
        <v>1447</v>
      </c>
      <c r="E241" t="s">
        <v>1795</v>
      </c>
      <c r="F241" t="s">
        <v>1791</v>
      </c>
      <c r="J241" t="str">
        <f>IF(ISBLANK('Q 2'!H101),"",IF('Q 2'!H101="&lt;please select&gt;","",'Q 2'!H101))</f>
        <v>The working group meetings usually occur twice a year (one before the campaigns to discuss important issues to harmonize the implementatino, and one after the campaigns to get feedbacks)</v>
      </c>
    </row>
    <row r="242" spans="1:11" x14ac:dyDescent="0.3">
      <c r="A242" t="s">
        <v>1792</v>
      </c>
      <c r="B242" t="s">
        <v>1793</v>
      </c>
      <c r="C242">
        <v>3</v>
      </c>
      <c r="D242" t="s">
        <v>1447</v>
      </c>
      <c r="E242" t="s">
        <v>1795</v>
      </c>
      <c r="F242" t="s">
        <v>1791</v>
      </c>
      <c r="J242" t="str">
        <f>IF(ISBLANK('Q 2'!H102),"",IF('Q 2'!H102="&lt;please select&gt;","",'Q 2'!H102))</f>
        <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1040</v>
      </c>
    </row>
    <row r="248" spans="1:11" x14ac:dyDescent="0.3">
      <c r="A248" t="s">
        <v>1796</v>
      </c>
      <c r="B248" t="s">
        <v>1797</v>
      </c>
      <c r="C248">
        <v>2</v>
      </c>
      <c r="D248" t="s">
        <v>1447</v>
      </c>
      <c r="E248" t="s">
        <v>1798</v>
      </c>
      <c r="F248" t="s">
        <v>1748</v>
      </c>
      <c r="H248" s="165" t="str">
        <f>IF(ISBLANK('Q 3'!G8),"",IF('Q 3'!G8="&lt;please select&gt;","",'Q 3'!G8))</f>
        <v>810</v>
      </c>
    </row>
    <row r="249" spans="1:11" x14ac:dyDescent="0.3">
      <c r="A249" t="s">
        <v>1796</v>
      </c>
      <c r="B249" t="s">
        <v>1797</v>
      </c>
      <c r="C249">
        <v>3</v>
      </c>
      <c r="D249" t="s">
        <v>1447</v>
      </c>
      <c r="E249" t="s">
        <v>1798</v>
      </c>
      <c r="F249" t="s">
        <v>1748</v>
      </c>
      <c r="H249" s="165" t="str">
        <f>IF(ISBLANK('Q 3'!G9),"",IF('Q 3'!G9="&lt;please select&gt;","",'Q 3'!G9))</f>
        <v>186</v>
      </c>
    </row>
    <row r="250" spans="1:11" x14ac:dyDescent="0.3">
      <c r="A250" t="s">
        <v>1796</v>
      </c>
      <c r="B250" t="s">
        <v>1797</v>
      </c>
      <c r="C250">
        <v>4</v>
      </c>
      <c r="D250" t="s">
        <v>1447</v>
      </c>
      <c r="E250" t="s">
        <v>1798</v>
      </c>
      <c r="F250" t="s">
        <v>1748</v>
      </c>
      <c r="H250" s="165" t="str">
        <f>IF(ISBLANK('Q 3'!G10),"",IF('Q 3'!G10="&lt;please select&gt;","",'Q 3'!G10))</f>
        <v>44</v>
      </c>
    </row>
    <row r="251" spans="1:11" x14ac:dyDescent="0.3">
      <c r="A251" t="s">
        <v>1796</v>
      </c>
      <c r="B251" t="s">
        <v>1797</v>
      </c>
      <c r="C251">
        <v>5</v>
      </c>
      <c r="D251" t="s">
        <v>1447</v>
      </c>
      <c r="E251" t="s">
        <v>1798</v>
      </c>
      <c r="F251" t="s">
        <v>1748</v>
      </c>
      <c r="H251" s="165" t="str">
        <f>IF(ISBLANK('Q 3'!G11),"",IF('Q 3'!G11="&lt;please select&gt;","",'Q 3'!G11))</f>
        <v>598</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Yes</v>
      </c>
    </row>
    <row r="254" spans="1:11" x14ac:dyDescent="0.3">
      <c r="A254" t="s">
        <v>1796</v>
      </c>
      <c r="B254" t="s">
        <v>1799</v>
      </c>
      <c r="C254">
        <v>3</v>
      </c>
      <c r="D254" t="s">
        <v>1447</v>
      </c>
      <c r="E254" t="s">
        <v>1800</v>
      </c>
      <c r="F254" t="s">
        <v>1759</v>
      </c>
      <c r="K254" t="str">
        <f>IF(ISBLANK('Q 3'!H17),"",IF('Q 3'!H17="&lt;please select&gt;","",'Q 3'!H17))</f>
        <v>Yes</v>
      </c>
    </row>
    <row r="255" spans="1:11" x14ac:dyDescent="0.3">
      <c r="A255" t="s">
        <v>1796</v>
      </c>
      <c r="B255" t="s">
        <v>1799</v>
      </c>
      <c r="C255">
        <v>4</v>
      </c>
      <c r="D255" t="s">
        <v>1447</v>
      </c>
      <c r="E255" t="s">
        <v>1800</v>
      </c>
      <c r="F255" t="s">
        <v>1759</v>
      </c>
      <c r="K255" t="str">
        <f>IF(ISBLANK('Q 3'!H18),"",IF('Q 3'!H18="&lt;please select&gt;","",'Q 3'!H18))</f>
        <v>Yes</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Yes</v>
      </c>
    </row>
    <row r="259" spans="1:11" x14ac:dyDescent="0.3">
      <c r="A259" t="s">
        <v>1796</v>
      </c>
      <c r="B259" t="s">
        <v>1799</v>
      </c>
      <c r="C259">
        <v>8</v>
      </c>
      <c r="D259" t="s">
        <v>1447</v>
      </c>
      <c r="E259" t="s">
        <v>1800</v>
      </c>
      <c r="F259" t="s">
        <v>1759</v>
      </c>
      <c r="K259" t="str">
        <f>IF(ISBLANK('Q 3'!H22),"",IF('Q 3'!H22="&lt;please select&gt;","",'Q 3'!H22))</f>
        <v>Yes</v>
      </c>
    </row>
    <row r="260" spans="1:11" x14ac:dyDescent="0.3">
      <c r="A260" t="s">
        <v>1796</v>
      </c>
      <c r="B260" t="s">
        <v>1799</v>
      </c>
      <c r="C260">
        <v>9</v>
      </c>
      <c r="D260" t="s">
        <v>1447</v>
      </c>
      <c r="E260" t="s">
        <v>1800</v>
      </c>
      <c r="F260" t="s">
        <v>1759</v>
      </c>
      <c r="K260" t="str">
        <f>IF(ISBLANK('Q 3'!H23),"",IF('Q 3'!H23="&lt;please select&gt;","",'Q 3'!H23))</f>
        <v>Yes</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Yes</v>
      </c>
    </row>
    <row r="266" spans="1:11" x14ac:dyDescent="0.3">
      <c r="A266" t="s">
        <v>1796</v>
      </c>
      <c r="B266" t="s">
        <v>1799</v>
      </c>
      <c r="C266">
        <v>15</v>
      </c>
      <c r="D266" t="s">
        <v>1447</v>
      </c>
      <c r="E266" t="s">
        <v>1800</v>
      </c>
      <c r="F266" t="s">
        <v>1759</v>
      </c>
      <c r="K266" t="str">
        <f>IF(ISBLANK('Q 3'!H29),"",IF('Q 3'!H29="&lt;please select&gt;","",'Q 3'!H29))</f>
        <v>Yes</v>
      </c>
    </row>
    <row r="267" spans="1:11" x14ac:dyDescent="0.3">
      <c r="A267" t="s">
        <v>1796</v>
      </c>
      <c r="B267" t="s">
        <v>1799</v>
      </c>
      <c r="C267">
        <v>16</v>
      </c>
      <c r="D267" t="s">
        <v>1447</v>
      </c>
      <c r="E267" t="s">
        <v>1800</v>
      </c>
      <c r="F267" t="s">
        <v>1759</v>
      </c>
      <c r="K267" t="str">
        <f>IF(ISBLANK('Q 3'!H30),"",IF('Q 3'!H30="&lt;please select&gt;","",'Q 3'!H30))</f>
        <v>Yes</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Yes</v>
      </c>
    </row>
    <row r="270" spans="1:11" x14ac:dyDescent="0.3">
      <c r="A270" t="s">
        <v>1796</v>
      </c>
      <c r="B270" t="s">
        <v>1799</v>
      </c>
      <c r="C270">
        <v>19</v>
      </c>
      <c r="D270" t="s">
        <v>1447</v>
      </c>
      <c r="E270" t="s">
        <v>1800</v>
      </c>
      <c r="F270" t="s">
        <v>1759</v>
      </c>
      <c r="K270" t="str">
        <f>IF(ISBLANK('Q 3'!H33),"",IF('Q 3'!H33="&lt;please select&gt;","",'Q 3'!H33))</f>
        <v>Yes</v>
      </c>
    </row>
    <row r="271" spans="1:11" x14ac:dyDescent="0.3">
      <c r="A271" t="s">
        <v>1796</v>
      </c>
      <c r="B271" t="s">
        <v>1799</v>
      </c>
      <c r="C271">
        <v>20</v>
      </c>
      <c r="D271" t="s">
        <v>1447</v>
      </c>
      <c r="E271" t="s">
        <v>1800</v>
      </c>
      <c r="F271" t="s">
        <v>1759</v>
      </c>
      <c r="K271" t="str">
        <f>IF(ISBLANK('Q 3'!H34),"",IF('Q 3'!H34="&lt;please select&gt;","",'Q 3'!H34))</f>
        <v>Yes</v>
      </c>
    </row>
    <row r="272" spans="1:11" x14ac:dyDescent="0.3">
      <c r="A272" t="s">
        <v>1796</v>
      </c>
      <c r="B272" t="s">
        <v>1799</v>
      </c>
      <c r="C272">
        <v>21</v>
      </c>
      <c r="D272" t="s">
        <v>1447</v>
      </c>
      <c r="E272" t="s">
        <v>1800</v>
      </c>
      <c r="F272" t="s">
        <v>1759</v>
      </c>
      <c r="K272" t="str">
        <f>IF(ISBLANK('Q 3'!H35),"",IF('Q 3'!H35="&lt;please select&gt;","",'Q 3'!H35))</f>
        <v>Yes</v>
      </c>
    </row>
    <row r="273" spans="1:11" x14ac:dyDescent="0.3">
      <c r="A273" t="s">
        <v>1796</v>
      </c>
      <c r="B273" t="s">
        <v>1799</v>
      </c>
      <c r="C273">
        <v>22</v>
      </c>
      <c r="D273" t="s">
        <v>1447</v>
      </c>
      <c r="E273" t="s">
        <v>1800</v>
      </c>
      <c r="F273" t="s">
        <v>1759</v>
      </c>
      <c r="K273" t="str">
        <f>IF(ISBLANK('Q 3'!H36),"",IF('Q 3'!H36="&lt;please select&gt;","",'Q 3'!H36))</f>
        <v>Yes</v>
      </c>
    </row>
    <row r="274" spans="1:11" x14ac:dyDescent="0.3">
      <c r="A274" t="s">
        <v>1796</v>
      </c>
      <c r="B274" t="s">
        <v>1799</v>
      </c>
      <c r="C274">
        <v>23</v>
      </c>
      <c r="D274" t="s">
        <v>1447</v>
      </c>
      <c r="E274" t="s">
        <v>1800</v>
      </c>
      <c r="F274" t="s">
        <v>1759</v>
      </c>
      <c r="K274" t="str">
        <f>IF(ISBLANK('Q 3'!H37),"",IF('Q 3'!H37="&lt;please select&gt;","",'Q 3'!H37))</f>
        <v>Yes</v>
      </c>
    </row>
    <row r="275" spans="1:11" x14ac:dyDescent="0.3">
      <c r="A275" t="s">
        <v>1796</v>
      </c>
      <c r="B275" t="s">
        <v>1799</v>
      </c>
      <c r="C275">
        <v>24</v>
      </c>
      <c r="D275" t="s">
        <v>1447</v>
      </c>
      <c r="E275" t="s">
        <v>1800</v>
      </c>
      <c r="F275" t="s">
        <v>1759</v>
      </c>
      <c r="K275" t="str">
        <f>IF(ISBLANK('Q 3'!H38),"",IF('Q 3'!H38="&lt;please select&gt;","",'Q 3'!H38))</f>
        <v>Yes</v>
      </c>
    </row>
    <row r="276" spans="1:11" x14ac:dyDescent="0.3">
      <c r="A276" t="s">
        <v>1796</v>
      </c>
      <c r="B276" t="s">
        <v>1799</v>
      </c>
      <c r="C276">
        <v>25</v>
      </c>
      <c r="D276" t="s">
        <v>1447</v>
      </c>
      <c r="E276" t="s">
        <v>1800</v>
      </c>
      <c r="F276" t="s">
        <v>1759</v>
      </c>
      <c r="K276" t="str">
        <f>IF(ISBLANK('Q 3'!H39),"",IF('Q 3'!H39="&lt;please select&gt;","",'Q 3'!H39))</f>
        <v>Yes</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Yes</v>
      </c>
    </row>
    <row r="281" spans="1:11" x14ac:dyDescent="0.3">
      <c r="A281" t="s">
        <v>1801</v>
      </c>
      <c r="B281" t="s">
        <v>1803</v>
      </c>
      <c r="C281">
        <v>1</v>
      </c>
      <c r="D281" t="s">
        <v>1447</v>
      </c>
      <c r="E281" t="s">
        <v>1804</v>
      </c>
      <c r="F281" t="s">
        <v>1737</v>
      </c>
      <c r="K281" t="str">
        <f>IF(ISBLANK('Q 3'!C51),"",IF('Q 3'!C51="&lt;please select&gt;","",'Q 3'!C51))</f>
        <v>Article 27</v>
      </c>
    </row>
    <row r="282" spans="1:11" x14ac:dyDescent="0.3">
      <c r="A282" t="s">
        <v>1801</v>
      </c>
      <c r="B282" t="s">
        <v>1803</v>
      </c>
      <c r="C282">
        <v>2</v>
      </c>
      <c r="D282" t="s">
        <v>1447</v>
      </c>
      <c r="E282" t="s">
        <v>1804</v>
      </c>
      <c r="F282" t="s">
        <v>1737</v>
      </c>
      <c r="K282" t="str">
        <f>IF(ISBLANK('Q 3'!C52),"",IF('Q 3'!C52="&lt;please select&gt;","",'Q 3'!C52))</f>
        <v>Article 27a (1)</v>
      </c>
    </row>
    <row r="283" spans="1:11" x14ac:dyDescent="0.3">
      <c r="A283" t="s">
        <v>1801</v>
      </c>
      <c r="B283" t="s">
        <v>1803</v>
      </c>
      <c r="C283">
        <v>3</v>
      </c>
      <c r="D283" t="s">
        <v>1447</v>
      </c>
      <c r="E283" t="s">
        <v>1804</v>
      </c>
      <c r="F283" t="s">
        <v>1737</v>
      </c>
      <c r="K283" t="str">
        <f>IF(ISBLANK('Q 3'!C53),"",IF('Q 3'!C53="&lt;please select&gt;","",'Q 3'!C53))</f>
        <v>Article 27a (3)</v>
      </c>
    </row>
    <row r="284" spans="1:11" x14ac:dyDescent="0.3">
      <c r="A284" t="s">
        <v>1801</v>
      </c>
      <c r="B284" t="s">
        <v>1803</v>
      </c>
      <c r="C284">
        <v>1</v>
      </c>
      <c r="D284" t="s">
        <v>1447</v>
      </c>
      <c r="E284" t="s">
        <v>1805</v>
      </c>
      <c r="F284" t="s">
        <v>1806</v>
      </c>
      <c r="I284" s="165" t="str">
        <f>IF(ISBLANK('Q 3'!F51),"",IF('Q 3'!F51="&lt;please select&gt;","",'Q 3'!F51))</f>
        <v>20952</v>
      </c>
    </row>
    <row r="285" spans="1:11" x14ac:dyDescent="0.3">
      <c r="A285" t="s">
        <v>1801</v>
      </c>
      <c r="B285" t="s">
        <v>1803</v>
      </c>
      <c r="C285">
        <v>2</v>
      </c>
      <c r="D285" t="s">
        <v>1447</v>
      </c>
      <c r="E285" t="s">
        <v>1805</v>
      </c>
      <c r="F285" t="s">
        <v>1806</v>
      </c>
      <c r="I285" s="165" t="str">
        <f>IF(ISBLANK('Q 3'!F52),"",IF('Q 3'!F52="&lt;please select&gt;","",'Q 3'!F52))</f>
        <v>16992</v>
      </c>
    </row>
    <row r="286" spans="1:11" x14ac:dyDescent="0.3">
      <c r="A286" t="s">
        <v>1801</v>
      </c>
      <c r="B286" t="s">
        <v>1803</v>
      </c>
      <c r="C286">
        <v>3</v>
      </c>
      <c r="D286" t="s">
        <v>1447</v>
      </c>
      <c r="E286" t="s">
        <v>1805</v>
      </c>
      <c r="F286" t="s">
        <v>1806</v>
      </c>
      <c r="I286" s="165" t="str">
        <f>IF(ISBLANK('Q 3'!F53),"",IF('Q 3'!F53="&lt;please select&gt;","",'Q 3'!F53))</f>
        <v>0</v>
      </c>
    </row>
    <row r="287" spans="1:11" x14ac:dyDescent="0.3">
      <c r="A287" t="s">
        <v>1801</v>
      </c>
      <c r="B287" t="s">
        <v>1803</v>
      </c>
      <c r="C287">
        <v>1</v>
      </c>
      <c r="D287" t="s">
        <v>1447</v>
      </c>
      <c r="E287" t="s">
        <v>1807</v>
      </c>
      <c r="F287" t="s">
        <v>1748</v>
      </c>
      <c r="H287" s="165" t="str">
        <f>IF(ISBLANK('Q 3'!H51),"",IF('Q 3'!H51="&lt;please select&gt;","",'Q 3'!H51))</f>
        <v>0</v>
      </c>
    </row>
    <row r="288" spans="1:11" x14ac:dyDescent="0.3">
      <c r="A288" t="s">
        <v>1801</v>
      </c>
      <c r="B288" t="s">
        <v>1803</v>
      </c>
      <c r="C288">
        <v>2</v>
      </c>
      <c r="D288" t="s">
        <v>1447</v>
      </c>
      <c r="E288" t="s">
        <v>1807</v>
      </c>
      <c r="F288" t="s">
        <v>1748</v>
      </c>
      <c r="H288" s="165" t="str">
        <f>IF(ISBLANK('Q 3'!H52),"",IF('Q 3'!H52="&lt;please select&gt;","",'Q 3'!H52))</f>
        <v>0</v>
      </c>
    </row>
    <row r="289" spans="1:11" x14ac:dyDescent="0.3">
      <c r="A289" t="s">
        <v>1801</v>
      </c>
      <c r="B289" t="s">
        <v>1803</v>
      </c>
      <c r="C289">
        <v>3</v>
      </c>
      <c r="D289" t="s">
        <v>1447</v>
      </c>
      <c r="E289" t="s">
        <v>1807</v>
      </c>
      <c r="F289" t="s">
        <v>1748</v>
      </c>
      <c r="H289" s="165" t="str">
        <f>IF(ISBLANK('Q 3'!H53),"",IF('Q 3'!H53="&lt;please select&gt;","",'Q 3'!H53))</f>
        <v>0</v>
      </c>
    </row>
    <row r="290" spans="1:11" x14ac:dyDescent="0.3">
      <c r="A290" t="s">
        <v>1801</v>
      </c>
      <c r="B290" t="s">
        <v>1808</v>
      </c>
      <c r="C290">
        <v>0</v>
      </c>
      <c r="D290" t="s">
        <v>1447</v>
      </c>
      <c r="E290" t="s">
        <v>1809</v>
      </c>
      <c r="F290" t="s">
        <v>1748</v>
      </c>
      <c r="H290" s="165" t="str">
        <f>IF(ISBLANK('Q 3'!$F$58),"",IF('Q 3'!$F$58="&lt;please select&gt;","",'Q 3'!$F$58))</f>
        <v>0</v>
      </c>
    </row>
    <row r="291" spans="1:11" x14ac:dyDescent="0.3">
      <c r="A291" t="s">
        <v>1801</v>
      </c>
      <c r="B291" t="s">
        <v>1808</v>
      </c>
      <c r="C291">
        <v>0</v>
      </c>
      <c r="D291" t="s">
        <v>1447</v>
      </c>
      <c r="E291" t="s">
        <v>1810</v>
      </c>
      <c r="F291" t="s">
        <v>1748</v>
      </c>
      <c r="H291" s="165" t="str">
        <f>IF(ISBLANK('Q 3'!$F$59),"",IF('Q 3'!$F$59="&lt;please select&gt;","",'Q 3'!$F$59))</f>
        <v>0</v>
      </c>
    </row>
    <row r="292" spans="1:11" x14ac:dyDescent="0.3">
      <c r="A292" t="s">
        <v>1811</v>
      </c>
      <c r="B292" t="s">
        <v>1812</v>
      </c>
      <c r="C292">
        <v>1</v>
      </c>
      <c r="D292" t="s">
        <v>1447</v>
      </c>
      <c r="E292" t="s">
        <v>1813</v>
      </c>
      <c r="F292" t="s">
        <v>1748</v>
      </c>
      <c r="H292" s="165" t="str">
        <f>IF(ISBLANK('Q 3'!G64),"",IF('Q 3'!G64="&lt;please select&gt;","",'Q 3'!G64))</f>
        <v>38</v>
      </c>
    </row>
    <row r="293" spans="1:11" x14ac:dyDescent="0.3">
      <c r="A293" t="s">
        <v>1811</v>
      </c>
      <c r="B293" t="s">
        <v>1812</v>
      </c>
      <c r="C293">
        <v>2</v>
      </c>
      <c r="D293" t="s">
        <v>1447</v>
      </c>
      <c r="E293" t="s">
        <v>1813</v>
      </c>
      <c r="F293" t="s">
        <v>1748</v>
      </c>
      <c r="H293" s="165" t="str">
        <f>IF(ISBLANK('Q 3'!G65),"",IF('Q 3'!G65="&lt;please select&gt;","",'Q 3'!G65))</f>
        <v>8</v>
      </c>
    </row>
    <row r="294" spans="1:11" x14ac:dyDescent="0.3">
      <c r="A294" t="s">
        <v>1811</v>
      </c>
      <c r="B294" t="s">
        <v>1812</v>
      </c>
      <c r="C294">
        <v>3</v>
      </c>
      <c r="D294" t="s">
        <v>1447</v>
      </c>
      <c r="E294" t="s">
        <v>1813</v>
      </c>
      <c r="F294" t="s">
        <v>1748</v>
      </c>
      <c r="H294" s="165" t="str">
        <f>IF(ISBLANK('Q 3'!G66),"",IF('Q 3'!G66="&lt;please select&gt;","",'Q 3'!G66))</f>
        <v>46</v>
      </c>
    </row>
    <row r="295" spans="1:11" x14ac:dyDescent="0.3">
      <c r="A295" t="s">
        <v>1811</v>
      </c>
      <c r="B295" t="s">
        <v>1812</v>
      </c>
      <c r="C295">
        <v>1</v>
      </c>
      <c r="D295" t="s">
        <v>1447</v>
      </c>
      <c r="E295" t="s">
        <v>1814</v>
      </c>
      <c r="F295" t="s">
        <v>1748</v>
      </c>
      <c r="H295" s="165" t="str">
        <f>IF(ISBLANK('Q 3'!H64),"",IF('Q 3'!H64="&lt;please select&gt;","",'Q 3'!H64))</f>
        <v>1</v>
      </c>
    </row>
    <row r="296" spans="1:11" x14ac:dyDescent="0.3">
      <c r="A296" t="s">
        <v>1811</v>
      </c>
      <c r="B296" t="s">
        <v>1812</v>
      </c>
      <c r="C296">
        <v>2</v>
      </c>
      <c r="D296" t="s">
        <v>1447</v>
      </c>
      <c r="E296" t="s">
        <v>1814</v>
      </c>
      <c r="F296" t="s">
        <v>1748</v>
      </c>
      <c r="H296" s="165" t="str">
        <f>IF(ISBLANK('Q 3'!H65),"",IF('Q 3'!H65="&lt;please select&gt;","",'Q 3'!H65))</f>
        <v>36</v>
      </c>
    </row>
    <row r="297" spans="1:11" x14ac:dyDescent="0.3">
      <c r="A297" t="s">
        <v>1811</v>
      </c>
      <c r="B297" t="s">
        <v>1812</v>
      </c>
      <c r="C297">
        <v>3</v>
      </c>
      <c r="D297" t="s">
        <v>1447</v>
      </c>
      <c r="E297" t="s">
        <v>1814</v>
      </c>
      <c r="F297" t="s">
        <v>1748</v>
      </c>
      <c r="H297" s="165" t="str">
        <f>IF(ISBLANK('Q 3'!H66),"",IF('Q 3'!H66="&lt;please select&gt;","",'Q 3'!H66))</f>
        <v>37</v>
      </c>
    </row>
    <row r="298" spans="1:11" x14ac:dyDescent="0.3">
      <c r="A298" t="s">
        <v>1811</v>
      </c>
      <c r="B298" t="s">
        <v>1812</v>
      </c>
      <c r="C298">
        <v>1</v>
      </c>
      <c r="D298" t="s">
        <v>1447</v>
      </c>
      <c r="E298" t="s">
        <v>1815</v>
      </c>
      <c r="F298" t="s">
        <v>1748</v>
      </c>
      <c r="H298" s="165" t="str">
        <f>IF(ISBLANK('Q 3'!I64),"",IF('Q 3'!I64="&lt;please select&gt;","",'Q 3'!I64))</f>
        <v>39</v>
      </c>
    </row>
    <row r="299" spans="1:11" x14ac:dyDescent="0.3">
      <c r="A299" t="s">
        <v>1811</v>
      </c>
      <c r="B299" t="s">
        <v>1812</v>
      </c>
      <c r="C299">
        <v>2</v>
      </c>
      <c r="D299" t="s">
        <v>1447</v>
      </c>
      <c r="E299" t="s">
        <v>1815</v>
      </c>
      <c r="F299" t="s">
        <v>1748</v>
      </c>
      <c r="H299" s="165" t="str">
        <f>IF(ISBLANK('Q 3'!I65),"",IF('Q 3'!I65="&lt;please select&gt;","",'Q 3'!I65))</f>
        <v>44</v>
      </c>
    </row>
    <row r="300" spans="1:11" x14ac:dyDescent="0.3">
      <c r="A300" t="s">
        <v>1811</v>
      </c>
      <c r="B300" t="s">
        <v>1812</v>
      </c>
      <c r="C300">
        <v>3</v>
      </c>
      <c r="D300" t="s">
        <v>1447</v>
      </c>
      <c r="E300" t="s">
        <v>1815</v>
      </c>
      <c r="F300" t="s">
        <v>1748</v>
      </c>
      <c r="H300" s="165" t="str">
        <f>IF(ISBLANK('Q 3'!I66),"",IF('Q 3'!I66="&lt;please select&gt;","",'Q 3'!I66))</f>
        <v>83</v>
      </c>
    </row>
    <row r="301" spans="1:11" x14ac:dyDescent="0.3">
      <c r="A301" t="s">
        <v>1816</v>
      </c>
      <c r="B301" t="s">
        <v>1817</v>
      </c>
      <c r="C301">
        <v>1</v>
      </c>
      <c r="D301" t="s">
        <v>1447</v>
      </c>
      <c r="E301" t="s">
        <v>1818</v>
      </c>
      <c r="F301" t="s">
        <v>1737</v>
      </c>
      <c r="K301" t="str">
        <f>IF(ISBLANK('Q 4'!$G8),"",IF('Q 4'!$G8="&lt;please select&gt;","",'Q 4'!$G8))</f>
        <v>Yes</v>
      </c>
    </row>
    <row r="302" spans="1:11" x14ac:dyDescent="0.3">
      <c r="A302" t="s">
        <v>1816</v>
      </c>
      <c r="B302" t="s">
        <v>1817</v>
      </c>
      <c r="C302">
        <v>2</v>
      </c>
      <c r="D302" t="s">
        <v>1447</v>
      </c>
      <c r="E302" t="s">
        <v>1818</v>
      </c>
      <c r="F302" t="s">
        <v>1737</v>
      </c>
      <c r="K302" t="str">
        <f>IF(ISBLANK('Q 4'!$G9),"",IF('Q 4'!$G9="&lt;please select&gt;","",'Q 4'!$G9))</f>
        <v/>
      </c>
    </row>
    <row r="303" spans="1:11" x14ac:dyDescent="0.3">
      <c r="A303" t="s">
        <v>1816</v>
      </c>
      <c r="B303" t="s">
        <v>1817</v>
      </c>
      <c r="C303">
        <v>3</v>
      </c>
      <c r="D303" t="s">
        <v>1447</v>
      </c>
      <c r="E303" t="s">
        <v>1818</v>
      </c>
      <c r="F303" t="s">
        <v>1737</v>
      </c>
      <c r="K303" t="str">
        <f>IF(ISBLANK('Q 4'!$G10),"",IF('Q 4'!$G10="&lt;please select&gt;","",'Q 4'!$G10))</f>
        <v/>
      </c>
    </row>
    <row r="304" spans="1:11" x14ac:dyDescent="0.3">
      <c r="A304" t="s">
        <v>1816</v>
      </c>
      <c r="B304" t="s">
        <v>1817</v>
      </c>
      <c r="C304">
        <v>4</v>
      </c>
      <c r="D304" t="s">
        <v>1447</v>
      </c>
      <c r="E304" t="s">
        <v>1818</v>
      </c>
      <c r="F304" t="s">
        <v>1737</v>
      </c>
      <c r="K304" t="str">
        <f>IF(ISBLANK('Q 4'!$G11),"",IF('Q 4'!$G11="&lt;please select&gt;","",'Q 4'!$G11))</f>
        <v>Yes</v>
      </c>
    </row>
    <row r="305" spans="1:11" x14ac:dyDescent="0.3">
      <c r="A305" t="s">
        <v>1816</v>
      </c>
      <c r="B305" t="s">
        <v>1817</v>
      </c>
      <c r="C305">
        <v>5</v>
      </c>
      <c r="D305" t="s">
        <v>1447</v>
      </c>
      <c r="E305" t="s">
        <v>1818</v>
      </c>
      <c r="F305" t="s">
        <v>1737</v>
      </c>
      <c r="K305" t="str">
        <f>IF(ISBLANK('Q 4'!$G12),"",IF('Q 4'!$G12="&lt;please select&gt;","",'Q 4'!$G12))</f>
        <v>Yes</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
      </c>
    </row>
    <row r="308" spans="1:11" x14ac:dyDescent="0.3">
      <c r="A308" t="s">
        <v>1816</v>
      </c>
      <c r="B308" t="s">
        <v>1817</v>
      </c>
      <c r="C308">
        <v>8</v>
      </c>
      <c r="D308" t="s">
        <v>1447</v>
      </c>
      <c r="E308" t="s">
        <v>1818</v>
      </c>
      <c r="F308" t="s">
        <v>1737</v>
      </c>
      <c r="K308" t="str">
        <f>IF(ISBLANK('Q 4'!$G15),"",IF('Q 4'!$G15="&lt;please select&gt;","",'Q 4'!$G15))</f>
        <v>No</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IED and ETS legislation do not contain provisions for withdrawing permits but the operation of the installation may be suspended in case of infringment.</v>
      </c>
    </row>
    <row r="318" spans="1:11" x14ac:dyDescent="0.3">
      <c r="A318" t="s">
        <v>1820</v>
      </c>
      <c r="B318" t="s">
        <v>1821</v>
      </c>
      <c r="C318">
        <v>2</v>
      </c>
      <c r="D318" t="s">
        <v>1447</v>
      </c>
      <c r="E318" t="s">
        <v>1822</v>
      </c>
      <c r="F318" t="s">
        <v>1741</v>
      </c>
      <c r="G318" t="str">
        <f>IF(ISBLANK('Q 4'!G20),"",IF('Q 4'!G20="&lt;please select&gt;","",'Q 4'!G20))</f>
        <v>There is no case of expiration of a permit in the French legislation</v>
      </c>
    </row>
    <row r="319" spans="1:11" x14ac:dyDescent="0.3">
      <c r="A319" t="s">
        <v>1820</v>
      </c>
      <c r="B319" t="s">
        <v>1821</v>
      </c>
      <c r="C319">
        <v>3</v>
      </c>
      <c r="D319" t="s">
        <v>1447</v>
      </c>
      <c r="E319" t="s">
        <v>1822</v>
      </c>
      <c r="F319" t="s">
        <v>1741</v>
      </c>
      <c r="G319" t="str">
        <f>IF(ISBLANK('Q 4'!G21),"",IF('Q 4'!G21="&lt;please select&gt;","",'Q 4'!G21))</f>
        <v>When there is a physical change and the change is significant</v>
      </c>
    </row>
    <row r="320" spans="1:11" x14ac:dyDescent="0.3">
      <c r="A320" t="s">
        <v>1820</v>
      </c>
      <c r="B320" t="s">
        <v>1821</v>
      </c>
      <c r="C320">
        <v>4</v>
      </c>
      <c r="D320" t="s">
        <v>1447</v>
      </c>
      <c r="E320" t="s">
        <v>1822</v>
      </c>
      <c r="F320" t="s">
        <v>1741</v>
      </c>
      <c r="G320" t="str">
        <f>IF(ISBLANK('Q 4'!G22),"",IF('Q 4'!G22="&lt;please select&gt;","",'Q 4'!G22))</f>
        <v>When there is a physical change and the change is significant</v>
      </c>
    </row>
    <row r="321" spans="1:11" x14ac:dyDescent="0.3">
      <c r="A321" t="s">
        <v>1820</v>
      </c>
      <c r="B321" t="s">
        <v>1821</v>
      </c>
      <c r="C321">
        <v>5</v>
      </c>
      <c r="D321" t="s">
        <v>1447</v>
      </c>
      <c r="E321" t="s">
        <v>1822</v>
      </c>
      <c r="F321" t="s">
        <v>1741</v>
      </c>
      <c r="G321" t="str">
        <f>IF(ISBLANK('Q 4'!G23),"",IF('Q 4'!G23="&lt;please select&gt;","",'Q 4'!G23))</f>
        <v>A permit is never changed due to a change of monitoring plans</v>
      </c>
    </row>
    <row r="322" spans="1:11" x14ac:dyDescent="0.3">
      <c r="A322" t="s">
        <v>1820</v>
      </c>
      <c r="B322" t="s">
        <v>1821</v>
      </c>
      <c r="C322">
        <v>6</v>
      </c>
      <c r="D322" t="s">
        <v>1447</v>
      </c>
      <c r="E322" t="s">
        <v>1822</v>
      </c>
      <c r="F322" t="s">
        <v>1741</v>
      </c>
      <c r="G322" t="str">
        <f>IF(ISBLANK('Q 4'!G24),"",IF('Q 4'!G24="&lt;please select&gt;","",'Q 4'!G24))</f>
        <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0</v>
      </c>
    </row>
    <row r="327" spans="1:11" x14ac:dyDescent="0.3">
      <c r="A327" t="s">
        <v>1824</v>
      </c>
      <c r="B327" t="s">
        <v>1825</v>
      </c>
      <c r="C327">
        <v>0</v>
      </c>
      <c r="D327" t="s">
        <v>1447</v>
      </c>
      <c r="E327" t="s">
        <v>1825</v>
      </c>
      <c r="F327" t="s">
        <v>1759</v>
      </c>
      <c r="K327" t="str">
        <f>IF(ISBLANK('Q 5'!$I$6),"",IF('Q 5'!$I$6="&lt;please select&gt;","",'Q 5'!$I$6))</f>
        <v>Yes</v>
      </c>
    </row>
    <row r="328" spans="1:11" x14ac:dyDescent="0.3">
      <c r="A328" t="s">
        <v>1824</v>
      </c>
      <c r="B328" t="s">
        <v>1826</v>
      </c>
      <c r="C328">
        <v>0</v>
      </c>
      <c r="D328" t="s">
        <v>1447</v>
      </c>
      <c r="E328" t="s">
        <v>1826</v>
      </c>
      <c r="F328" t="s">
        <v>1741</v>
      </c>
      <c r="G328" t="str">
        <f>IF(ISBLANK('Q 5'!$C$8),"",IF('Q 5'!$C$8="&lt;please select&gt;","",'Q 5'!$C$8))</f>
        <v>Modalities for approval of monitoring plans / default emission factors at national level / reporting deadlines for emissions / use of the reporting platform</v>
      </c>
    </row>
    <row r="329" spans="1:11" x14ac:dyDescent="0.3">
      <c r="A329" t="s">
        <v>1824</v>
      </c>
      <c r="B329" t="s">
        <v>1827</v>
      </c>
      <c r="C329">
        <v>0</v>
      </c>
      <c r="D329" t="s">
        <v>1447</v>
      </c>
      <c r="E329" t="s">
        <v>1827</v>
      </c>
      <c r="F329" t="s">
        <v>1759</v>
      </c>
      <c r="K329" t="str">
        <f>IF(ISBLANK('Q 5'!$I$10),"",IF('Q 5'!$I$10="&lt;please select&gt;","",'Q 5'!$I$10))</f>
        <v>Yes</v>
      </c>
    </row>
    <row r="330" spans="1:11" x14ac:dyDescent="0.3">
      <c r="A330" t="s">
        <v>1824</v>
      </c>
      <c r="B330" t="s">
        <v>1828</v>
      </c>
      <c r="C330">
        <v>0</v>
      </c>
      <c r="D330" t="s">
        <v>1447</v>
      </c>
      <c r="E330" t="s">
        <v>1828</v>
      </c>
      <c r="F330" t="s">
        <v>1741</v>
      </c>
      <c r="G330" t="str">
        <f>IF(ISBLANK('Q 5'!$C$12),"",IF('Q 5'!$C$12="&lt;please select&gt;","",'Q 5'!$C$12))</f>
        <v>Assessing monitoring plans and annual emission reports</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Yes</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Yes</v>
      </c>
    </row>
    <row r="336" spans="1:11" x14ac:dyDescent="0.3">
      <c r="A336" t="s">
        <v>1829</v>
      </c>
      <c r="B336" t="s">
        <v>1830</v>
      </c>
      <c r="C336">
        <v>6</v>
      </c>
      <c r="D336" t="s">
        <v>1447</v>
      </c>
      <c r="E336" t="s">
        <v>1831</v>
      </c>
      <c r="F336" t="s">
        <v>1759</v>
      </c>
      <c r="K336" t="str">
        <f>IF(ISBLANK('Q 5'!G21),"",IF('Q 5'!G21="&lt;please select&gt;","",'Q 5'!G21))</f>
        <v>Yes</v>
      </c>
    </row>
    <row r="337" spans="1:11" x14ac:dyDescent="0.3">
      <c r="A337" t="s">
        <v>1829</v>
      </c>
      <c r="B337" t="s">
        <v>1830</v>
      </c>
      <c r="C337">
        <v>7</v>
      </c>
      <c r="D337" t="s">
        <v>1447</v>
      </c>
      <c r="E337" t="s">
        <v>1831</v>
      </c>
      <c r="F337" t="s">
        <v>1759</v>
      </c>
      <c r="K337" t="str">
        <f>IF(ISBLANK('Q 5'!G22),"",IF('Q 5'!G22="&lt;please select&gt;","",'Q 5'!G22))</f>
        <v/>
      </c>
    </row>
    <row r="338" spans="1:11" x14ac:dyDescent="0.3">
      <c r="A338" t="s">
        <v>1829</v>
      </c>
      <c r="B338" t="s">
        <v>1830</v>
      </c>
      <c r="C338">
        <v>1</v>
      </c>
      <c r="D338" t="s">
        <v>1447</v>
      </c>
      <c r="E338" t="s">
        <v>1832</v>
      </c>
      <c r="F338" t="s">
        <v>1791</v>
      </c>
      <c r="J338" t="str">
        <f>IF(ISBLANK('Q 5'!H16),"",IF('Q 5'!H16="&lt;please select&gt;","",'Q 5'!H16))</f>
        <v>EU ETS data are used for compiling the GHG inventory, for the major part of ETS sectors (which are estimated in bottom-up in the inventory) except for some sectors (for instance district heating, or food industry) where data come usually from another source (national statistics).</v>
      </c>
    </row>
    <row r="339" spans="1:11" x14ac:dyDescent="0.3">
      <c r="A339" t="s">
        <v>1829</v>
      </c>
      <c r="B339" t="s">
        <v>1830</v>
      </c>
      <c r="C339">
        <v>2</v>
      </c>
      <c r="D339" t="s">
        <v>1447</v>
      </c>
      <c r="E339" t="s">
        <v>1832</v>
      </c>
      <c r="F339" t="s">
        <v>1791</v>
      </c>
      <c r="J339" t="str">
        <f>IF(ISBLANK('Q 5'!H17),"",IF('Q 5'!H17="&lt;please select&gt;","",'Q 5'!H17))</f>
        <v>GHG inventory compilers compare EU ETS emission reports and the national energy balance. EU ETS emissions reports can also be used to add special fuels which are not in the national energy balance</v>
      </c>
    </row>
    <row r="340" spans="1:11" x14ac:dyDescent="0.3">
      <c r="A340" t="s">
        <v>1829</v>
      </c>
      <c r="B340" t="s">
        <v>1830</v>
      </c>
      <c r="C340">
        <v>3</v>
      </c>
      <c r="D340" t="s">
        <v>1447</v>
      </c>
      <c r="E340" t="s">
        <v>1832</v>
      </c>
      <c r="F340" t="s">
        <v>1791</v>
      </c>
      <c r="J340" t="str">
        <f>IF(ISBLANK('Q 5'!H18),"",IF('Q 5'!H18="&lt;please select&gt;","",'Q 5'!H18))</f>
        <v xml:space="preserve">On the French reporting platform, automatic checks were implemented that compare some E-PRTR and EU ETS data </v>
      </c>
    </row>
    <row r="341" spans="1:11" x14ac:dyDescent="0.3">
      <c r="A341" t="s">
        <v>1829</v>
      </c>
      <c r="B341" t="s">
        <v>1830</v>
      </c>
      <c r="C341">
        <v>4</v>
      </c>
      <c r="D341" t="s">
        <v>1447</v>
      </c>
      <c r="E341" t="s">
        <v>1832</v>
      </c>
      <c r="F341" t="s">
        <v>1791</v>
      </c>
      <c r="J341" t="str">
        <f>IF(ISBLANK('Q 5'!H19),"",IF('Q 5'!H19="&lt;please select&gt;","",'Q 5'!H19))</f>
        <v>EU ETS data are used as validation : the data are compared with other data available for GHG inventory preparation (for instance combustion emissions for LCP or MCP Directives).
EU ETS data are used as quality assurance : it enables to check the completeness of emissions from industries, and more generally to check the consistency of the data (for instance, checking that calculation factors are correct in comparison to the IPCC default factors...)</v>
      </c>
    </row>
    <row r="342" spans="1:11" x14ac:dyDescent="0.3">
      <c r="A342" t="s">
        <v>1829</v>
      </c>
      <c r="B342" t="s">
        <v>1830</v>
      </c>
      <c r="C342">
        <v>5</v>
      </c>
      <c r="D342" t="s">
        <v>1447</v>
      </c>
      <c r="E342" t="s">
        <v>1832</v>
      </c>
      <c r="F342" t="s">
        <v>1791</v>
      </c>
      <c r="J342" t="str">
        <f>IF(ISBLANK('Q 5'!H20),"",IF('Q 5'!H20="&lt;please select&gt;","",'Q 5'!H20))</f>
        <v>The same online reporting platform is used by operators to report EU ETS data, but also E-PRTR, LCP/MCP, and IED data</v>
      </c>
    </row>
    <row r="343" spans="1:11" x14ac:dyDescent="0.3">
      <c r="A343" t="s">
        <v>1829</v>
      </c>
      <c r="B343" t="s">
        <v>1830</v>
      </c>
      <c r="C343">
        <v>6</v>
      </c>
      <c r="D343" t="s">
        <v>1447</v>
      </c>
      <c r="E343" t="s">
        <v>1832</v>
      </c>
      <c r="F343" t="s">
        <v>1791</v>
      </c>
      <c r="J343" t="str">
        <f>IF(ISBLANK('Q 5'!H21),"",IF('Q 5'!H21="&lt;please select&gt;","",'Q 5'!H21))</f>
        <v>GHG inventory compilers are linked by contract (as a State Operator) to E-PRTR and EU ETS competent authorities</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In Phase 4, the use of templates developped by the Commission is mandatory (by ministerial order), in Excel format.</v>
      </c>
    </row>
    <row r="363" spans="1:11" x14ac:dyDescent="0.3">
      <c r="A363" t="s">
        <v>1840</v>
      </c>
      <c r="B363" t="s">
        <v>1841</v>
      </c>
      <c r="C363">
        <v>0</v>
      </c>
      <c r="D363" t="s">
        <v>1447</v>
      </c>
      <c r="E363" t="s">
        <v>1841</v>
      </c>
      <c r="F363" t="s">
        <v>1759</v>
      </c>
      <c r="K363" t="str">
        <f>IF(ISBLANK('Q 5'!$I$45),"",IF('Q 5'!$I$45="&lt;please select&gt;","",'Q 5'!$I$45))</f>
        <v>Yes</v>
      </c>
    </row>
    <row r="364" spans="1:11" x14ac:dyDescent="0.3">
      <c r="A364" t="s">
        <v>1840</v>
      </c>
      <c r="B364" t="s">
        <v>1842</v>
      </c>
      <c r="C364">
        <v>0</v>
      </c>
      <c r="D364" t="s">
        <v>1447</v>
      </c>
      <c r="E364" t="s">
        <v>1842</v>
      </c>
      <c r="F364" t="s">
        <v>1741</v>
      </c>
      <c r="G364" t="str">
        <f>IF(ISBLANK('Q 5'!$C$47),"",IF('Q 5'!$C$47="&lt;please select&gt;","",'Q 5'!$C$47))</f>
        <v>We added a specific part on EU ETS in the French reporting tool used already by operators to report their national emissions for other legislations. All requirements in Article 75(1) and (2) are implemented in the French online reporting platform.</v>
      </c>
    </row>
    <row r="365" spans="1:11" x14ac:dyDescent="0.3">
      <c r="A365" t="s">
        <v>1843</v>
      </c>
      <c r="B365" t="s">
        <v>1844</v>
      </c>
      <c r="C365">
        <v>1</v>
      </c>
      <c r="D365" t="s">
        <v>1447</v>
      </c>
      <c r="E365" t="s">
        <v>1845</v>
      </c>
      <c r="F365" t="s">
        <v>1806</v>
      </c>
      <c r="I365" t="str">
        <f>IF(ISBLANK('Q 5'!F53),"",IF('Q 5'!F53="&lt;please select&gt;","",'Q 5'!F53))</f>
        <v>75914.4558396823</v>
      </c>
    </row>
    <row r="366" spans="1:11" x14ac:dyDescent="0.3">
      <c r="A366" t="s">
        <v>1843</v>
      </c>
      <c r="B366" t="s">
        <v>1844</v>
      </c>
      <c r="C366">
        <v>2</v>
      </c>
      <c r="D366" t="s">
        <v>1447</v>
      </c>
      <c r="E366" t="s">
        <v>1845</v>
      </c>
      <c r="F366" t="s">
        <v>1806</v>
      </c>
      <c r="I366" t="str">
        <f>IF(ISBLANK('Q 5'!F54),"",IF('Q 5'!F54="&lt;please select&gt;","",'Q 5'!F54))</f>
        <v>1508.81994414163</v>
      </c>
    </row>
    <row r="367" spans="1:11" x14ac:dyDescent="0.3">
      <c r="A367" t="s">
        <v>1843</v>
      </c>
      <c r="B367" t="s">
        <v>1844</v>
      </c>
      <c r="C367">
        <v>3</v>
      </c>
      <c r="D367" t="s">
        <v>1447</v>
      </c>
      <c r="E367" t="s">
        <v>1845</v>
      </c>
      <c r="F367" t="s">
        <v>1806</v>
      </c>
      <c r="I367" t="str">
        <f>IF(ISBLANK('Q 5'!F55),"",IF('Q 5'!F55="&lt;please select&gt;","",'Q 5'!F55))</f>
        <v>0</v>
      </c>
    </row>
    <row r="368" spans="1:11" x14ac:dyDescent="0.3">
      <c r="A368" t="s">
        <v>1843</v>
      </c>
      <c r="B368" t="s">
        <v>1844</v>
      </c>
      <c r="C368">
        <v>4</v>
      </c>
      <c r="D368" t="s">
        <v>1447</v>
      </c>
      <c r="E368" t="s">
        <v>1845</v>
      </c>
      <c r="F368" t="s">
        <v>1806</v>
      </c>
      <c r="I368" t="str">
        <f>IF(ISBLANK('Q 5'!F56),"",IF('Q 5'!F56="&lt;please select&gt;","",'Q 5'!F56))</f>
        <v>5905.77799939666</v>
      </c>
    </row>
    <row r="369" spans="1:9" x14ac:dyDescent="0.3">
      <c r="A369" t="s">
        <v>1843</v>
      </c>
      <c r="B369" t="s">
        <v>1844</v>
      </c>
      <c r="C369">
        <v>5</v>
      </c>
      <c r="D369" t="s">
        <v>1447</v>
      </c>
      <c r="E369" t="s">
        <v>1845</v>
      </c>
      <c r="F369" t="s">
        <v>1806</v>
      </c>
      <c r="I369" t="str">
        <f>IF(ISBLANK('Q 5'!F57),"",IF('Q 5'!F57="&lt;please select&gt;","",'Q 5'!F57))</f>
        <v>550331.434834017</v>
      </c>
    </row>
    <row r="370" spans="1:9" x14ac:dyDescent="0.3">
      <c r="A370" t="s">
        <v>1843</v>
      </c>
      <c r="B370" t="s">
        <v>1844</v>
      </c>
      <c r="C370">
        <v>6</v>
      </c>
      <c r="D370" t="s">
        <v>1447</v>
      </c>
      <c r="E370" t="s">
        <v>1845</v>
      </c>
      <c r="F370" t="s">
        <v>1806</v>
      </c>
      <c r="I370" t="str">
        <f>IF(ISBLANK('Q 5'!F58),"",IF('Q 5'!F58="&lt;please select&gt;","",'Q 5'!F58))</f>
        <v>1200.8468611</v>
      </c>
    </row>
    <row r="371" spans="1:9" x14ac:dyDescent="0.3">
      <c r="A371" t="s">
        <v>1843</v>
      </c>
      <c r="B371" t="s">
        <v>1844</v>
      </c>
      <c r="C371">
        <v>7</v>
      </c>
      <c r="D371" t="s">
        <v>1447</v>
      </c>
      <c r="E371" t="s">
        <v>1845</v>
      </c>
      <c r="F371" t="s">
        <v>1806</v>
      </c>
      <c r="I371" t="str">
        <f>IF(ISBLANK('Q 5'!F59),"",IF('Q 5'!F59="&lt;please select&gt;","",'Q 5'!F59))</f>
        <v>14684.493015</v>
      </c>
    </row>
    <row r="372" spans="1:9" x14ac:dyDescent="0.3">
      <c r="A372" t="s">
        <v>1843</v>
      </c>
      <c r="B372" t="s">
        <v>1844</v>
      </c>
      <c r="C372">
        <v>8</v>
      </c>
      <c r="D372" t="s">
        <v>1447</v>
      </c>
      <c r="E372" t="s">
        <v>1845</v>
      </c>
      <c r="F372" t="s">
        <v>1806</v>
      </c>
      <c r="I372" t="str">
        <f>IF(ISBLANK('Q 5'!F60),"",IF('Q 5'!F60="&lt;please select&gt;","",'Q 5'!F60))</f>
        <v>94500.2539377691</v>
      </c>
    </row>
    <row r="373" spans="1:9" x14ac:dyDescent="0.3">
      <c r="A373" t="s">
        <v>1843</v>
      </c>
      <c r="B373" t="s">
        <v>1844</v>
      </c>
      <c r="C373">
        <v>9</v>
      </c>
      <c r="D373" t="s">
        <v>1447</v>
      </c>
      <c r="E373" t="s">
        <v>1845</v>
      </c>
      <c r="F373" t="s">
        <v>1806</v>
      </c>
      <c r="I373" t="str">
        <f>IF(ISBLANK('Q 5'!F61),"",IF('Q 5'!F61="&lt;please select&gt;","",'Q 5'!F61))</f>
        <v>33963.5599627077</v>
      </c>
    </row>
    <row r="374" spans="1:9" x14ac:dyDescent="0.3">
      <c r="A374" t="s">
        <v>1843</v>
      </c>
      <c r="B374" t="s">
        <v>1844</v>
      </c>
      <c r="C374">
        <v>10</v>
      </c>
      <c r="D374" t="s">
        <v>1447</v>
      </c>
      <c r="E374" t="s">
        <v>1845</v>
      </c>
      <c r="F374" t="s">
        <v>1806</v>
      </c>
      <c r="I374" t="str">
        <f>IF(ISBLANK('Q 5'!F62),"",IF('Q 5'!F62="&lt;please select&gt;","",'Q 5'!F62))</f>
        <v>1210.49998833365</v>
      </c>
    </row>
    <row r="375" spans="1:9" x14ac:dyDescent="0.3">
      <c r="A375" t="s">
        <v>1843</v>
      </c>
      <c r="B375" t="s">
        <v>1844</v>
      </c>
      <c r="C375">
        <v>11</v>
      </c>
      <c r="D375" t="s">
        <v>1447</v>
      </c>
      <c r="E375" t="s">
        <v>1845</v>
      </c>
      <c r="F375" t="s">
        <v>1806</v>
      </c>
      <c r="I375" t="str">
        <f>IF(ISBLANK('Q 5'!F63),"",IF('Q 5'!F63="&lt;please select&gt;","",'Q 5'!F63))</f>
        <v>17534.86526595</v>
      </c>
    </row>
    <row r="376" spans="1:9" x14ac:dyDescent="0.3">
      <c r="A376" t="s">
        <v>1843</v>
      </c>
      <c r="B376" t="s">
        <v>1844</v>
      </c>
      <c r="C376">
        <v>12</v>
      </c>
      <c r="D376" t="s">
        <v>1447</v>
      </c>
      <c r="E376" t="s">
        <v>1845</v>
      </c>
      <c r="F376" t="s">
        <v>1806</v>
      </c>
      <c r="I376" t="str">
        <f>IF(ISBLANK('Q 5'!F64),"",IF('Q 5'!F64="&lt;please select&gt;","",'Q 5'!F64))</f>
        <v>133560.076882691</v>
      </c>
    </row>
    <row r="377" spans="1:9" x14ac:dyDescent="0.3">
      <c r="A377" t="s">
        <v>1843</v>
      </c>
      <c r="B377" t="s">
        <v>1844</v>
      </c>
      <c r="C377">
        <v>1</v>
      </c>
      <c r="D377" t="s">
        <v>1447</v>
      </c>
      <c r="E377" t="s">
        <v>1848</v>
      </c>
      <c r="F377" t="s">
        <v>1806</v>
      </c>
      <c r="I377" t="str">
        <f>IF(ISBLANK('Q 5'!H53),"",IF('Q 5'!H53="&lt;please select&gt;","",'Q 5'!H53))</f>
        <v>7112009.83819791</v>
      </c>
    </row>
    <row r="378" spans="1:9" x14ac:dyDescent="0.3">
      <c r="A378" t="s">
        <v>1843</v>
      </c>
      <c r="B378" t="s">
        <v>1844</v>
      </c>
      <c r="C378">
        <v>2</v>
      </c>
      <c r="D378" t="s">
        <v>1447</v>
      </c>
      <c r="E378" t="s">
        <v>1848</v>
      </c>
      <c r="F378" t="s">
        <v>1806</v>
      </c>
      <c r="I378" t="str">
        <f>IF(ISBLANK('Q 5'!H54),"",IF('Q 5'!H54="&lt;please select&gt;","",'Q 5'!H54))</f>
        <v>147936.75333096</v>
      </c>
    </row>
    <row r="379" spans="1:9" x14ac:dyDescent="0.3">
      <c r="A379" t="s">
        <v>1843</v>
      </c>
      <c r="B379" t="s">
        <v>1844</v>
      </c>
      <c r="C379">
        <v>3</v>
      </c>
      <c r="D379" t="s">
        <v>1447</v>
      </c>
      <c r="E379" t="s">
        <v>1848</v>
      </c>
      <c r="F379" t="s">
        <v>1806</v>
      </c>
      <c r="I379" t="str">
        <f>IF(ISBLANK('Q 5'!H55),"",IF('Q 5'!H55="&lt;please select&gt;","",'Q 5'!H55))</f>
        <v>0</v>
      </c>
    </row>
    <row r="380" spans="1:9" x14ac:dyDescent="0.3">
      <c r="A380" t="s">
        <v>1843</v>
      </c>
      <c r="B380" t="s">
        <v>1844</v>
      </c>
      <c r="C380">
        <v>4</v>
      </c>
      <c r="D380" t="s">
        <v>1447</v>
      </c>
      <c r="E380" t="s">
        <v>1848</v>
      </c>
      <c r="F380" t="s">
        <v>1806</v>
      </c>
      <c r="I380" t="str">
        <f>IF(ISBLANK('Q 5'!H56),"",IF('Q 5'!H56="&lt;please select&gt;","",'Q 5'!H56))</f>
        <v>581645.6407413</v>
      </c>
    </row>
    <row r="381" spans="1:9" x14ac:dyDescent="0.3">
      <c r="A381" t="s">
        <v>1843</v>
      </c>
      <c r="B381" t="s">
        <v>1844</v>
      </c>
      <c r="C381">
        <v>5</v>
      </c>
      <c r="D381" t="s">
        <v>1447</v>
      </c>
      <c r="E381" t="s">
        <v>1848</v>
      </c>
      <c r="F381" t="s">
        <v>1806</v>
      </c>
      <c r="I381" t="str">
        <f>IF(ISBLANK('Q 5'!H57),"",IF('Q 5'!H57="&lt;please select&gt;","",'Q 5'!H57))</f>
        <v>30851902.0889028</v>
      </c>
    </row>
    <row r="382" spans="1:9" x14ac:dyDescent="0.3">
      <c r="A382" t="s">
        <v>1843</v>
      </c>
      <c r="B382" t="s">
        <v>1844</v>
      </c>
      <c r="C382">
        <v>6</v>
      </c>
      <c r="D382" t="s">
        <v>1447</v>
      </c>
      <c r="E382" t="s">
        <v>1848</v>
      </c>
      <c r="F382" t="s">
        <v>1806</v>
      </c>
      <c r="I382" t="str">
        <f>IF(ISBLANK('Q 5'!H58),"",IF('Q 5'!H58="&lt;please select&gt;","",'Q 5'!H58))</f>
        <v>52141.724811</v>
      </c>
    </row>
    <row r="383" spans="1:9" x14ac:dyDescent="0.3">
      <c r="A383" t="s">
        <v>1843</v>
      </c>
      <c r="B383" t="s">
        <v>1844</v>
      </c>
      <c r="C383">
        <v>7</v>
      </c>
      <c r="D383" t="s">
        <v>1447</v>
      </c>
      <c r="E383" t="s">
        <v>1848</v>
      </c>
      <c r="F383" t="s">
        <v>1806</v>
      </c>
      <c r="I383" t="str">
        <f>IF(ISBLANK('Q 5'!H59),"",IF('Q 5'!H59="&lt;please select&gt;","",'Q 5'!H59))</f>
        <v>3721387.6007</v>
      </c>
    </row>
    <row r="384" spans="1:9" x14ac:dyDescent="0.3">
      <c r="A384" t="s">
        <v>1843</v>
      </c>
      <c r="B384" t="s">
        <v>1844</v>
      </c>
      <c r="C384">
        <v>8</v>
      </c>
      <c r="D384" t="s">
        <v>1447</v>
      </c>
      <c r="E384" t="s">
        <v>1848</v>
      </c>
      <c r="F384" t="s">
        <v>1806</v>
      </c>
      <c r="I384" t="str">
        <f>IF(ISBLANK('Q 5'!H60),"",IF('Q 5'!H60="&lt;please select&gt;","",'Q 5'!H60))</f>
        <v>5139274.65495011</v>
      </c>
    </row>
    <row r="385" spans="1:11" x14ac:dyDescent="0.3">
      <c r="A385" t="s">
        <v>1843</v>
      </c>
      <c r="B385" t="s">
        <v>1844</v>
      </c>
      <c r="C385">
        <v>9</v>
      </c>
      <c r="D385" t="s">
        <v>1447</v>
      </c>
      <c r="E385" t="s">
        <v>1848</v>
      </c>
      <c r="F385" t="s">
        <v>1806</v>
      </c>
      <c r="I385" t="str">
        <f>IF(ISBLANK('Q 5'!H61),"",IF('Q 5'!H61="&lt;please select&gt;","",'Q 5'!H61))</f>
        <v>2600261.45937995</v>
      </c>
    </row>
    <row r="386" spans="1:11" x14ac:dyDescent="0.3">
      <c r="A386" t="s">
        <v>1843</v>
      </c>
      <c r="B386" t="s">
        <v>1844</v>
      </c>
      <c r="C386">
        <v>10</v>
      </c>
      <c r="D386" t="s">
        <v>1447</v>
      </c>
      <c r="E386" t="s">
        <v>1848</v>
      </c>
      <c r="F386" t="s">
        <v>1806</v>
      </c>
      <c r="I386" t="str">
        <f>IF(ISBLANK('Q 5'!H62),"",IF('Q 5'!H62="&lt;please select&gt;","",'Q 5'!H62))</f>
        <v>76387.072835653</v>
      </c>
    </row>
    <row r="387" spans="1:11" x14ac:dyDescent="0.3">
      <c r="A387" t="s">
        <v>1843</v>
      </c>
      <c r="B387" t="s">
        <v>1844</v>
      </c>
      <c r="C387">
        <v>11</v>
      </c>
      <c r="D387" t="s">
        <v>1447</v>
      </c>
      <c r="E387" t="s">
        <v>1848</v>
      </c>
      <c r="F387" t="s">
        <v>1806</v>
      </c>
      <c r="I387" t="str">
        <f>IF(ISBLANK('Q 5'!H63),"",IF('Q 5'!H63="&lt;please select&gt;","",'Q 5'!H63))</f>
        <v>1644529.12112093</v>
      </c>
    </row>
    <row r="388" spans="1:11" x14ac:dyDescent="0.3">
      <c r="A388" t="s">
        <v>1843</v>
      </c>
      <c r="B388" t="s">
        <v>1844</v>
      </c>
      <c r="C388">
        <v>12</v>
      </c>
      <c r="D388" t="s">
        <v>1447</v>
      </c>
      <c r="E388" t="s">
        <v>1848</v>
      </c>
      <c r="F388" t="s">
        <v>1806</v>
      </c>
      <c r="I388" t="str">
        <f>IF(ISBLANK('Q 5'!H64),"",IF('Q 5'!H64="&lt;please select&gt;","",'Q 5'!H64))</f>
        <v>8294172.63315936</v>
      </c>
    </row>
    <row r="389" spans="1:11" x14ac:dyDescent="0.3">
      <c r="A389" t="s">
        <v>1846</v>
      </c>
      <c r="B389" t="s">
        <v>1849</v>
      </c>
      <c r="C389">
        <v>1</v>
      </c>
      <c r="D389" t="s">
        <v>1447</v>
      </c>
      <c r="E389" t="s">
        <v>1850</v>
      </c>
      <c r="F389" t="s">
        <v>1737</v>
      </c>
      <c r="K389" t="str">
        <f>IF(ISBLANK('Q 5'!C69),"",IF('Q 5'!C69="&lt;please select&gt;","",'Q 5'!C69))</f>
        <v>1A1a - Energy - Public Electricity and Heat Production</v>
      </c>
    </row>
    <row r="390" spans="1:11" x14ac:dyDescent="0.3">
      <c r="A390" t="s">
        <v>1846</v>
      </c>
      <c r="B390" t="s">
        <v>1849</v>
      </c>
      <c r="C390">
        <v>2</v>
      </c>
      <c r="D390" t="s">
        <v>1447</v>
      </c>
      <c r="E390" t="s">
        <v>1850</v>
      </c>
      <c r="F390" t="s">
        <v>1737</v>
      </c>
      <c r="K390" t="str">
        <f>IF(ISBLANK('Q 5'!C70),"",IF('Q 5'!C70="&lt;please select&gt;","",'Q 5'!C70))</f>
        <v>1A1b - Energy - Petroleum Refining</v>
      </c>
    </row>
    <row r="391" spans="1:11" x14ac:dyDescent="0.3">
      <c r="A391" t="s">
        <v>1846</v>
      </c>
      <c r="B391" t="s">
        <v>1849</v>
      </c>
      <c r="C391">
        <v>3</v>
      </c>
      <c r="D391" t="s">
        <v>1447</v>
      </c>
      <c r="E391" t="s">
        <v>1850</v>
      </c>
      <c r="F391" t="s">
        <v>1737</v>
      </c>
      <c r="K391" t="str">
        <f>IF(ISBLANK('Q 5'!C71),"",IF('Q 5'!C71="&lt;please select&gt;","",'Q 5'!C71))</f>
        <v>1A2a - Energy - Iron and Steel</v>
      </c>
    </row>
    <row r="392" spans="1:11" x14ac:dyDescent="0.3">
      <c r="A392" t="s">
        <v>1846</v>
      </c>
      <c r="B392" t="s">
        <v>1849</v>
      </c>
      <c r="C392">
        <v>4</v>
      </c>
      <c r="D392" t="s">
        <v>1447</v>
      </c>
      <c r="E392" t="s">
        <v>1850</v>
      </c>
      <c r="F392" t="s">
        <v>1737</v>
      </c>
      <c r="K392" t="str">
        <f>IF(ISBLANK('Q 5'!C72),"",IF('Q 5'!C72="&lt;please select&gt;","",'Q 5'!C72))</f>
        <v>1A2b - Energy - Non-Ferrous Metals</v>
      </c>
    </row>
    <row r="393" spans="1:11" x14ac:dyDescent="0.3">
      <c r="A393" t="s">
        <v>1846</v>
      </c>
      <c r="B393" t="s">
        <v>1849</v>
      </c>
      <c r="C393">
        <v>5</v>
      </c>
      <c r="D393" t="s">
        <v>1447</v>
      </c>
      <c r="E393" t="s">
        <v>1850</v>
      </c>
      <c r="F393" t="s">
        <v>1737</v>
      </c>
      <c r="K393" t="str">
        <f>IF(ISBLANK('Q 5'!C73),"",IF('Q 5'!C73="&lt;please select&gt;","",'Q 5'!C73))</f>
        <v>1A2c - Energy - Chemicals</v>
      </c>
    </row>
    <row r="394" spans="1:11" x14ac:dyDescent="0.3">
      <c r="A394" t="s">
        <v>1846</v>
      </c>
      <c r="B394" t="s">
        <v>1849</v>
      </c>
      <c r="C394">
        <v>6</v>
      </c>
      <c r="D394" t="s">
        <v>1447</v>
      </c>
      <c r="E394" t="s">
        <v>1850</v>
      </c>
      <c r="F394" t="s">
        <v>1737</v>
      </c>
      <c r="K394" t="str">
        <f>IF(ISBLANK('Q 5'!C74),"",IF('Q 5'!C74="&lt;please select&gt;","",'Q 5'!C74))</f>
        <v>1A2d - Energy - Pulp, Paper and Print</v>
      </c>
    </row>
    <row r="395" spans="1:11" x14ac:dyDescent="0.3">
      <c r="A395" t="s">
        <v>1846</v>
      </c>
      <c r="B395" t="s">
        <v>1849</v>
      </c>
      <c r="C395">
        <v>7</v>
      </c>
      <c r="D395" t="s">
        <v>1447</v>
      </c>
      <c r="E395" t="s">
        <v>1850</v>
      </c>
      <c r="F395" t="s">
        <v>1737</v>
      </c>
      <c r="K395" t="str">
        <f>IF(ISBLANK('Q 5'!C75),"",IF('Q 5'!C75="&lt;please select&gt;","",'Q 5'!C75))</f>
        <v>1A2e - Energy - Food Processing, Beverages and Tobacco</v>
      </c>
    </row>
    <row r="396" spans="1:11" x14ac:dyDescent="0.3">
      <c r="A396" t="s">
        <v>1846</v>
      </c>
      <c r="B396" t="s">
        <v>1849</v>
      </c>
      <c r="C396">
        <v>8</v>
      </c>
      <c r="D396" t="s">
        <v>1447</v>
      </c>
      <c r="E396" t="s">
        <v>1850</v>
      </c>
      <c r="F396" t="s">
        <v>1737</v>
      </c>
      <c r="K396" t="str">
        <f>IF(ISBLANK('Q 5'!C76),"",IF('Q 5'!C76="&lt;please select&gt;","",'Q 5'!C76))</f>
        <v>1A2g - Energy - Other Manufacturing Industries and Construction</v>
      </c>
    </row>
    <row r="397" spans="1:11" x14ac:dyDescent="0.3">
      <c r="A397" t="s">
        <v>1846</v>
      </c>
      <c r="B397" t="s">
        <v>1849</v>
      </c>
      <c r="C397">
        <v>9</v>
      </c>
      <c r="D397" t="s">
        <v>1447</v>
      </c>
      <c r="E397" t="s">
        <v>1850</v>
      </c>
      <c r="F397" t="s">
        <v>1737</v>
      </c>
      <c r="K397" t="str">
        <f>IF(ISBLANK('Q 5'!C77),"",IF('Q 5'!C77="&lt;please select&gt;","",'Q 5'!C77))</f>
        <v>1A3e - Energy - Other Transportation (pipeline transport)</v>
      </c>
    </row>
    <row r="398" spans="1:11" x14ac:dyDescent="0.3">
      <c r="A398" t="s">
        <v>1846</v>
      </c>
      <c r="B398" t="s">
        <v>1849</v>
      </c>
      <c r="C398">
        <v>10</v>
      </c>
      <c r="D398" t="s">
        <v>1447</v>
      </c>
      <c r="E398" t="s">
        <v>1850</v>
      </c>
      <c r="F398" t="s">
        <v>1737</v>
      </c>
      <c r="K398" t="str">
        <f>IF(ISBLANK('Q 5'!C78),"",IF('Q 5'!C78="&lt;please select&gt;","",'Q 5'!C78))</f>
        <v>1A4a - Energy - Commercial/Institutional</v>
      </c>
    </row>
    <row r="399" spans="1:11" x14ac:dyDescent="0.3">
      <c r="A399" t="s">
        <v>1846</v>
      </c>
      <c r="B399" t="s">
        <v>1849</v>
      </c>
      <c r="C399">
        <v>11</v>
      </c>
      <c r="D399" t="s">
        <v>1447</v>
      </c>
      <c r="E399" t="s">
        <v>1850</v>
      </c>
      <c r="F399" t="s">
        <v>1737</v>
      </c>
      <c r="K399" t="str">
        <f>IF(ISBLANK('Q 5'!C79),"",IF('Q 5'!C79="&lt;please select&gt;","",'Q 5'!C79))</f>
        <v>1B2a - Energy - Fugitive - Oil</v>
      </c>
    </row>
    <row r="400" spans="1:11" x14ac:dyDescent="0.3">
      <c r="A400" t="s">
        <v>1846</v>
      </c>
      <c r="B400" t="s">
        <v>1849</v>
      </c>
      <c r="C400">
        <v>12</v>
      </c>
      <c r="D400" t="s">
        <v>1447</v>
      </c>
      <c r="E400" t="s">
        <v>1850</v>
      </c>
      <c r="F400" t="s">
        <v>1737</v>
      </c>
      <c r="K400" t="str">
        <f>IF(ISBLANK('Q 5'!C80),"",IF('Q 5'!C80="&lt;please select&gt;","",'Q 5'!C80))</f>
        <v>1B2c - Energy - Fugitive - Venting and Flaring</v>
      </c>
    </row>
    <row r="401" spans="1:11" x14ac:dyDescent="0.3">
      <c r="A401" t="s">
        <v>1846</v>
      </c>
      <c r="B401" t="s">
        <v>1849</v>
      </c>
      <c r="C401">
        <v>13</v>
      </c>
      <c r="D401" t="s">
        <v>1447</v>
      </c>
      <c r="E401" t="s">
        <v>1850</v>
      </c>
      <c r="F401" t="s">
        <v>1737</v>
      </c>
      <c r="K401" t="str">
        <f>IF(ISBLANK('Q 5'!C81),"",IF('Q 5'!C81="&lt;please select&gt;","",'Q 5'!C81))</f>
        <v>1A2f - Energy - Non-metallic minerals</v>
      </c>
    </row>
    <row r="402" spans="1:11" x14ac:dyDescent="0.3">
      <c r="A402" t="s">
        <v>1846</v>
      </c>
      <c r="B402" t="s">
        <v>1849</v>
      </c>
      <c r="C402">
        <v>14</v>
      </c>
      <c r="D402" t="s">
        <v>1447</v>
      </c>
      <c r="E402" t="s">
        <v>1850</v>
      </c>
      <c r="F402" t="s">
        <v>1737</v>
      </c>
      <c r="K402" t="str">
        <f>IF(ISBLANK('Q 5'!C82),"",IF('Q 5'!C82="&lt;please select&gt;","",'Q 5'!C82))</f>
        <v/>
      </c>
    </row>
    <row r="403" spans="1:11" x14ac:dyDescent="0.3">
      <c r="A403" t="s">
        <v>1846</v>
      </c>
      <c r="B403" t="s">
        <v>1849</v>
      </c>
      <c r="C403">
        <v>15</v>
      </c>
      <c r="D403" t="s">
        <v>1447</v>
      </c>
      <c r="E403" t="s">
        <v>1850</v>
      </c>
      <c r="F403" t="s">
        <v>1737</v>
      </c>
      <c r="K403" t="str">
        <f>IF(ISBLANK('Q 5'!C83),"",IF('Q 5'!C83="&lt;please select&gt;","",'Q 5'!C83))</f>
        <v/>
      </c>
    </row>
    <row r="404" spans="1:11" x14ac:dyDescent="0.3">
      <c r="A404" t="s">
        <v>1846</v>
      </c>
      <c r="B404" t="s">
        <v>1849</v>
      </c>
      <c r="C404">
        <v>16</v>
      </c>
      <c r="D404" t="s">
        <v>1447</v>
      </c>
      <c r="E404" t="s">
        <v>1850</v>
      </c>
      <c r="F404" t="s">
        <v>1737</v>
      </c>
      <c r="K404" t="str">
        <f>IF(ISBLANK('Q 5'!C84),"",IF('Q 5'!C84="&lt;please select&gt;","",'Q 5'!C84))</f>
        <v/>
      </c>
    </row>
    <row r="405" spans="1:11" x14ac:dyDescent="0.3">
      <c r="A405" t="s">
        <v>1846</v>
      </c>
      <c r="B405" t="s">
        <v>1849</v>
      </c>
      <c r="C405">
        <v>17</v>
      </c>
      <c r="D405" t="s">
        <v>1447</v>
      </c>
      <c r="E405" t="s">
        <v>1850</v>
      </c>
      <c r="F405" t="s">
        <v>1737</v>
      </c>
      <c r="K405" t="str">
        <f>IF(ISBLANK('Q 5'!C85),"",IF('Q 5'!C85="&lt;please select&gt;","",'Q 5'!C85))</f>
        <v/>
      </c>
    </row>
    <row r="406" spans="1:11" x14ac:dyDescent="0.3">
      <c r="A406" t="s">
        <v>1846</v>
      </c>
      <c r="B406" t="s">
        <v>1849</v>
      </c>
      <c r="C406">
        <v>18</v>
      </c>
      <c r="D406" t="s">
        <v>1447</v>
      </c>
      <c r="E406" t="s">
        <v>1850</v>
      </c>
      <c r="F406" t="s">
        <v>1737</v>
      </c>
      <c r="K406" t="str">
        <f>IF(ISBLANK('Q 5'!C86),"",IF('Q 5'!C86="&lt;please select&gt;","",'Q 5'!C86))</f>
        <v/>
      </c>
    </row>
    <row r="407" spans="1:11" x14ac:dyDescent="0.3">
      <c r="A407" t="s">
        <v>1846</v>
      </c>
      <c r="B407" t="s">
        <v>1849</v>
      </c>
      <c r="C407">
        <v>19</v>
      </c>
      <c r="D407" t="s">
        <v>1447</v>
      </c>
      <c r="E407" t="s">
        <v>1850</v>
      </c>
      <c r="F407" t="s">
        <v>1737</v>
      </c>
      <c r="K407" t="str">
        <f>IF(ISBLANK('Q 5'!C87),"",IF('Q 5'!C87="&lt;please select&gt;","",'Q 5'!C87))</f>
        <v/>
      </c>
    </row>
    <row r="408" spans="1:11" x14ac:dyDescent="0.3">
      <c r="A408" t="s">
        <v>1846</v>
      </c>
      <c r="B408" t="s">
        <v>1849</v>
      </c>
      <c r="C408">
        <v>20</v>
      </c>
      <c r="D408" t="s">
        <v>1447</v>
      </c>
      <c r="E408" t="s">
        <v>1850</v>
      </c>
      <c r="F408" t="s">
        <v>1737</v>
      </c>
      <c r="K408" t="str">
        <f>IF(ISBLANK('Q 5'!C88),"",IF('Q 5'!C88="&lt;please select&gt;","",'Q 5'!C88))</f>
        <v/>
      </c>
    </row>
    <row r="409" spans="1:11" x14ac:dyDescent="0.3">
      <c r="A409" t="s">
        <v>1846</v>
      </c>
      <c r="B409" t="s">
        <v>1849</v>
      </c>
      <c r="C409">
        <v>21</v>
      </c>
      <c r="D409" t="s">
        <v>1447</v>
      </c>
      <c r="E409" t="s">
        <v>1850</v>
      </c>
      <c r="F409" t="s">
        <v>1737</v>
      </c>
      <c r="K409" t="str">
        <f>IF(ISBLANK('Q 5'!C89),"",IF('Q 5'!C89="&lt;please select&gt;","",'Q 5'!C89))</f>
        <v/>
      </c>
    </row>
    <row r="410" spans="1:11" x14ac:dyDescent="0.3">
      <c r="A410" t="s">
        <v>1846</v>
      </c>
      <c r="B410" t="s">
        <v>1849</v>
      </c>
      <c r="C410">
        <v>22</v>
      </c>
      <c r="D410" t="s">
        <v>1447</v>
      </c>
      <c r="E410" t="s">
        <v>1850</v>
      </c>
      <c r="F410" t="s">
        <v>1737</v>
      </c>
      <c r="K410" t="str">
        <f>IF(ISBLANK('Q 5'!C90),"",IF('Q 5'!C90="&lt;please select&gt;","",'Q 5'!C90))</f>
        <v/>
      </c>
    </row>
    <row r="411" spans="1:11" x14ac:dyDescent="0.3">
      <c r="A411" t="s">
        <v>1846</v>
      </c>
      <c r="B411" t="s">
        <v>1849</v>
      </c>
      <c r="C411">
        <v>23</v>
      </c>
      <c r="D411" t="s">
        <v>1447</v>
      </c>
      <c r="E411" t="s">
        <v>1850</v>
      </c>
      <c r="F411" t="s">
        <v>1737</v>
      </c>
      <c r="K411" t="str">
        <f>IF(ISBLANK('Q 5'!C91),"",IF('Q 5'!C91="&lt;please select&gt;","",'Q 5'!C91))</f>
        <v/>
      </c>
    </row>
    <row r="412" spans="1:11" x14ac:dyDescent="0.3">
      <c r="A412" t="s">
        <v>1846</v>
      </c>
      <c r="B412" t="s">
        <v>1849</v>
      </c>
      <c r="C412">
        <v>24</v>
      </c>
      <c r="D412" t="s">
        <v>1447</v>
      </c>
      <c r="E412" t="s">
        <v>1850</v>
      </c>
      <c r="F412" t="s">
        <v>1737</v>
      </c>
      <c r="K412" t="str">
        <f>IF(ISBLANK('Q 5'!C92),"",IF('Q 5'!C92="&lt;please select&gt;","",'Q 5'!C92))</f>
        <v/>
      </c>
    </row>
    <row r="413" spans="1:11" x14ac:dyDescent="0.3">
      <c r="A413" t="s">
        <v>1846</v>
      </c>
      <c r="B413" t="s">
        <v>1849</v>
      </c>
      <c r="C413">
        <v>25</v>
      </c>
      <c r="D413" t="s">
        <v>1447</v>
      </c>
      <c r="E413" t="s">
        <v>1850</v>
      </c>
      <c r="F413" t="s">
        <v>1737</v>
      </c>
      <c r="K413" t="str">
        <f>IF(ISBLANK('Q 5'!C93),"",IF('Q 5'!C93="&lt;please select&gt;","",'Q 5'!C93))</f>
        <v/>
      </c>
    </row>
    <row r="414" spans="1:11" x14ac:dyDescent="0.3">
      <c r="A414" t="s">
        <v>1846</v>
      </c>
      <c r="B414" t="s">
        <v>1849</v>
      </c>
      <c r="C414">
        <v>26</v>
      </c>
      <c r="D414" t="s">
        <v>1447</v>
      </c>
      <c r="E414" t="s">
        <v>1850</v>
      </c>
      <c r="F414" t="s">
        <v>1737</v>
      </c>
      <c r="K414" t="str">
        <f>IF(ISBLANK('Q 5'!C94),"",IF('Q 5'!C94="&lt;please select&gt;","",'Q 5'!C94))</f>
        <v/>
      </c>
    </row>
    <row r="415" spans="1:11" x14ac:dyDescent="0.3">
      <c r="A415" t="s">
        <v>1846</v>
      </c>
      <c r="B415" t="s">
        <v>1849</v>
      </c>
      <c r="C415">
        <v>27</v>
      </c>
      <c r="D415" t="s">
        <v>1447</v>
      </c>
      <c r="E415" t="s">
        <v>1850</v>
      </c>
      <c r="F415" t="s">
        <v>1737</v>
      </c>
      <c r="K415" t="str">
        <f>IF(ISBLANK('Q 5'!C95),"",IF('Q 5'!C95="&lt;please select&gt;","",'Q 5'!C95))</f>
        <v/>
      </c>
    </row>
    <row r="416" spans="1:11" x14ac:dyDescent="0.3">
      <c r="A416" t="s">
        <v>1846</v>
      </c>
      <c r="B416" t="s">
        <v>1849</v>
      </c>
      <c r="C416">
        <v>28</v>
      </c>
      <c r="D416" t="s">
        <v>1447</v>
      </c>
      <c r="E416" t="s">
        <v>1850</v>
      </c>
      <c r="F416" t="s">
        <v>1737</v>
      </c>
      <c r="K416" t="str">
        <f>IF(ISBLANK('Q 5'!C96),"",IF('Q 5'!C96="&lt;please select&gt;","",'Q 5'!C96))</f>
        <v/>
      </c>
    </row>
    <row r="417" spans="1:11" x14ac:dyDescent="0.3">
      <c r="A417" t="s">
        <v>1846</v>
      </c>
      <c r="B417" t="s">
        <v>1849</v>
      </c>
      <c r="C417">
        <v>29</v>
      </c>
      <c r="D417" t="s">
        <v>1447</v>
      </c>
      <c r="E417" t="s">
        <v>1850</v>
      </c>
      <c r="F417" t="s">
        <v>1737</v>
      </c>
      <c r="K417" t="str">
        <f>IF(ISBLANK('Q 5'!C97),"",IF('Q 5'!C97="&lt;please select&gt;","",'Q 5'!C97))</f>
        <v/>
      </c>
    </row>
    <row r="418" spans="1:11" x14ac:dyDescent="0.3">
      <c r="A418" t="s">
        <v>1846</v>
      </c>
      <c r="B418" t="s">
        <v>1849</v>
      </c>
      <c r="C418">
        <v>30</v>
      </c>
      <c r="D418" t="s">
        <v>1447</v>
      </c>
      <c r="E418" t="s">
        <v>1850</v>
      </c>
      <c r="F418" t="s">
        <v>1737</v>
      </c>
      <c r="K418" t="str">
        <f>IF(ISBLANK('Q 5'!C98),"",IF('Q 5'!C98="&lt;please select&gt;","",'Q 5'!C98))</f>
        <v/>
      </c>
    </row>
    <row r="419" spans="1:11" x14ac:dyDescent="0.3">
      <c r="A419" t="s">
        <v>1846</v>
      </c>
      <c r="B419" t="s">
        <v>1849</v>
      </c>
      <c r="C419">
        <v>31</v>
      </c>
      <c r="D419" t="s">
        <v>1447</v>
      </c>
      <c r="E419" t="s">
        <v>1850</v>
      </c>
      <c r="F419" t="s">
        <v>1737</v>
      </c>
      <c r="K419" t="str">
        <f>IF(ISBLANK('Q 5'!C99),"",IF('Q 5'!C99="&lt;please select&gt;","",'Q 5'!C99))</f>
        <v/>
      </c>
    </row>
    <row r="420" spans="1:11" x14ac:dyDescent="0.3">
      <c r="A420" t="s">
        <v>1846</v>
      </c>
      <c r="B420" t="s">
        <v>1849</v>
      </c>
      <c r="C420">
        <v>32</v>
      </c>
      <c r="D420" t="s">
        <v>1447</v>
      </c>
      <c r="E420" t="s">
        <v>1850</v>
      </c>
      <c r="F420" t="s">
        <v>1737</v>
      </c>
      <c r="K420" t="str">
        <f>IF(ISBLANK('Q 5'!C100),"",IF('Q 5'!C100="&lt;please select&gt;","",'Q 5'!C100))</f>
        <v/>
      </c>
    </row>
    <row r="421" spans="1:11" x14ac:dyDescent="0.3">
      <c r="A421" t="s">
        <v>1846</v>
      </c>
      <c r="B421" t="s">
        <v>1849</v>
      </c>
      <c r="C421">
        <v>33</v>
      </c>
      <c r="D421" t="s">
        <v>1447</v>
      </c>
      <c r="E421" t="s">
        <v>1850</v>
      </c>
      <c r="F421" t="s">
        <v>1737</v>
      </c>
      <c r="K421" t="str">
        <f>IF(ISBLANK('Q 5'!C101),"",IF('Q 5'!C101="&lt;please select&gt;","",'Q 5'!C101))</f>
        <v/>
      </c>
    </row>
    <row r="422" spans="1:11" x14ac:dyDescent="0.3">
      <c r="A422" t="s">
        <v>1846</v>
      </c>
      <c r="B422" t="s">
        <v>1849</v>
      </c>
      <c r="C422">
        <v>34</v>
      </c>
      <c r="D422" t="s">
        <v>1447</v>
      </c>
      <c r="E422" t="s">
        <v>1850</v>
      </c>
      <c r="F422" t="s">
        <v>1737</v>
      </c>
      <c r="K422" t="str">
        <f>IF(ISBLANK('Q 5'!C102),"",IF('Q 5'!C102="&lt;please select&gt;","",'Q 5'!C102))</f>
        <v/>
      </c>
    </row>
    <row r="423" spans="1:11" x14ac:dyDescent="0.3">
      <c r="A423" t="s">
        <v>1846</v>
      </c>
      <c r="B423" t="s">
        <v>1849</v>
      </c>
      <c r="C423">
        <v>35</v>
      </c>
      <c r="D423" t="s">
        <v>1447</v>
      </c>
      <c r="E423" t="s">
        <v>1850</v>
      </c>
      <c r="F423" t="s">
        <v>1737</v>
      </c>
      <c r="K423" t="str">
        <f>IF(ISBLANK('Q 5'!C103),"",IF('Q 5'!C103="&lt;please select&gt;","",'Q 5'!C103))</f>
        <v/>
      </c>
    </row>
    <row r="424" spans="1:11" x14ac:dyDescent="0.3">
      <c r="A424" t="s">
        <v>1846</v>
      </c>
      <c r="B424" t="s">
        <v>1849</v>
      </c>
      <c r="C424">
        <v>36</v>
      </c>
      <c r="D424" t="s">
        <v>1447</v>
      </c>
      <c r="E424" t="s">
        <v>1850</v>
      </c>
      <c r="F424" t="s">
        <v>1737</v>
      </c>
      <c r="K424" t="str">
        <f>IF(ISBLANK('Q 5'!C104),"",IF('Q 5'!C104="&lt;please select&gt;","",'Q 5'!C104))</f>
        <v/>
      </c>
    </row>
    <row r="425" spans="1:11" x14ac:dyDescent="0.3">
      <c r="A425" t="s">
        <v>1846</v>
      </c>
      <c r="B425" t="s">
        <v>1849</v>
      </c>
      <c r="C425">
        <v>37</v>
      </c>
      <c r="D425" t="s">
        <v>1447</v>
      </c>
      <c r="E425" t="s">
        <v>1850</v>
      </c>
      <c r="F425" t="s">
        <v>1737</v>
      </c>
      <c r="K425" t="str">
        <f>IF(ISBLANK('Q 5'!C105),"",IF('Q 5'!C105="&lt;please select&gt;","",'Q 5'!C105))</f>
        <v/>
      </c>
    </row>
    <row r="426" spans="1:11" x14ac:dyDescent="0.3">
      <c r="A426" t="s">
        <v>1846</v>
      </c>
      <c r="B426" t="s">
        <v>1849</v>
      </c>
      <c r="C426">
        <v>38</v>
      </c>
      <c r="D426" t="s">
        <v>1447</v>
      </c>
      <c r="E426" t="s">
        <v>1850</v>
      </c>
      <c r="F426" t="s">
        <v>1737</v>
      </c>
      <c r="K426" t="str">
        <f>IF(ISBLANK('Q 5'!C106),"",IF('Q 5'!C106="&lt;please select&gt;","",'Q 5'!C106))</f>
        <v/>
      </c>
    </row>
    <row r="427" spans="1:11" x14ac:dyDescent="0.3">
      <c r="A427" t="s">
        <v>1846</v>
      </c>
      <c r="B427" t="s">
        <v>1849</v>
      </c>
      <c r="C427">
        <v>39</v>
      </c>
      <c r="D427" t="s">
        <v>1447</v>
      </c>
      <c r="E427" t="s">
        <v>1850</v>
      </c>
      <c r="F427" t="s">
        <v>1737</v>
      </c>
      <c r="K427" t="str">
        <f>IF(ISBLANK('Q 5'!C107),"",IF('Q 5'!C107="&lt;please select&gt;","",'Q 5'!C107))</f>
        <v/>
      </c>
    </row>
    <row r="428" spans="1:11" x14ac:dyDescent="0.3">
      <c r="A428" t="s">
        <v>1846</v>
      </c>
      <c r="B428" t="s">
        <v>1849</v>
      </c>
      <c r="C428">
        <v>40</v>
      </c>
      <c r="D428" t="s">
        <v>1447</v>
      </c>
      <c r="E428" t="s">
        <v>1850</v>
      </c>
      <c r="F428" t="s">
        <v>1737</v>
      </c>
      <c r="K428" t="str">
        <f>IF(ISBLANK('Q 5'!C108),"",IF('Q 5'!C108="&lt;please select&gt;","",'Q 5'!C108))</f>
        <v/>
      </c>
    </row>
    <row r="429" spans="1:11" x14ac:dyDescent="0.3">
      <c r="A429" t="s">
        <v>1846</v>
      </c>
      <c r="B429" t="s">
        <v>1849</v>
      </c>
      <c r="C429">
        <v>41</v>
      </c>
      <c r="D429" t="s">
        <v>1447</v>
      </c>
      <c r="E429" t="s">
        <v>1850</v>
      </c>
      <c r="F429" t="s">
        <v>1737</v>
      </c>
      <c r="K429" t="str">
        <f>IF(ISBLANK('Q 5'!C109),"",IF('Q 5'!C109="&lt;please select&gt;","",'Q 5'!C109))</f>
        <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
      </c>
    </row>
    <row r="521" spans="1:11" x14ac:dyDescent="0.3">
      <c r="A521" t="s">
        <v>1846</v>
      </c>
      <c r="B521" t="s">
        <v>1849</v>
      </c>
      <c r="C521">
        <v>3</v>
      </c>
      <c r="D521" t="s">
        <v>1447</v>
      </c>
      <c r="E521" t="s">
        <v>1851</v>
      </c>
      <c r="F521" t="s">
        <v>1737</v>
      </c>
      <c r="K521" t="str">
        <f>IF(ISBLANK('Q 5'!E71),"",IF('Q 5'!E71="&lt;please select&gt;","",'Q 5'!E71))</f>
        <v/>
      </c>
    </row>
    <row r="522" spans="1:11" x14ac:dyDescent="0.3">
      <c r="A522" t="s">
        <v>1846</v>
      </c>
      <c r="B522" t="s">
        <v>1849</v>
      </c>
      <c r="C522">
        <v>4</v>
      </c>
      <c r="D522" t="s">
        <v>1447</v>
      </c>
      <c r="E522" t="s">
        <v>1851</v>
      </c>
      <c r="F522" t="s">
        <v>1737</v>
      </c>
      <c r="K522" t="str">
        <f>IF(ISBLANK('Q 5'!E72),"",IF('Q 5'!E72="&lt;please select&gt;","",'Q 5'!E72))</f>
        <v/>
      </c>
    </row>
    <row r="523" spans="1:11" x14ac:dyDescent="0.3">
      <c r="A523" t="s">
        <v>1846</v>
      </c>
      <c r="B523" t="s">
        <v>1849</v>
      </c>
      <c r="C523">
        <v>5</v>
      </c>
      <c r="D523" t="s">
        <v>1447</v>
      </c>
      <c r="E523" t="s">
        <v>1851</v>
      </c>
      <c r="F523" t="s">
        <v>1737</v>
      </c>
      <c r="K523" t="str">
        <f>IF(ISBLANK('Q 5'!E73),"",IF('Q 5'!E73="&lt;please select&gt;","",'Q 5'!E73))</f>
        <v/>
      </c>
    </row>
    <row r="524" spans="1:11" x14ac:dyDescent="0.3">
      <c r="A524" t="s">
        <v>1846</v>
      </c>
      <c r="B524" t="s">
        <v>1849</v>
      </c>
      <c r="C524">
        <v>6</v>
      </c>
      <c r="D524" t="s">
        <v>1447</v>
      </c>
      <c r="E524" t="s">
        <v>1851</v>
      </c>
      <c r="F524" t="s">
        <v>1737</v>
      </c>
      <c r="K524" t="str">
        <f>IF(ISBLANK('Q 5'!E74),"",IF('Q 5'!E74="&lt;please select&gt;","",'Q 5'!E74))</f>
        <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
      </c>
    </row>
    <row r="527" spans="1:11" x14ac:dyDescent="0.3">
      <c r="A527" t="s">
        <v>1846</v>
      </c>
      <c r="B527" t="s">
        <v>1849</v>
      </c>
      <c r="C527">
        <v>9</v>
      </c>
      <c r="D527" t="s">
        <v>1447</v>
      </c>
      <c r="E527" t="s">
        <v>1851</v>
      </c>
      <c r="F527" t="s">
        <v>1737</v>
      </c>
      <c r="K527" t="str">
        <f>IF(ISBLANK('Q 5'!E77),"",IF('Q 5'!E77="&lt;please select&gt;","",'Q 5'!E77))</f>
        <v/>
      </c>
    </row>
    <row r="528" spans="1:11" x14ac:dyDescent="0.3">
      <c r="A528" t="s">
        <v>1846</v>
      </c>
      <c r="B528" t="s">
        <v>1849</v>
      </c>
      <c r="C528">
        <v>10</v>
      </c>
      <c r="D528" t="s">
        <v>1447</v>
      </c>
      <c r="E528" t="s">
        <v>1851</v>
      </c>
      <c r="F528" t="s">
        <v>1737</v>
      </c>
      <c r="K528" t="str">
        <f>IF(ISBLANK('Q 5'!E78),"",IF('Q 5'!E78="&lt;please select&gt;","",'Q 5'!E78))</f>
        <v/>
      </c>
    </row>
    <row r="529" spans="1:11" x14ac:dyDescent="0.3">
      <c r="A529" t="s">
        <v>1846</v>
      </c>
      <c r="B529" t="s">
        <v>1849</v>
      </c>
      <c r="C529">
        <v>11</v>
      </c>
      <c r="D529" t="s">
        <v>1447</v>
      </c>
      <c r="E529" t="s">
        <v>1851</v>
      </c>
      <c r="F529" t="s">
        <v>1737</v>
      </c>
      <c r="K529" t="str">
        <f>IF(ISBLANK('Q 5'!E79),"",IF('Q 5'!E79="&lt;please select&gt;","",'Q 5'!E79))</f>
        <v/>
      </c>
    </row>
    <row r="530" spans="1:11" x14ac:dyDescent="0.3">
      <c r="A530" t="s">
        <v>1846</v>
      </c>
      <c r="B530" t="s">
        <v>1849</v>
      </c>
      <c r="C530">
        <v>12</v>
      </c>
      <c r="D530" t="s">
        <v>1447</v>
      </c>
      <c r="E530" t="s">
        <v>1851</v>
      </c>
      <c r="F530" t="s">
        <v>1737</v>
      </c>
      <c r="K530" t="str">
        <f>IF(ISBLANK('Q 5'!E80),"",IF('Q 5'!E80="&lt;please select&gt;","",'Q 5'!E80))</f>
        <v/>
      </c>
    </row>
    <row r="531" spans="1:11" x14ac:dyDescent="0.3">
      <c r="A531" t="s">
        <v>1846</v>
      </c>
      <c r="B531" t="s">
        <v>1849</v>
      </c>
      <c r="C531">
        <v>13</v>
      </c>
      <c r="D531" t="s">
        <v>1447</v>
      </c>
      <c r="E531" t="s">
        <v>1851</v>
      </c>
      <c r="F531" t="s">
        <v>1737</v>
      </c>
      <c r="K531" t="str">
        <f>IF(ISBLANK('Q 5'!E81),"",IF('Q 5'!E81="&lt;please select&gt;","",'Q 5'!E81))</f>
        <v/>
      </c>
    </row>
    <row r="532" spans="1:11" x14ac:dyDescent="0.3">
      <c r="A532" t="s">
        <v>1846</v>
      </c>
      <c r="B532" t="s">
        <v>1849</v>
      </c>
      <c r="C532">
        <v>14</v>
      </c>
      <c r="D532" t="s">
        <v>1447</v>
      </c>
      <c r="E532" t="s">
        <v>1851</v>
      </c>
      <c r="F532" t="s">
        <v>1737</v>
      </c>
      <c r="K532" t="str">
        <f>IF(ISBLANK('Q 5'!E82),"",IF('Q 5'!E82="&lt;please select&gt;","",'Q 5'!E82))</f>
        <v>2A1 - Process - Cement Production</v>
      </c>
    </row>
    <row r="533" spans="1:11" x14ac:dyDescent="0.3">
      <c r="A533" t="s">
        <v>1846</v>
      </c>
      <c r="B533" t="s">
        <v>1849</v>
      </c>
      <c r="C533">
        <v>15</v>
      </c>
      <c r="D533" t="s">
        <v>1447</v>
      </c>
      <c r="E533" t="s">
        <v>1851</v>
      </c>
      <c r="F533" t="s">
        <v>1737</v>
      </c>
      <c r="K533" t="str">
        <f>IF(ISBLANK('Q 5'!E83),"",IF('Q 5'!E83="&lt;please select&gt;","",'Q 5'!E83))</f>
        <v>2A2 - Process - Lime Production</v>
      </c>
    </row>
    <row r="534" spans="1:11" x14ac:dyDescent="0.3">
      <c r="A534" t="s">
        <v>1846</v>
      </c>
      <c r="B534" t="s">
        <v>1849</v>
      </c>
      <c r="C534">
        <v>16</v>
      </c>
      <c r="D534" t="s">
        <v>1447</v>
      </c>
      <c r="E534" t="s">
        <v>1851</v>
      </c>
      <c r="F534" t="s">
        <v>1737</v>
      </c>
      <c r="K534" t="str">
        <f>IF(ISBLANK('Q 5'!E84),"",IF('Q 5'!E84="&lt;please select&gt;","",'Q 5'!E84))</f>
        <v>2A3 - Process - Glass production</v>
      </c>
    </row>
    <row r="535" spans="1:11" x14ac:dyDescent="0.3">
      <c r="A535" t="s">
        <v>1846</v>
      </c>
      <c r="B535" t="s">
        <v>1849</v>
      </c>
      <c r="C535">
        <v>17</v>
      </c>
      <c r="D535" t="s">
        <v>1447</v>
      </c>
      <c r="E535" t="s">
        <v>1851</v>
      </c>
      <c r="F535" t="s">
        <v>1737</v>
      </c>
      <c r="K535" t="str">
        <f>IF(ISBLANK('Q 5'!E85),"",IF('Q 5'!E85="&lt;please select&gt;","",'Q 5'!E85))</f>
        <v>2A4 - Process - Other Process Uses of Carbonates</v>
      </c>
    </row>
    <row r="536" spans="1:11" x14ac:dyDescent="0.3">
      <c r="A536" t="s">
        <v>1846</v>
      </c>
      <c r="B536" t="s">
        <v>1849</v>
      </c>
      <c r="C536">
        <v>18</v>
      </c>
      <c r="D536" t="s">
        <v>1447</v>
      </c>
      <c r="E536" t="s">
        <v>1851</v>
      </c>
      <c r="F536" t="s">
        <v>1737</v>
      </c>
      <c r="K536" t="str">
        <f>IF(ISBLANK('Q 5'!E86),"",IF('Q 5'!E86="&lt;please select&gt;","",'Q 5'!E86))</f>
        <v>2B1 - Process - Ammonia Production</v>
      </c>
    </row>
    <row r="537" spans="1:11" x14ac:dyDescent="0.3">
      <c r="A537" t="s">
        <v>1846</v>
      </c>
      <c r="B537" t="s">
        <v>1849</v>
      </c>
      <c r="C537">
        <v>19</v>
      </c>
      <c r="D537" t="s">
        <v>1447</v>
      </c>
      <c r="E537" t="s">
        <v>1851</v>
      </c>
      <c r="F537" t="s">
        <v>1737</v>
      </c>
      <c r="K537" t="str">
        <f>IF(ISBLANK('Q 5'!E87),"",IF('Q 5'!E87="&lt;please select&gt;","",'Q 5'!E87))</f>
        <v xml:space="preserve">2B2 - Process - Nitric Acid Production </v>
      </c>
    </row>
    <row r="538" spans="1:11" x14ac:dyDescent="0.3">
      <c r="A538" t="s">
        <v>1846</v>
      </c>
      <c r="B538" t="s">
        <v>1849</v>
      </c>
      <c r="C538">
        <v>20</v>
      </c>
      <c r="D538" t="s">
        <v>1447</v>
      </c>
      <c r="E538" t="s">
        <v>1851</v>
      </c>
      <c r="F538" t="s">
        <v>1737</v>
      </c>
      <c r="K538" t="str">
        <f>IF(ISBLANK('Q 5'!E88),"",IF('Q 5'!E88="&lt;please select&gt;","",'Q 5'!E88))</f>
        <v>2B3 - Process - Adipic Acid Production</v>
      </c>
    </row>
    <row r="539" spans="1:11" x14ac:dyDescent="0.3">
      <c r="A539" t="s">
        <v>1846</v>
      </c>
      <c r="B539" t="s">
        <v>1849</v>
      </c>
      <c r="C539">
        <v>21</v>
      </c>
      <c r="D539" t="s">
        <v>1447</v>
      </c>
      <c r="E539" t="s">
        <v>1851</v>
      </c>
      <c r="F539" t="s">
        <v>1737</v>
      </c>
      <c r="K539" t="str">
        <f>IF(ISBLANK('Q 5'!E89),"",IF('Q 5'!E89="&lt;please select&gt;","",'Q 5'!E89))</f>
        <v xml:space="preserve">2B4 - Process - Caprolactam, Glyoxal and Glyoxylic Acid Production </v>
      </c>
    </row>
    <row r="540" spans="1:11" x14ac:dyDescent="0.3">
      <c r="A540" t="s">
        <v>1846</v>
      </c>
      <c r="B540" t="s">
        <v>1849</v>
      </c>
      <c r="C540">
        <v>22</v>
      </c>
      <c r="D540" t="s">
        <v>1447</v>
      </c>
      <c r="E540" t="s">
        <v>1851</v>
      </c>
      <c r="F540" t="s">
        <v>1737</v>
      </c>
      <c r="K540" t="str">
        <f>IF(ISBLANK('Q 5'!E90),"",IF('Q 5'!E90="&lt;please select&gt;","",'Q 5'!E90))</f>
        <v xml:space="preserve">2B5 - Process - Carbide Production </v>
      </c>
    </row>
    <row r="541" spans="1:11" x14ac:dyDescent="0.3">
      <c r="A541" t="s">
        <v>1846</v>
      </c>
      <c r="B541" t="s">
        <v>1849</v>
      </c>
      <c r="C541">
        <v>23</v>
      </c>
      <c r="D541" t="s">
        <v>1447</v>
      </c>
      <c r="E541" t="s">
        <v>1851</v>
      </c>
      <c r="F541" t="s">
        <v>1737</v>
      </c>
      <c r="K541" t="str">
        <f>IF(ISBLANK('Q 5'!E91),"",IF('Q 5'!E91="&lt;please select&gt;","",'Q 5'!E91))</f>
        <v>2B6 - Process - Titanium Dioxide Production</v>
      </c>
    </row>
    <row r="542" spans="1:11" x14ac:dyDescent="0.3">
      <c r="A542" t="s">
        <v>1846</v>
      </c>
      <c r="B542" t="s">
        <v>1849</v>
      </c>
      <c r="C542">
        <v>24</v>
      </c>
      <c r="D542" t="s">
        <v>1447</v>
      </c>
      <c r="E542" t="s">
        <v>1851</v>
      </c>
      <c r="F542" t="s">
        <v>1737</v>
      </c>
      <c r="K542" t="str">
        <f>IF(ISBLANK('Q 5'!E92),"",IF('Q 5'!E92="&lt;please select&gt;","",'Q 5'!E92))</f>
        <v xml:space="preserve">2B7 - Process - Soda Ash Production </v>
      </c>
    </row>
    <row r="543" spans="1:11" x14ac:dyDescent="0.3">
      <c r="A543" t="s">
        <v>1846</v>
      </c>
      <c r="B543" t="s">
        <v>1849</v>
      </c>
      <c r="C543">
        <v>25</v>
      </c>
      <c r="D543" t="s">
        <v>1447</v>
      </c>
      <c r="E543" t="s">
        <v>1851</v>
      </c>
      <c r="F543" t="s">
        <v>1737</v>
      </c>
      <c r="K543" t="str">
        <f>IF(ISBLANK('Q 5'!E93),"",IF('Q 5'!E93="&lt;please select&gt;","",'Q 5'!E93))</f>
        <v>2B8 - Process - Petrochemical and Carbon Black Production</v>
      </c>
    </row>
    <row r="544" spans="1:11" x14ac:dyDescent="0.3">
      <c r="A544" t="s">
        <v>1846</v>
      </c>
      <c r="B544" t="s">
        <v>1849</v>
      </c>
      <c r="C544">
        <v>26</v>
      </c>
      <c r="D544" t="s">
        <v>1447</v>
      </c>
      <c r="E544" t="s">
        <v>1851</v>
      </c>
      <c r="F544" t="s">
        <v>1737</v>
      </c>
      <c r="K544" t="str">
        <f>IF(ISBLANK('Q 5'!E94),"",IF('Q 5'!E94="&lt;please select&gt;","",'Q 5'!E94))</f>
        <v>2B10 - Process - Other Chemical Industry</v>
      </c>
    </row>
    <row r="545" spans="1:11" x14ac:dyDescent="0.3">
      <c r="A545" t="s">
        <v>1846</v>
      </c>
      <c r="B545" t="s">
        <v>1849</v>
      </c>
      <c r="C545">
        <v>27</v>
      </c>
      <c r="D545" t="s">
        <v>1447</v>
      </c>
      <c r="E545" t="s">
        <v>1851</v>
      </c>
      <c r="F545" t="s">
        <v>1737</v>
      </c>
      <c r="K545" t="str">
        <f>IF(ISBLANK('Q 5'!E95),"",IF('Q 5'!E95="&lt;please select&gt;","",'Q 5'!E95))</f>
        <v>2C1 - Process - Iron and Steel Production</v>
      </c>
    </row>
    <row r="546" spans="1:11" x14ac:dyDescent="0.3">
      <c r="A546" t="s">
        <v>1846</v>
      </c>
      <c r="B546" t="s">
        <v>1849</v>
      </c>
      <c r="C546">
        <v>28</v>
      </c>
      <c r="D546" t="s">
        <v>1447</v>
      </c>
      <c r="E546" t="s">
        <v>1851</v>
      </c>
      <c r="F546" t="s">
        <v>1737</v>
      </c>
      <c r="K546" t="str">
        <f>IF(ISBLANK('Q 5'!E96),"",IF('Q 5'!E96="&lt;please select&gt;","",'Q 5'!E96))</f>
        <v>2C2 - Process - Ferroalloys Production</v>
      </c>
    </row>
    <row r="547" spans="1:11" x14ac:dyDescent="0.3">
      <c r="A547" t="s">
        <v>1846</v>
      </c>
      <c r="B547" t="s">
        <v>1849</v>
      </c>
      <c r="C547">
        <v>29</v>
      </c>
      <c r="D547" t="s">
        <v>1447</v>
      </c>
      <c r="E547" t="s">
        <v>1851</v>
      </c>
      <c r="F547" t="s">
        <v>1737</v>
      </c>
      <c r="K547" t="str">
        <f>IF(ISBLANK('Q 5'!E97),"",IF('Q 5'!E97="&lt;please select&gt;","",'Q 5'!E97))</f>
        <v>2C3 - Process - Aluminium Production</v>
      </c>
    </row>
    <row r="548" spans="1:11" x14ac:dyDescent="0.3">
      <c r="A548" t="s">
        <v>1846</v>
      </c>
      <c r="B548" t="s">
        <v>1849</v>
      </c>
      <c r="C548">
        <v>30</v>
      </c>
      <c r="D548" t="s">
        <v>1447</v>
      </c>
      <c r="E548" t="s">
        <v>1851</v>
      </c>
      <c r="F548" t="s">
        <v>1737</v>
      </c>
      <c r="K548" t="str">
        <f>IF(ISBLANK('Q 5'!E98),"",IF('Q 5'!E98="&lt;please select&gt;","",'Q 5'!E98))</f>
        <v xml:space="preserve">2C6 - Process - Zinc Production </v>
      </c>
    </row>
    <row r="549" spans="1:11" x14ac:dyDescent="0.3">
      <c r="A549" t="s">
        <v>1846</v>
      </c>
      <c r="B549" t="s">
        <v>1849</v>
      </c>
      <c r="C549">
        <v>31</v>
      </c>
      <c r="D549" t="s">
        <v>1447</v>
      </c>
      <c r="E549" t="s">
        <v>1851</v>
      </c>
      <c r="F549" t="s">
        <v>1737</v>
      </c>
      <c r="K549" t="str">
        <f>IF(ISBLANK('Q 5'!E99),"",IF('Q 5'!E99="&lt;please select&gt;","",'Q 5'!E99))</f>
        <v>2C7 - Process - Other Metal Industry</v>
      </c>
    </row>
    <row r="550" spans="1:11" x14ac:dyDescent="0.3">
      <c r="A550" t="s">
        <v>1846</v>
      </c>
      <c r="B550" t="s">
        <v>1849</v>
      </c>
      <c r="C550">
        <v>32</v>
      </c>
      <c r="D550" t="s">
        <v>1447</v>
      </c>
      <c r="E550" t="s">
        <v>1851</v>
      </c>
      <c r="F550" t="s">
        <v>1737</v>
      </c>
      <c r="K550" t="str">
        <f>IF(ISBLANK('Q 5'!E100),"",IF('Q 5'!E100="&lt;please select&gt;","",'Q 5'!E100))</f>
        <v>2G - Process - Other Product Manufacture and Use</v>
      </c>
    </row>
    <row r="551" spans="1:11" x14ac:dyDescent="0.3">
      <c r="A551" t="s">
        <v>1846</v>
      </c>
      <c r="B551" t="s">
        <v>1849</v>
      </c>
      <c r="C551">
        <v>33</v>
      </c>
      <c r="D551" t="s">
        <v>1447</v>
      </c>
      <c r="E551" t="s">
        <v>1851</v>
      </c>
      <c r="F551" t="s">
        <v>1737</v>
      </c>
      <c r="K551" t="str">
        <f>IF(ISBLANK('Q 5'!E101),"",IF('Q 5'!E101="&lt;please select&gt;","",'Q 5'!E101))</f>
        <v>2H - Process - Other Industrial Process and Product Use</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
      </c>
    </row>
    <row r="556" spans="1:11" x14ac:dyDescent="0.3">
      <c r="A556" t="s">
        <v>1846</v>
      </c>
      <c r="B556" t="s">
        <v>1849</v>
      </c>
      <c r="C556">
        <v>38</v>
      </c>
      <c r="D556" t="s">
        <v>1447</v>
      </c>
      <c r="E556" t="s">
        <v>1851</v>
      </c>
      <c r="F556" t="s">
        <v>1737</v>
      </c>
      <c r="K556" t="str">
        <f>IF(ISBLANK('Q 5'!E106),"",IF('Q 5'!E106="&lt;please select&gt;","",'Q 5'!E106))</f>
        <v/>
      </c>
    </row>
    <row r="557" spans="1:11" x14ac:dyDescent="0.3">
      <c r="A557" t="s">
        <v>1846</v>
      </c>
      <c r="B557" t="s">
        <v>1849</v>
      </c>
      <c r="C557">
        <v>39</v>
      </c>
      <c r="D557" t="s">
        <v>1447</v>
      </c>
      <c r="E557" t="s">
        <v>1851</v>
      </c>
      <c r="F557" t="s">
        <v>1737</v>
      </c>
      <c r="K557" t="str">
        <f>IF(ISBLANK('Q 5'!E107),"",IF('Q 5'!E107="&lt;please select&gt;","",'Q 5'!E107))</f>
        <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
      </c>
    </row>
    <row r="560" spans="1:11" x14ac:dyDescent="0.3">
      <c r="A560" t="s">
        <v>1846</v>
      </c>
      <c r="B560" t="s">
        <v>1849</v>
      </c>
      <c r="C560">
        <v>42</v>
      </c>
      <c r="D560" t="s">
        <v>1447</v>
      </c>
      <c r="E560" t="s">
        <v>1851</v>
      </c>
      <c r="F560" t="s">
        <v>1737</v>
      </c>
      <c r="K560" t="str">
        <f>IF(ISBLANK('Q 5'!E110),"",IF('Q 5'!E110="&lt;please select&gt;","",'Q 5'!E110))</f>
        <v/>
      </c>
    </row>
    <row r="561" spans="1:11" x14ac:dyDescent="0.3">
      <c r="A561" t="s">
        <v>1846</v>
      </c>
      <c r="B561" t="s">
        <v>1849</v>
      </c>
      <c r="C561">
        <v>43</v>
      </c>
      <c r="D561" t="s">
        <v>1447</v>
      </c>
      <c r="E561" t="s">
        <v>1851</v>
      </c>
      <c r="F561" t="s">
        <v>1737</v>
      </c>
      <c r="K561" t="str">
        <f>IF(ISBLANK('Q 5'!E111),"",IF('Q 5'!E111="&lt;please select&gt;","",'Q 5'!E111))</f>
        <v/>
      </c>
    </row>
    <row r="562" spans="1:11" x14ac:dyDescent="0.3">
      <c r="A562" t="s">
        <v>1846</v>
      </c>
      <c r="B562" t="s">
        <v>1849</v>
      </c>
      <c r="C562">
        <v>44</v>
      </c>
      <c r="D562" t="s">
        <v>1447</v>
      </c>
      <c r="E562" t="s">
        <v>1851</v>
      </c>
      <c r="F562" t="s">
        <v>1737</v>
      </c>
      <c r="K562" t="str">
        <f>IF(ISBLANK('Q 5'!E112),"",IF('Q 5'!E112="&lt;please select&gt;","",'Q 5'!E112))</f>
        <v/>
      </c>
    </row>
    <row r="563" spans="1:11" x14ac:dyDescent="0.3">
      <c r="A563" t="s">
        <v>1846</v>
      </c>
      <c r="B563" t="s">
        <v>1849</v>
      </c>
      <c r="C563">
        <v>45</v>
      </c>
      <c r="D563" t="s">
        <v>1447</v>
      </c>
      <c r="E563" t="s">
        <v>1851</v>
      </c>
      <c r="F563" t="s">
        <v>1737</v>
      </c>
      <c r="K563" t="str">
        <f>IF(ISBLANK('Q 5'!E113),"",IF('Q 5'!E113="&lt;please select&gt;","",'Q 5'!E113))</f>
        <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23342682.6022882</v>
      </c>
    </row>
    <row r="650" spans="1:11" x14ac:dyDescent="0.3">
      <c r="A650" t="s">
        <v>1846</v>
      </c>
      <c r="B650" t="s">
        <v>1849</v>
      </c>
      <c r="C650">
        <v>2</v>
      </c>
      <c r="D650" t="s">
        <v>1447</v>
      </c>
      <c r="E650" t="s">
        <v>1852</v>
      </c>
      <c r="F650" t="s">
        <v>1806</v>
      </c>
      <c r="I650" t="str">
        <f>IF(ISBLANK('Q 5'!G70),"",IF('Q 5'!G70="&lt;please select&gt;","",'Q 5'!G70))</f>
        <v>5469480.40454253</v>
      </c>
    </row>
    <row r="651" spans="1:11" x14ac:dyDescent="0.3">
      <c r="A651" t="s">
        <v>1846</v>
      </c>
      <c r="B651" t="s">
        <v>1849</v>
      </c>
      <c r="C651">
        <v>3</v>
      </c>
      <c r="D651" t="s">
        <v>1447</v>
      </c>
      <c r="E651" t="s">
        <v>1852</v>
      </c>
      <c r="F651" t="s">
        <v>1806</v>
      </c>
      <c r="I651" t="str">
        <f>IF(ISBLANK('Q 5'!G71),"",IF('Q 5'!G71="&lt;please select&gt;","",'Q 5'!G71))</f>
        <v>197702.560088931</v>
      </c>
    </row>
    <row r="652" spans="1:11" x14ac:dyDescent="0.3">
      <c r="A652" t="s">
        <v>1846</v>
      </c>
      <c r="B652" t="s">
        <v>1849</v>
      </c>
      <c r="C652">
        <v>4</v>
      </c>
      <c r="D652" t="s">
        <v>1447</v>
      </c>
      <c r="E652" t="s">
        <v>1852</v>
      </c>
      <c r="F652" t="s">
        <v>1806</v>
      </c>
      <c r="I652" t="str">
        <f>IF(ISBLANK('Q 5'!G72),"",IF('Q 5'!G72="&lt;please select&gt;","",'Q 5'!G72))</f>
        <v>445534.531318727</v>
      </c>
    </row>
    <row r="653" spans="1:11" x14ac:dyDescent="0.3">
      <c r="A653" t="s">
        <v>1846</v>
      </c>
      <c r="B653" t="s">
        <v>1849</v>
      </c>
      <c r="C653">
        <v>5</v>
      </c>
      <c r="D653" t="s">
        <v>1447</v>
      </c>
      <c r="E653" t="s">
        <v>1852</v>
      </c>
      <c r="F653" t="s">
        <v>1806</v>
      </c>
      <c r="I653" t="str">
        <f>IF(ISBLANK('Q 5'!G73),"",IF('Q 5'!G73="&lt;please select&gt;","",'Q 5'!G73))</f>
        <v>8022976.17532282</v>
      </c>
    </row>
    <row r="654" spans="1:11" x14ac:dyDescent="0.3">
      <c r="A654" t="s">
        <v>1846</v>
      </c>
      <c r="B654" t="s">
        <v>1849</v>
      </c>
      <c r="C654">
        <v>6</v>
      </c>
      <c r="D654" t="s">
        <v>1447</v>
      </c>
      <c r="E654" t="s">
        <v>1852</v>
      </c>
      <c r="F654" t="s">
        <v>1806</v>
      </c>
      <c r="I654" t="str">
        <f>IF(ISBLANK('Q 5'!G74),"",IF('Q 5'!G74="&lt;please select&gt;","",'Q 5'!G74))</f>
        <v>1807161.28948719</v>
      </c>
    </row>
    <row r="655" spans="1:11" x14ac:dyDescent="0.3">
      <c r="A655" t="s">
        <v>1846</v>
      </c>
      <c r="B655" t="s">
        <v>1849</v>
      </c>
      <c r="C655">
        <v>7</v>
      </c>
      <c r="D655" t="s">
        <v>1447</v>
      </c>
      <c r="E655" t="s">
        <v>1852</v>
      </c>
      <c r="F655" t="s">
        <v>1806</v>
      </c>
      <c r="I655" t="str">
        <f>IF(ISBLANK('Q 5'!G75),"",IF('Q 5'!G75="&lt;please select&gt;","",'Q 5'!G75))</f>
        <v>5027160.91362418</v>
      </c>
    </row>
    <row r="656" spans="1:11" x14ac:dyDescent="0.3">
      <c r="A656" t="s">
        <v>1846</v>
      </c>
      <c r="B656" t="s">
        <v>1849</v>
      </c>
      <c r="C656">
        <v>8</v>
      </c>
      <c r="D656" t="s">
        <v>1447</v>
      </c>
      <c r="E656" t="s">
        <v>1852</v>
      </c>
      <c r="F656" t="s">
        <v>1806</v>
      </c>
      <c r="I656" t="str">
        <f>IF(ISBLANK('Q 5'!G76),"",IF('Q 5'!G76="&lt;please select&gt;","",'Q 5'!G76))</f>
        <v>1220867.9753403</v>
      </c>
    </row>
    <row r="657" spans="1:9" x14ac:dyDescent="0.3">
      <c r="A657" t="s">
        <v>1846</v>
      </c>
      <c r="B657" t="s">
        <v>1849</v>
      </c>
      <c r="C657">
        <v>9</v>
      </c>
      <c r="D657" t="s">
        <v>1447</v>
      </c>
      <c r="E657" t="s">
        <v>1852</v>
      </c>
      <c r="F657" t="s">
        <v>1806</v>
      </c>
      <c r="I657" t="str">
        <f>IF(ISBLANK('Q 5'!G77),"",IF('Q 5'!G77="&lt;please select&gt;","",'Q 5'!G77))</f>
        <v>324307.846496124</v>
      </c>
    </row>
    <row r="658" spans="1:9" x14ac:dyDescent="0.3">
      <c r="A658" t="s">
        <v>1846</v>
      </c>
      <c r="B658" t="s">
        <v>1849</v>
      </c>
      <c r="C658">
        <v>10</v>
      </c>
      <c r="D658" t="s">
        <v>1447</v>
      </c>
      <c r="E658" t="s">
        <v>1852</v>
      </c>
      <c r="F658" t="s">
        <v>1806</v>
      </c>
      <c r="I658" t="str">
        <f>IF(ISBLANK('Q 5'!G78),"",IF('Q 5'!G78="&lt;please select&gt;","",'Q 5'!G78))</f>
        <v>218951.965475295</v>
      </c>
    </row>
    <row r="659" spans="1:9" x14ac:dyDescent="0.3">
      <c r="A659" t="s">
        <v>1846</v>
      </c>
      <c r="B659" t="s">
        <v>1849</v>
      </c>
      <c r="C659">
        <v>11</v>
      </c>
      <c r="D659" t="s">
        <v>1447</v>
      </c>
      <c r="E659" t="s">
        <v>1852</v>
      </c>
      <c r="F659" t="s">
        <v>1806</v>
      </c>
      <c r="I659" t="str">
        <f>IF(ISBLANK('Q 5'!G79),"",IF('Q 5'!G79="&lt;please select&gt;","",'Q 5'!G79))</f>
        <v>1878837.50359231</v>
      </c>
    </row>
    <row r="660" spans="1:9" x14ac:dyDescent="0.3">
      <c r="A660" t="s">
        <v>1846</v>
      </c>
      <c r="B660" t="s">
        <v>1849</v>
      </c>
      <c r="C660">
        <v>12</v>
      </c>
      <c r="D660" t="s">
        <v>1447</v>
      </c>
      <c r="E660" t="s">
        <v>1852</v>
      </c>
      <c r="F660" t="s">
        <v>1806</v>
      </c>
      <c r="I660" t="str">
        <f>IF(ISBLANK('Q 5'!G80),"",IF('Q 5'!G80="&lt;please select&gt;","",'Q 5'!G80))</f>
        <v>356486.729723593</v>
      </c>
    </row>
    <row r="661" spans="1:9" x14ac:dyDescent="0.3">
      <c r="A661" t="s">
        <v>1846</v>
      </c>
      <c r="B661" t="s">
        <v>1849</v>
      </c>
      <c r="C661">
        <v>13</v>
      </c>
      <c r="D661" t="s">
        <v>1447</v>
      </c>
      <c r="E661" t="s">
        <v>1852</v>
      </c>
      <c r="F661" t="s">
        <v>1806</v>
      </c>
      <c r="I661" t="str">
        <f>IF(ISBLANK('Q 5'!G81),"",IF('Q 5'!G81="&lt;please select&gt;","",'Q 5'!G81))</f>
        <v>7616942.42006997</v>
      </c>
    </row>
    <row r="662" spans="1:9" x14ac:dyDescent="0.3">
      <c r="A662" t="s">
        <v>1846</v>
      </c>
      <c r="B662" t="s">
        <v>1849</v>
      </c>
      <c r="C662">
        <v>14</v>
      </c>
      <c r="D662" t="s">
        <v>1447</v>
      </c>
      <c r="E662" t="s">
        <v>1852</v>
      </c>
      <c r="F662" t="s">
        <v>1806</v>
      </c>
      <c r="I662" t="str">
        <f>IF(ISBLANK('Q 5'!G82),"",IF('Q 5'!G82="&lt;please select&gt;","",'Q 5'!G82))</f>
        <v>6625189.38944748</v>
      </c>
    </row>
    <row r="663" spans="1:9" x14ac:dyDescent="0.3">
      <c r="A663" t="s">
        <v>1846</v>
      </c>
      <c r="B663" t="s">
        <v>1849</v>
      </c>
      <c r="C663">
        <v>15</v>
      </c>
      <c r="D663" t="s">
        <v>1447</v>
      </c>
      <c r="E663" t="s">
        <v>1852</v>
      </c>
      <c r="F663" t="s">
        <v>1806</v>
      </c>
      <c r="I663" t="str">
        <f>IF(ISBLANK('Q 5'!G83),"",IF('Q 5'!G83="&lt;please select&gt;","",'Q 5'!G83))</f>
        <v>1852738.56500981</v>
      </c>
    </row>
    <row r="664" spans="1:9" x14ac:dyDescent="0.3">
      <c r="A664" t="s">
        <v>1846</v>
      </c>
      <c r="B664" t="s">
        <v>1849</v>
      </c>
      <c r="C664">
        <v>16</v>
      </c>
      <c r="D664" t="s">
        <v>1447</v>
      </c>
      <c r="E664" t="s">
        <v>1852</v>
      </c>
      <c r="F664" t="s">
        <v>1806</v>
      </c>
      <c r="I664" t="str">
        <f>IF(ISBLANK('Q 5'!G84),"",IF('Q 5'!G84="&lt;please select&gt;","",'Q 5'!G84))</f>
        <v>496065.726877697</v>
      </c>
    </row>
    <row r="665" spans="1:9" x14ac:dyDescent="0.3">
      <c r="A665" t="s">
        <v>1846</v>
      </c>
      <c r="B665" t="s">
        <v>1849</v>
      </c>
      <c r="C665">
        <v>17</v>
      </c>
      <c r="D665" t="s">
        <v>1447</v>
      </c>
      <c r="E665" t="s">
        <v>1852</v>
      </c>
      <c r="F665" t="s">
        <v>1806</v>
      </c>
      <c r="I665" t="str">
        <f>IF(ISBLANK('Q 5'!G85),"",IF('Q 5'!G85="&lt;please select&gt;","",'Q 5'!G85))</f>
        <v>161936.314385673</v>
      </c>
    </row>
    <row r="666" spans="1:9" x14ac:dyDescent="0.3">
      <c r="A666" t="s">
        <v>1846</v>
      </c>
      <c r="B666" t="s">
        <v>1849</v>
      </c>
      <c r="C666">
        <v>18</v>
      </c>
      <c r="D666" t="s">
        <v>1447</v>
      </c>
      <c r="E666" t="s">
        <v>1852</v>
      </c>
      <c r="F666" t="s">
        <v>1806</v>
      </c>
      <c r="I666" t="str">
        <f>IF(ISBLANK('Q 5'!G86),"",IF('Q 5'!G86="&lt;please select&gt;","",'Q 5'!G86))</f>
        <v>1569232.28923711</v>
      </c>
    </row>
    <row r="667" spans="1:9" x14ac:dyDescent="0.3">
      <c r="A667" t="s">
        <v>1846</v>
      </c>
      <c r="B667" t="s">
        <v>1849</v>
      </c>
      <c r="C667">
        <v>19</v>
      </c>
      <c r="D667" t="s">
        <v>1447</v>
      </c>
      <c r="E667" t="s">
        <v>1852</v>
      </c>
      <c r="F667" t="s">
        <v>1806</v>
      </c>
      <c r="I667" t="str">
        <f>IF(ISBLANK('Q 5'!G87),"",IF('Q 5'!G87="&lt;please select&gt;","",'Q 5'!G87))</f>
        <v>462480.577954234</v>
      </c>
    </row>
    <row r="668" spans="1:9" x14ac:dyDescent="0.3">
      <c r="A668" t="s">
        <v>1846</v>
      </c>
      <c r="B668" t="s">
        <v>1849</v>
      </c>
      <c r="C668">
        <v>20</v>
      </c>
      <c r="D668" t="s">
        <v>1447</v>
      </c>
      <c r="E668" t="s">
        <v>1852</v>
      </c>
      <c r="F668" t="s">
        <v>1806</v>
      </c>
      <c r="I668" t="str">
        <f>IF(ISBLANK('Q 5'!G88),"",IF('Q 5'!G88="&lt;please select&gt;","",'Q 5'!G88))</f>
        <v>24391.9551731889</v>
      </c>
    </row>
    <row r="669" spans="1:9" x14ac:dyDescent="0.3">
      <c r="A669" t="s">
        <v>1846</v>
      </c>
      <c r="B669" t="s">
        <v>1849</v>
      </c>
      <c r="C669">
        <v>21</v>
      </c>
      <c r="D669" t="s">
        <v>1447</v>
      </c>
      <c r="E669" t="s">
        <v>1852</v>
      </c>
      <c r="F669" t="s">
        <v>1806</v>
      </c>
      <c r="I669" t="str">
        <f>IF(ISBLANK('Q 5'!G89),"",IF('Q 5'!G89="&lt;please select&gt;","",'Q 5'!G89))</f>
        <v>111059.14353145</v>
      </c>
    </row>
    <row r="670" spans="1:9" x14ac:dyDescent="0.3">
      <c r="A670" t="s">
        <v>1846</v>
      </c>
      <c r="B670" t="s">
        <v>1849</v>
      </c>
      <c r="C670">
        <v>22</v>
      </c>
      <c r="D670" t="s">
        <v>1447</v>
      </c>
      <c r="E670" t="s">
        <v>1852</v>
      </c>
      <c r="F670" t="s">
        <v>1806</v>
      </c>
      <c r="I670" t="str">
        <f>IF(ISBLANK('Q 5'!G90),"",IF('Q 5'!G90="&lt;please select&gt;","",'Q 5'!G90))</f>
        <v>786.034579515991</v>
      </c>
    </row>
    <row r="671" spans="1:9" x14ac:dyDescent="0.3">
      <c r="A671" t="s">
        <v>1846</v>
      </c>
      <c r="B671" t="s">
        <v>1849</v>
      </c>
      <c r="C671">
        <v>23</v>
      </c>
      <c r="D671" t="s">
        <v>1447</v>
      </c>
      <c r="E671" t="s">
        <v>1852</v>
      </c>
      <c r="F671" t="s">
        <v>1806</v>
      </c>
      <c r="I671" t="str">
        <f>IF(ISBLANK('Q 5'!G91),"",IF('Q 5'!G91="&lt;please select&gt;","",'Q 5'!G91))</f>
        <v>6847.96139042728</v>
      </c>
    </row>
    <row r="672" spans="1:9" x14ac:dyDescent="0.3">
      <c r="A672" t="s">
        <v>1846</v>
      </c>
      <c r="B672" t="s">
        <v>1849</v>
      </c>
      <c r="C672">
        <v>24</v>
      </c>
      <c r="D672" t="s">
        <v>1447</v>
      </c>
      <c r="E672" t="s">
        <v>1852</v>
      </c>
      <c r="F672" t="s">
        <v>1806</v>
      </c>
      <c r="I672" t="str">
        <f>IF(ISBLANK('Q 5'!G92),"",IF('Q 5'!G92="&lt;please select&gt;","",'Q 5'!G92))</f>
        <v>262352.850768771</v>
      </c>
    </row>
    <row r="673" spans="1:9" x14ac:dyDescent="0.3">
      <c r="A673" t="s">
        <v>1846</v>
      </c>
      <c r="B673" t="s">
        <v>1849</v>
      </c>
      <c r="C673">
        <v>25</v>
      </c>
      <c r="D673" t="s">
        <v>1447</v>
      </c>
      <c r="E673" t="s">
        <v>1852</v>
      </c>
      <c r="F673" t="s">
        <v>1806</v>
      </c>
      <c r="I673" t="str">
        <f>IF(ISBLANK('Q 5'!G93),"",IF('Q 5'!G93="&lt;please select&gt;","",'Q 5'!G93))</f>
        <v>151590.371751767</v>
      </c>
    </row>
    <row r="674" spans="1:9" x14ac:dyDescent="0.3">
      <c r="A674" t="s">
        <v>1846</v>
      </c>
      <c r="B674" t="s">
        <v>1849</v>
      </c>
      <c r="C674">
        <v>26</v>
      </c>
      <c r="D674" t="s">
        <v>1447</v>
      </c>
      <c r="E674" t="s">
        <v>1852</v>
      </c>
      <c r="F674" t="s">
        <v>1806</v>
      </c>
      <c r="I674" t="str">
        <f>IF(ISBLANK('Q 5'!G94),"",IF('Q 5'!G94="&lt;please select&gt;","",'Q 5'!G94))</f>
        <v>4273671.38837705</v>
      </c>
    </row>
    <row r="675" spans="1:9" x14ac:dyDescent="0.3">
      <c r="A675" t="s">
        <v>1846</v>
      </c>
      <c r="B675" t="s">
        <v>1849</v>
      </c>
      <c r="C675">
        <v>27</v>
      </c>
      <c r="D675" t="s">
        <v>1447</v>
      </c>
      <c r="E675" t="s">
        <v>1852</v>
      </c>
      <c r="F675" t="s">
        <v>1806</v>
      </c>
      <c r="I675" t="str">
        <f>IF(ISBLANK('Q 5'!G95),"",IF('Q 5'!G95="&lt;please select&gt;","",'Q 5'!G95))</f>
        <v>14467076.4189389</v>
      </c>
    </row>
    <row r="676" spans="1:9" x14ac:dyDescent="0.3">
      <c r="A676" t="s">
        <v>1846</v>
      </c>
      <c r="B676" t="s">
        <v>1849</v>
      </c>
      <c r="C676">
        <v>28</v>
      </c>
      <c r="D676" t="s">
        <v>1447</v>
      </c>
      <c r="E676" t="s">
        <v>1852</v>
      </c>
      <c r="F676" t="s">
        <v>1806</v>
      </c>
      <c r="I676" t="str">
        <f>IF(ISBLANK('Q 5'!G96),"",IF('Q 5'!G96="&lt;please select&gt;","",'Q 5'!G96))</f>
        <v>487017.253374445</v>
      </c>
    </row>
    <row r="677" spans="1:9" x14ac:dyDescent="0.3">
      <c r="A677" t="s">
        <v>1846</v>
      </c>
      <c r="B677" t="s">
        <v>1849</v>
      </c>
      <c r="C677">
        <v>29</v>
      </c>
      <c r="D677" t="s">
        <v>1447</v>
      </c>
      <c r="E677" t="s">
        <v>1852</v>
      </c>
      <c r="F677" t="s">
        <v>1806</v>
      </c>
      <c r="I677" t="str">
        <f>IF(ISBLANK('Q 5'!G97),"",IF('Q 5'!G97="&lt;please select&gt;","",'Q 5'!G97))</f>
        <v>779141.92066014</v>
      </c>
    </row>
    <row r="678" spans="1:9" x14ac:dyDescent="0.3">
      <c r="A678" t="s">
        <v>1846</v>
      </c>
      <c r="B678" t="s">
        <v>1849</v>
      </c>
      <c r="C678">
        <v>30</v>
      </c>
      <c r="D678" t="s">
        <v>1447</v>
      </c>
      <c r="E678" t="s">
        <v>1852</v>
      </c>
      <c r="F678" t="s">
        <v>1806</v>
      </c>
      <c r="I678" t="str">
        <f>IF(ISBLANK('Q 5'!G98),"",IF('Q 5'!G98="&lt;please select&gt;","",'Q 5'!G98))</f>
        <v>74411.5174390547</v>
      </c>
    </row>
    <row r="679" spans="1:9" x14ac:dyDescent="0.3">
      <c r="A679" t="s">
        <v>1846</v>
      </c>
      <c r="B679" t="s">
        <v>1849</v>
      </c>
      <c r="C679">
        <v>31</v>
      </c>
      <c r="D679" t="s">
        <v>1447</v>
      </c>
      <c r="E679" t="s">
        <v>1852</v>
      </c>
      <c r="F679" t="s">
        <v>1806</v>
      </c>
      <c r="I679" t="str">
        <f>IF(ISBLANK('Q 5'!G99),"",IF('Q 5'!G99="&lt;please select&gt;","",'Q 5'!G99))</f>
        <v>11692.5239853329</v>
      </c>
    </row>
    <row r="680" spans="1:9" x14ac:dyDescent="0.3">
      <c r="A680" t="s">
        <v>1846</v>
      </c>
      <c r="B680" t="s">
        <v>1849</v>
      </c>
      <c r="C680">
        <v>32</v>
      </c>
      <c r="D680" t="s">
        <v>1447</v>
      </c>
      <c r="E680" t="s">
        <v>1852</v>
      </c>
      <c r="F680" t="s">
        <v>1806</v>
      </c>
      <c r="I680" t="str">
        <f>IF(ISBLANK('Q 5'!G100),"",IF('Q 5'!G100="&lt;please select&gt;","",'Q 5'!G100))</f>
        <v>4331.48120591019</v>
      </c>
    </row>
    <row r="681" spans="1:9" x14ac:dyDescent="0.3">
      <c r="A681" t="s">
        <v>1846</v>
      </c>
      <c r="B681" t="s">
        <v>1849</v>
      </c>
      <c r="C681">
        <v>33</v>
      </c>
      <c r="D681" t="s">
        <v>1447</v>
      </c>
      <c r="E681" t="s">
        <v>1852</v>
      </c>
      <c r="F681" t="s">
        <v>1806</v>
      </c>
      <c r="I681" t="str">
        <f>IF(ISBLANK('Q 5'!G101),"",IF('Q 5'!G101="&lt;please select&gt;","",'Q 5'!G101))</f>
        <v>57211.3008012536</v>
      </c>
    </row>
    <row r="682" spans="1:9" x14ac:dyDescent="0.3">
      <c r="A682" t="s">
        <v>1846</v>
      </c>
      <c r="B682" t="s">
        <v>1849</v>
      </c>
      <c r="C682">
        <v>34</v>
      </c>
      <c r="D682" t="s">
        <v>1447</v>
      </c>
      <c r="E682" t="s">
        <v>1852</v>
      </c>
      <c r="F682" t="s">
        <v>1806</v>
      </c>
      <c r="I682" t="str">
        <f>IF(ISBLANK('Q 5'!G102),"",IF('Q 5'!G102="&lt;please select&gt;","",'Q 5'!G102))</f>
        <v/>
      </c>
    </row>
    <row r="683" spans="1:9" x14ac:dyDescent="0.3">
      <c r="A683" t="s">
        <v>1846</v>
      </c>
      <c r="B683" t="s">
        <v>1849</v>
      </c>
      <c r="C683">
        <v>35</v>
      </c>
      <c r="D683" t="s">
        <v>1447</v>
      </c>
      <c r="E683" t="s">
        <v>1852</v>
      </c>
      <c r="F683" t="s">
        <v>1806</v>
      </c>
      <c r="I683" t="str">
        <f>IF(ISBLANK('Q 5'!G103),"",IF('Q 5'!G103="&lt;please select&gt;","",'Q 5'!G103))</f>
        <v/>
      </c>
    </row>
    <row r="684" spans="1:9" x14ac:dyDescent="0.3">
      <c r="A684" t="s">
        <v>1846</v>
      </c>
      <c r="B684" t="s">
        <v>1849</v>
      </c>
      <c r="C684">
        <v>36</v>
      </c>
      <c r="D684" t="s">
        <v>1447</v>
      </c>
      <c r="E684" t="s">
        <v>1852</v>
      </c>
      <c r="F684" t="s">
        <v>1806</v>
      </c>
      <c r="I684" t="str">
        <f>IF(ISBLANK('Q 5'!G104),"",IF('Q 5'!G104="&lt;please select&gt;","",'Q 5'!G104))</f>
        <v/>
      </c>
    </row>
    <row r="685" spans="1:9" x14ac:dyDescent="0.3">
      <c r="A685" t="s">
        <v>1846</v>
      </c>
      <c r="B685" t="s">
        <v>1849</v>
      </c>
      <c r="C685">
        <v>37</v>
      </c>
      <c r="D685" t="s">
        <v>1447</v>
      </c>
      <c r="E685" t="s">
        <v>1852</v>
      </c>
      <c r="F685" t="s">
        <v>1806</v>
      </c>
      <c r="I685" t="str">
        <f>IF(ISBLANK('Q 5'!G105),"",IF('Q 5'!G105="&lt;please select&gt;","",'Q 5'!G105))</f>
        <v/>
      </c>
    </row>
    <row r="686" spans="1:9" x14ac:dyDescent="0.3">
      <c r="A686" t="s">
        <v>1846</v>
      </c>
      <c r="B686" t="s">
        <v>1849</v>
      </c>
      <c r="C686">
        <v>38</v>
      </c>
      <c r="D686" t="s">
        <v>1447</v>
      </c>
      <c r="E686" t="s">
        <v>1852</v>
      </c>
      <c r="F686" t="s">
        <v>1806</v>
      </c>
      <c r="I686" t="str">
        <f>IF(ISBLANK('Q 5'!G106),"",IF('Q 5'!G106="&lt;please select&gt;","",'Q 5'!G106))</f>
        <v/>
      </c>
    </row>
    <row r="687" spans="1:9" x14ac:dyDescent="0.3">
      <c r="A687" t="s">
        <v>1846</v>
      </c>
      <c r="B687" t="s">
        <v>1849</v>
      </c>
      <c r="C687">
        <v>39</v>
      </c>
      <c r="D687" t="s">
        <v>1447</v>
      </c>
      <c r="E687" t="s">
        <v>1852</v>
      </c>
      <c r="F687" t="s">
        <v>1806</v>
      </c>
      <c r="I687" t="str">
        <f>IF(ISBLANK('Q 5'!G107),"",IF('Q 5'!G107="&lt;please select&gt;","",'Q 5'!G107))</f>
        <v/>
      </c>
    </row>
    <row r="688" spans="1:9" x14ac:dyDescent="0.3">
      <c r="A688" t="s">
        <v>1846</v>
      </c>
      <c r="B688" t="s">
        <v>1849</v>
      </c>
      <c r="C688">
        <v>40</v>
      </c>
      <c r="D688" t="s">
        <v>1447</v>
      </c>
      <c r="E688" t="s">
        <v>1852</v>
      </c>
      <c r="F688" t="s">
        <v>1806</v>
      </c>
      <c r="I688" t="str">
        <f>IF(ISBLANK('Q 5'!G108),"",IF('Q 5'!G108="&lt;please select&gt;","",'Q 5'!G108))</f>
        <v/>
      </c>
    </row>
    <row r="689" spans="1:9" x14ac:dyDescent="0.3">
      <c r="A689" t="s">
        <v>1846</v>
      </c>
      <c r="B689" t="s">
        <v>1849</v>
      </c>
      <c r="C689">
        <v>41</v>
      </c>
      <c r="D689" t="s">
        <v>1447</v>
      </c>
      <c r="E689" t="s">
        <v>1852</v>
      </c>
      <c r="F689" t="s">
        <v>1806</v>
      </c>
      <c r="I689" t="str">
        <f>IF(ISBLANK('Q 5'!G109),"",IF('Q 5'!G109="&lt;please select&gt;","",'Q 5'!G109))</f>
        <v/>
      </c>
    </row>
    <row r="690" spans="1:9" x14ac:dyDescent="0.3">
      <c r="A690" t="s">
        <v>1846</v>
      </c>
      <c r="B690" t="s">
        <v>1849</v>
      </c>
      <c r="C690">
        <v>42</v>
      </c>
      <c r="D690" t="s">
        <v>1447</v>
      </c>
      <c r="E690" t="s">
        <v>1852</v>
      </c>
      <c r="F690" t="s">
        <v>1806</v>
      </c>
      <c r="I690" t="str">
        <f>IF(ISBLANK('Q 5'!G110),"",IF('Q 5'!G110="&lt;please select&gt;","",'Q 5'!G110))</f>
        <v/>
      </c>
    </row>
    <row r="691" spans="1:9" x14ac:dyDescent="0.3">
      <c r="A691" t="s">
        <v>1846</v>
      </c>
      <c r="B691" t="s">
        <v>1849</v>
      </c>
      <c r="C691">
        <v>43</v>
      </c>
      <c r="D691" t="s">
        <v>1447</v>
      </c>
      <c r="E691" t="s">
        <v>1852</v>
      </c>
      <c r="F691" t="s">
        <v>1806</v>
      </c>
      <c r="I691" t="str">
        <f>IF(ISBLANK('Q 5'!G111),"",IF('Q 5'!G111="&lt;please select&gt;","",'Q 5'!G111))</f>
        <v/>
      </c>
    </row>
    <row r="692" spans="1:9" x14ac:dyDescent="0.3">
      <c r="A692" t="s">
        <v>1846</v>
      </c>
      <c r="B692" t="s">
        <v>1849</v>
      </c>
      <c r="C692">
        <v>44</v>
      </c>
      <c r="D692" t="s">
        <v>1447</v>
      </c>
      <c r="E692" t="s">
        <v>1852</v>
      </c>
      <c r="F692" t="s">
        <v>1806</v>
      </c>
      <c r="I692" t="str">
        <f>IF(ISBLANK('Q 5'!G112),"",IF('Q 5'!G112="&lt;please select&gt;","",'Q 5'!G112))</f>
        <v/>
      </c>
    </row>
    <row r="693" spans="1:9" x14ac:dyDescent="0.3">
      <c r="A693" t="s">
        <v>1846</v>
      </c>
      <c r="B693" t="s">
        <v>1849</v>
      </c>
      <c r="C693">
        <v>45</v>
      </c>
      <c r="D693" t="s">
        <v>1447</v>
      </c>
      <c r="E693" t="s">
        <v>1852</v>
      </c>
      <c r="F693" t="s">
        <v>1806</v>
      </c>
      <c r="I693" t="str">
        <f>IF(ISBLANK('Q 5'!G113),"",IF('Q 5'!G113="&lt;please select&gt;","",'Q 5'!G113))</f>
        <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23342682.6022882</v>
      </c>
    </row>
    <row r="780" spans="1:9" x14ac:dyDescent="0.3">
      <c r="A780" t="s">
        <v>1846</v>
      </c>
      <c r="B780" t="s">
        <v>1849</v>
      </c>
      <c r="C780">
        <v>2</v>
      </c>
      <c r="D780" t="s">
        <v>1447</v>
      </c>
      <c r="E780" t="s">
        <v>1853</v>
      </c>
      <c r="F780" t="s">
        <v>1806</v>
      </c>
      <c r="I780" t="str">
        <f>IF(ISBLANK('Q 5'!H70),"",IF('Q 5'!H70="&lt;please select&gt;","",'Q 5'!H70))</f>
        <v>5469480.40454253</v>
      </c>
    </row>
    <row r="781" spans="1:9" x14ac:dyDescent="0.3">
      <c r="A781" t="s">
        <v>1846</v>
      </c>
      <c r="B781" t="s">
        <v>1849</v>
      </c>
      <c r="C781">
        <v>3</v>
      </c>
      <c r="D781" t="s">
        <v>1447</v>
      </c>
      <c r="E781" t="s">
        <v>1853</v>
      </c>
      <c r="F781" t="s">
        <v>1806</v>
      </c>
      <c r="I781" t="str">
        <f>IF(ISBLANK('Q 5'!H71),"",IF('Q 5'!H71="&lt;please select&gt;","",'Q 5'!H71))</f>
        <v>197702.560088931</v>
      </c>
    </row>
    <row r="782" spans="1:9" x14ac:dyDescent="0.3">
      <c r="A782" t="s">
        <v>1846</v>
      </c>
      <c r="B782" t="s">
        <v>1849</v>
      </c>
      <c r="C782">
        <v>4</v>
      </c>
      <c r="D782" t="s">
        <v>1447</v>
      </c>
      <c r="E782" t="s">
        <v>1853</v>
      </c>
      <c r="F782" t="s">
        <v>1806</v>
      </c>
      <c r="I782" t="str">
        <f>IF(ISBLANK('Q 5'!H72),"",IF('Q 5'!H72="&lt;please select&gt;","",'Q 5'!H72))</f>
        <v>445534.531318727</v>
      </c>
    </row>
    <row r="783" spans="1:9" x14ac:dyDescent="0.3">
      <c r="A783" t="s">
        <v>1846</v>
      </c>
      <c r="B783" t="s">
        <v>1849</v>
      </c>
      <c r="C783">
        <v>5</v>
      </c>
      <c r="D783" t="s">
        <v>1447</v>
      </c>
      <c r="E783" t="s">
        <v>1853</v>
      </c>
      <c r="F783" t="s">
        <v>1806</v>
      </c>
      <c r="I783" t="str">
        <f>IF(ISBLANK('Q 5'!H73),"",IF('Q 5'!H73="&lt;please select&gt;","",'Q 5'!H73))</f>
        <v>8022976.17532282</v>
      </c>
    </row>
    <row r="784" spans="1:9" x14ac:dyDescent="0.3">
      <c r="A784" t="s">
        <v>1846</v>
      </c>
      <c r="B784" t="s">
        <v>1849</v>
      </c>
      <c r="C784">
        <v>6</v>
      </c>
      <c r="D784" t="s">
        <v>1447</v>
      </c>
      <c r="E784" t="s">
        <v>1853</v>
      </c>
      <c r="F784" t="s">
        <v>1806</v>
      </c>
      <c r="I784" t="str">
        <f>IF(ISBLANK('Q 5'!H74),"",IF('Q 5'!H74="&lt;please select&gt;","",'Q 5'!H74))</f>
        <v>1807161.28948719</v>
      </c>
    </row>
    <row r="785" spans="1:9" x14ac:dyDescent="0.3">
      <c r="A785" t="s">
        <v>1846</v>
      </c>
      <c r="B785" t="s">
        <v>1849</v>
      </c>
      <c r="C785">
        <v>7</v>
      </c>
      <c r="D785" t="s">
        <v>1447</v>
      </c>
      <c r="E785" t="s">
        <v>1853</v>
      </c>
      <c r="F785" t="s">
        <v>1806</v>
      </c>
      <c r="I785" t="str">
        <f>IF(ISBLANK('Q 5'!H75),"",IF('Q 5'!H75="&lt;please select&gt;","",'Q 5'!H75))</f>
        <v>5027160.91362418</v>
      </c>
    </row>
    <row r="786" spans="1:9" x14ac:dyDescent="0.3">
      <c r="A786" t="s">
        <v>1846</v>
      </c>
      <c r="B786" t="s">
        <v>1849</v>
      </c>
      <c r="C786">
        <v>8</v>
      </c>
      <c r="D786" t="s">
        <v>1447</v>
      </c>
      <c r="E786" t="s">
        <v>1853</v>
      </c>
      <c r="F786" t="s">
        <v>1806</v>
      </c>
      <c r="I786" t="str">
        <f>IF(ISBLANK('Q 5'!H76),"",IF('Q 5'!H76="&lt;please select&gt;","",'Q 5'!H76))</f>
        <v>1220867.9753403</v>
      </c>
    </row>
    <row r="787" spans="1:9" x14ac:dyDescent="0.3">
      <c r="A787" t="s">
        <v>1846</v>
      </c>
      <c r="B787" t="s">
        <v>1849</v>
      </c>
      <c r="C787">
        <v>9</v>
      </c>
      <c r="D787" t="s">
        <v>1447</v>
      </c>
      <c r="E787" t="s">
        <v>1853</v>
      </c>
      <c r="F787" t="s">
        <v>1806</v>
      </c>
      <c r="I787" t="str">
        <f>IF(ISBLANK('Q 5'!H77),"",IF('Q 5'!H77="&lt;please select&gt;","",'Q 5'!H77))</f>
        <v>324307.846496124</v>
      </c>
    </row>
    <row r="788" spans="1:9" x14ac:dyDescent="0.3">
      <c r="A788" t="s">
        <v>1846</v>
      </c>
      <c r="B788" t="s">
        <v>1849</v>
      </c>
      <c r="C788">
        <v>10</v>
      </c>
      <c r="D788" t="s">
        <v>1447</v>
      </c>
      <c r="E788" t="s">
        <v>1853</v>
      </c>
      <c r="F788" t="s">
        <v>1806</v>
      </c>
      <c r="I788" t="str">
        <f>IF(ISBLANK('Q 5'!H78),"",IF('Q 5'!H78="&lt;please select&gt;","",'Q 5'!H78))</f>
        <v>218951.965475295</v>
      </c>
    </row>
    <row r="789" spans="1:9" x14ac:dyDescent="0.3">
      <c r="A789" t="s">
        <v>1846</v>
      </c>
      <c r="B789" t="s">
        <v>1849</v>
      </c>
      <c r="C789">
        <v>11</v>
      </c>
      <c r="D789" t="s">
        <v>1447</v>
      </c>
      <c r="E789" t="s">
        <v>1853</v>
      </c>
      <c r="F789" t="s">
        <v>1806</v>
      </c>
      <c r="I789" t="str">
        <f>IF(ISBLANK('Q 5'!H79),"",IF('Q 5'!H79="&lt;please select&gt;","",'Q 5'!H79))</f>
        <v>1878837.50359231</v>
      </c>
    </row>
    <row r="790" spans="1:9" x14ac:dyDescent="0.3">
      <c r="A790" t="s">
        <v>1846</v>
      </c>
      <c r="B790" t="s">
        <v>1849</v>
      </c>
      <c r="C790">
        <v>12</v>
      </c>
      <c r="D790" t="s">
        <v>1447</v>
      </c>
      <c r="E790" t="s">
        <v>1853</v>
      </c>
      <c r="F790" t="s">
        <v>1806</v>
      </c>
      <c r="I790" t="str">
        <f>IF(ISBLANK('Q 5'!H80),"",IF('Q 5'!H80="&lt;please select&gt;","",'Q 5'!H80))</f>
        <v>356486.729723593</v>
      </c>
    </row>
    <row r="791" spans="1:9" x14ac:dyDescent="0.3">
      <c r="A791" t="s">
        <v>1846</v>
      </c>
      <c r="B791" t="s">
        <v>1849</v>
      </c>
      <c r="C791">
        <v>13</v>
      </c>
      <c r="D791" t="s">
        <v>1447</v>
      </c>
      <c r="E791" t="s">
        <v>1853</v>
      </c>
      <c r="F791" t="s">
        <v>1806</v>
      </c>
      <c r="I791" t="str">
        <f>IF(ISBLANK('Q 5'!H81),"",IF('Q 5'!H81="&lt;please select&gt;","",'Q 5'!H81))</f>
        <v>7616942.42006997</v>
      </c>
    </row>
    <row r="792" spans="1:9" x14ac:dyDescent="0.3">
      <c r="A792" t="s">
        <v>1846</v>
      </c>
      <c r="B792" t="s">
        <v>1849</v>
      </c>
      <c r="C792">
        <v>14</v>
      </c>
      <c r="D792" t="s">
        <v>1447</v>
      </c>
      <c r="E792" t="s">
        <v>1853</v>
      </c>
      <c r="F792" t="s">
        <v>1806</v>
      </c>
      <c r="I792" t="str">
        <f>IF(ISBLANK('Q 5'!H82),"",IF('Q 5'!H82="&lt;please select&gt;","",'Q 5'!H82))</f>
        <v/>
      </c>
    </row>
    <row r="793" spans="1:9" x14ac:dyDescent="0.3">
      <c r="A793" t="s">
        <v>1846</v>
      </c>
      <c r="B793" t="s">
        <v>1849</v>
      </c>
      <c r="C793">
        <v>15</v>
      </c>
      <c r="D793" t="s">
        <v>1447</v>
      </c>
      <c r="E793" t="s">
        <v>1853</v>
      </c>
      <c r="F793" t="s">
        <v>1806</v>
      </c>
      <c r="I793" t="str">
        <f>IF(ISBLANK('Q 5'!H83),"",IF('Q 5'!H83="&lt;please select&gt;","",'Q 5'!H83))</f>
        <v/>
      </c>
    </row>
    <row r="794" spans="1:9" x14ac:dyDescent="0.3">
      <c r="A794" t="s">
        <v>1846</v>
      </c>
      <c r="B794" t="s">
        <v>1849</v>
      </c>
      <c r="C794">
        <v>16</v>
      </c>
      <c r="D794" t="s">
        <v>1447</v>
      </c>
      <c r="E794" t="s">
        <v>1853</v>
      </c>
      <c r="F794" t="s">
        <v>1806</v>
      </c>
      <c r="I794" t="str">
        <f>IF(ISBLANK('Q 5'!H84),"",IF('Q 5'!H84="&lt;please select&gt;","",'Q 5'!H84))</f>
        <v/>
      </c>
    </row>
    <row r="795" spans="1:9" x14ac:dyDescent="0.3">
      <c r="A795" t="s">
        <v>1846</v>
      </c>
      <c r="B795" t="s">
        <v>1849</v>
      </c>
      <c r="C795">
        <v>17</v>
      </c>
      <c r="D795" t="s">
        <v>1447</v>
      </c>
      <c r="E795" t="s">
        <v>1853</v>
      </c>
      <c r="F795" t="s">
        <v>1806</v>
      </c>
      <c r="I795" t="str">
        <f>IF(ISBLANK('Q 5'!H85),"",IF('Q 5'!H85="&lt;please select&gt;","",'Q 5'!H85))</f>
        <v/>
      </c>
    </row>
    <row r="796" spans="1:9" x14ac:dyDescent="0.3">
      <c r="A796" t="s">
        <v>1846</v>
      </c>
      <c r="B796" t="s">
        <v>1849</v>
      </c>
      <c r="C796">
        <v>18</v>
      </c>
      <c r="D796" t="s">
        <v>1447</v>
      </c>
      <c r="E796" t="s">
        <v>1853</v>
      </c>
      <c r="F796" t="s">
        <v>1806</v>
      </c>
      <c r="I796" t="str">
        <f>IF(ISBLANK('Q 5'!H86),"",IF('Q 5'!H86="&lt;please select&gt;","",'Q 5'!H86))</f>
        <v/>
      </c>
    </row>
    <row r="797" spans="1:9" x14ac:dyDescent="0.3">
      <c r="A797" t="s">
        <v>1846</v>
      </c>
      <c r="B797" t="s">
        <v>1849</v>
      </c>
      <c r="C797">
        <v>19</v>
      </c>
      <c r="D797" t="s">
        <v>1447</v>
      </c>
      <c r="E797" t="s">
        <v>1853</v>
      </c>
      <c r="F797" t="s">
        <v>1806</v>
      </c>
      <c r="I797" t="str">
        <f>IF(ISBLANK('Q 5'!H87),"",IF('Q 5'!H87="&lt;please select&gt;","",'Q 5'!H87))</f>
        <v/>
      </c>
    </row>
    <row r="798" spans="1:9" x14ac:dyDescent="0.3">
      <c r="A798" t="s">
        <v>1846</v>
      </c>
      <c r="B798" t="s">
        <v>1849</v>
      </c>
      <c r="C798">
        <v>20</v>
      </c>
      <c r="D798" t="s">
        <v>1447</v>
      </c>
      <c r="E798" t="s">
        <v>1853</v>
      </c>
      <c r="F798" t="s">
        <v>1806</v>
      </c>
      <c r="I798" t="str">
        <f>IF(ISBLANK('Q 5'!H88),"",IF('Q 5'!H88="&lt;please select&gt;","",'Q 5'!H88))</f>
        <v/>
      </c>
    </row>
    <row r="799" spans="1:9" x14ac:dyDescent="0.3">
      <c r="A799" t="s">
        <v>1846</v>
      </c>
      <c r="B799" t="s">
        <v>1849</v>
      </c>
      <c r="C799">
        <v>21</v>
      </c>
      <c r="D799" t="s">
        <v>1447</v>
      </c>
      <c r="E799" t="s">
        <v>1853</v>
      </c>
      <c r="F799" t="s">
        <v>1806</v>
      </c>
      <c r="I799" t="str">
        <f>IF(ISBLANK('Q 5'!H89),"",IF('Q 5'!H89="&lt;please select&gt;","",'Q 5'!H89))</f>
        <v/>
      </c>
    </row>
    <row r="800" spans="1:9" x14ac:dyDescent="0.3">
      <c r="A800" t="s">
        <v>1846</v>
      </c>
      <c r="B800" t="s">
        <v>1849</v>
      </c>
      <c r="C800">
        <v>22</v>
      </c>
      <c r="D800" t="s">
        <v>1447</v>
      </c>
      <c r="E800" t="s">
        <v>1853</v>
      </c>
      <c r="F800" t="s">
        <v>1806</v>
      </c>
      <c r="I800" t="str">
        <f>IF(ISBLANK('Q 5'!H90),"",IF('Q 5'!H90="&lt;please select&gt;","",'Q 5'!H90))</f>
        <v/>
      </c>
    </row>
    <row r="801" spans="1:9" x14ac:dyDescent="0.3">
      <c r="A801" t="s">
        <v>1846</v>
      </c>
      <c r="B801" t="s">
        <v>1849</v>
      </c>
      <c r="C801">
        <v>23</v>
      </c>
      <c r="D801" t="s">
        <v>1447</v>
      </c>
      <c r="E801" t="s">
        <v>1853</v>
      </c>
      <c r="F801" t="s">
        <v>1806</v>
      </c>
      <c r="I801" t="str">
        <f>IF(ISBLANK('Q 5'!H91),"",IF('Q 5'!H91="&lt;please select&gt;","",'Q 5'!H91))</f>
        <v/>
      </c>
    </row>
    <row r="802" spans="1:9" x14ac:dyDescent="0.3">
      <c r="A802" t="s">
        <v>1846</v>
      </c>
      <c r="B802" t="s">
        <v>1849</v>
      </c>
      <c r="C802">
        <v>24</v>
      </c>
      <c r="D802" t="s">
        <v>1447</v>
      </c>
      <c r="E802" t="s">
        <v>1853</v>
      </c>
      <c r="F802" t="s">
        <v>1806</v>
      </c>
      <c r="I802" t="str">
        <f>IF(ISBLANK('Q 5'!H92),"",IF('Q 5'!H92="&lt;please select&gt;","",'Q 5'!H92))</f>
        <v/>
      </c>
    </row>
    <row r="803" spans="1:9" x14ac:dyDescent="0.3">
      <c r="A803" t="s">
        <v>1846</v>
      </c>
      <c r="B803" t="s">
        <v>1849</v>
      </c>
      <c r="C803">
        <v>25</v>
      </c>
      <c r="D803" t="s">
        <v>1447</v>
      </c>
      <c r="E803" t="s">
        <v>1853</v>
      </c>
      <c r="F803" t="s">
        <v>1806</v>
      </c>
      <c r="I803" t="str">
        <f>IF(ISBLANK('Q 5'!H93),"",IF('Q 5'!H93="&lt;please select&gt;","",'Q 5'!H93))</f>
        <v/>
      </c>
    </row>
    <row r="804" spans="1:9" x14ac:dyDescent="0.3">
      <c r="A804" t="s">
        <v>1846</v>
      </c>
      <c r="B804" t="s">
        <v>1849</v>
      </c>
      <c r="C804">
        <v>26</v>
      </c>
      <c r="D804" t="s">
        <v>1447</v>
      </c>
      <c r="E804" t="s">
        <v>1853</v>
      </c>
      <c r="F804" t="s">
        <v>1806</v>
      </c>
      <c r="I804" t="str">
        <f>IF(ISBLANK('Q 5'!H94),"",IF('Q 5'!H94="&lt;please select&gt;","",'Q 5'!H94))</f>
        <v/>
      </c>
    </row>
    <row r="805" spans="1:9" x14ac:dyDescent="0.3">
      <c r="A805" t="s">
        <v>1846</v>
      </c>
      <c r="B805" t="s">
        <v>1849</v>
      </c>
      <c r="C805">
        <v>27</v>
      </c>
      <c r="D805" t="s">
        <v>1447</v>
      </c>
      <c r="E805" t="s">
        <v>1853</v>
      </c>
      <c r="F805" t="s">
        <v>1806</v>
      </c>
      <c r="I805" t="str">
        <f>IF(ISBLANK('Q 5'!H95),"",IF('Q 5'!H95="&lt;please select&gt;","",'Q 5'!H95))</f>
        <v/>
      </c>
    </row>
    <row r="806" spans="1:9" x14ac:dyDescent="0.3">
      <c r="A806" t="s">
        <v>1846</v>
      </c>
      <c r="B806" t="s">
        <v>1849</v>
      </c>
      <c r="C806">
        <v>28</v>
      </c>
      <c r="D806" t="s">
        <v>1447</v>
      </c>
      <c r="E806" t="s">
        <v>1853</v>
      </c>
      <c r="F806" t="s">
        <v>1806</v>
      </c>
      <c r="I806" t="str">
        <f>IF(ISBLANK('Q 5'!H96),"",IF('Q 5'!H96="&lt;please select&gt;","",'Q 5'!H96))</f>
        <v/>
      </c>
    </row>
    <row r="807" spans="1:9" x14ac:dyDescent="0.3">
      <c r="A807" t="s">
        <v>1846</v>
      </c>
      <c r="B807" t="s">
        <v>1849</v>
      </c>
      <c r="C807">
        <v>29</v>
      </c>
      <c r="D807" t="s">
        <v>1447</v>
      </c>
      <c r="E807" t="s">
        <v>1853</v>
      </c>
      <c r="F807" t="s">
        <v>1806</v>
      </c>
      <c r="I807" t="str">
        <f>IF(ISBLANK('Q 5'!H97),"",IF('Q 5'!H97="&lt;please select&gt;","",'Q 5'!H97))</f>
        <v/>
      </c>
    </row>
    <row r="808" spans="1:9" x14ac:dyDescent="0.3">
      <c r="A808" t="s">
        <v>1846</v>
      </c>
      <c r="B808" t="s">
        <v>1849</v>
      </c>
      <c r="C808">
        <v>30</v>
      </c>
      <c r="D808" t="s">
        <v>1447</v>
      </c>
      <c r="E808" t="s">
        <v>1853</v>
      </c>
      <c r="F808" t="s">
        <v>1806</v>
      </c>
      <c r="I808" t="str">
        <f>IF(ISBLANK('Q 5'!H98),"",IF('Q 5'!H98="&lt;please select&gt;","",'Q 5'!H98))</f>
        <v/>
      </c>
    </row>
    <row r="809" spans="1:9" x14ac:dyDescent="0.3">
      <c r="A809" t="s">
        <v>1846</v>
      </c>
      <c r="B809" t="s">
        <v>1849</v>
      </c>
      <c r="C809">
        <v>31</v>
      </c>
      <c r="D809" t="s">
        <v>1447</v>
      </c>
      <c r="E809" t="s">
        <v>1853</v>
      </c>
      <c r="F809" t="s">
        <v>1806</v>
      </c>
      <c r="I809" t="str">
        <f>IF(ISBLANK('Q 5'!H99),"",IF('Q 5'!H99="&lt;please select&gt;","",'Q 5'!H99))</f>
        <v/>
      </c>
    </row>
    <row r="810" spans="1:9" x14ac:dyDescent="0.3">
      <c r="A810" t="s">
        <v>1846</v>
      </c>
      <c r="B810" t="s">
        <v>1849</v>
      </c>
      <c r="C810">
        <v>32</v>
      </c>
      <c r="D810" t="s">
        <v>1447</v>
      </c>
      <c r="E810" t="s">
        <v>1853</v>
      </c>
      <c r="F810" t="s">
        <v>1806</v>
      </c>
      <c r="I810" t="str">
        <f>IF(ISBLANK('Q 5'!H100),"",IF('Q 5'!H100="&lt;please select&gt;","",'Q 5'!H100))</f>
        <v/>
      </c>
    </row>
    <row r="811" spans="1:9" x14ac:dyDescent="0.3">
      <c r="A811" t="s">
        <v>1846</v>
      </c>
      <c r="B811" t="s">
        <v>1849</v>
      </c>
      <c r="C811">
        <v>33</v>
      </c>
      <c r="D811" t="s">
        <v>1447</v>
      </c>
      <c r="E811" t="s">
        <v>1853</v>
      </c>
      <c r="F811" t="s">
        <v>1806</v>
      </c>
      <c r="I811" t="str">
        <f>IF(ISBLANK('Q 5'!H101),"",IF('Q 5'!H101="&lt;please select&gt;","",'Q 5'!H101))</f>
        <v/>
      </c>
    </row>
    <row r="812" spans="1:9" x14ac:dyDescent="0.3">
      <c r="A812" t="s">
        <v>1846</v>
      </c>
      <c r="B812" t="s">
        <v>1849</v>
      </c>
      <c r="C812">
        <v>34</v>
      </c>
      <c r="D812" t="s">
        <v>1447</v>
      </c>
      <c r="E812" t="s">
        <v>1853</v>
      </c>
      <c r="F812" t="s">
        <v>1806</v>
      </c>
      <c r="I812" t="str">
        <f>IF(ISBLANK('Q 5'!H102),"",IF('Q 5'!H102="&lt;please select&gt;","",'Q 5'!H102))</f>
        <v/>
      </c>
    </row>
    <row r="813" spans="1:9" x14ac:dyDescent="0.3">
      <c r="A813" t="s">
        <v>1846</v>
      </c>
      <c r="B813" t="s">
        <v>1849</v>
      </c>
      <c r="C813">
        <v>35</v>
      </c>
      <c r="D813" t="s">
        <v>1447</v>
      </c>
      <c r="E813" t="s">
        <v>1853</v>
      </c>
      <c r="F813" t="s">
        <v>1806</v>
      </c>
      <c r="I813" t="str">
        <f>IF(ISBLANK('Q 5'!H103),"",IF('Q 5'!H103="&lt;please select&gt;","",'Q 5'!H103))</f>
        <v/>
      </c>
    </row>
    <row r="814" spans="1:9" x14ac:dyDescent="0.3">
      <c r="A814" t="s">
        <v>1846</v>
      </c>
      <c r="B814" t="s">
        <v>1849</v>
      </c>
      <c r="C814">
        <v>36</v>
      </c>
      <c r="D814" t="s">
        <v>1447</v>
      </c>
      <c r="E814" t="s">
        <v>1853</v>
      </c>
      <c r="F814" t="s">
        <v>1806</v>
      </c>
      <c r="I814" t="str">
        <f>IF(ISBLANK('Q 5'!H104),"",IF('Q 5'!H104="&lt;please select&gt;","",'Q 5'!H104))</f>
        <v/>
      </c>
    </row>
    <row r="815" spans="1:9" x14ac:dyDescent="0.3">
      <c r="A815" t="s">
        <v>1846</v>
      </c>
      <c r="B815" t="s">
        <v>1849</v>
      </c>
      <c r="C815">
        <v>37</v>
      </c>
      <c r="D815" t="s">
        <v>1447</v>
      </c>
      <c r="E815" t="s">
        <v>1853</v>
      </c>
      <c r="F815" t="s">
        <v>1806</v>
      </c>
      <c r="I815" t="str">
        <f>IF(ISBLANK('Q 5'!H105),"",IF('Q 5'!H105="&lt;please select&gt;","",'Q 5'!H105))</f>
        <v/>
      </c>
    </row>
    <row r="816" spans="1:9" x14ac:dyDescent="0.3">
      <c r="A816" t="s">
        <v>1846</v>
      </c>
      <c r="B816" t="s">
        <v>1849</v>
      </c>
      <c r="C816">
        <v>38</v>
      </c>
      <c r="D816" t="s">
        <v>1447</v>
      </c>
      <c r="E816" t="s">
        <v>1853</v>
      </c>
      <c r="F816" t="s">
        <v>1806</v>
      </c>
      <c r="I816" t="str">
        <f>IF(ISBLANK('Q 5'!H106),"",IF('Q 5'!H106="&lt;please select&gt;","",'Q 5'!H106))</f>
        <v/>
      </c>
    </row>
    <row r="817" spans="1:9" x14ac:dyDescent="0.3">
      <c r="A817" t="s">
        <v>1846</v>
      </c>
      <c r="B817" t="s">
        <v>1849</v>
      </c>
      <c r="C817">
        <v>39</v>
      </c>
      <c r="D817" t="s">
        <v>1447</v>
      </c>
      <c r="E817" t="s">
        <v>1853</v>
      </c>
      <c r="F817" t="s">
        <v>1806</v>
      </c>
      <c r="I817" t="str">
        <f>IF(ISBLANK('Q 5'!H107),"",IF('Q 5'!H107="&lt;please select&gt;","",'Q 5'!H107))</f>
        <v/>
      </c>
    </row>
    <row r="818" spans="1:9" x14ac:dyDescent="0.3">
      <c r="A818" t="s">
        <v>1846</v>
      </c>
      <c r="B818" t="s">
        <v>1849</v>
      </c>
      <c r="C818">
        <v>40</v>
      </c>
      <c r="D818" t="s">
        <v>1447</v>
      </c>
      <c r="E818" t="s">
        <v>1853</v>
      </c>
      <c r="F818" t="s">
        <v>1806</v>
      </c>
      <c r="I818" t="str">
        <f>IF(ISBLANK('Q 5'!H108),"",IF('Q 5'!H108="&lt;please select&gt;","",'Q 5'!H108))</f>
        <v/>
      </c>
    </row>
    <row r="819" spans="1:9" x14ac:dyDescent="0.3">
      <c r="A819" t="s">
        <v>1846</v>
      </c>
      <c r="B819" t="s">
        <v>1849</v>
      </c>
      <c r="C819">
        <v>41</v>
      </c>
      <c r="D819" t="s">
        <v>1447</v>
      </c>
      <c r="E819" t="s">
        <v>1853</v>
      </c>
      <c r="F819" t="s">
        <v>1806</v>
      </c>
      <c r="I819" t="str">
        <f>IF(ISBLANK('Q 5'!H109),"",IF('Q 5'!H109="&lt;please select&gt;","",'Q 5'!H109))</f>
        <v/>
      </c>
    </row>
    <row r="820" spans="1:9" x14ac:dyDescent="0.3">
      <c r="A820" t="s">
        <v>1846</v>
      </c>
      <c r="B820" t="s">
        <v>1849</v>
      </c>
      <c r="C820">
        <v>42</v>
      </c>
      <c r="D820" t="s">
        <v>1447</v>
      </c>
      <c r="E820" t="s">
        <v>1853</v>
      </c>
      <c r="F820" t="s">
        <v>1806</v>
      </c>
      <c r="I820" t="str">
        <f>IF(ISBLANK('Q 5'!H110),"",IF('Q 5'!H110="&lt;please select&gt;","",'Q 5'!H110))</f>
        <v/>
      </c>
    </row>
    <row r="821" spans="1:9" x14ac:dyDescent="0.3">
      <c r="A821" t="s">
        <v>1846</v>
      </c>
      <c r="B821" t="s">
        <v>1849</v>
      </c>
      <c r="C821">
        <v>43</v>
      </c>
      <c r="D821" t="s">
        <v>1447</v>
      </c>
      <c r="E821" t="s">
        <v>1853</v>
      </c>
      <c r="F821" t="s">
        <v>1806</v>
      </c>
      <c r="I821" t="str">
        <f>IF(ISBLANK('Q 5'!H111),"",IF('Q 5'!H111="&lt;please select&gt;","",'Q 5'!H111))</f>
        <v/>
      </c>
    </row>
    <row r="822" spans="1:9" x14ac:dyDescent="0.3">
      <c r="A822" t="s">
        <v>1846</v>
      </c>
      <c r="B822" t="s">
        <v>1849</v>
      </c>
      <c r="C822">
        <v>44</v>
      </c>
      <c r="D822" t="s">
        <v>1447</v>
      </c>
      <c r="E822" t="s">
        <v>1853</v>
      </c>
      <c r="F822" t="s">
        <v>1806</v>
      </c>
      <c r="I822" t="str">
        <f>IF(ISBLANK('Q 5'!H112),"",IF('Q 5'!H112="&lt;please select&gt;","",'Q 5'!H112))</f>
        <v/>
      </c>
    </row>
    <row r="823" spans="1:9" x14ac:dyDescent="0.3">
      <c r="A823" t="s">
        <v>1846</v>
      </c>
      <c r="B823" t="s">
        <v>1849</v>
      </c>
      <c r="C823">
        <v>45</v>
      </c>
      <c r="D823" t="s">
        <v>1447</v>
      </c>
      <c r="E823" t="s">
        <v>1853</v>
      </c>
      <c r="F823" t="s">
        <v>1806</v>
      </c>
      <c r="I823" t="str">
        <f>IF(ISBLANK('Q 5'!H113),"",IF('Q 5'!H113="&lt;please select&gt;","",'Q 5'!H113))</f>
        <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
      </c>
    </row>
    <row r="910" spans="1:9" x14ac:dyDescent="0.3">
      <c r="A910" t="s">
        <v>1846</v>
      </c>
      <c r="B910" t="s">
        <v>1849</v>
      </c>
      <c r="C910">
        <v>2</v>
      </c>
      <c r="D910" t="s">
        <v>1447</v>
      </c>
      <c r="E910" t="s">
        <v>1854</v>
      </c>
      <c r="F910" t="s">
        <v>1806</v>
      </c>
      <c r="I910" t="str">
        <f>IF(ISBLANK('Q 5'!I70),"",IF('Q 5'!I70="&lt;please select&gt;","",'Q 5'!I70))</f>
        <v/>
      </c>
    </row>
    <row r="911" spans="1:9" x14ac:dyDescent="0.3">
      <c r="A911" t="s">
        <v>1846</v>
      </c>
      <c r="B911" t="s">
        <v>1849</v>
      </c>
      <c r="C911">
        <v>3</v>
      </c>
      <c r="D911" t="s">
        <v>1447</v>
      </c>
      <c r="E911" t="s">
        <v>1854</v>
      </c>
      <c r="F911" t="s">
        <v>1806</v>
      </c>
      <c r="I911" t="str">
        <f>IF(ISBLANK('Q 5'!I71),"",IF('Q 5'!I71="&lt;please select&gt;","",'Q 5'!I71))</f>
        <v/>
      </c>
    </row>
    <row r="912" spans="1:9" x14ac:dyDescent="0.3">
      <c r="A912" t="s">
        <v>1846</v>
      </c>
      <c r="B912" t="s">
        <v>1849</v>
      </c>
      <c r="C912">
        <v>4</v>
      </c>
      <c r="D912" t="s">
        <v>1447</v>
      </c>
      <c r="E912" t="s">
        <v>1854</v>
      </c>
      <c r="F912" t="s">
        <v>1806</v>
      </c>
      <c r="I912" t="str">
        <f>IF(ISBLANK('Q 5'!I72),"",IF('Q 5'!I72="&lt;please select&gt;","",'Q 5'!I72))</f>
        <v/>
      </c>
    </row>
    <row r="913" spans="1:9" x14ac:dyDescent="0.3">
      <c r="A913" t="s">
        <v>1846</v>
      </c>
      <c r="B913" t="s">
        <v>1849</v>
      </c>
      <c r="C913">
        <v>5</v>
      </c>
      <c r="D913" t="s">
        <v>1447</v>
      </c>
      <c r="E913" t="s">
        <v>1854</v>
      </c>
      <c r="F913" t="s">
        <v>1806</v>
      </c>
      <c r="I913" t="str">
        <f>IF(ISBLANK('Q 5'!I73),"",IF('Q 5'!I73="&lt;please select&gt;","",'Q 5'!I73))</f>
        <v/>
      </c>
    </row>
    <row r="914" spans="1:9" x14ac:dyDescent="0.3">
      <c r="A914" t="s">
        <v>1846</v>
      </c>
      <c r="B914" t="s">
        <v>1849</v>
      </c>
      <c r="C914">
        <v>6</v>
      </c>
      <c r="D914" t="s">
        <v>1447</v>
      </c>
      <c r="E914" t="s">
        <v>1854</v>
      </c>
      <c r="F914" t="s">
        <v>1806</v>
      </c>
      <c r="I914" t="str">
        <f>IF(ISBLANK('Q 5'!I74),"",IF('Q 5'!I74="&lt;please select&gt;","",'Q 5'!I74))</f>
        <v/>
      </c>
    </row>
    <row r="915" spans="1:9" x14ac:dyDescent="0.3">
      <c r="A915" t="s">
        <v>1846</v>
      </c>
      <c r="B915" t="s">
        <v>1849</v>
      </c>
      <c r="C915">
        <v>7</v>
      </c>
      <c r="D915" t="s">
        <v>1447</v>
      </c>
      <c r="E915" t="s">
        <v>1854</v>
      </c>
      <c r="F915" t="s">
        <v>1806</v>
      </c>
      <c r="I915" t="str">
        <f>IF(ISBLANK('Q 5'!I75),"",IF('Q 5'!I75="&lt;please select&gt;","",'Q 5'!I75))</f>
        <v/>
      </c>
    </row>
    <row r="916" spans="1:9" x14ac:dyDescent="0.3">
      <c r="A916" t="s">
        <v>1846</v>
      </c>
      <c r="B916" t="s">
        <v>1849</v>
      </c>
      <c r="C916">
        <v>8</v>
      </c>
      <c r="D916" t="s">
        <v>1447</v>
      </c>
      <c r="E916" t="s">
        <v>1854</v>
      </c>
      <c r="F916" t="s">
        <v>1806</v>
      </c>
      <c r="I916" t="str">
        <f>IF(ISBLANK('Q 5'!I76),"",IF('Q 5'!I76="&lt;please select&gt;","",'Q 5'!I76))</f>
        <v/>
      </c>
    </row>
    <row r="917" spans="1:9" x14ac:dyDescent="0.3">
      <c r="A917" t="s">
        <v>1846</v>
      </c>
      <c r="B917" t="s">
        <v>1849</v>
      </c>
      <c r="C917">
        <v>9</v>
      </c>
      <c r="D917" t="s">
        <v>1447</v>
      </c>
      <c r="E917" t="s">
        <v>1854</v>
      </c>
      <c r="F917" t="s">
        <v>1806</v>
      </c>
      <c r="I917" t="str">
        <f>IF(ISBLANK('Q 5'!I77),"",IF('Q 5'!I77="&lt;please select&gt;","",'Q 5'!I77))</f>
        <v/>
      </c>
    </row>
    <row r="918" spans="1:9" x14ac:dyDescent="0.3">
      <c r="A918" t="s">
        <v>1846</v>
      </c>
      <c r="B918" t="s">
        <v>1849</v>
      </c>
      <c r="C918">
        <v>10</v>
      </c>
      <c r="D918" t="s">
        <v>1447</v>
      </c>
      <c r="E918" t="s">
        <v>1854</v>
      </c>
      <c r="F918" t="s">
        <v>1806</v>
      </c>
      <c r="I918" t="str">
        <f>IF(ISBLANK('Q 5'!I78),"",IF('Q 5'!I78="&lt;please select&gt;","",'Q 5'!I78))</f>
        <v/>
      </c>
    </row>
    <row r="919" spans="1:9" x14ac:dyDescent="0.3">
      <c r="A919" t="s">
        <v>1846</v>
      </c>
      <c r="B919" t="s">
        <v>1849</v>
      </c>
      <c r="C919">
        <v>11</v>
      </c>
      <c r="D919" t="s">
        <v>1447</v>
      </c>
      <c r="E919" t="s">
        <v>1854</v>
      </c>
      <c r="F919" t="s">
        <v>1806</v>
      </c>
      <c r="I919" t="str">
        <f>IF(ISBLANK('Q 5'!I79),"",IF('Q 5'!I79="&lt;please select&gt;","",'Q 5'!I79))</f>
        <v/>
      </c>
    </row>
    <row r="920" spans="1:9" x14ac:dyDescent="0.3">
      <c r="A920" t="s">
        <v>1846</v>
      </c>
      <c r="B920" t="s">
        <v>1849</v>
      </c>
      <c r="C920">
        <v>12</v>
      </c>
      <c r="D920" t="s">
        <v>1447</v>
      </c>
      <c r="E920" t="s">
        <v>1854</v>
      </c>
      <c r="F920" t="s">
        <v>1806</v>
      </c>
      <c r="I920" t="str">
        <f>IF(ISBLANK('Q 5'!I80),"",IF('Q 5'!I80="&lt;please select&gt;","",'Q 5'!I80))</f>
        <v/>
      </c>
    </row>
    <row r="921" spans="1:9" x14ac:dyDescent="0.3">
      <c r="A921" t="s">
        <v>1846</v>
      </c>
      <c r="B921" t="s">
        <v>1849</v>
      </c>
      <c r="C921">
        <v>13</v>
      </c>
      <c r="D921" t="s">
        <v>1447</v>
      </c>
      <c r="E921" t="s">
        <v>1854</v>
      </c>
      <c r="F921" t="s">
        <v>1806</v>
      </c>
      <c r="I921" t="str">
        <f>IF(ISBLANK('Q 5'!I81),"",IF('Q 5'!I81="&lt;please select&gt;","",'Q 5'!I81))</f>
        <v/>
      </c>
    </row>
    <row r="922" spans="1:9" x14ac:dyDescent="0.3">
      <c r="A922" t="s">
        <v>1846</v>
      </c>
      <c r="B922" t="s">
        <v>1849</v>
      </c>
      <c r="C922">
        <v>14</v>
      </c>
      <c r="D922" t="s">
        <v>1447</v>
      </c>
      <c r="E922" t="s">
        <v>1854</v>
      </c>
      <c r="F922" t="s">
        <v>1806</v>
      </c>
      <c r="I922" t="str">
        <f>IF(ISBLANK('Q 5'!I82),"",IF('Q 5'!I82="&lt;please select&gt;","",'Q 5'!I82))</f>
        <v>6625189.38944748</v>
      </c>
    </row>
    <row r="923" spans="1:9" x14ac:dyDescent="0.3">
      <c r="A923" t="s">
        <v>1846</v>
      </c>
      <c r="B923" t="s">
        <v>1849</v>
      </c>
      <c r="C923">
        <v>15</v>
      </c>
      <c r="D923" t="s">
        <v>1447</v>
      </c>
      <c r="E923" t="s">
        <v>1854</v>
      </c>
      <c r="F923" t="s">
        <v>1806</v>
      </c>
      <c r="I923" t="str">
        <f>IF(ISBLANK('Q 5'!I83),"",IF('Q 5'!I83="&lt;please select&gt;","",'Q 5'!I83))</f>
        <v>1852738.56500981</v>
      </c>
    </row>
    <row r="924" spans="1:9" x14ac:dyDescent="0.3">
      <c r="A924" t="s">
        <v>1846</v>
      </c>
      <c r="B924" t="s">
        <v>1849</v>
      </c>
      <c r="C924">
        <v>16</v>
      </c>
      <c r="D924" t="s">
        <v>1447</v>
      </c>
      <c r="E924" t="s">
        <v>1854</v>
      </c>
      <c r="F924" t="s">
        <v>1806</v>
      </c>
      <c r="I924" t="str">
        <f>IF(ISBLANK('Q 5'!I84),"",IF('Q 5'!I84="&lt;please select&gt;","",'Q 5'!I84))</f>
        <v>496065.726877697</v>
      </c>
    </row>
    <row r="925" spans="1:9" x14ac:dyDescent="0.3">
      <c r="A925" t="s">
        <v>1846</v>
      </c>
      <c r="B925" t="s">
        <v>1849</v>
      </c>
      <c r="C925">
        <v>17</v>
      </c>
      <c r="D925" t="s">
        <v>1447</v>
      </c>
      <c r="E925" t="s">
        <v>1854</v>
      </c>
      <c r="F925" t="s">
        <v>1806</v>
      </c>
      <c r="I925" t="str">
        <f>IF(ISBLANK('Q 5'!I85),"",IF('Q 5'!I85="&lt;please select&gt;","",'Q 5'!I85))</f>
        <v>161936.314385673</v>
      </c>
    </row>
    <row r="926" spans="1:9" x14ac:dyDescent="0.3">
      <c r="A926" t="s">
        <v>1846</v>
      </c>
      <c r="B926" t="s">
        <v>1849</v>
      </c>
      <c r="C926">
        <v>18</v>
      </c>
      <c r="D926" t="s">
        <v>1447</v>
      </c>
      <c r="E926" t="s">
        <v>1854</v>
      </c>
      <c r="F926" t="s">
        <v>1806</v>
      </c>
      <c r="I926" t="str">
        <f>IF(ISBLANK('Q 5'!I86),"",IF('Q 5'!I86="&lt;please select&gt;","",'Q 5'!I86))</f>
        <v>1569232.28923711</v>
      </c>
    </row>
    <row r="927" spans="1:9" x14ac:dyDescent="0.3">
      <c r="A927" t="s">
        <v>1846</v>
      </c>
      <c r="B927" t="s">
        <v>1849</v>
      </c>
      <c r="C927">
        <v>19</v>
      </c>
      <c r="D927" t="s">
        <v>1447</v>
      </c>
      <c r="E927" t="s">
        <v>1854</v>
      </c>
      <c r="F927" t="s">
        <v>1806</v>
      </c>
      <c r="I927" t="str">
        <f>IF(ISBLANK('Q 5'!I87),"",IF('Q 5'!I87="&lt;please select&gt;","",'Q 5'!I87))</f>
        <v>462480.577954234</v>
      </c>
    </row>
    <row r="928" spans="1:9" x14ac:dyDescent="0.3">
      <c r="A928" t="s">
        <v>1846</v>
      </c>
      <c r="B928" t="s">
        <v>1849</v>
      </c>
      <c r="C928">
        <v>20</v>
      </c>
      <c r="D928" t="s">
        <v>1447</v>
      </c>
      <c r="E928" t="s">
        <v>1854</v>
      </c>
      <c r="F928" t="s">
        <v>1806</v>
      </c>
      <c r="I928" t="str">
        <f>IF(ISBLANK('Q 5'!I88),"",IF('Q 5'!I88="&lt;please select&gt;","",'Q 5'!I88))</f>
        <v>24391.9551731889</v>
      </c>
    </row>
    <row r="929" spans="1:9" x14ac:dyDescent="0.3">
      <c r="A929" t="s">
        <v>1846</v>
      </c>
      <c r="B929" t="s">
        <v>1849</v>
      </c>
      <c r="C929">
        <v>21</v>
      </c>
      <c r="D929" t="s">
        <v>1447</v>
      </c>
      <c r="E929" t="s">
        <v>1854</v>
      </c>
      <c r="F929" t="s">
        <v>1806</v>
      </c>
      <c r="I929" t="str">
        <f>IF(ISBLANK('Q 5'!I89),"",IF('Q 5'!I89="&lt;please select&gt;","",'Q 5'!I89))</f>
        <v>111059.14353145</v>
      </c>
    </row>
    <row r="930" spans="1:9" x14ac:dyDescent="0.3">
      <c r="A930" t="s">
        <v>1846</v>
      </c>
      <c r="B930" t="s">
        <v>1849</v>
      </c>
      <c r="C930">
        <v>22</v>
      </c>
      <c r="D930" t="s">
        <v>1447</v>
      </c>
      <c r="E930" t="s">
        <v>1854</v>
      </c>
      <c r="F930" t="s">
        <v>1806</v>
      </c>
      <c r="I930" t="str">
        <f>IF(ISBLANK('Q 5'!I90),"",IF('Q 5'!I90="&lt;please select&gt;","",'Q 5'!I90))</f>
        <v>786.034579515991</v>
      </c>
    </row>
    <row r="931" spans="1:9" x14ac:dyDescent="0.3">
      <c r="A931" t="s">
        <v>1846</v>
      </c>
      <c r="B931" t="s">
        <v>1849</v>
      </c>
      <c r="C931">
        <v>23</v>
      </c>
      <c r="D931" t="s">
        <v>1447</v>
      </c>
      <c r="E931" t="s">
        <v>1854</v>
      </c>
      <c r="F931" t="s">
        <v>1806</v>
      </c>
      <c r="I931" t="str">
        <f>IF(ISBLANK('Q 5'!I91),"",IF('Q 5'!I91="&lt;please select&gt;","",'Q 5'!I91))</f>
        <v>6847.96139042728</v>
      </c>
    </row>
    <row r="932" spans="1:9" x14ac:dyDescent="0.3">
      <c r="A932" t="s">
        <v>1846</v>
      </c>
      <c r="B932" t="s">
        <v>1849</v>
      </c>
      <c r="C932">
        <v>24</v>
      </c>
      <c r="D932" t="s">
        <v>1447</v>
      </c>
      <c r="E932" t="s">
        <v>1854</v>
      </c>
      <c r="F932" t="s">
        <v>1806</v>
      </c>
      <c r="I932" t="str">
        <f>IF(ISBLANK('Q 5'!I92),"",IF('Q 5'!I92="&lt;please select&gt;","",'Q 5'!I92))</f>
        <v>262352.850768771</v>
      </c>
    </row>
    <row r="933" spans="1:9" x14ac:dyDescent="0.3">
      <c r="A933" t="s">
        <v>1846</v>
      </c>
      <c r="B933" t="s">
        <v>1849</v>
      </c>
      <c r="C933">
        <v>25</v>
      </c>
      <c r="D933" t="s">
        <v>1447</v>
      </c>
      <c r="E933" t="s">
        <v>1854</v>
      </c>
      <c r="F933" t="s">
        <v>1806</v>
      </c>
      <c r="I933" t="str">
        <f>IF(ISBLANK('Q 5'!I93),"",IF('Q 5'!I93="&lt;please select&gt;","",'Q 5'!I93))</f>
        <v>151590.371751767</v>
      </c>
    </row>
    <row r="934" spans="1:9" x14ac:dyDescent="0.3">
      <c r="A934" t="s">
        <v>1846</v>
      </c>
      <c r="B934" t="s">
        <v>1849</v>
      </c>
      <c r="C934">
        <v>26</v>
      </c>
      <c r="D934" t="s">
        <v>1447</v>
      </c>
      <c r="E934" t="s">
        <v>1854</v>
      </c>
      <c r="F934" t="s">
        <v>1806</v>
      </c>
      <c r="I934" t="str">
        <f>IF(ISBLANK('Q 5'!I94),"",IF('Q 5'!I94="&lt;please select&gt;","",'Q 5'!I94))</f>
        <v>4273671.38837705</v>
      </c>
    </row>
    <row r="935" spans="1:9" x14ac:dyDescent="0.3">
      <c r="A935" t="s">
        <v>1846</v>
      </c>
      <c r="B935" t="s">
        <v>1849</v>
      </c>
      <c r="C935">
        <v>27</v>
      </c>
      <c r="D935" t="s">
        <v>1447</v>
      </c>
      <c r="E935" t="s">
        <v>1854</v>
      </c>
      <c r="F935" t="s">
        <v>1806</v>
      </c>
      <c r="I935" t="str">
        <f>IF(ISBLANK('Q 5'!I95),"",IF('Q 5'!I95="&lt;please select&gt;","",'Q 5'!I95))</f>
        <v>14467076.4189389</v>
      </c>
    </row>
    <row r="936" spans="1:9" x14ac:dyDescent="0.3">
      <c r="A936" t="s">
        <v>1846</v>
      </c>
      <c r="B936" t="s">
        <v>1849</v>
      </c>
      <c r="C936">
        <v>28</v>
      </c>
      <c r="D936" t="s">
        <v>1447</v>
      </c>
      <c r="E936" t="s">
        <v>1854</v>
      </c>
      <c r="F936" t="s">
        <v>1806</v>
      </c>
      <c r="I936" t="str">
        <f>IF(ISBLANK('Q 5'!I96),"",IF('Q 5'!I96="&lt;please select&gt;","",'Q 5'!I96))</f>
        <v>487017.253374445</v>
      </c>
    </row>
    <row r="937" spans="1:9" x14ac:dyDescent="0.3">
      <c r="A937" t="s">
        <v>1846</v>
      </c>
      <c r="B937" t="s">
        <v>1849</v>
      </c>
      <c r="C937">
        <v>29</v>
      </c>
      <c r="D937" t="s">
        <v>1447</v>
      </c>
      <c r="E937" t="s">
        <v>1854</v>
      </c>
      <c r="F937" t="s">
        <v>1806</v>
      </c>
      <c r="I937" t="str">
        <f>IF(ISBLANK('Q 5'!I97),"",IF('Q 5'!I97="&lt;please select&gt;","",'Q 5'!I97))</f>
        <v>779141.92066014</v>
      </c>
    </row>
    <row r="938" spans="1:9" x14ac:dyDescent="0.3">
      <c r="A938" t="s">
        <v>1846</v>
      </c>
      <c r="B938" t="s">
        <v>1849</v>
      </c>
      <c r="C938">
        <v>30</v>
      </c>
      <c r="D938" t="s">
        <v>1447</v>
      </c>
      <c r="E938" t="s">
        <v>1854</v>
      </c>
      <c r="F938" t="s">
        <v>1806</v>
      </c>
      <c r="I938" t="str">
        <f>IF(ISBLANK('Q 5'!I98),"",IF('Q 5'!I98="&lt;please select&gt;","",'Q 5'!I98))</f>
        <v>74411.5174390547</v>
      </c>
    </row>
    <row r="939" spans="1:9" x14ac:dyDescent="0.3">
      <c r="A939" t="s">
        <v>1846</v>
      </c>
      <c r="B939" t="s">
        <v>1849</v>
      </c>
      <c r="C939">
        <v>31</v>
      </c>
      <c r="D939" t="s">
        <v>1447</v>
      </c>
      <c r="E939" t="s">
        <v>1854</v>
      </c>
      <c r="F939" t="s">
        <v>1806</v>
      </c>
      <c r="I939" t="str">
        <f>IF(ISBLANK('Q 5'!I99),"",IF('Q 5'!I99="&lt;please select&gt;","",'Q 5'!I99))</f>
        <v>11692.5239853329</v>
      </c>
    </row>
    <row r="940" spans="1:9" x14ac:dyDescent="0.3">
      <c r="A940" t="s">
        <v>1846</v>
      </c>
      <c r="B940" t="s">
        <v>1849</v>
      </c>
      <c r="C940">
        <v>32</v>
      </c>
      <c r="D940" t="s">
        <v>1447</v>
      </c>
      <c r="E940" t="s">
        <v>1854</v>
      </c>
      <c r="F940" t="s">
        <v>1806</v>
      </c>
      <c r="I940" t="str">
        <f>IF(ISBLANK('Q 5'!I100),"",IF('Q 5'!I100="&lt;please select&gt;","",'Q 5'!I100))</f>
        <v>4331.48120591019</v>
      </c>
    </row>
    <row r="941" spans="1:9" x14ac:dyDescent="0.3">
      <c r="A941" t="s">
        <v>1846</v>
      </c>
      <c r="B941" t="s">
        <v>1849</v>
      </c>
      <c r="C941">
        <v>33</v>
      </c>
      <c r="D941" t="s">
        <v>1447</v>
      </c>
      <c r="E941" t="s">
        <v>1854</v>
      </c>
      <c r="F941" t="s">
        <v>1806</v>
      </c>
      <c r="I941" t="str">
        <f>IF(ISBLANK('Q 5'!I101),"",IF('Q 5'!I101="&lt;please select&gt;","",'Q 5'!I101))</f>
        <v>57211.3008012536</v>
      </c>
    </row>
    <row r="942" spans="1:9" x14ac:dyDescent="0.3">
      <c r="A942" t="s">
        <v>1846</v>
      </c>
      <c r="B942" t="s">
        <v>1849</v>
      </c>
      <c r="C942">
        <v>34</v>
      </c>
      <c r="D942" t="s">
        <v>1447</v>
      </c>
      <c r="E942" t="s">
        <v>1854</v>
      </c>
      <c r="F942" t="s">
        <v>1806</v>
      </c>
      <c r="I942" t="str">
        <f>IF(ISBLANK('Q 5'!I102),"",IF('Q 5'!I102="&lt;please select&gt;","",'Q 5'!I102))</f>
        <v/>
      </c>
    </row>
    <row r="943" spans="1:9" x14ac:dyDescent="0.3">
      <c r="A943" t="s">
        <v>1846</v>
      </c>
      <c r="B943" t="s">
        <v>1849</v>
      </c>
      <c r="C943">
        <v>35</v>
      </c>
      <c r="D943" t="s">
        <v>1447</v>
      </c>
      <c r="E943" t="s">
        <v>1854</v>
      </c>
      <c r="F943" t="s">
        <v>1806</v>
      </c>
      <c r="I943" t="str">
        <f>IF(ISBLANK('Q 5'!I103),"",IF('Q 5'!I103="&lt;please select&gt;","",'Q 5'!I103))</f>
        <v/>
      </c>
    </row>
    <row r="944" spans="1:9" x14ac:dyDescent="0.3">
      <c r="A944" t="s">
        <v>1846</v>
      </c>
      <c r="B944" t="s">
        <v>1849</v>
      </c>
      <c r="C944">
        <v>36</v>
      </c>
      <c r="D944" t="s">
        <v>1447</v>
      </c>
      <c r="E944" t="s">
        <v>1854</v>
      </c>
      <c r="F944" t="s">
        <v>1806</v>
      </c>
      <c r="I944" t="str">
        <f>IF(ISBLANK('Q 5'!I104),"",IF('Q 5'!I104="&lt;please select&gt;","",'Q 5'!I104))</f>
        <v/>
      </c>
    </row>
    <row r="945" spans="1:9" x14ac:dyDescent="0.3">
      <c r="A945" t="s">
        <v>1846</v>
      </c>
      <c r="B945" t="s">
        <v>1849</v>
      </c>
      <c r="C945">
        <v>37</v>
      </c>
      <c r="D945" t="s">
        <v>1447</v>
      </c>
      <c r="E945" t="s">
        <v>1854</v>
      </c>
      <c r="F945" t="s">
        <v>1806</v>
      </c>
      <c r="I945" t="str">
        <f>IF(ISBLANK('Q 5'!I105),"",IF('Q 5'!I105="&lt;please select&gt;","",'Q 5'!I105))</f>
        <v/>
      </c>
    </row>
    <row r="946" spans="1:9" x14ac:dyDescent="0.3">
      <c r="A946" t="s">
        <v>1846</v>
      </c>
      <c r="B946" t="s">
        <v>1849</v>
      </c>
      <c r="C946">
        <v>38</v>
      </c>
      <c r="D946" t="s">
        <v>1447</v>
      </c>
      <c r="E946" t="s">
        <v>1854</v>
      </c>
      <c r="F946" t="s">
        <v>1806</v>
      </c>
      <c r="I946" t="str">
        <f>IF(ISBLANK('Q 5'!I106),"",IF('Q 5'!I106="&lt;please select&gt;","",'Q 5'!I106))</f>
        <v/>
      </c>
    </row>
    <row r="947" spans="1:9" x14ac:dyDescent="0.3">
      <c r="A947" t="s">
        <v>1846</v>
      </c>
      <c r="B947" t="s">
        <v>1849</v>
      </c>
      <c r="C947">
        <v>39</v>
      </c>
      <c r="D947" t="s">
        <v>1447</v>
      </c>
      <c r="E947" t="s">
        <v>1854</v>
      </c>
      <c r="F947" t="s">
        <v>1806</v>
      </c>
      <c r="I947" t="str">
        <f>IF(ISBLANK('Q 5'!I107),"",IF('Q 5'!I107="&lt;please select&gt;","",'Q 5'!I107))</f>
        <v/>
      </c>
    </row>
    <row r="948" spans="1:9" x14ac:dyDescent="0.3">
      <c r="A948" t="s">
        <v>1846</v>
      </c>
      <c r="B948" t="s">
        <v>1849</v>
      </c>
      <c r="C948">
        <v>40</v>
      </c>
      <c r="D948" t="s">
        <v>1447</v>
      </c>
      <c r="E948" t="s">
        <v>1854</v>
      </c>
      <c r="F948" t="s">
        <v>1806</v>
      </c>
      <c r="I948" t="str">
        <f>IF(ISBLANK('Q 5'!I108),"",IF('Q 5'!I108="&lt;please select&gt;","",'Q 5'!I108))</f>
        <v/>
      </c>
    </row>
    <row r="949" spans="1:9" x14ac:dyDescent="0.3">
      <c r="A949" t="s">
        <v>1846</v>
      </c>
      <c r="B949" t="s">
        <v>1849</v>
      </c>
      <c r="C949">
        <v>41</v>
      </c>
      <c r="D949" t="s">
        <v>1447</v>
      </c>
      <c r="E949" t="s">
        <v>1854</v>
      </c>
      <c r="F949" t="s">
        <v>1806</v>
      </c>
      <c r="I949" t="str">
        <f>IF(ISBLANK('Q 5'!I109),"",IF('Q 5'!I109="&lt;please select&gt;","",'Q 5'!I109))</f>
        <v/>
      </c>
    </row>
    <row r="950" spans="1:9" x14ac:dyDescent="0.3">
      <c r="A950" t="s">
        <v>1846</v>
      </c>
      <c r="B950" t="s">
        <v>1849</v>
      </c>
      <c r="C950">
        <v>42</v>
      </c>
      <c r="D950" t="s">
        <v>1447</v>
      </c>
      <c r="E950" t="s">
        <v>1854</v>
      </c>
      <c r="F950" t="s">
        <v>1806</v>
      </c>
      <c r="I950" t="str">
        <f>IF(ISBLANK('Q 5'!I110),"",IF('Q 5'!I110="&lt;please select&gt;","",'Q 5'!I110))</f>
        <v/>
      </c>
    </row>
    <row r="951" spans="1:9" x14ac:dyDescent="0.3">
      <c r="A951" t="s">
        <v>1846</v>
      </c>
      <c r="B951" t="s">
        <v>1849</v>
      </c>
      <c r="C951">
        <v>43</v>
      </c>
      <c r="D951" t="s">
        <v>1447</v>
      </c>
      <c r="E951" t="s">
        <v>1854</v>
      </c>
      <c r="F951" t="s">
        <v>1806</v>
      </c>
      <c r="I951" t="str">
        <f>IF(ISBLANK('Q 5'!I111),"",IF('Q 5'!I111="&lt;please select&gt;","",'Q 5'!I111))</f>
        <v/>
      </c>
    </row>
    <row r="952" spans="1:9" x14ac:dyDescent="0.3">
      <c r="A952" t="s">
        <v>1846</v>
      </c>
      <c r="B952" t="s">
        <v>1849</v>
      </c>
      <c r="C952">
        <v>44</v>
      </c>
      <c r="D952" t="s">
        <v>1447</v>
      </c>
      <c r="E952" t="s">
        <v>1854</v>
      </c>
      <c r="F952" t="s">
        <v>1806</v>
      </c>
      <c r="I952" t="str">
        <f>IF(ISBLANK('Q 5'!I112),"",IF('Q 5'!I112="&lt;please select&gt;","",'Q 5'!I112))</f>
        <v/>
      </c>
    </row>
    <row r="953" spans="1:9" x14ac:dyDescent="0.3">
      <c r="A953" t="s">
        <v>1846</v>
      </c>
      <c r="B953" t="s">
        <v>1849</v>
      </c>
      <c r="C953">
        <v>45</v>
      </c>
      <c r="D953" t="s">
        <v>1447</v>
      </c>
      <c r="E953" t="s">
        <v>1854</v>
      </c>
      <c r="F953" t="s">
        <v>1806</v>
      </c>
      <c r="I953" t="str">
        <f>IF(ISBLANK('Q 5'!I113),"",IF('Q 5'!I113="&lt;please select&gt;","",'Q 5'!I113))</f>
        <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
      </c>
    </row>
    <row r="1040" spans="1:11" x14ac:dyDescent="0.3">
      <c r="A1040" t="s">
        <v>1847</v>
      </c>
      <c r="B1040" t="s">
        <v>1855</v>
      </c>
      <c r="C1040">
        <v>2</v>
      </c>
      <c r="D1040" t="s">
        <v>1447</v>
      </c>
      <c r="E1040" t="s">
        <v>1856</v>
      </c>
      <c r="F1040" t="s">
        <v>1737</v>
      </c>
      <c r="K1040" t="str">
        <f>IF(ISBLANK('Q 5'!C204),"",IF('Q 5'!C204="&lt;please select&gt;","",'Q 5'!C204))</f>
        <v/>
      </c>
    </row>
    <row r="1041" spans="1:11" x14ac:dyDescent="0.3">
      <c r="A1041" t="s">
        <v>1847</v>
      </c>
      <c r="B1041" t="s">
        <v>1855</v>
      </c>
      <c r="C1041">
        <v>3</v>
      </c>
      <c r="D1041" t="s">
        <v>1447</v>
      </c>
      <c r="E1041" t="s">
        <v>1856</v>
      </c>
      <c r="F1041" t="s">
        <v>1737</v>
      </c>
      <c r="K1041" t="str">
        <f>IF(ISBLANK('Q 5'!C205),"",IF('Q 5'!C205="&lt;please select&gt;","",'Q 5'!C205))</f>
        <v/>
      </c>
    </row>
    <row r="1042" spans="1:11" x14ac:dyDescent="0.3">
      <c r="A1042" t="s">
        <v>1847</v>
      </c>
      <c r="B1042" t="s">
        <v>1855</v>
      </c>
      <c r="C1042">
        <v>4</v>
      </c>
      <c r="D1042" t="s">
        <v>1447</v>
      </c>
      <c r="E1042" t="s">
        <v>1856</v>
      </c>
      <c r="F1042" t="s">
        <v>1737</v>
      </c>
      <c r="K1042" t="str">
        <f>IF(ISBLANK('Q 5'!C206),"",IF('Q 5'!C206="&lt;please select&gt;","",'Q 5'!C206))</f>
        <v/>
      </c>
    </row>
    <row r="1043" spans="1:11" x14ac:dyDescent="0.3">
      <c r="A1043" t="s">
        <v>1847</v>
      </c>
      <c r="B1043" t="s">
        <v>1855</v>
      </c>
      <c r="C1043">
        <v>5</v>
      </c>
      <c r="D1043" t="s">
        <v>1447</v>
      </c>
      <c r="E1043" t="s">
        <v>1856</v>
      </c>
      <c r="F1043" t="s">
        <v>1737</v>
      </c>
      <c r="K1043" t="str">
        <f>IF(ISBLANK('Q 5'!C207),"",IF('Q 5'!C207="&lt;please select&gt;","",'Q 5'!C207))</f>
        <v/>
      </c>
    </row>
    <row r="1044" spans="1:11" x14ac:dyDescent="0.3">
      <c r="A1044" t="s">
        <v>1847</v>
      </c>
      <c r="B1044" t="s">
        <v>1855</v>
      </c>
      <c r="C1044">
        <v>6</v>
      </c>
      <c r="D1044" t="s">
        <v>1447</v>
      </c>
      <c r="E1044" t="s">
        <v>1856</v>
      </c>
      <c r="F1044" t="s">
        <v>1737</v>
      </c>
      <c r="K1044" t="str">
        <f>IF(ISBLANK('Q 5'!C208),"",IF('Q 5'!C208="&lt;please select&gt;","",'Q 5'!C208))</f>
        <v/>
      </c>
    </row>
    <row r="1045" spans="1:11" x14ac:dyDescent="0.3">
      <c r="A1045" t="s">
        <v>1847</v>
      </c>
      <c r="B1045" t="s">
        <v>1855</v>
      </c>
      <c r="C1045">
        <v>7</v>
      </c>
      <c r="D1045" t="s">
        <v>1447</v>
      </c>
      <c r="E1045" t="s">
        <v>1856</v>
      </c>
      <c r="F1045" t="s">
        <v>1737</v>
      </c>
      <c r="K1045" t="str">
        <f>IF(ISBLANK('Q 5'!C209),"",IF('Q 5'!C209="&lt;please select&gt;","",'Q 5'!C209))</f>
        <v/>
      </c>
    </row>
    <row r="1046" spans="1:11" x14ac:dyDescent="0.3">
      <c r="A1046" t="s">
        <v>1847</v>
      </c>
      <c r="B1046" t="s">
        <v>1855</v>
      </c>
      <c r="C1046">
        <v>8</v>
      </c>
      <c r="D1046" t="s">
        <v>1447</v>
      </c>
      <c r="E1046" t="s">
        <v>1856</v>
      </c>
      <c r="F1046" t="s">
        <v>1737</v>
      </c>
      <c r="K1046" t="str">
        <f>IF(ISBLANK('Q 5'!C210),"",IF('Q 5'!C210="&lt;please select&gt;","",'Q 5'!C210))</f>
        <v/>
      </c>
    </row>
    <row r="1047" spans="1:11" x14ac:dyDescent="0.3">
      <c r="A1047" t="s">
        <v>1847</v>
      </c>
      <c r="B1047" t="s">
        <v>1855</v>
      </c>
      <c r="C1047">
        <v>9</v>
      </c>
      <c r="D1047" t="s">
        <v>1447</v>
      </c>
      <c r="E1047" t="s">
        <v>1856</v>
      </c>
      <c r="F1047" t="s">
        <v>1737</v>
      </c>
      <c r="K1047" t="str">
        <f>IF(ISBLANK('Q 5'!C211),"",IF('Q 5'!C211="&lt;please select&gt;","",'Q 5'!C211))</f>
        <v/>
      </c>
    </row>
    <row r="1048" spans="1:11" x14ac:dyDescent="0.3">
      <c r="A1048" t="s">
        <v>1847</v>
      </c>
      <c r="B1048" t="s">
        <v>1855</v>
      </c>
      <c r="C1048">
        <v>10</v>
      </c>
      <c r="D1048" t="s">
        <v>1447</v>
      </c>
      <c r="E1048" t="s">
        <v>1856</v>
      </c>
      <c r="F1048" t="s">
        <v>1737</v>
      </c>
      <c r="K1048" t="str">
        <f>IF(ISBLANK('Q 5'!C212),"",IF('Q 5'!C212="&lt;please select&gt;","",'Q 5'!C212))</f>
        <v/>
      </c>
    </row>
    <row r="1049" spans="1:11" x14ac:dyDescent="0.3">
      <c r="A1049" t="s">
        <v>1847</v>
      </c>
      <c r="B1049" t="s">
        <v>1855</v>
      </c>
      <c r="C1049">
        <v>11</v>
      </c>
      <c r="D1049" t="s">
        <v>1447</v>
      </c>
      <c r="E1049" t="s">
        <v>1856</v>
      </c>
      <c r="F1049" t="s">
        <v>1737</v>
      </c>
      <c r="K1049" t="str">
        <f>IF(ISBLANK('Q 5'!C213),"",IF('Q 5'!C213="&lt;please select&gt;","",'Q 5'!C213))</f>
        <v/>
      </c>
    </row>
    <row r="1050" spans="1:11" x14ac:dyDescent="0.3">
      <c r="A1050" t="s">
        <v>1847</v>
      </c>
      <c r="B1050" t="s">
        <v>1855</v>
      </c>
      <c r="C1050">
        <v>12</v>
      </c>
      <c r="D1050" t="s">
        <v>1447</v>
      </c>
      <c r="E1050" t="s">
        <v>1856</v>
      </c>
      <c r="F1050" t="s">
        <v>1737</v>
      </c>
      <c r="K1050" t="str">
        <f>IF(ISBLANK('Q 5'!C214),"",IF('Q 5'!C214="&lt;please select&gt;","",'Q 5'!C214))</f>
        <v/>
      </c>
    </row>
    <row r="1051" spans="1:11" x14ac:dyDescent="0.3">
      <c r="A1051" t="s">
        <v>1847</v>
      </c>
      <c r="B1051" t="s">
        <v>1855</v>
      </c>
      <c r="C1051">
        <v>13</v>
      </c>
      <c r="D1051" t="s">
        <v>1447</v>
      </c>
      <c r="E1051" t="s">
        <v>1856</v>
      </c>
      <c r="F1051" t="s">
        <v>1737</v>
      </c>
      <c r="K1051" t="str">
        <f>IF(ISBLANK('Q 5'!C215),"",IF('Q 5'!C215="&lt;please select&gt;","",'Q 5'!C215))</f>
        <v/>
      </c>
    </row>
    <row r="1052" spans="1:11" x14ac:dyDescent="0.3">
      <c r="A1052" t="s">
        <v>1847</v>
      </c>
      <c r="B1052" t="s">
        <v>1855</v>
      </c>
      <c r="C1052">
        <v>14</v>
      </c>
      <c r="D1052" t="s">
        <v>1447</v>
      </c>
      <c r="E1052" t="s">
        <v>1856</v>
      </c>
      <c r="F1052" t="s">
        <v>1737</v>
      </c>
      <c r="K1052" t="str">
        <f>IF(ISBLANK('Q 5'!C216),"",IF('Q 5'!C216="&lt;please select&gt;","",'Q 5'!C216))</f>
        <v/>
      </c>
    </row>
    <row r="1053" spans="1:11" x14ac:dyDescent="0.3">
      <c r="A1053" t="s">
        <v>1847</v>
      </c>
      <c r="B1053" t="s">
        <v>1855</v>
      </c>
      <c r="C1053">
        <v>15</v>
      </c>
      <c r="D1053" t="s">
        <v>1447</v>
      </c>
      <c r="E1053" t="s">
        <v>1856</v>
      </c>
      <c r="F1053" t="s">
        <v>1737</v>
      </c>
      <c r="K1053" t="str">
        <f>IF(ISBLANK('Q 5'!C217),"",IF('Q 5'!C217="&lt;please select&gt;","",'Q 5'!C217))</f>
        <v/>
      </c>
    </row>
    <row r="1054" spans="1:11" x14ac:dyDescent="0.3">
      <c r="A1054" t="s">
        <v>1847</v>
      </c>
      <c r="B1054" t="s">
        <v>1855</v>
      </c>
      <c r="C1054">
        <v>16</v>
      </c>
      <c r="D1054" t="s">
        <v>1447</v>
      </c>
      <c r="E1054" t="s">
        <v>1856</v>
      </c>
      <c r="F1054" t="s">
        <v>1737</v>
      </c>
      <c r="K1054" t="str">
        <f>IF(ISBLANK('Q 5'!C218),"",IF('Q 5'!C218="&lt;please select&gt;","",'Q 5'!C218))</f>
        <v/>
      </c>
    </row>
    <row r="1055" spans="1:11" x14ac:dyDescent="0.3">
      <c r="A1055" t="s">
        <v>1847</v>
      </c>
      <c r="B1055" t="s">
        <v>1855</v>
      </c>
      <c r="C1055">
        <v>17</v>
      </c>
      <c r="D1055" t="s">
        <v>1447</v>
      </c>
      <c r="E1055" t="s">
        <v>1856</v>
      </c>
      <c r="F1055" t="s">
        <v>1737</v>
      </c>
      <c r="K1055" t="str">
        <f>IF(ISBLANK('Q 5'!C219),"",IF('Q 5'!C219="&lt;please select&gt;","",'Q 5'!C219))</f>
        <v/>
      </c>
    </row>
    <row r="1056" spans="1:11" x14ac:dyDescent="0.3">
      <c r="A1056" t="s">
        <v>1847</v>
      </c>
      <c r="B1056" t="s">
        <v>1855</v>
      </c>
      <c r="C1056">
        <v>18</v>
      </c>
      <c r="D1056" t="s">
        <v>1447</v>
      </c>
      <c r="E1056" t="s">
        <v>1856</v>
      </c>
      <c r="F1056" t="s">
        <v>1737</v>
      </c>
      <c r="K1056" t="str">
        <f>IF(ISBLANK('Q 5'!C220),"",IF('Q 5'!C220="&lt;please select&gt;","",'Q 5'!C220))</f>
        <v/>
      </c>
    </row>
    <row r="1057" spans="1:11" x14ac:dyDescent="0.3">
      <c r="A1057" t="s">
        <v>1847</v>
      </c>
      <c r="B1057" t="s">
        <v>1855</v>
      </c>
      <c r="C1057">
        <v>19</v>
      </c>
      <c r="D1057" t="s">
        <v>1447</v>
      </c>
      <c r="E1057" t="s">
        <v>1856</v>
      </c>
      <c r="F1057" t="s">
        <v>1737</v>
      </c>
      <c r="K1057" t="str">
        <f>IF(ISBLANK('Q 5'!C221),"",IF('Q 5'!C221="&lt;please select&gt;","",'Q 5'!C221))</f>
        <v/>
      </c>
    </row>
    <row r="1058" spans="1:11" x14ac:dyDescent="0.3">
      <c r="A1058" t="s">
        <v>1847</v>
      </c>
      <c r="B1058" t="s">
        <v>1855</v>
      </c>
      <c r="C1058">
        <v>20</v>
      </c>
      <c r="D1058" t="s">
        <v>1447</v>
      </c>
      <c r="E1058" t="s">
        <v>1856</v>
      </c>
      <c r="F1058" t="s">
        <v>1737</v>
      </c>
      <c r="K1058" t="str">
        <f>IF(ISBLANK('Q 5'!C222),"",IF('Q 5'!C222="&lt;please select&gt;","",'Q 5'!C222))</f>
        <v/>
      </c>
    </row>
    <row r="1059" spans="1:11" x14ac:dyDescent="0.3">
      <c r="A1059" t="s">
        <v>1847</v>
      </c>
      <c r="B1059" t="s">
        <v>1855</v>
      </c>
      <c r="C1059">
        <v>21</v>
      </c>
      <c r="D1059" t="s">
        <v>1447</v>
      </c>
      <c r="E1059" t="s">
        <v>1856</v>
      </c>
      <c r="F1059" t="s">
        <v>1737</v>
      </c>
      <c r="K1059" t="str">
        <f>IF(ISBLANK('Q 5'!C223),"",IF('Q 5'!C223="&lt;please select&gt;","",'Q 5'!C223))</f>
        <v/>
      </c>
    </row>
    <row r="1060" spans="1:11" x14ac:dyDescent="0.3">
      <c r="A1060" t="s">
        <v>1847</v>
      </c>
      <c r="B1060" t="s">
        <v>1855</v>
      </c>
      <c r="C1060">
        <v>22</v>
      </c>
      <c r="D1060" t="s">
        <v>1447</v>
      </c>
      <c r="E1060" t="s">
        <v>1856</v>
      </c>
      <c r="F1060" t="s">
        <v>1737</v>
      </c>
      <c r="K1060" t="str">
        <f>IF(ISBLANK('Q 5'!C224),"",IF('Q 5'!C224="&lt;please select&gt;","",'Q 5'!C224))</f>
        <v/>
      </c>
    </row>
    <row r="1061" spans="1:11" x14ac:dyDescent="0.3">
      <c r="A1061" t="s">
        <v>1847</v>
      </c>
      <c r="B1061" t="s">
        <v>1855</v>
      </c>
      <c r="C1061">
        <v>23</v>
      </c>
      <c r="D1061" t="s">
        <v>1447</v>
      </c>
      <c r="E1061" t="s">
        <v>1856</v>
      </c>
      <c r="F1061" t="s">
        <v>1737</v>
      </c>
      <c r="K1061" t="str">
        <f>IF(ISBLANK('Q 5'!C225),"",IF('Q 5'!C225="&lt;please select&gt;","",'Q 5'!C225))</f>
        <v/>
      </c>
    </row>
    <row r="1062" spans="1:11" x14ac:dyDescent="0.3">
      <c r="A1062" t="s">
        <v>1847</v>
      </c>
      <c r="B1062" t="s">
        <v>1855</v>
      </c>
      <c r="C1062">
        <v>24</v>
      </c>
      <c r="D1062" t="s">
        <v>1447</v>
      </c>
      <c r="E1062" t="s">
        <v>1856</v>
      </c>
      <c r="F1062" t="s">
        <v>1737</v>
      </c>
      <c r="K1062" t="str">
        <f>IF(ISBLANK('Q 5'!C226),"",IF('Q 5'!C226="&lt;please select&gt;","",'Q 5'!C226))</f>
        <v/>
      </c>
    </row>
    <row r="1063" spans="1:11" x14ac:dyDescent="0.3">
      <c r="A1063" t="s">
        <v>1847</v>
      </c>
      <c r="B1063" t="s">
        <v>1855</v>
      </c>
      <c r="C1063">
        <v>25</v>
      </c>
      <c r="D1063" t="s">
        <v>1447</v>
      </c>
      <c r="E1063" t="s">
        <v>1856</v>
      </c>
      <c r="F1063" t="s">
        <v>1737</v>
      </c>
      <c r="K1063" t="str">
        <f>IF(ISBLANK('Q 5'!C227),"",IF('Q 5'!C227="&lt;please select&gt;","",'Q 5'!C227))</f>
        <v/>
      </c>
    </row>
    <row r="1064" spans="1:11" x14ac:dyDescent="0.3">
      <c r="A1064" t="s">
        <v>1847</v>
      </c>
      <c r="B1064" t="s">
        <v>1855</v>
      </c>
      <c r="C1064">
        <v>26</v>
      </c>
      <c r="D1064" t="s">
        <v>1447</v>
      </c>
      <c r="E1064" t="s">
        <v>1856</v>
      </c>
      <c r="F1064" t="s">
        <v>1737</v>
      </c>
      <c r="K1064" t="str">
        <f>IF(ISBLANK('Q 5'!C228),"",IF('Q 5'!C228="&lt;please select&gt;","",'Q 5'!C228))</f>
        <v/>
      </c>
    </row>
    <row r="1065" spans="1:11" x14ac:dyDescent="0.3">
      <c r="A1065" t="s">
        <v>1847</v>
      </c>
      <c r="B1065" t="s">
        <v>1855</v>
      </c>
      <c r="C1065">
        <v>27</v>
      </c>
      <c r="D1065" t="s">
        <v>1447</v>
      </c>
      <c r="E1065" t="s">
        <v>1856</v>
      </c>
      <c r="F1065" t="s">
        <v>1737</v>
      </c>
      <c r="K1065" t="str">
        <f>IF(ISBLANK('Q 5'!C229),"",IF('Q 5'!C229="&lt;please select&gt;","",'Q 5'!C229))</f>
        <v/>
      </c>
    </row>
    <row r="1066" spans="1:11" x14ac:dyDescent="0.3">
      <c r="A1066" t="s">
        <v>1847</v>
      </c>
      <c r="B1066" t="s">
        <v>1855</v>
      </c>
      <c r="C1066">
        <v>28</v>
      </c>
      <c r="D1066" t="s">
        <v>1447</v>
      </c>
      <c r="E1066" t="s">
        <v>1856</v>
      </c>
      <c r="F1066" t="s">
        <v>1737</v>
      </c>
      <c r="K1066" t="str">
        <f>IF(ISBLANK('Q 5'!C230),"",IF('Q 5'!C230="&lt;please select&gt;","",'Q 5'!C230))</f>
        <v/>
      </c>
    </row>
    <row r="1067" spans="1:11" x14ac:dyDescent="0.3">
      <c r="A1067" t="s">
        <v>1847</v>
      </c>
      <c r="B1067" t="s">
        <v>1855</v>
      </c>
      <c r="C1067">
        <v>29</v>
      </c>
      <c r="D1067" t="s">
        <v>1447</v>
      </c>
      <c r="E1067" t="s">
        <v>1856</v>
      </c>
      <c r="F1067" t="s">
        <v>1737</v>
      </c>
      <c r="K1067" t="str">
        <f>IF(ISBLANK('Q 5'!C231),"",IF('Q 5'!C231="&lt;please select&gt;","",'Q 5'!C231))</f>
        <v/>
      </c>
    </row>
    <row r="1068" spans="1:11" x14ac:dyDescent="0.3">
      <c r="A1068" t="s">
        <v>1847</v>
      </c>
      <c r="B1068" t="s">
        <v>1855</v>
      </c>
      <c r="C1068">
        <v>30</v>
      </c>
      <c r="D1068" t="s">
        <v>1447</v>
      </c>
      <c r="E1068" t="s">
        <v>1856</v>
      </c>
      <c r="F1068" t="s">
        <v>1737</v>
      </c>
      <c r="K1068" t="str">
        <f>IF(ISBLANK('Q 5'!C232),"",IF('Q 5'!C232="&lt;please select&gt;","",'Q 5'!C232))</f>
        <v/>
      </c>
    </row>
    <row r="1069" spans="1:11" x14ac:dyDescent="0.3">
      <c r="A1069" t="s">
        <v>1847</v>
      </c>
      <c r="B1069" t="s">
        <v>1855</v>
      </c>
      <c r="C1069">
        <v>31</v>
      </c>
      <c r="D1069" t="s">
        <v>1447</v>
      </c>
      <c r="E1069" t="s">
        <v>1856</v>
      </c>
      <c r="F1069" t="s">
        <v>1737</v>
      </c>
      <c r="K1069" t="str">
        <f>IF(ISBLANK('Q 5'!C233),"",IF('Q 5'!C233="&lt;please select&gt;","",'Q 5'!C233))</f>
        <v/>
      </c>
    </row>
    <row r="1070" spans="1:11" x14ac:dyDescent="0.3">
      <c r="A1070" t="s">
        <v>1847</v>
      </c>
      <c r="B1070" t="s">
        <v>1855</v>
      </c>
      <c r="C1070">
        <v>32</v>
      </c>
      <c r="D1070" t="s">
        <v>1447</v>
      </c>
      <c r="E1070" t="s">
        <v>1856</v>
      </c>
      <c r="F1070" t="s">
        <v>1737</v>
      </c>
      <c r="K1070" t="str">
        <f>IF(ISBLANK('Q 5'!C234),"",IF('Q 5'!C234="&lt;please select&gt;","",'Q 5'!C234))</f>
        <v/>
      </c>
    </row>
    <row r="1071" spans="1:11" x14ac:dyDescent="0.3">
      <c r="A1071" t="s">
        <v>1847</v>
      </c>
      <c r="B1071" t="s">
        <v>1855</v>
      </c>
      <c r="C1071">
        <v>33</v>
      </c>
      <c r="D1071" t="s">
        <v>1447</v>
      </c>
      <c r="E1071" t="s">
        <v>1856</v>
      </c>
      <c r="F1071" t="s">
        <v>1737</v>
      </c>
      <c r="K1071" t="str">
        <f>IF(ISBLANK('Q 5'!C235),"",IF('Q 5'!C235="&lt;please select&gt;","",'Q 5'!C235))</f>
        <v/>
      </c>
    </row>
    <row r="1072" spans="1:11" x14ac:dyDescent="0.3">
      <c r="A1072" t="s">
        <v>1847</v>
      </c>
      <c r="B1072" t="s">
        <v>1855</v>
      </c>
      <c r="C1072">
        <v>34</v>
      </c>
      <c r="D1072" t="s">
        <v>1447</v>
      </c>
      <c r="E1072" t="s">
        <v>1856</v>
      </c>
      <c r="F1072" t="s">
        <v>1737</v>
      </c>
      <c r="K1072" t="str">
        <f>IF(ISBLANK('Q 5'!C236),"",IF('Q 5'!C236="&lt;please select&gt;","",'Q 5'!C236))</f>
        <v/>
      </c>
    </row>
    <row r="1073" spans="1:11" x14ac:dyDescent="0.3">
      <c r="A1073" t="s">
        <v>1847</v>
      </c>
      <c r="B1073" t="s">
        <v>1855</v>
      </c>
      <c r="C1073">
        <v>35</v>
      </c>
      <c r="D1073" t="s">
        <v>1447</v>
      </c>
      <c r="E1073" t="s">
        <v>1856</v>
      </c>
      <c r="F1073" t="s">
        <v>1737</v>
      </c>
      <c r="K1073" t="str">
        <f>IF(ISBLANK('Q 5'!C237),"",IF('Q 5'!C237="&lt;please select&gt;","",'Q 5'!C237))</f>
        <v/>
      </c>
    </row>
    <row r="1074" spans="1:11" x14ac:dyDescent="0.3">
      <c r="A1074" t="s">
        <v>1847</v>
      </c>
      <c r="B1074" t="s">
        <v>1855</v>
      </c>
      <c r="C1074">
        <v>36</v>
      </c>
      <c r="D1074" t="s">
        <v>1447</v>
      </c>
      <c r="E1074" t="s">
        <v>1856</v>
      </c>
      <c r="F1074" t="s">
        <v>1737</v>
      </c>
      <c r="K1074" t="str">
        <f>IF(ISBLANK('Q 5'!C238),"",IF('Q 5'!C238="&lt;please select&gt;","",'Q 5'!C238))</f>
        <v/>
      </c>
    </row>
    <row r="1075" spans="1:11" x14ac:dyDescent="0.3">
      <c r="A1075" t="s">
        <v>1847</v>
      </c>
      <c r="B1075" t="s">
        <v>1855</v>
      </c>
      <c r="C1075">
        <v>37</v>
      </c>
      <c r="D1075" t="s">
        <v>1447</v>
      </c>
      <c r="E1075" t="s">
        <v>1856</v>
      </c>
      <c r="F1075" t="s">
        <v>1737</v>
      </c>
      <c r="K1075" t="str">
        <f>IF(ISBLANK('Q 5'!C239),"",IF('Q 5'!C239="&lt;please select&gt;","",'Q 5'!C239))</f>
        <v/>
      </c>
    </row>
    <row r="1076" spans="1:11" x14ac:dyDescent="0.3">
      <c r="A1076" t="s">
        <v>1847</v>
      </c>
      <c r="B1076" t="s">
        <v>1855</v>
      </c>
      <c r="C1076">
        <v>38</v>
      </c>
      <c r="D1076" t="s">
        <v>1447</v>
      </c>
      <c r="E1076" t="s">
        <v>1856</v>
      </c>
      <c r="F1076" t="s">
        <v>1737</v>
      </c>
      <c r="K1076" t="str">
        <f>IF(ISBLANK('Q 5'!C240),"",IF('Q 5'!C240="&lt;please select&gt;","",'Q 5'!C240))</f>
        <v/>
      </c>
    </row>
    <row r="1077" spans="1:11" x14ac:dyDescent="0.3">
      <c r="A1077" t="s">
        <v>1847</v>
      </c>
      <c r="B1077" t="s">
        <v>1855</v>
      </c>
      <c r="C1077">
        <v>39</v>
      </c>
      <c r="D1077" t="s">
        <v>1447</v>
      </c>
      <c r="E1077" t="s">
        <v>1856</v>
      </c>
      <c r="F1077" t="s">
        <v>1737</v>
      </c>
      <c r="K1077" t="str">
        <f>IF(ISBLANK('Q 5'!C241),"",IF('Q 5'!C241="&lt;please select&gt;","",'Q 5'!C241))</f>
        <v/>
      </c>
    </row>
    <row r="1078" spans="1:11" x14ac:dyDescent="0.3">
      <c r="A1078" t="s">
        <v>1847</v>
      </c>
      <c r="B1078" t="s">
        <v>1855</v>
      </c>
      <c r="C1078">
        <v>40</v>
      </c>
      <c r="D1078" t="s">
        <v>1447</v>
      </c>
      <c r="E1078" t="s">
        <v>1856</v>
      </c>
      <c r="F1078" t="s">
        <v>1737</v>
      </c>
      <c r="K1078" t="str">
        <f>IF(ISBLANK('Q 5'!C242),"",IF('Q 5'!C242="&lt;please select&gt;","",'Q 5'!C242))</f>
        <v/>
      </c>
    </row>
    <row r="1079" spans="1:11" x14ac:dyDescent="0.3">
      <c r="A1079" t="s">
        <v>1847</v>
      </c>
      <c r="B1079" t="s">
        <v>1855</v>
      </c>
      <c r="C1079">
        <v>41</v>
      </c>
      <c r="D1079" t="s">
        <v>1447</v>
      </c>
      <c r="E1079" t="s">
        <v>1856</v>
      </c>
      <c r="F1079" t="s">
        <v>1737</v>
      </c>
      <c r="K1079" t="str">
        <f>IF(ISBLANK('Q 5'!C243),"",IF('Q 5'!C243="&lt;please select&gt;","",'Q 5'!C243))</f>
        <v/>
      </c>
    </row>
    <row r="1080" spans="1:11" x14ac:dyDescent="0.3">
      <c r="A1080" t="s">
        <v>1847</v>
      </c>
      <c r="B1080" t="s">
        <v>1855</v>
      </c>
      <c r="C1080">
        <v>42</v>
      </c>
      <c r="D1080" t="s">
        <v>1447</v>
      </c>
      <c r="E1080" t="s">
        <v>1856</v>
      </c>
      <c r="F1080" t="s">
        <v>1737</v>
      </c>
      <c r="K1080" t="str">
        <f>IF(ISBLANK('Q 5'!C244),"",IF('Q 5'!C244="&lt;please select&gt;","",'Q 5'!C244))</f>
        <v/>
      </c>
    </row>
    <row r="1081" spans="1:11" x14ac:dyDescent="0.3">
      <c r="A1081" t="s">
        <v>1847</v>
      </c>
      <c r="B1081" t="s">
        <v>1855</v>
      </c>
      <c r="C1081">
        <v>43</v>
      </c>
      <c r="D1081" t="s">
        <v>1447</v>
      </c>
      <c r="E1081" t="s">
        <v>1856</v>
      </c>
      <c r="F1081" t="s">
        <v>1737</v>
      </c>
      <c r="K1081" t="str">
        <f>IF(ISBLANK('Q 5'!C245),"",IF('Q 5'!C245="&lt;please select&gt;","",'Q 5'!C245))</f>
        <v/>
      </c>
    </row>
    <row r="1082" spans="1:11" x14ac:dyDescent="0.3">
      <c r="A1082" t="s">
        <v>1847</v>
      </c>
      <c r="B1082" t="s">
        <v>1855</v>
      </c>
      <c r="C1082">
        <v>44</v>
      </c>
      <c r="D1082" t="s">
        <v>1447</v>
      </c>
      <c r="E1082" t="s">
        <v>1856</v>
      </c>
      <c r="F1082" t="s">
        <v>1737</v>
      </c>
      <c r="K1082" t="str">
        <f>IF(ISBLANK('Q 5'!C246),"",IF('Q 5'!C246="&lt;please select&gt;","",'Q 5'!C246))</f>
        <v/>
      </c>
    </row>
    <row r="1083" spans="1:11" x14ac:dyDescent="0.3">
      <c r="A1083" t="s">
        <v>1847</v>
      </c>
      <c r="B1083" t="s">
        <v>1855</v>
      </c>
      <c r="C1083">
        <v>45</v>
      </c>
      <c r="D1083" t="s">
        <v>1447</v>
      </c>
      <c r="E1083" t="s">
        <v>1856</v>
      </c>
      <c r="F1083" t="s">
        <v>1737</v>
      </c>
      <c r="K1083" t="str">
        <f>IF(ISBLANK('Q 5'!C247),"",IF('Q 5'!C247="&lt;please select&gt;","",'Q 5'!C247))</f>
        <v/>
      </c>
    </row>
    <row r="1084" spans="1:11" x14ac:dyDescent="0.3">
      <c r="A1084" t="s">
        <v>1847</v>
      </c>
      <c r="B1084" t="s">
        <v>1855</v>
      </c>
      <c r="C1084">
        <v>46</v>
      </c>
      <c r="D1084" t="s">
        <v>1447</v>
      </c>
      <c r="E1084" t="s">
        <v>1856</v>
      </c>
      <c r="F1084" t="s">
        <v>1737</v>
      </c>
      <c r="K1084" t="str">
        <f>IF(ISBLANK('Q 5'!C248),"",IF('Q 5'!C248="&lt;please select&gt;","",'Q 5'!C248))</f>
        <v/>
      </c>
    </row>
    <row r="1085" spans="1:11" x14ac:dyDescent="0.3">
      <c r="A1085" t="s">
        <v>1847</v>
      </c>
      <c r="B1085" t="s">
        <v>1855</v>
      </c>
      <c r="C1085">
        <v>47</v>
      </c>
      <c r="D1085" t="s">
        <v>1447</v>
      </c>
      <c r="E1085" t="s">
        <v>1856</v>
      </c>
      <c r="F1085" t="s">
        <v>1737</v>
      </c>
      <c r="K1085" t="str">
        <f>IF(ISBLANK('Q 5'!C249),"",IF('Q 5'!C249="&lt;please select&gt;","",'Q 5'!C249))</f>
        <v/>
      </c>
    </row>
    <row r="1086" spans="1:11" x14ac:dyDescent="0.3">
      <c r="A1086" t="s">
        <v>1847</v>
      </c>
      <c r="B1086" t="s">
        <v>1855</v>
      </c>
      <c r="C1086">
        <v>48</v>
      </c>
      <c r="D1086" t="s">
        <v>1447</v>
      </c>
      <c r="E1086" t="s">
        <v>1856</v>
      </c>
      <c r="F1086" t="s">
        <v>1737</v>
      </c>
      <c r="K1086" t="str">
        <f>IF(ISBLANK('Q 5'!C250),"",IF('Q 5'!C250="&lt;please select&gt;","",'Q 5'!C250))</f>
        <v/>
      </c>
    </row>
    <row r="1087" spans="1:11" x14ac:dyDescent="0.3">
      <c r="A1087" t="s">
        <v>1847</v>
      </c>
      <c r="B1087" t="s">
        <v>1855</v>
      </c>
      <c r="C1087">
        <v>49</v>
      </c>
      <c r="D1087" t="s">
        <v>1447</v>
      </c>
      <c r="E1087" t="s">
        <v>1856</v>
      </c>
      <c r="F1087" t="s">
        <v>1737</v>
      </c>
      <c r="K1087" t="str">
        <f>IF(ISBLANK('Q 5'!C251),"",IF('Q 5'!C251="&lt;please select&gt;","",'Q 5'!C251))</f>
        <v/>
      </c>
    </row>
    <row r="1088" spans="1:11" x14ac:dyDescent="0.3">
      <c r="A1088" t="s">
        <v>1847</v>
      </c>
      <c r="B1088" t="s">
        <v>1855</v>
      </c>
      <c r="C1088">
        <v>50</v>
      </c>
      <c r="D1088" t="s">
        <v>1447</v>
      </c>
      <c r="E1088" t="s">
        <v>1856</v>
      </c>
      <c r="F1088" t="s">
        <v>1737</v>
      </c>
      <c r="K1088" t="str">
        <f>IF(ISBLANK('Q 5'!C252),"",IF('Q 5'!C252="&lt;please select&gt;","",'Q 5'!C252))</f>
        <v/>
      </c>
    </row>
    <row r="1089" spans="1:11" x14ac:dyDescent="0.3">
      <c r="A1089" t="s">
        <v>1847</v>
      </c>
      <c r="B1089" t="s">
        <v>1855</v>
      </c>
      <c r="C1089">
        <v>51</v>
      </c>
      <c r="D1089" t="s">
        <v>1447</v>
      </c>
      <c r="E1089" t="s">
        <v>1856</v>
      </c>
      <c r="F1089" t="s">
        <v>1737</v>
      </c>
      <c r="K1089" t="str">
        <f>IF(ISBLANK('Q 5'!C253),"",IF('Q 5'!C253="&lt;please select&gt;","",'Q 5'!C253))</f>
        <v/>
      </c>
    </row>
    <row r="1090" spans="1:11" x14ac:dyDescent="0.3">
      <c r="A1090" t="s">
        <v>1847</v>
      </c>
      <c r="B1090" t="s">
        <v>1855</v>
      </c>
      <c r="C1090">
        <v>52</v>
      </c>
      <c r="D1090" t="s">
        <v>1447</v>
      </c>
      <c r="E1090" t="s">
        <v>1856</v>
      </c>
      <c r="F1090" t="s">
        <v>1737</v>
      </c>
      <c r="K1090" t="str">
        <f>IF(ISBLANK('Q 5'!C254),"",IF('Q 5'!C254="&lt;please select&gt;","",'Q 5'!C254))</f>
        <v/>
      </c>
    </row>
    <row r="1091" spans="1:11" x14ac:dyDescent="0.3">
      <c r="A1091" t="s">
        <v>1847</v>
      </c>
      <c r="B1091" t="s">
        <v>1855</v>
      </c>
      <c r="C1091">
        <v>53</v>
      </c>
      <c r="D1091" t="s">
        <v>1447</v>
      </c>
      <c r="E1091" t="s">
        <v>1856</v>
      </c>
      <c r="F1091" t="s">
        <v>1737</v>
      </c>
      <c r="K1091" t="str">
        <f>IF(ISBLANK('Q 5'!C255),"",IF('Q 5'!C255="&lt;please select&gt;","",'Q 5'!C255))</f>
        <v/>
      </c>
    </row>
    <row r="1092" spans="1:11" x14ac:dyDescent="0.3">
      <c r="A1092" t="s">
        <v>1847</v>
      </c>
      <c r="B1092" t="s">
        <v>1855</v>
      </c>
      <c r="C1092">
        <v>54</v>
      </c>
      <c r="D1092" t="s">
        <v>1447</v>
      </c>
      <c r="E1092" t="s">
        <v>1856</v>
      </c>
      <c r="F1092" t="s">
        <v>1737</v>
      </c>
      <c r="K1092" t="str">
        <f>IF(ISBLANK('Q 5'!C256),"",IF('Q 5'!C256="&lt;please select&gt;","",'Q 5'!C256))</f>
        <v/>
      </c>
    </row>
    <row r="1093" spans="1:11" x14ac:dyDescent="0.3">
      <c r="A1093" t="s">
        <v>1847</v>
      </c>
      <c r="B1093" t="s">
        <v>1855</v>
      </c>
      <c r="C1093">
        <v>55</v>
      </c>
      <c r="D1093" t="s">
        <v>1447</v>
      </c>
      <c r="E1093" t="s">
        <v>1856</v>
      </c>
      <c r="F1093" t="s">
        <v>1737</v>
      </c>
      <c r="K1093" t="str">
        <f>IF(ISBLANK('Q 5'!C257),"",IF('Q 5'!C257="&lt;please select&gt;","",'Q 5'!C257))</f>
        <v/>
      </c>
    </row>
    <row r="1094" spans="1:11" x14ac:dyDescent="0.3">
      <c r="A1094" t="s">
        <v>1847</v>
      </c>
      <c r="B1094" t="s">
        <v>1855</v>
      </c>
      <c r="C1094">
        <v>56</v>
      </c>
      <c r="D1094" t="s">
        <v>1447</v>
      </c>
      <c r="E1094" t="s">
        <v>1856</v>
      </c>
      <c r="F1094" t="s">
        <v>1737</v>
      </c>
      <c r="K1094" t="str">
        <f>IF(ISBLANK('Q 5'!C258),"",IF('Q 5'!C258="&lt;please select&gt;","",'Q 5'!C258))</f>
        <v/>
      </c>
    </row>
    <row r="1095" spans="1:11" x14ac:dyDescent="0.3">
      <c r="A1095" t="s">
        <v>1847</v>
      </c>
      <c r="B1095" t="s">
        <v>1855</v>
      </c>
      <c r="C1095">
        <v>57</v>
      </c>
      <c r="D1095" t="s">
        <v>1447</v>
      </c>
      <c r="E1095" t="s">
        <v>1856</v>
      </c>
      <c r="F1095" t="s">
        <v>1737</v>
      </c>
      <c r="K1095" t="str">
        <f>IF(ISBLANK('Q 5'!C259),"",IF('Q 5'!C259="&lt;please select&gt;","",'Q 5'!C259))</f>
        <v/>
      </c>
    </row>
    <row r="1096" spans="1:11" x14ac:dyDescent="0.3">
      <c r="A1096" t="s">
        <v>1847</v>
      </c>
      <c r="B1096" t="s">
        <v>1855</v>
      </c>
      <c r="C1096">
        <v>58</v>
      </c>
      <c r="D1096" t="s">
        <v>1447</v>
      </c>
      <c r="E1096" t="s">
        <v>1856</v>
      </c>
      <c r="F1096" t="s">
        <v>1737</v>
      </c>
      <c r="K1096" t="str">
        <f>IF(ISBLANK('Q 5'!C260),"",IF('Q 5'!C260="&lt;please select&gt;","",'Q 5'!C260))</f>
        <v/>
      </c>
    </row>
    <row r="1097" spans="1:11" x14ac:dyDescent="0.3">
      <c r="A1097" t="s">
        <v>1847</v>
      </c>
      <c r="B1097" t="s">
        <v>1855</v>
      </c>
      <c r="C1097">
        <v>59</v>
      </c>
      <c r="D1097" t="s">
        <v>1447</v>
      </c>
      <c r="E1097" t="s">
        <v>1856</v>
      </c>
      <c r="F1097" t="s">
        <v>1737</v>
      </c>
      <c r="K1097" t="str">
        <f>IF(ISBLANK('Q 5'!C261),"",IF('Q 5'!C261="&lt;please select&gt;","",'Q 5'!C261))</f>
        <v/>
      </c>
    </row>
    <row r="1098" spans="1:11" x14ac:dyDescent="0.3">
      <c r="A1098" t="s">
        <v>1847</v>
      </c>
      <c r="B1098" t="s">
        <v>1855</v>
      </c>
      <c r="C1098">
        <v>60</v>
      </c>
      <c r="D1098" t="s">
        <v>1447</v>
      </c>
      <c r="E1098" t="s">
        <v>1856</v>
      </c>
      <c r="F1098" t="s">
        <v>1737</v>
      </c>
      <c r="K1098" t="str">
        <f>IF(ISBLANK('Q 5'!C262),"",IF('Q 5'!C262="&lt;please select&gt;","",'Q 5'!C262))</f>
        <v/>
      </c>
    </row>
    <row r="1099" spans="1:11" x14ac:dyDescent="0.3">
      <c r="A1099" t="s">
        <v>1847</v>
      </c>
      <c r="B1099" t="s">
        <v>1855</v>
      </c>
      <c r="C1099">
        <v>61</v>
      </c>
      <c r="D1099" t="s">
        <v>1447</v>
      </c>
      <c r="E1099" t="s">
        <v>1856</v>
      </c>
      <c r="F1099" t="s">
        <v>1737</v>
      </c>
      <c r="K1099" t="str">
        <f>IF(ISBLANK('Q 5'!C263),"",IF('Q 5'!C263="&lt;please select&gt;","",'Q 5'!C263))</f>
        <v/>
      </c>
    </row>
    <row r="1100" spans="1:11" x14ac:dyDescent="0.3">
      <c r="A1100" t="s">
        <v>1847</v>
      </c>
      <c r="B1100" t="s">
        <v>1855</v>
      </c>
      <c r="C1100">
        <v>62</v>
      </c>
      <c r="D1100" t="s">
        <v>1447</v>
      </c>
      <c r="E1100" t="s">
        <v>1856</v>
      </c>
      <c r="F1100" t="s">
        <v>1737</v>
      </c>
      <c r="K1100" t="str">
        <f>IF(ISBLANK('Q 5'!C264),"",IF('Q 5'!C264="&lt;please select&gt;","",'Q 5'!C264))</f>
        <v/>
      </c>
    </row>
    <row r="1101" spans="1:11" x14ac:dyDescent="0.3">
      <c r="A1101" t="s">
        <v>1847</v>
      </c>
      <c r="B1101" t="s">
        <v>1855</v>
      </c>
      <c r="C1101">
        <v>63</v>
      </c>
      <c r="D1101" t="s">
        <v>1447</v>
      </c>
      <c r="E1101" t="s">
        <v>1856</v>
      </c>
      <c r="F1101" t="s">
        <v>1737</v>
      </c>
      <c r="K1101" t="str">
        <f>IF(ISBLANK('Q 5'!C265),"",IF('Q 5'!C265="&lt;please select&gt;","",'Q 5'!C265))</f>
        <v/>
      </c>
    </row>
    <row r="1102" spans="1:11" x14ac:dyDescent="0.3">
      <c r="A1102" t="s">
        <v>1847</v>
      </c>
      <c r="B1102" t="s">
        <v>1855</v>
      </c>
      <c r="C1102">
        <v>64</v>
      </c>
      <c r="D1102" t="s">
        <v>1447</v>
      </c>
      <c r="E1102" t="s">
        <v>1856</v>
      </c>
      <c r="F1102" t="s">
        <v>1737</v>
      </c>
      <c r="K1102" t="str">
        <f>IF(ISBLANK('Q 5'!C266),"",IF('Q 5'!C266="&lt;please select&gt;","",'Q 5'!C266))</f>
        <v/>
      </c>
    </row>
    <row r="1103" spans="1:11" x14ac:dyDescent="0.3">
      <c r="A1103" t="s">
        <v>1847</v>
      </c>
      <c r="B1103" t="s">
        <v>1855</v>
      </c>
      <c r="C1103">
        <v>65</v>
      </c>
      <c r="D1103" t="s">
        <v>1447</v>
      </c>
      <c r="E1103" t="s">
        <v>1856</v>
      </c>
      <c r="F1103" t="s">
        <v>1737</v>
      </c>
      <c r="K1103" t="str">
        <f>IF(ISBLANK('Q 5'!C267),"",IF('Q 5'!C267="&lt;please select&gt;","",'Q 5'!C267))</f>
        <v/>
      </c>
    </row>
    <row r="1104" spans="1:11" x14ac:dyDescent="0.3">
      <c r="A1104" t="s">
        <v>1847</v>
      </c>
      <c r="B1104" t="s">
        <v>1855</v>
      </c>
      <c r="C1104">
        <v>66</v>
      </c>
      <c r="D1104" t="s">
        <v>1447</v>
      </c>
      <c r="E1104" t="s">
        <v>1856</v>
      </c>
      <c r="F1104" t="s">
        <v>1737</v>
      </c>
      <c r="K1104" t="str">
        <f>IF(ISBLANK('Q 5'!C268),"",IF('Q 5'!C268="&lt;please select&gt;","",'Q 5'!C268))</f>
        <v/>
      </c>
    </row>
    <row r="1105" spans="1:11" x14ac:dyDescent="0.3">
      <c r="A1105" t="s">
        <v>1847</v>
      </c>
      <c r="B1105" t="s">
        <v>1855</v>
      </c>
      <c r="C1105">
        <v>67</v>
      </c>
      <c r="D1105" t="s">
        <v>1447</v>
      </c>
      <c r="E1105" t="s">
        <v>1856</v>
      </c>
      <c r="F1105" t="s">
        <v>1737</v>
      </c>
      <c r="K1105" t="str">
        <f>IF(ISBLANK('Q 5'!C269),"",IF('Q 5'!C269="&lt;please select&gt;","",'Q 5'!C269))</f>
        <v/>
      </c>
    </row>
    <row r="1106" spans="1:11" x14ac:dyDescent="0.3">
      <c r="A1106" t="s">
        <v>1847</v>
      </c>
      <c r="B1106" t="s">
        <v>1855</v>
      </c>
      <c r="C1106">
        <v>68</v>
      </c>
      <c r="D1106" t="s">
        <v>1447</v>
      </c>
      <c r="E1106" t="s">
        <v>1856</v>
      </c>
      <c r="F1106" t="s">
        <v>1737</v>
      </c>
      <c r="K1106" t="str">
        <f>IF(ISBLANK('Q 5'!C270),"",IF('Q 5'!C270="&lt;please select&gt;","",'Q 5'!C270))</f>
        <v/>
      </c>
    </row>
    <row r="1107" spans="1:11" x14ac:dyDescent="0.3">
      <c r="A1107" t="s">
        <v>1847</v>
      </c>
      <c r="B1107" t="s">
        <v>1855</v>
      </c>
      <c r="C1107">
        <v>69</v>
      </c>
      <c r="D1107" t="s">
        <v>1447</v>
      </c>
      <c r="E1107" t="s">
        <v>1856</v>
      </c>
      <c r="F1107" t="s">
        <v>1737</v>
      </c>
      <c r="K1107" t="str">
        <f>IF(ISBLANK('Q 5'!C271),"",IF('Q 5'!C271="&lt;please select&gt;","",'Q 5'!C271))</f>
        <v/>
      </c>
    </row>
    <row r="1108" spans="1:11" x14ac:dyDescent="0.3">
      <c r="A1108" t="s">
        <v>1847</v>
      </c>
      <c r="B1108" t="s">
        <v>1855</v>
      </c>
      <c r="C1108">
        <v>70</v>
      </c>
      <c r="D1108" t="s">
        <v>1447</v>
      </c>
      <c r="E1108" t="s">
        <v>1856</v>
      </c>
      <c r="F1108" t="s">
        <v>1737</v>
      </c>
      <c r="K1108" t="str">
        <f>IF(ISBLANK('Q 5'!C272),"",IF('Q 5'!C272="&lt;please select&gt;","",'Q 5'!C272))</f>
        <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
      </c>
    </row>
    <row r="1840" spans="1:11" x14ac:dyDescent="0.3">
      <c r="A1840" t="s">
        <v>1847</v>
      </c>
      <c r="B1840" t="s">
        <v>1855</v>
      </c>
      <c r="C1840">
        <v>2</v>
      </c>
      <c r="D1840" t="s">
        <v>1447</v>
      </c>
      <c r="E1840" t="s">
        <v>1857</v>
      </c>
      <c r="F1840" t="s">
        <v>1741</v>
      </c>
      <c r="G1840" t="str">
        <f>IF(ISBLANK('Q 5'!H204),"",IF('Q 5'!H204="&lt;please select&gt;","",'Q 5'!H204))</f>
        <v/>
      </c>
    </row>
    <row r="1841" spans="1:7" x14ac:dyDescent="0.3">
      <c r="A1841" t="s">
        <v>1847</v>
      </c>
      <c r="B1841" t="s">
        <v>1855</v>
      </c>
      <c r="C1841">
        <v>3</v>
      </c>
      <c r="D1841" t="s">
        <v>1447</v>
      </c>
      <c r="E1841" t="s">
        <v>1857</v>
      </c>
      <c r="F1841" t="s">
        <v>1741</v>
      </c>
      <c r="G1841" t="str">
        <f>IF(ISBLANK('Q 5'!H205),"",IF('Q 5'!H205="&lt;please select&gt;","",'Q 5'!H205))</f>
        <v/>
      </c>
    </row>
    <row r="1842" spans="1:7" x14ac:dyDescent="0.3">
      <c r="A1842" t="s">
        <v>1847</v>
      </c>
      <c r="B1842" t="s">
        <v>1855</v>
      </c>
      <c r="C1842">
        <v>4</v>
      </c>
      <c r="D1842" t="s">
        <v>1447</v>
      </c>
      <c r="E1842" t="s">
        <v>1857</v>
      </c>
      <c r="F1842" t="s">
        <v>1741</v>
      </c>
      <c r="G1842" t="str">
        <f>IF(ISBLANK('Q 5'!H206),"",IF('Q 5'!H206="&lt;please select&gt;","",'Q 5'!H206))</f>
        <v/>
      </c>
    </row>
    <row r="1843" spans="1:7" x14ac:dyDescent="0.3">
      <c r="A1843" t="s">
        <v>1847</v>
      </c>
      <c r="B1843" t="s">
        <v>1855</v>
      </c>
      <c r="C1843">
        <v>5</v>
      </c>
      <c r="D1843" t="s">
        <v>1447</v>
      </c>
      <c r="E1843" t="s">
        <v>1857</v>
      </c>
      <c r="F1843" t="s">
        <v>1741</v>
      </c>
      <c r="G1843" t="str">
        <f>IF(ISBLANK('Q 5'!H207),"",IF('Q 5'!H207="&lt;please select&gt;","",'Q 5'!H207))</f>
        <v/>
      </c>
    </row>
    <row r="1844" spans="1:7" x14ac:dyDescent="0.3">
      <c r="A1844" t="s">
        <v>1847</v>
      </c>
      <c r="B1844" t="s">
        <v>1855</v>
      </c>
      <c r="C1844">
        <v>6</v>
      </c>
      <c r="D1844" t="s">
        <v>1447</v>
      </c>
      <c r="E1844" t="s">
        <v>1857</v>
      </c>
      <c r="F1844" t="s">
        <v>1741</v>
      </c>
      <c r="G1844" t="str">
        <f>IF(ISBLANK('Q 5'!H208),"",IF('Q 5'!H208="&lt;please select&gt;","",'Q 5'!H208))</f>
        <v/>
      </c>
    </row>
    <row r="1845" spans="1:7" x14ac:dyDescent="0.3">
      <c r="A1845" t="s">
        <v>1847</v>
      </c>
      <c r="B1845" t="s">
        <v>1855</v>
      </c>
      <c r="C1845">
        <v>7</v>
      </c>
      <c r="D1845" t="s">
        <v>1447</v>
      </c>
      <c r="E1845" t="s">
        <v>1857</v>
      </c>
      <c r="F1845" t="s">
        <v>1741</v>
      </c>
      <c r="G1845" t="str">
        <f>IF(ISBLANK('Q 5'!H209),"",IF('Q 5'!H209="&lt;please select&gt;","",'Q 5'!H209))</f>
        <v/>
      </c>
    </row>
    <row r="1846" spans="1:7" x14ac:dyDescent="0.3">
      <c r="A1846" t="s">
        <v>1847</v>
      </c>
      <c r="B1846" t="s">
        <v>1855</v>
      </c>
      <c r="C1846">
        <v>8</v>
      </c>
      <c r="D1846" t="s">
        <v>1447</v>
      </c>
      <c r="E1846" t="s">
        <v>1857</v>
      </c>
      <c r="F1846" t="s">
        <v>1741</v>
      </c>
      <c r="G1846" t="str">
        <f>IF(ISBLANK('Q 5'!H210),"",IF('Q 5'!H210="&lt;please select&gt;","",'Q 5'!H210))</f>
        <v/>
      </c>
    </row>
    <row r="1847" spans="1:7" x14ac:dyDescent="0.3">
      <c r="A1847" t="s">
        <v>1847</v>
      </c>
      <c r="B1847" t="s">
        <v>1855</v>
      </c>
      <c r="C1847">
        <v>9</v>
      </c>
      <c r="D1847" t="s">
        <v>1447</v>
      </c>
      <c r="E1847" t="s">
        <v>1857</v>
      </c>
      <c r="F1847" t="s">
        <v>1741</v>
      </c>
      <c r="G1847" t="str">
        <f>IF(ISBLANK('Q 5'!H211),"",IF('Q 5'!H211="&lt;please select&gt;","",'Q 5'!H211))</f>
        <v/>
      </c>
    </row>
    <row r="1848" spans="1:7" x14ac:dyDescent="0.3">
      <c r="A1848" t="s">
        <v>1847</v>
      </c>
      <c r="B1848" t="s">
        <v>1855</v>
      </c>
      <c r="C1848">
        <v>10</v>
      </c>
      <c r="D1848" t="s">
        <v>1447</v>
      </c>
      <c r="E1848" t="s">
        <v>1857</v>
      </c>
      <c r="F1848" t="s">
        <v>1741</v>
      </c>
      <c r="G1848" t="str">
        <f>IF(ISBLANK('Q 5'!H212),"",IF('Q 5'!H212="&lt;please select&gt;","",'Q 5'!H212))</f>
        <v/>
      </c>
    </row>
    <row r="1849" spans="1:7" x14ac:dyDescent="0.3">
      <c r="A1849" t="s">
        <v>1847</v>
      </c>
      <c r="B1849" t="s">
        <v>1855</v>
      </c>
      <c r="C1849">
        <v>11</v>
      </c>
      <c r="D1849" t="s">
        <v>1447</v>
      </c>
      <c r="E1849" t="s">
        <v>1857</v>
      </c>
      <c r="F1849" t="s">
        <v>1741</v>
      </c>
      <c r="G1849" t="str">
        <f>IF(ISBLANK('Q 5'!H213),"",IF('Q 5'!H213="&lt;please select&gt;","",'Q 5'!H213))</f>
        <v/>
      </c>
    </row>
    <row r="1850" spans="1:7" x14ac:dyDescent="0.3">
      <c r="A1850" t="s">
        <v>1847</v>
      </c>
      <c r="B1850" t="s">
        <v>1855</v>
      </c>
      <c r="C1850">
        <v>12</v>
      </c>
      <c r="D1850" t="s">
        <v>1447</v>
      </c>
      <c r="E1850" t="s">
        <v>1857</v>
      </c>
      <c r="F1850" t="s">
        <v>1741</v>
      </c>
      <c r="G1850" t="str">
        <f>IF(ISBLANK('Q 5'!H214),"",IF('Q 5'!H214="&lt;please select&gt;","",'Q 5'!H214))</f>
        <v/>
      </c>
    </row>
    <row r="1851" spans="1:7" x14ac:dyDescent="0.3">
      <c r="A1851" t="s">
        <v>1847</v>
      </c>
      <c r="B1851" t="s">
        <v>1855</v>
      </c>
      <c r="C1851">
        <v>13</v>
      </c>
      <c r="D1851" t="s">
        <v>1447</v>
      </c>
      <c r="E1851" t="s">
        <v>1857</v>
      </c>
      <c r="F1851" t="s">
        <v>1741</v>
      </c>
      <c r="G1851" t="str">
        <f>IF(ISBLANK('Q 5'!H215),"",IF('Q 5'!H215="&lt;please select&gt;","",'Q 5'!H215))</f>
        <v/>
      </c>
    </row>
    <row r="1852" spans="1:7" x14ac:dyDescent="0.3">
      <c r="A1852" t="s">
        <v>1847</v>
      </c>
      <c r="B1852" t="s">
        <v>1855</v>
      </c>
      <c r="C1852">
        <v>14</v>
      </c>
      <c r="D1852" t="s">
        <v>1447</v>
      </c>
      <c r="E1852" t="s">
        <v>1857</v>
      </c>
      <c r="F1852" t="s">
        <v>1741</v>
      </c>
      <c r="G1852" t="str">
        <f>IF(ISBLANK('Q 5'!H216),"",IF('Q 5'!H216="&lt;please select&gt;","",'Q 5'!H216))</f>
        <v/>
      </c>
    </row>
    <row r="1853" spans="1:7" x14ac:dyDescent="0.3">
      <c r="A1853" t="s">
        <v>1847</v>
      </c>
      <c r="B1853" t="s">
        <v>1855</v>
      </c>
      <c r="C1853">
        <v>15</v>
      </c>
      <c r="D1853" t="s">
        <v>1447</v>
      </c>
      <c r="E1853" t="s">
        <v>1857</v>
      </c>
      <c r="F1853" t="s">
        <v>1741</v>
      </c>
      <c r="G1853" t="str">
        <f>IF(ISBLANK('Q 5'!H217),"",IF('Q 5'!H217="&lt;please select&gt;","",'Q 5'!H217))</f>
        <v/>
      </c>
    </row>
    <row r="1854" spans="1:7" x14ac:dyDescent="0.3">
      <c r="A1854" t="s">
        <v>1847</v>
      </c>
      <c r="B1854" t="s">
        <v>1855</v>
      </c>
      <c r="C1854">
        <v>16</v>
      </c>
      <c r="D1854" t="s">
        <v>1447</v>
      </c>
      <c r="E1854" t="s">
        <v>1857</v>
      </c>
      <c r="F1854" t="s">
        <v>1741</v>
      </c>
      <c r="G1854" t="str">
        <f>IF(ISBLANK('Q 5'!H218),"",IF('Q 5'!H218="&lt;please select&gt;","",'Q 5'!H218))</f>
        <v/>
      </c>
    </row>
    <row r="1855" spans="1:7" x14ac:dyDescent="0.3">
      <c r="A1855" t="s">
        <v>1847</v>
      </c>
      <c r="B1855" t="s">
        <v>1855</v>
      </c>
      <c r="C1855">
        <v>17</v>
      </c>
      <c r="D1855" t="s">
        <v>1447</v>
      </c>
      <c r="E1855" t="s">
        <v>1857</v>
      </c>
      <c r="F1855" t="s">
        <v>1741</v>
      </c>
      <c r="G1855" t="str">
        <f>IF(ISBLANK('Q 5'!H219),"",IF('Q 5'!H219="&lt;please select&gt;","",'Q 5'!H219))</f>
        <v/>
      </c>
    </row>
    <row r="1856" spans="1:7" x14ac:dyDescent="0.3">
      <c r="A1856" t="s">
        <v>1847</v>
      </c>
      <c r="B1856" t="s">
        <v>1855</v>
      </c>
      <c r="C1856">
        <v>18</v>
      </c>
      <c r="D1856" t="s">
        <v>1447</v>
      </c>
      <c r="E1856" t="s">
        <v>1857</v>
      </c>
      <c r="F1856" t="s">
        <v>1741</v>
      </c>
      <c r="G1856" t="str">
        <f>IF(ISBLANK('Q 5'!H220),"",IF('Q 5'!H220="&lt;please select&gt;","",'Q 5'!H220))</f>
        <v/>
      </c>
    </row>
    <row r="1857" spans="1:7" x14ac:dyDescent="0.3">
      <c r="A1857" t="s">
        <v>1847</v>
      </c>
      <c r="B1857" t="s">
        <v>1855</v>
      </c>
      <c r="C1857">
        <v>19</v>
      </c>
      <c r="D1857" t="s">
        <v>1447</v>
      </c>
      <c r="E1857" t="s">
        <v>1857</v>
      </c>
      <c r="F1857" t="s">
        <v>1741</v>
      </c>
      <c r="G1857" t="str">
        <f>IF(ISBLANK('Q 5'!H221),"",IF('Q 5'!H221="&lt;please select&gt;","",'Q 5'!H221))</f>
        <v/>
      </c>
    </row>
    <row r="1858" spans="1:7" x14ac:dyDescent="0.3">
      <c r="A1858" t="s">
        <v>1847</v>
      </c>
      <c r="B1858" t="s">
        <v>1855</v>
      </c>
      <c r="C1858">
        <v>20</v>
      </c>
      <c r="D1858" t="s">
        <v>1447</v>
      </c>
      <c r="E1858" t="s">
        <v>1857</v>
      </c>
      <c r="F1858" t="s">
        <v>1741</v>
      </c>
      <c r="G1858" t="str">
        <f>IF(ISBLANK('Q 5'!H222),"",IF('Q 5'!H222="&lt;please select&gt;","",'Q 5'!H222))</f>
        <v/>
      </c>
    </row>
    <row r="1859" spans="1:7" x14ac:dyDescent="0.3">
      <c r="A1859" t="s">
        <v>1847</v>
      </c>
      <c r="B1859" t="s">
        <v>1855</v>
      </c>
      <c r="C1859">
        <v>21</v>
      </c>
      <c r="D1859" t="s">
        <v>1447</v>
      </c>
      <c r="E1859" t="s">
        <v>1857</v>
      </c>
      <c r="F1859" t="s">
        <v>1741</v>
      </c>
      <c r="G1859" t="str">
        <f>IF(ISBLANK('Q 5'!H223),"",IF('Q 5'!H223="&lt;please select&gt;","",'Q 5'!H223))</f>
        <v/>
      </c>
    </row>
    <row r="1860" spans="1:7" x14ac:dyDescent="0.3">
      <c r="A1860" t="s">
        <v>1847</v>
      </c>
      <c r="B1860" t="s">
        <v>1855</v>
      </c>
      <c r="C1860">
        <v>22</v>
      </c>
      <c r="D1860" t="s">
        <v>1447</v>
      </c>
      <c r="E1860" t="s">
        <v>1857</v>
      </c>
      <c r="F1860" t="s">
        <v>1741</v>
      </c>
      <c r="G1860" t="str">
        <f>IF(ISBLANK('Q 5'!H224),"",IF('Q 5'!H224="&lt;please select&gt;","",'Q 5'!H224))</f>
        <v/>
      </c>
    </row>
    <row r="1861" spans="1:7" x14ac:dyDescent="0.3">
      <c r="A1861" t="s">
        <v>1847</v>
      </c>
      <c r="B1861" t="s">
        <v>1855</v>
      </c>
      <c r="C1861">
        <v>23</v>
      </c>
      <c r="D1861" t="s">
        <v>1447</v>
      </c>
      <c r="E1861" t="s">
        <v>1857</v>
      </c>
      <c r="F1861" t="s">
        <v>1741</v>
      </c>
      <c r="G1861" t="str">
        <f>IF(ISBLANK('Q 5'!H225),"",IF('Q 5'!H225="&lt;please select&gt;","",'Q 5'!H225))</f>
        <v/>
      </c>
    </row>
    <row r="1862" spans="1:7" x14ac:dyDescent="0.3">
      <c r="A1862" t="s">
        <v>1847</v>
      </c>
      <c r="B1862" t="s">
        <v>1855</v>
      </c>
      <c r="C1862">
        <v>24</v>
      </c>
      <c r="D1862" t="s">
        <v>1447</v>
      </c>
      <c r="E1862" t="s">
        <v>1857</v>
      </c>
      <c r="F1862" t="s">
        <v>1741</v>
      </c>
      <c r="G1862" t="str">
        <f>IF(ISBLANK('Q 5'!H226),"",IF('Q 5'!H226="&lt;please select&gt;","",'Q 5'!H226))</f>
        <v/>
      </c>
    </row>
    <row r="1863" spans="1:7" x14ac:dyDescent="0.3">
      <c r="A1863" t="s">
        <v>1847</v>
      </c>
      <c r="B1863" t="s">
        <v>1855</v>
      </c>
      <c r="C1863">
        <v>25</v>
      </c>
      <c r="D1863" t="s">
        <v>1447</v>
      </c>
      <c r="E1863" t="s">
        <v>1857</v>
      </c>
      <c r="F1863" t="s">
        <v>1741</v>
      </c>
      <c r="G1863" t="str">
        <f>IF(ISBLANK('Q 5'!H227),"",IF('Q 5'!H227="&lt;please select&gt;","",'Q 5'!H227))</f>
        <v/>
      </c>
    </row>
    <row r="1864" spans="1:7" x14ac:dyDescent="0.3">
      <c r="A1864" t="s">
        <v>1847</v>
      </c>
      <c r="B1864" t="s">
        <v>1855</v>
      </c>
      <c r="C1864">
        <v>26</v>
      </c>
      <c r="D1864" t="s">
        <v>1447</v>
      </c>
      <c r="E1864" t="s">
        <v>1857</v>
      </c>
      <c r="F1864" t="s">
        <v>1741</v>
      </c>
      <c r="G1864" t="str">
        <f>IF(ISBLANK('Q 5'!H228),"",IF('Q 5'!H228="&lt;please select&gt;","",'Q 5'!H228))</f>
        <v/>
      </c>
    </row>
    <row r="1865" spans="1:7" x14ac:dyDescent="0.3">
      <c r="A1865" t="s">
        <v>1847</v>
      </c>
      <c r="B1865" t="s">
        <v>1855</v>
      </c>
      <c r="C1865">
        <v>27</v>
      </c>
      <c r="D1865" t="s">
        <v>1447</v>
      </c>
      <c r="E1865" t="s">
        <v>1857</v>
      </c>
      <c r="F1865" t="s">
        <v>1741</v>
      </c>
      <c r="G1865" t="str">
        <f>IF(ISBLANK('Q 5'!H229),"",IF('Q 5'!H229="&lt;please select&gt;","",'Q 5'!H229))</f>
        <v/>
      </c>
    </row>
    <row r="1866" spans="1:7" x14ac:dyDescent="0.3">
      <c r="A1866" t="s">
        <v>1847</v>
      </c>
      <c r="B1866" t="s">
        <v>1855</v>
      </c>
      <c r="C1866">
        <v>28</v>
      </c>
      <c r="D1866" t="s">
        <v>1447</v>
      </c>
      <c r="E1866" t="s">
        <v>1857</v>
      </c>
      <c r="F1866" t="s">
        <v>1741</v>
      </c>
      <c r="G1866" t="str">
        <f>IF(ISBLANK('Q 5'!H230),"",IF('Q 5'!H230="&lt;please select&gt;","",'Q 5'!H230))</f>
        <v/>
      </c>
    </row>
    <row r="1867" spans="1:7" x14ac:dyDescent="0.3">
      <c r="A1867" t="s">
        <v>1847</v>
      </c>
      <c r="B1867" t="s">
        <v>1855</v>
      </c>
      <c r="C1867">
        <v>29</v>
      </c>
      <c r="D1867" t="s">
        <v>1447</v>
      </c>
      <c r="E1867" t="s">
        <v>1857</v>
      </c>
      <c r="F1867" t="s">
        <v>1741</v>
      </c>
      <c r="G1867" t="str">
        <f>IF(ISBLANK('Q 5'!H231),"",IF('Q 5'!H231="&lt;please select&gt;","",'Q 5'!H231))</f>
        <v/>
      </c>
    </row>
    <row r="1868" spans="1:7" x14ac:dyDescent="0.3">
      <c r="A1868" t="s">
        <v>1847</v>
      </c>
      <c r="B1868" t="s">
        <v>1855</v>
      </c>
      <c r="C1868">
        <v>30</v>
      </c>
      <c r="D1868" t="s">
        <v>1447</v>
      </c>
      <c r="E1868" t="s">
        <v>1857</v>
      </c>
      <c r="F1868" t="s">
        <v>1741</v>
      </c>
      <c r="G1868" t="str">
        <f>IF(ISBLANK('Q 5'!H232),"",IF('Q 5'!H232="&lt;please select&gt;","",'Q 5'!H232))</f>
        <v/>
      </c>
    </row>
    <row r="1869" spans="1:7" x14ac:dyDescent="0.3">
      <c r="A1869" t="s">
        <v>1847</v>
      </c>
      <c r="B1869" t="s">
        <v>1855</v>
      </c>
      <c r="C1869">
        <v>31</v>
      </c>
      <c r="D1869" t="s">
        <v>1447</v>
      </c>
      <c r="E1869" t="s">
        <v>1857</v>
      </c>
      <c r="F1869" t="s">
        <v>1741</v>
      </c>
      <c r="G1869" t="str">
        <f>IF(ISBLANK('Q 5'!H233),"",IF('Q 5'!H233="&lt;please select&gt;","",'Q 5'!H233))</f>
        <v/>
      </c>
    </row>
    <row r="1870" spans="1:7" x14ac:dyDescent="0.3">
      <c r="A1870" t="s">
        <v>1847</v>
      </c>
      <c r="B1870" t="s">
        <v>1855</v>
      </c>
      <c r="C1870">
        <v>32</v>
      </c>
      <c r="D1870" t="s">
        <v>1447</v>
      </c>
      <c r="E1870" t="s">
        <v>1857</v>
      </c>
      <c r="F1870" t="s">
        <v>1741</v>
      </c>
      <c r="G1870" t="str">
        <f>IF(ISBLANK('Q 5'!H234),"",IF('Q 5'!H234="&lt;please select&gt;","",'Q 5'!H234))</f>
        <v/>
      </c>
    </row>
    <row r="1871" spans="1:7" x14ac:dyDescent="0.3">
      <c r="A1871" t="s">
        <v>1847</v>
      </c>
      <c r="B1871" t="s">
        <v>1855</v>
      </c>
      <c r="C1871">
        <v>33</v>
      </c>
      <c r="D1871" t="s">
        <v>1447</v>
      </c>
      <c r="E1871" t="s">
        <v>1857</v>
      </c>
      <c r="F1871" t="s">
        <v>1741</v>
      </c>
      <c r="G1871" t="str">
        <f>IF(ISBLANK('Q 5'!H235),"",IF('Q 5'!H235="&lt;please select&gt;","",'Q 5'!H235))</f>
        <v/>
      </c>
    </row>
    <row r="1872" spans="1:7" x14ac:dyDescent="0.3">
      <c r="A1872" t="s">
        <v>1847</v>
      </c>
      <c r="B1872" t="s">
        <v>1855</v>
      </c>
      <c r="C1872">
        <v>34</v>
      </c>
      <c r="D1872" t="s">
        <v>1447</v>
      </c>
      <c r="E1872" t="s">
        <v>1857</v>
      </c>
      <c r="F1872" t="s">
        <v>1741</v>
      </c>
      <c r="G1872" t="str">
        <f>IF(ISBLANK('Q 5'!H236),"",IF('Q 5'!H236="&lt;please select&gt;","",'Q 5'!H236))</f>
        <v/>
      </c>
    </row>
    <row r="1873" spans="1:7" x14ac:dyDescent="0.3">
      <c r="A1873" t="s">
        <v>1847</v>
      </c>
      <c r="B1873" t="s">
        <v>1855</v>
      </c>
      <c r="C1873">
        <v>35</v>
      </c>
      <c r="D1873" t="s">
        <v>1447</v>
      </c>
      <c r="E1873" t="s">
        <v>1857</v>
      </c>
      <c r="F1873" t="s">
        <v>1741</v>
      </c>
      <c r="G1873" t="str">
        <f>IF(ISBLANK('Q 5'!H237),"",IF('Q 5'!H237="&lt;please select&gt;","",'Q 5'!H237))</f>
        <v/>
      </c>
    </row>
    <row r="1874" spans="1:7" x14ac:dyDescent="0.3">
      <c r="A1874" t="s">
        <v>1847</v>
      </c>
      <c r="B1874" t="s">
        <v>1855</v>
      </c>
      <c r="C1874">
        <v>36</v>
      </c>
      <c r="D1874" t="s">
        <v>1447</v>
      </c>
      <c r="E1874" t="s">
        <v>1857</v>
      </c>
      <c r="F1874" t="s">
        <v>1741</v>
      </c>
      <c r="G1874" t="str">
        <f>IF(ISBLANK('Q 5'!H238),"",IF('Q 5'!H238="&lt;please select&gt;","",'Q 5'!H238))</f>
        <v/>
      </c>
    </row>
    <row r="1875" spans="1:7" x14ac:dyDescent="0.3">
      <c r="A1875" t="s">
        <v>1847</v>
      </c>
      <c r="B1875" t="s">
        <v>1855</v>
      </c>
      <c r="C1875">
        <v>37</v>
      </c>
      <c r="D1875" t="s">
        <v>1447</v>
      </c>
      <c r="E1875" t="s">
        <v>1857</v>
      </c>
      <c r="F1875" t="s">
        <v>1741</v>
      </c>
      <c r="G1875" t="str">
        <f>IF(ISBLANK('Q 5'!H239),"",IF('Q 5'!H239="&lt;please select&gt;","",'Q 5'!H239))</f>
        <v/>
      </c>
    </row>
    <row r="1876" spans="1:7" x14ac:dyDescent="0.3">
      <c r="A1876" t="s">
        <v>1847</v>
      </c>
      <c r="B1876" t="s">
        <v>1855</v>
      </c>
      <c r="C1876">
        <v>38</v>
      </c>
      <c r="D1876" t="s">
        <v>1447</v>
      </c>
      <c r="E1876" t="s">
        <v>1857</v>
      </c>
      <c r="F1876" t="s">
        <v>1741</v>
      </c>
      <c r="G1876" t="str">
        <f>IF(ISBLANK('Q 5'!H240),"",IF('Q 5'!H240="&lt;please select&gt;","",'Q 5'!H240))</f>
        <v/>
      </c>
    </row>
    <row r="1877" spans="1:7" x14ac:dyDescent="0.3">
      <c r="A1877" t="s">
        <v>1847</v>
      </c>
      <c r="B1877" t="s">
        <v>1855</v>
      </c>
      <c r="C1877">
        <v>39</v>
      </c>
      <c r="D1877" t="s">
        <v>1447</v>
      </c>
      <c r="E1877" t="s">
        <v>1857</v>
      </c>
      <c r="F1877" t="s">
        <v>1741</v>
      </c>
      <c r="G1877" t="str">
        <f>IF(ISBLANK('Q 5'!H241),"",IF('Q 5'!H241="&lt;please select&gt;","",'Q 5'!H241))</f>
        <v/>
      </c>
    </row>
    <row r="1878" spans="1:7" x14ac:dyDescent="0.3">
      <c r="A1878" t="s">
        <v>1847</v>
      </c>
      <c r="B1878" t="s">
        <v>1855</v>
      </c>
      <c r="C1878">
        <v>40</v>
      </c>
      <c r="D1878" t="s">
        <v>1447</v>
      </c>
      <c r="E1878" t="s">
        <v>1857</v>
      </c>
      <c r="F1878" t="s">
        <v>1741</v>
      </c>
      <c r="G1878" t="str">
        <f>IF(ISBLANK('Q 5'!H242),"",IF('Q 5'!H242="&lt;please select&gt;","",'Q 5'!H242))</f>
        <v/>
      </c>
    </row>
    <row r="1879" spans="1:7" x14ac:dyDescent="0.3">
      <c r="A1879" t="s">
        <v>1847</v>
      </c>
      <c r="B1879" t="s">
        <v>1855</v>
      </c>
      <c r="C1879">
        <v>41</v>
      </c>
      <c r="D1879" t="s">
        <v>1447</v>
      </c>
      <c r="E1879" t="s">
        <v>1857</v>
      </c>
      <c r="F1879" t="s">
        <v>1741</v>
      </c>
      <c r="G1879" t="str">
        <f>IF(ISBLANK('Q 5'!H243),"",IF('Q 5'!H243="&lt;please select&gt;","",'Q 5'!H243))</f>
        <v/>
      </c>
    </row>
    <row r="1880" spans="1:7" x14ac:dyDescent="0.3">
      <c r="A1880" t="s">
        <v>1847</v>
      </c>
      <c r="B1880" t="s">
        <v>1855</v>
      </c>
      <c r="C1880">
        <v>42</v>
      </c>
      <c r="D1880" t="s">
        <v>1447</v>
      </c>
      <c r="E1880" t="s">
        <v>1857</v>
      </c>
      <c r="F1880" t="s">
        <v>1741</v>
      </c>
      <c r="G1880" t="str">
        <f>IF(ISBLANK('Q 5'!H244),"",IF('Q 5'!H244="&lt;please select&gt;","",'Q 5'!H244))</f>
        <v/>
      </c>
    </row>
    <row r="1881" spans="1:7" x14ac:dyDescent="0.3">
      <c r="A1881" t="s">
        <v>1847</v>
      </c>
      <c r="B1881" t="s">
        <v>1855</v>
      </c>
      <c r="C1881">
        <v>43</v>
      </c>
      <c r="D1881" t="s">
        <v>1447</v>
      </c>
      <c r="E1881" t="s">
        <v>1857</v>
      </c>
      <c r="F1881" t="s">
        <v>1741</v>
      </c>
      <c r="G1881" t="str">
        <f>IF(ISBLANK('Q 5'!H245),"",IF('Q 5'!H245="&lt;please select&gt;","",'Q 5'!H245))</f>
        <v/>
      </c>
    </row>
    <row r="1882" spans="1:7" x14ac:dyDescent="0.3">
      <c r="A1882" t="s">
        <v>1847</v>
      </c>
      <c r="B1882" t="s">
        <v>1855</v>
      </c>
      <c r="C1882">
        <v>44</v>
      </c>
      <c r="D1882" t="s">
        <v>1447</v>
      </c>
      <c r="E1882" t="s">
        <v>1857</v>
      </c>
      <c r="F1882" t="s">
        <v>1741</v>
      </c>
      <c r="G1882" t="str">
        <f>IF(ISBLANK('Q 5'!H246),"",IF('Q 5'!H246="&lt;please select&gt;","",'Q 5'!H246))</f>
        <v/>
      </c>
    </row>
    <row r="1883" spans="1:7" x14ac:dyDescent="0.3">
      <c r="A1883" t="s">
        <v>1847</v>
      </c>
      <c r="B1883" t="s">
        <v>1855</v>
      </c>
      <c r="C1883">
        <v>45</v>
      </c>
      <c r="D1883" t="s">
        <v>1447</v>
      </c>
      <c r="E1883" t="s">
        <v>1857</v>
      </c>
      <c r="F1883" t="s">
        <v>1741</v>
      </c>
      <c r="G1883" t="str">
        <f>IF(ISBLANK('Q 5'!H247),"",IF('Q 5'!H247="&lt;please select&gt;","",'Q 5'!H247))</f>
        <v/>
      </c>
    </row>
    <row r="1884" spans="1:7" x14ac:dyDescent="0.3">
      <c r="A1884" t="s">
        <v>1847</v>
      </c>
      <c r="B1884" t="s">
        <v>1855</v>
      </c>
      <c r="C1884">
        <v>46</v>
      </c>
      <c r="D1884" t="s">
        <v>1447</v>
      </c>
      <c r="E1884" t="s">
        <v>1857</v>
      </c>
      <c r="F1884" t="s">
        <v>1741</v>
      </c>
      <c r="G1884" t="str">
        <f>IF(ISBLANK('Q 5'!H248),"",IF('Q 5'!H248="&lt;please select&gt;","",'Q 5'!H248))</f>
        <v/>
      </c>
    </row>
    <row r="1885" spans="1:7" x14ac:dyDescent="0.3">
      <c r="A1885" t="s">
        <v>1847</v>
      </c>
      <c r="B1885" t="s">
        <v>1855</v>
      </c>
      <c r="C1885">
        <v>47</v>
      </c>
      <c r="D1885" t="s">
        <v>1447</v>
      </c>
      <c r="E1885" t="s">
        <v>1857</v>
      </c>
      <c r="F1885" t="s">
        <v>1741</v>
      </c>
      <c r="G1885" t="str">
        <f>IF(ISBLANK('Q 5'!H249),"",IF('Q 5'!H249="&lt;please select&gt;","",'Q 5'!H249))</f>
        <v/>
      </c>
    </row>
    <row r="1886" spans="1:7" x14ac:dyDescent="0.3">
      <c r="A1886" t="s">
        <v>1847</v>
      </c>
      <c r="B1886" t="s">
        <v>1855</v>
      </c>
      <c r="C1886">
        <v>48</v>
      </c>
      <c r="D1886" t="s">
        <v>1447</v>
      </c>
      <c r="E1886" t="s">
        <v>1857</v>
      </c>
      <c r="F1886" t="s">
        <v>1741</v>
      </c>
      <c r="G1886" t="str">
        <f>IF(ISBLANK('Q 5'!H250),"",IF('Q 5'!H250="&lt;please select&gt;","",'Q 5'!H250))</f>
        <v/>
      </c>
    </row>
    <row r="1887" spans="1:7" x14ac:dyDescent="0.3">
      <c r="A1887" t="s">
        <v>1847</v>
      </c>
      <c r="B1887" t="s">
        <v>1855</v>
      </c>
      <c r="C1887">
        <v>49</v>
      </c>
      <c r="D1887" t="s">
        <v>1447</v>
      </c>
      <c r="E1887" t="s">
        <v>1857</v>
      </c>
      <c r="F1887" t="s">
        <v>1741</v>
      </c>
      <c r="G1887" t="str">
        <f>IF(ISBLANK('Q 5'!H251),"",IF('Q 5'!H251="&lt;please select&gt;","",'Q 5'!H251))</f>
        <v/>
      </c>
    </row>
    <row r="1888" spans="1:7" x14ac:dyDescent="0.3">
      <c r="A1888" t="s">
        <v>1847</v>
      </c>
      <c r="B1888" t="s">
        <v>1855</v>
      </c>
      <c r="C1888">
        <v>50</v>
      </c>
      <c r="D1888" t="s">
        <v>1447</v>
      </c>
      <c r="E1888" t="s">
        <v>1857</v>
      </c>
      <c r="F1888" t="s">
        <v>1741</v>
      </c>
      <c r="G1888" t="str">
        <f>IF(ISBLANK('Q 5'!H252),"",IF('Q 5'!H252="&lt;please select&gt;","",'Q 5'!H252))</f>
        <v/>
      </c>
    </row>
    <row r="1889" spans="1:7" x14ac:dyDescent="0.3">
      <c r="A1889" t="s">
        <v>1847</v>
      </c>
      <c r="B1889" t="s">
        <v>1855</v>
      </c>
      <c r="C1889">
        <v>51</v>
      </c>
      <c r="D1889" t="s">
        <v>1447</v>
      </c>
      <c r="E1889" t="s">
        <v>1857</v>
      </c>
      <c r="F1889" t="s">
        <v>1741</v>
      </c>
      <c r="G1889" t="str">
        <f>IF(ISBLANK('Q 5'!H253),"",IF('Q 5'!H253="&lt;please select&gt;","",'Q 5'!H253))</f>
        <v/>
      </c>
    </row>
    <row r="1890" spans="1:7" x14ac:dyDescent="0.3">
      <c r="A1890" t="s">
        <v>1847</v>
      </c>
      <c r="B1890" t="s">
        <v>1855</v>
      </c>
      <c r="C1890">
        <v>52</v>
      </c>
      <c r="D1890" t="s">
        <v>1447</v>
      </c>
      <c r="E1890" t="s">
        <v>1857</v>
      </c>
      <c r="F1890" t="s">
        <v>1741</v>
      </c>
      <c r="G1890" t="str">
        <f>IF(ISBLANK('Q 5'!H254),"",IF('Q 5'!H254="&lt;please select&gt;","",'Q 5'!H254))</f>
        <v/>
      </c>
    </row>
    <row r="1891" spans="1:7" x14ac:dyDescent="0.3">
      <c r="A1891" t="s">
        <v>1847</v>
      </c>
      <c r="B1891" t="s">
        <v>1855</v>
      </c>
      <c r="C1891">
        <v>53</v>
      </c>
      <c r="D1891" t="s">
        <v>1447</v>
      </c>
      <c r="E1891" t="s">
        <v>1857</v>
      </c>
      <c r="F1891" t="s">
        <v>1741</v>
      </c>
      <c r="G1891" t="str">
        <f>IF(ISBLANK('Q 5'!H255),"",IF('Q 5'!H255="&lt;please select&gt;","",'Q 5'!H255))</f>
        <v/>
      </c>
    </row>
    <row r="1892" spans="1:7" x14ac:dyDescent="0.3">
      <c r="A1892" t="s">
        <v>1847</v>
      </c>
      <c r="B1892" t="s">
        <v>1855</v>
      </c>
      <c r="C1892">
        <v>54</v>
      </c>
      <c r="D1892" t="s">
        <v>1447</v>
      </c>
      <c r="E1892" t="s">
        <v>1857</v>
      </c>
      <c r="F1892" t="s">
        <v>1741</v>
      </c>
      <c r="G1892" t="str">
        <f>IF(ISBLANK('Q 5'!H256),"",IF('Q 5'!H256="&lt;please select&gt;","",'Q 5'!H256))</f>
        <v/>
      </c>
    </row>
    <row r="1893" spans="1:7" x14ac:dyDescent="0.3">
      <c r="A1893" t="s">
        <v>1847</v>
      </c>
      <c r="B1893" t="s">
        <v>1855</v>
      </c>
      <c r="C1893">
        <v>55</v>
      </c>
      <c r="D1893" t="s">
        <v>1447</v>
      </c>
      <c r="E1893" t="s">
        <v>1857</v>
      </c>
      <c r="F1893" t="s">
        <v>1741</v>
      </c>
      <c r="G1893" t="str">
        <f>IF(ISBLANK('Q 5'!H257),"",IF('Q 5'!H257="&lt;please select&gt;","",'Q 5'!H257))</f>
        <v/>
      </c>
    </row>
    <row r="1894" spans="1:7" x14ac:dyDescent="0.3">
      <c r="A1894" t="s">
        <v>1847</v>
      </c>
      <c r="B1894" t="s">
        <v>1855</v>
      </c>
      <c r="C1894">
        <v>56</v>
      </c>
      <c r="D1894" t="s">
        <v>1447</v>
      </c>
      <c r="E1894" t="s">
        <v>1857</v>
      </c>
      <c r="F1894" t="s">
        <v>1741</v>
      </c>
      <c r="G1894" t="str">
        <f>IF(ISBLANK('Q 5'!H258),"",IF('Q 5'!H258="&lt;please select&gt;","",'Q 5'!H258))</f>
        <v/>
      </c>
    </row>
    <row r="1895" spans="1:7" x14ac:dyDescent="0.3">
      <c r="A1895" t="s">
        <v>1847</v>
      </c>
      <c r="B1895" t="s">
        <v>1855</v>
      </c>
      <c r="C1895">
        <v>57</v>
      </c>
      <c r="D1895" t="s">
        <v>1447</v>
      </c>
      <c r="E1895" t="s">
        <v>1857</v>
      </c>
      <c r="F1895" t="s">
        <v>1741</v>
      </c>
      <c r="G1895" t="str">
        <f>IF(ISBLANK('Q 5'!H259),"",IF('Q 5'!H259="&lt;please select&gt;","",'Q 5'!H259))</f>
        <v/>
      </c>
    </row>
    <row r="1896" spans="1:7" x14ac:dyDescent="0.3">
      <c r="A1896" t="s">
        <v>1847</v>
      </c>
      <c r="B1896" t="s">
        <v>1855</v>
      </c>
      <c r="C1896">
        <v>58</v>
      </c>
      <c r="D1896" t="s">
        <v>1447</v>
      </c>
      <c r="E1896" t="s">
        <v>1857</v>
      </c>
      <c r="F1896" t="s">
        <v>1741</v>
      </c>
      <c r="G1896" t="str">
        <f>IF(ISBLANK('Q 5'!H260),"",IF('Q 5'!H260="&lt;please select&gt;","",'Q 5'!H260))</f>
        <v/>
      </c>
    </row>
    <row r="1897" spans="1:7" x14ac:dyDescent="0.3">
      <c r="A1897" t="s">
        <v>1847</v>
      </c>
      <c r="B1897" t="s">
        <v>1855</v>
      </c>
      <c r="C1897">
        <v>59</v>
      </c>
      <c r="D1897" t="s">
        <v>1447</v>
      </c>
      <c r="E1897" t="s">
        <v>1857</v>
      </c>
      <c r="F1897" t="s">
        <v>1741</v>
      </c>
      <c r="G1897" t="str">
        <f>IF(ISBLANK('Q 5'!H261),"",IF('Q 5'!H261="&lt;please select&gt;","",'Q 5'!H261))</f>
        <v/>
      </c>
    </row>
    <row r="1898" spans="1:7" x14ac:dyDescent="0.3">
      <c r="A1898" t="s">
        <v>1847</v>
      </c>
      <c r="B1898" t="s">
        <v>1855</v>
      </c>
      <c r="C1898">
        <v>60</v>
      </c>
      <c r="D1898" t="s">
        <v>1447</v>
      </c>
      <c r="E1898" t="s">
        <v>1857</v>
      </c>
      <c r="F1898" t="s">
        <v>1741</v>
      </c>
      <c r="G1898" t="str">
        <f>IF(ISBLANK('Q 5'!H262),"",IF('Q 5'!H262="&lt;please select&gt;","",'Q 5'!H262))</f>
        <v/>
      </c>
    </row>
    <row r="1899" spans="1:7" x14ac:dyDescent="0.3">
      <c r="A1899" t="s">
        <v>1847</v>
      </c>
      <c r="B1899" t="s">
        <v>1855</v>
      </c>
      <c r="C1899">
        <v>61</v>
      </c>
      <c r="D1899" t="s">
        <v>1447</v>
      </c>
      <c r="E1899" t="s">
        <v>1857</v>
      </c>
      <c r="F1899" t="s">
        <v>1741</v>
      </c>
      <c r="G1899" t="str">
        <f>IF(ISBLANK('Q 5'!H263),"",IF('Q 5'!H263="&lt;please select&gt;","",'Q 5'!H263))</f>
        <v/>
      </c>
    </row>
    <row r="1900" spans="1:7" x14ac:dyDescent="0.3">
      <c r="A1900" t="s">
        <v>1847</v>
      </c>
      <c r="B1900" t="s">
        <v>1855</v>
      </c>
      <c r="C1900">
        <v>62</v>
      </c>
      <c r="D1900" t="s">
        <v>1447</v>
      </c>
      <c r="E1900" t="s">
        <v>1857</v>
      </c>
      <c r="F1900" t="s">
        <v>1741</v>
      </c>
      <c r="G1900" t="str">
        <f>IF(ISBLANK('Q 5'!H264),"",IF('Q 5'!H264="&lt;please select&gt;","",'Q 5'!H264))</f>
        <v/>
      </c>
    </row>
    <row r="1901" spans="1:7" x14ac:dyDescent="0.3">
      <c r="A1901" t="s">
        <v>1847</v>
      </c>
      <c r="B1901" t="s">
        <v>1855</v>
      </c>
      <c r="C1901">
        <v>63</v>
      </c>
      <c r="D1901" t="s">
        <v>1447</v>
      </c>
      <c r="E1901" t="s">
        <v>1857</v>
      </c>
      <c r="F1901" t="s">
        <v>1741</v>
      </c>
      <c r="G1901" t="str">
        <f>IF(ISBLANK('Q 5'!H265),"",IF('Q 5'!H265="&lt;please select&gt;","",'Q 5'!H265))</f>
        <v/>
      </c>
    </row>
    <row r="1902" spans="1:7" x14ac:dyDescent="0.3">
      <c r="A1902" t="s">
        <v>1847</v>
      </c>
      <c r="B1902" t="s">
        <v>1855</v>
      </c>
      <c r="C1902">
        <v>64</v>
      </c>
      <c r="D1902" t="s">
        <v>1447</v>
      </c>
      <c r="E1902" t="s">
        <v>1857</v>
      </c>
      <c r="F1902" t="s">
        <v>1741</v>
      </c>
      <c r="G1902" t="str">
        <f>IF(ISBLANK('Q 5'!H266),"",IF('Q 5'!H266="&lt;please select&gt;","",'Q 5'!H266))</f>
        <v/>
      </c>
    </row>
    <row r="1903" spans="1:7" x14ac:dyDescent="0.3">
      <c r="A1903" t="s">
        <v>1847</v>
      </c>
      <c r="B1903" t="s">
        <v>1855</v>
      </c>
      <c r="C1903">
        <v>65</v>
      </c>
      <c r="D1903" t="s">
        <v>1447</v>
      </c>
      <c r="E1903" t="s">
        <v>1857</v>
      </c>
      <c r="F1903" t="s">
        <v>1741</v>
      </c>
      <c r="G1903" t="str">
        <f>IF(ISBLANK('Q 5'!H267),"",IF('Q 5'!H267="&lt;please select&gt;","",'Q 5'!H267))</f>
        <v/>
      </c>
    </row>
    <row r="1904" spans="1:7" x14ac:dyDescent="0.3">
      <c r="A1904" t="s">
        <v>1847</v>
      </c>
      <c r="B1904" t="s">
        <v>1855</v>
      </c>
      <c r="C1904">
        <v>66</v>
      </c>
      <c r="D1904" t="s">
        <v>1447</v>
      </c>
      <c r="E1904" t="s">
        <v>1857</v>
      </c>
      <c r="F1904" t="s">
        <v>1741</v>
      </c>
      <c r="G1904" t="str">
        <f>IF(ISBLANK('Q 5'!H268),"",IF('Q 5'!H268="&lt;please select&gt;","",'Q 5'!H268))</f>
        <v/>
      </c>
    </row>
    <row r="1905" spans="1:7" x14ac:dyDescent="0.3">
      <c r="A1905" t="s">
        <v>1847</v>
      </c>
      <c r="B1905" t="s">
        <v>1855</v>
      </c>
      <c r="C1905">
        <v>67</v>
      </c>
      <c r="D1905" t="s">
        <v>1447</v>
      </c>
      <c r="E1905" t="s">
        <v>1857</v>
      </c>
      <c r="F1905" t="s">
        <v>1741</v>
      </c>
      <c r="G1905" t="str">
        <f>IF(ISBLANK('Q 5'!H269),"",IF('Q 5'!H269="&lt;please select&gt;","",'Q 5'!H269))</f>
        <v/>
      </c>
    </row>
    <row r="1906" spans="1:7" x14ac:dyDescent="0.3">
      <c r="A1906" t="s">
        <v>1847</v>
      </c>
      <c r="B1906" t="s">
        <v>1855</v>
      </c>
      <c r="C1906">
        <v>68</v>
      </c>
      <c r="D1906" t="s">
        <v>1447</v>
      </c>
      <c r="E1906" t="s">
        <v>1857</v>
      </c>
      <c r="F1906" t="s">
        <v>1741</v>
      </c>
      <c r="G1906" t="str">
        <f>IF(ISBLANK('Q 5'!H270),"",IF('Q 5'!H270="&lt;please select&gt;","",'Q 5'!H270))</f>
        <v/>
      </c>
    </row>
    <row r="1907" spans="1:7" x14ac:dyDescent="0.3">
      <c r="A1907" t="s">
        <v>1847</v>
      </c>
      <c r="B1907" t="s">
        <v>1855</v>
      </c>
      <c r="C1907">
        <v>69</v>
      </c>
      <c r="D1907" t="s">
        <v>1447</v>
      </c>
      <c r="E1907" t="s">
        <v>1857</v>
      </c>
      <c r="F1907" t="s">
        <v>1741</v>
      </c>
      <c r="G1907" t="str">
        <f>IF(ISBLANK('Q 5'!H271),"",IF('Q 5'!H271="&lt;please select&gt;","",'Q 5'!H271))</f>
        <v/>
      </c>
    </row>
    <row r="1908" spans="1:7" x14ac:dyDescent="0.3">
      <c r="A1908" t="s">
        <v>1847</v>
      </c>
      <c r="B1908" t="s">
        <v>1855</v>
      </c>
      <c r="C1908">
        <v>70</v>
      </c>
      <c r="D1908" t="s">
        <v>1447</v>
      </c>
      <c r="E1908" t="s">
        <v>1857</v>
      </c>
      <c r="F1908" t="s">
        <v>1741</v>
      </c>
      <c r="G1908" t="str">
        <f>IF(ISBLANK('Q 5'!H272),"",IF('Q 5'!H272="&lt;please select&gt;","",'Q 5'!H272))</f>
        <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
      </c>
    </row>
    <row r="2640" spans="1:8" x14ac:dyDescent="0.3">
      <c r="A2640" t="s">
        <v>1847</v>
      </c>
      <c r="B2640" t="s">
        <v>1855</v>
      </c>
      <c r="C2640">
        <v>2</v>
      </c>
      <c r="D2640" t="s">
        <v>1447</v>
      </c>
      <c r="E2640" t="s">
        <v>1858</v>
      </c>
      <c r="F2640" t="s">
        <v>1748</v>
      </c>
      <c r="H2640" s="165" t="str">
        <f>IF(ISBLANK('Q 5'!I204),"",IF('Q 5'!I204="&lt;please select&gt;","",'Q 5'!I204))</f>
        <v/>
      </c>
    </row>
    <row r="2641" spans="1:8" x14ac:dyDescent="0.3">
      <c r="A2641" t="s">
        <v>1847</v>
      </c>
      <c r="B2641" t="s">
        <v>1855</v>
      </c>
      <c r="C2641">
        <v>3</v>
      </c>
      <c r="D2641" t="s">
        <v>1447</v>
      </c>
      <c r="E2641" t="s">
        <v>1858</v>
      </c>
      <c r="F2641" t="s">
        <v>1748</v>
      </c>
      <c r="H2641" s="165" t="str">
        <f>IF(ISBLANK('Q 5'!I205),"",IF('Q 5'!I205="&lt;please select&gt;","",'Q 5'!I205))</f>
        <v/>
      </c>
    </row>
    <row r="2642" spans="1:8" x14ac:dyDescent="0.3">
      <c r="A2642" t="s">
        <v>1847</v>
      </c>
      <c r="B2642" t="s">
        <v>1855</v>
      </c>
      <c r="C2642">
        <v>4</v>
      </c>
      <c r="D2642" t="s">
        <v>1447</v>
      </c>
      <c r="E2642" t="s">
        <v>1858</v>
      </c>
      <c r="F2642" t="s">
        <v>1748</v>
      </c>
      <c r="H2642" s="165" t="str">
        <f>IF(ISBLANK('Q 5'!I206),"",IF('Q 5'!I206="&lt;please select&gt;","",'Q 5'!I206))</f>
        <v/>
      </c>
    </row>
    <row r="2643" spans="1:8" x14ac:dyDescent="0.3">
      <c r="A2643" t="s">
        <v>1847</v>
      </c>
      <c r="B2643" t="s">
        <v>1855</v>
      </c>
      <c r="C2643">
        <v>5</v>
      </c>
      <c r="D2643" t="s">
        <v>1447</v>
      </c>
      <c r="E2643" t="s">
        <v>1858</v>
      </c>
      <c r="F2643" t="s">
        <v>1748</v>
      </c>
      <c r="H2643" s="165" t="str">
        <f>IF(ISBLANK('Q 5'!I207),"",IF('Q 5'!I207="&lt;please select&gt;","",'Q 5'!I207))</f>
        <v/>
      </c>
    </row>
    <row r="2644" spans="1:8" x14ac:dyDescent="0.3">
      <c r="A2644" t="s">
        <v>1847</v>
      </c>
      <c r="B2644" t="s">
        <v>1855</v>
      </c>
      <c r="C2644">
        <v>6</v>
      </c>
      <c r="D2644" t="s">
        <v>1447</v>
      </c>
      <c r="E2644" t="s">
        <v>1858</v>
      </c>
      <c r="F2644" t="s">
        <v>1748</v>
      </c>
      <c r="H2644" s="165" t="str">
        <f>IF(ISBLANK('Q 5'!I208),"",IF('Q 5'!I208="&lt;please select&gt;","",'Q 5'!I208))</f>
        <v/>
      </c>
    </row>
    <row r="2645" spans="1:8" x14ac:dyDescent="0.3">
      <c r="A2645" t="s">
        <v>1847</v>
      </c>
      <c r="B2645" t="s">
        <v>1855</v>
      </c>
      <c r="C2645">
        <v>7</v>
      </c>
      <c r="D2645" t="s">
        <v>1447</v>
      </c>
      <c r="E2645" t="s">
        <v>1858</v>
      </c>
      <c r="F2645" t="s">
        <v>1748</v>
      </c>
      <c r="H2645" s="165" t="str">
        <f>IF(ISBLANK('Q 5'!I209),"",IF('Q 5'!I209="&lt;please select&gt;","",'Q 5'!I209))</f>
        <v/>
      </c>
    </row>
    <row r="2646" spans="1:8" x14ac:dyDescent="0.3">
      <c r="A2646" t="s">
        <v>1847</v>
      </c>
      <c r="B2646" t="s">
        <v>1855</v>
      </c>
      <c r="C2646">
        <v>8</v>
      </c>
      <c r="D2646" t="s">
        <v>1447</v>
      </c>
      <c r="E2646" t="s">
        <v>1858</v>
      </c>
      <c r="F2646" t="s">
        <v>1748</v>
      </c>
      <c r="H2646" s="165" t="str">
        <f>IF(ISBLANK('Q 5'!I210),"",IF('Q 5'!I210="&lt;please select&gt;","",'Q 5'!I210))</f>
        <v/>
      </c>
    </row>
    <row r="2647" spans="1:8" x14ac:dyDescent="0.3">
      <c r="A2647" t="s">
        <v>1847</v>
      </c>
      <c r="B2647" t="s">
        <v>1855</v>
      </c>
      <c r="C2647">
        <v>9</v>
      </c>
      <c r="D2647" t="s">
        <v>1447</v>
      </c>
      <c r="E2647" t="s">
        <v>1858</v>
      </c>
      <c r="F2647" t="s">
        <v>1748</v>
      </c>
      <c r="H2647" s="165" t="str">
        <f>IF(ISBLANK('Q 5'!I211),"",IF('Q 5'!I211="&lt;please select&gt;","",'Q 5'!I211))</f>
        <v/>
      </c>
    </row>
    <row r="2648" spans="1:8" x14ac:dyDescent="0.3">
      <c r="A2648" t="s">
        <v>1847</v>
      </c>
      <c r="B2648" t="s">
        <v>1855</v>
      </c>
      <c r="C2648">
        <v>10</v>
      </c>
      <c r="D2648" t="s">
        <v>1447</v>
      </c>
      <c r="E2648" t="s">
        <v>1858</v>
      </c>
      <c r="F2648" t="s">
        <v>1748</v>
      </c>
      <c r="H2648" s="165" t="str">
        <f>IF(ISBLANK('Q 5'!I212),"",IF('Q 5'!I212="&lt;please select&gt;","",'Q 5'!I212))</f>
        <v/>
      </c>
    </row>
    <row r="2649" spans="1:8" x14ac:dyDescent="0.3">
      <c r="A2649" t="s">
        <v>1847</v>
      </c>
      <c r="B2649" t="s">
        <v>1855</v>
      </c>
      <c r="C2649">
        <v>11</v>
      </c>
      <c r="D2649" t="s">
        <v>1447</v>
      </c>
      <c r="E2649" t="s">
        <v>1858</v>
      </c>
      <c r="F2649" t="s">
        <v>1748</v>
      </c>
      <c r="H2649" s="165" t="str">
        <f>IF(ISBLANK('Q 5'!I213),"",IF('Q 5'!I213="&lt;please select&gt;","",'Q 5'!I213))</f>
        <v/>
      </c>
    </row>
    <row r="2650" spans="1:8" x14ac:dyDescent="0.3">
      <c r="A2650" t="s">
        <v>1847</v>
      </c>
      <c r="B2650" t="s">
        <v>1855</v>
      </c>
      <c r="C2650">
        <v>12</v>
      </c>
      <c r="D2650" t="s">
        <v>1447</v>
      </c>
      <c r="E2650" t="s">
        <v>1858</v>
      </c>
      <c r="F2650" t="s">
        <v>1748</v>
      </c>
      <c r="H2650" s="165" t="str">
        <f>IF(ISBLANK('Q 5'!I214),"",IF('Q 5'!I214="&lt;please select&gt;","",'Q 5'!I214))</f>
        <v/>
      </c>
    </row>
    <row r="2651" spans="1:8" x14ac:dyDescent="0.3">
      <c r="A2651" t="s">
        <v>1847</v>
      </c>
      <c r="B2651" t="s">
        <v>1855</v>
      </c>
      <c r="C2651">
        <v>13</v>
      </c>
      <c r="D2651" t="s">
        <v>1447</v>
      </c>
      <c r="E2651" t="s">
        <v>1858</v>
      </c>
      <c r="F2651" t="s">
        <v>1748</v>
      </c>
      <c r="H2651" s="165" t="str">
        <f>IF(ISBLANK('Q 5'!I215),"",IF('Q 5'!I215="&lt;please select&gt;","",'Q 5'!I215))</f>
        <v/>
      </c>
    </row>
    <row r="2652" spans="1:8" x14ac:dyDescent="0.3">
      <c r="A2652" t="s">
        <v>1847</v>
      </c>
      <c r="B2652" t="s">
        <v>1855</v>
      </c>
      <c r="C2652">
        <v>14</v>
      </c>
      <c r="D2652" t="s">
        <v>1447</v>
      </c>
      <c r="E2652" t="s">
        <v>1858</v>
      </c>
      <c r="F2652" t="s">
        <v>1748</v>
      </c>
      <c r="H2652" s="165" t="str">
        <f>IF(ISBLANK('Q 5'!I216),"",IF('Q 5'!I216="&lt;please select&gt;","",'Q 5'!I216))</f>
        <v/>
      </c>
    </row>
    <row r="2653" spans="1:8" x14ac:dyDescent="0.3">
      <c r="A2653" t="s">
        <v>1847</v>
      </c>
      <c r="B2653" t="s">
        <v>1855</v>
      </c>
      <c r="C2653">
        <v>15</v>
      </c>
      <c r="D2653" t="s">
        <v>1447</v>
      </c>
      <c r="E2653" t="s">
        <v>1858</v>
      </c>
      <c r="F2653" t="s">
        <v>1748</v>
      </c>
      <c r="H2653" s="165" t="str">
        <f>IF(ISBLANK('Q 5'!I217),"",IF('Q 5'!I217="&lt;please select&gt;","",'Q 5'!I217))</f>
        <v/>
      </c>
    </row>
    <row r="2654" spans="1:8" x14ac:dyDescent="0.3">
      <c r="A2654" t="s">
        <v>1847</v>
      </c>
      <c r="B2654" t="s">
        <v>1855</v>
      </c>
      <c r="C2654">
        <v>16</v>
      </c>
      <c r="D2654" t="s">
        <v>1447</v>
      </c>
      <c r="E2654" t="s">
        <v>1858</v>
      </c>
      <c r="F2654" t="s">
        <v>1748</v>
      </c>
      <c r="H2654" s="165" t="str">
        <f>IF(ISBLANK('Q 5'!I218),"",IF('Q 5'!I218="&lt;please select&gt;","",'Q 5'!I218))</f>
        <v/>
      </c>
    </row>
    <row r="2655" spans="1:8" x14ac:dyDescent="0.3">
      <c r="A2655" t="s">
        <v>1847</v>
      </c>
      <c r="B2655" t="s">
        <v>1855</v>
      </c>
      <c r="C2655">
        <v>17</v>
      </c>
      <c r="D2655" t="s">
        <v>1447</v>
      </c>
      <c r="E2655" t="s">
        <v>1858</v>
      </c>
      <c r="F2655" t="s">
        <v>1748</v>
      </c>
      <c r="H2655" s="165" t="str">
        <f>IF(ISBLANK('Q 5'!I219),"",IF('Q 5'!I219="&lt;please select&gt;","",'Q 5'!I219))</f>
        <v/>
      </c>
    </row>
    <row r="2656" spans="1:8" x14ac:dyDescent="0.3">
      <c r="A2656" t="s">
        <v>1847</v>
      </c>
      <c r="B2656" t="s">
        <v>1855</v>
      </c>
      <c r="C2656">
        <v>18</v>
      </c>
      <c r="D2656" t="s">
        <v>1447</v>
      </c>
      <c r="E2656" t="s">
        <v>1858</v>
      </c>
      <c r="F2656" t="s">
        <v>1748</v>
      </c>
      <c r="H2656" s="165" t="str">
        <f>IF(ISBLANK('Q 5'!I220),"",IF('Q 5'!I220="&lt;please select&gt;","",'Q 5'!I220))</f>
        <v/>
      </c>
    </row>
    <row r="2657" spans="1:8" x14ac:dyDescent="0.3">
      <c r="A2657" t="s">
        <v>1847</v>
      </c>
      <c r="B2657" t="s">
        <v>1855</v>
      </c>
      <c r="C2657">
        <v>19</v>
      </c>
      <c r="D2657" t="s">
        <v>1447</v>
      </c>
      <c r="E2657" t="s">
        <v>1858</v>
      </c>
      <c r="F2657" t="s">
        <v>1748</v>
      </c>
      <c r="H2657" s="165" t="str">
        <f>IF(ISBLANK('Q 5'!I221),"",IF('Q 5'!I221="&lt;please select&gt;","",'Q 5'!I221))</f>
        <v/>
      </c>
    </row>
    <row r="2658" spans="1:8" x14ac:dyDescent="0.3">
      <c r="A2658" t="s">
        <v>1847</v>
      </c>
      <c r="B2658" t="s">
        <v>1855</v>
      </c>
      <c r="C2658">
        <v>20</v>
      </c>
      <c r="D2658" t="s">
        <v>1447</v>
      </c>
      <c r="E2658" t="s">
        <v>1858</v>
      </c>
      <c r="F2658" t="s">
        <v>1748</v>
      </c>
      <c r="H2658" s="165" t="str">
        <f>IF(ISBLANK('Q 5'!I222),"",IF('Q 5'!I222="&lt;please select&gt;","",'Q 5'!I222))</f>
        <v/>
      </c>
    </row>
    <row r="2659" spans="1:8" x14ac:dyDescent="0.3">
      <c r="A2659" t="s">
        <v>1847</v>
      </c>
      <c r="B2659" t="s">
        <v>1855</v>
      </c>
      <c r="C2659">
        <v>21</v>
      </c>
      <c r="D2659" t="s">
        <v>1447</v>
      </c>
      <c r="E2659" t="s">
        <v>1858</v>
      </c>
      <c r="F2659" t="s">
        <v>1748</v>
      </c>
      <c r="H2659" s="165" t="str">
        <f>IF(ISBLANK('Q 5'!I223),"",IF('Q 5'!I223="&lt;please select&gt;","",'Q 5'!I223))</f>
        <v/>
      </c>
    </row>
    <row r="2660" spans="1:8" x14ac:dyDescent="0.3">
      <c r="A2660" t="s">
        <v>1847</v>
      </c>
      <c r="B2660" t="s">
        <v>1855</v>
      </c>
      <c r="C2660">
        <v>22</v>
      </c>
      <c r="D2660" t="s">
        <v>1447</v>
      </c>
      <c r="E2660" t="s">
        <v>1858</v>
      </c>
      <c r="F2660" t="s">
        <v>1748</v>
      </c>
      <c r="H2660" s="165" t="str">
        <f>IF(ISBLANK('Q 5'!I224),"",IF('Q 5'!I224="&lt;please select&gt;","",'Q 5'!I224))</f>
        <v/>
      </c>
    </row>
    <row r="2661" spans="1:8" x14ac:dyDescent="0.3">
      <c r="A2661" t="s">
        <v>1847</v>
      </c>
      <c r="B2661" t="s">
        <v>1855</v>
      </c>
      <c r="C2661">
        <v>23</v>
      </c>
      <c r="D2661" t="s">
        <v>1447</v>
      </c>
      <c r="E2661" t="s">
        <v>1858</v>
      </c>
      <c r="F2661" t="s">
        <v>1748</v>
      </c>
      <c r="H2661" s="165" t="str">
        <f>IF(ISBLANK('Q 5'!I225),"",IF('Q 5'!I225="&lt;please select&gt;","",'Q 5'!I225))</f>
        <v/>
      </c>
    </row>
    <row r="2662" spans="1:8" x14ac:dyDescent="0.3">
      <c r="A2662" t="s">
        <v>1847</v>
      </c>
      <c r="B2662" t="s">
        <v>1855</v>
      </c>
      <c r="C2662">
        <v>24</v>
      </c>
      <c r="D2662" t="s">
        <v>1447</v>
      </c>
      <c r="E2662" t="s">
        <v>1858</v>
      </c>
      <c r="F2662" t="s">
        <v>1748</v>
      </c>
      <c r="H2662" s="165" t="str">
        <f>IF(ISBLANK('Q 5'!I226),"",IF('Q 5'!I226="&lt;please select&gt;","",'Q 5'!I226))</f>
        <v/>
      </c>
    </row>
    <row r="2663" spans="1:8" x14ac:dyDescent="0.3">
      <c r="A2663" t="s">
        <v>1847</v>
      </c>
      <c r="B2663" t="s">
        <v>1855</v>
      </c>
      <c r="C2663">
        <v>25</v>
      </c>
      <c r="D2663" t="s">
        <v>1447</v>
      </c>
      <c r="E2663" t="s">
        <v>1858</v>
      </c>
      <c r="F2663" t="s">
        <v>1748</v>
      </c>
      <c r="H2663" s="165" t="str">
        <f>IF(ISBLANK('Q 5'!I227),"",IF('Q 5'!I227="&lt;please select&gt;","",'Q 5'!I227))</f>
        <v/>
      </c>
    </row>
    <row r="2664" spans="1:8" x14ac:dyDescent="0.3">
      <c r="A2664" t="s">
        <v>1847</v>
      </c>
      <c r="B2664" t="s">
        <v>1855</v>
      </c>
      <c r="C2664">
        <v>26</v>
      </c>
      <c r="D2664" t="s">
        <v>1447</v>
      </c>
      <c r="E2664" t="s">
        <v>1858</v>
      </c>
      <c r="F2664" t="s">
        <v>1748</v>
      </c>
      <c r="H2664" s="165" t="str">
        <f>IF(ISBLANK('Q 5'!I228),"",IF('Q 5'!I228="&lt;please select&gt;","",'Q 5'!I228))</f>
        <v/>
      </c>
    </row>
    <row r="2665" spans="1:8" x14ac:dyDescent="0.3">
      <c r="A2665" t="s">
        <v>1847</v>
      </c>
      <c r="B2665" t="s">
        <v>1855</v>
      </c>
      <c r="C2665">
        <v>27</v>
      </c>
      <c r="D2665" t="s">
        <v>1447</v>
      </c>
      <c r="E2665" t="s">
        <v>1858</v>
      </c>
      <c r="F2665" t="s">
        <v>1748</v>
      </c>
      <c r="H2665" s="165" t="str">
        <f>IF(ISBLANK('Q 5'!I229),"",IF('Q 5'!I229="&lt;please select&gt;","",'Q 5'!I229))</f>
        <v/>
      </c>
    </row>
    <row r="2666" spans="1:8" x14ac:dyDescent="0.3">
      <c r="A2666" t="s">
        <v>1847</v>
      </c>
      <c r="B2666" t="s">
        <v>1855</v>
      </c>
      <c r="C2666">
        <v>28</v>
      </c>
      <c r="D2666" t="s">
        <v>1447</v>
      </c>
      <c r="E2666" t="s">
        <v>1858</v>
      </c>
      <c r="F2666" t="s">
        <v>1748</v>
      </c>
      <c r="H2666" s="165" t="str">
        <f>IF(ISBLANK('Q 5'!I230),"",IF('Q 5'!I230="&lt;please select&gt;","",'Q 5'!I230))</f>
        <v/>
      </c>
    </row>
    <row r="2667" spans="1:8" x14ac:dyDescent="0.3">
      <c r="A2667" t="s">
        <v>1847</v>
      </c>
      <c r="B2667" t="s">
        <v>1855</v>
      </c>
      <c r="C2667">
        <v>29</v>
      </c>
      <c r="D2667" t="s">
        <v>1447</v>
      </c>
      <c r="E2667" t="s">
        <v>1858</v>
      </c>
      <c r="F2667" t="s">
        <v>1748</v>
      </c>
      <c r="H2667" s="165" t="str">
        <f>IF(ISBLANK('Q 5'!I231),"",IF('Q 5'!I231="&lt;please select&gt;","",'Q 5'!I231))</f>
        <v/>
      </c>
    </row>
    <row r="2668" spans="1:8" x14ac:dyDescent="0.3">
      <c r="A2668" t="s">
        <v>1847</v>
      </c>
      <c r="B2668" t="s">
        <v>1855</v>
      </c>
      <c r="C2668">
        <v>30</v>
      </c>
      <c r="D2668" t="s">
        <v>1447</v>
      </c>
      <c r="E2668" t="s">
        <v>1858</v>
      </c>
      <c r="F2668" t="s">
        <v>1748</v>
      </c>
      <c r="H2668" s="165" t="str">
        <f>IF(ISBLANK('Q 5'!I232),"",IF('Q 5'!I232="&lt;please select&gt;","",'Q 5'!I232))</f>
        <v/>
      </c>
    </row>
    <row r="2669" spans="1:8" x14ac:dyDescent="0.3">
      <c r="A2669" t="s">
        <v>1847</v>
      </c>
      <c r="B2669" t="s">
        <v>1855</v>
      </c>
      <c r="C2669">
        <v>31</v>
      </c>
      <c r="D2669" t="s">
        <v>1447</v>
      </c>
      <c r="E2669" t="s">
        <v>1858</v>
      </c>
      <c r="F2669" t="s">
        <v>1748</v>
      </c>
      <c r="H2669" s="165" t="str">
        <f>IF(ISBLANK('Q 5'!I233),"",IF('Q 5'!I233="&lt;please select&gt;","",'Q 5'!I233))</f>
        <v/>
      </c>
    </row>
    <row r="2670" spans="1:8" x14ac:dyDescent="0.3">
      <c r="A2670" t="s">
        <v>1847</v>
      </c>
      <c r="B2670" t="s">
        <v>1855</v>
      </c>
      <c r="C2670">
        <v>32</v>
      </c>
      <c r="D2670" t="s">
        <v>1447</v>
      </c>
      <c r="E2670" t="s">
        <v>1858</v>
      </c>
      <c r="F2670" t="s">
        <v>1748</v>
      </c>
      <c r="H2670" s="165" t="str">
        <f>IF(ISBLANK('Q 5'!I234),"",IF('Q 5'!I234="&lt;please select&gt;","",'Q 5'!I234))</f>
        <v/>
      </c>
    </row>
    <row r="2671" spans="1:8" x14ac:dyDescent="0.3">
      <c r="A2671" t="s">
        <v>1847</v>
      </c>
      <c r="B2671" t="s">
        <v>1855</v>
      </c>
      <c r="C2671">
        <v>33</v>
      </c>
      <c r="D2671" t="s">
        <v>1447</v>
      </c>
      <c r="E2671" t="s">
        <v>1858</v>
      </c>
      <c r="F2671" t="s">
        <v>1748</v>
      </c>
      <c r="H2671" s="165" t="str">
        <f>IF(ISBLANK('Q 5'!I235),"",IF('Q 5'!I235="&lt;please select&gt;","",'Q 5'!I235))</f>
        <v/>
      </c>
    </row>
    <row r="2672" spans="1:8" x14ac:dyDescent="0.3">
      <c r="A2672" t="s">
        <v>1847</v>
      </c>
      <c r="B2672" t="s">
        <v>1855</v>
      </c>
      <c r="C2672">
        <v>34</v>
      </c>
      <c r="D2672" t="s">
        <v>1447</v>
      </c>
      <c r="E2672" t="s">
        <v>1858</v>
      </c>
      <c r="F2672" t="s">
        <v>1748</v>
      </c>
      <c r="H2672" s="165" t="str">
        <f>IF(ISBLANK('Q 5'!I236),"",IF('Q 5'!I236="&lt;please select&gt;","",'Q 5'!I236))</f>
        <v/>
      </c>
    </row>
    <row r="2673" spans="1:8" x14ac:dyDescent="0.3">
      <c r="A2673" t="s">
        <v>1847</v>
      </c>
      <c r="B2673" t="s">
        <v>1855</v>
      </c>
      <c r="C2673">
        <v>35</v>
      </c>
      <c r="D2673" t="s">
        <v>1447</v>
      </c>
      <c r="E2673" t="s">
        <v>1858</v>
      </c>
      <c r="F2673" t="s">
        <v>1748</v>
      </c>
      <c r="H2673" s="165" t="str">
        <f>IF(ISBLANK('Q 5'!I237),"",IF('Q 5'!I237="&lt;please select&gt;","",'Q 5'!I237))</f>
        <v/>
      </c>
    </row>
    <row r="2674" spans="1:8" x14ac:dyDescent="0.3">
      <c r="A2674" t="s">
        <v>1847</v>
      </c>
      <c r="B2674" t="s">
        <v>1855</v>
      </c>
      <c r="C2674">
        <v>36</v>
      </c>
      <c r="D2674" t="s">
        <v>1447</v>
      </c>
      <c r="E2674" t="s">
        <v>1858</v>
      </c>
      <c r="F2674" t="s">
        <v>1748</v>
      </c>
      <c r="H2674" s="165" t="str">
        <f>IF(ISBLANK('Q 5'!I238),"",IF('Q 5'!I238="&lt;please select&gt;","",'Q 5'!I238))</f>
        <v/>
      </c>
    </row>
    <row r="2675" spans="1:8" x14ac:dyDescent="0.3">
      <c r="A2675" t="s">
        <v>1847</v>
      </c>
      <c r="B2675" t="s">
        <v>1855</v>
      </c>
      <c r="C2675">
        <v>37</v>
      </c>
      <c r="D2675" t="s">
        <v>1447</v>
      </c>
      <c r="E2675" t="s">
        <v>1858</v>
      </c>
      <c r="F2675" t="s">
        <v>1748</v>
      </c>
      <c r="H2675" s="165" t="str">
        <f>IF(ISBLANK('Q 5'!I239),"",IF('Q 5'!I239="&lt;please select&gt;","",'Q 5'!I239))</f>
        <v/>
      </c>
    </row>
    <row r="2676" spans="1:8" x14ac:dyDescent="0.3">
      <c r="A2676" t="s">
        <v>1847</v>
      </c>
      <c r="B2676" t="s">
        <v>1855</v>
      </c>
      <c r="C2676">
        <v>38</v>
      </c>
      <c r="D2676" t="s">
        <v>1447</v>
      </c>
      <c r="E2676" t="s">
        <v>1858</v>
      </c>
      <c r="F2676" t="s">
        <v>1748</v>
      </c>
      <c r="H2676" s="165" t="str">
        <f>IF(ISBLANK('Q 5'!I240),"",IF('Q 5'!I240="&lt;please select&gt;","",'Q 5'!I240))</f>
        <v/>
      </c>
    </row>
    <row r="2677" spans="1:8" x14ac:dyDescent="0.3">
      <c r="A2677" t="s">
        <v>1847</v>
      </c>
      <c r="B2677" t="s">
        <v>1855</v>
      </c>
      <c r="C2677">
        <v>39</v>
      </c>
      <c r="D2677" t="s">
        <v>1447</v>
      </c>
      <c r="E2677" t="s">
        <v>1858</v>
      </c>
      <c r="F2677" t="s">
        <v>1748</v>
      </c>
      <c r="H2677" s="165" t="str">
        <f>IF(ISBLANK('Q 5'!I241),"",IF('Q 5'!I241="&lt;please select&gt;","",'Q 5'!I241))</f>
        <v/>
      </c>
    </row>
    <row r="2678" spans="1:8" x14ac:dyDescent="0.3">
      <c r="A2678" t="s">
        <v>1847</v>
      </c>
      <c r="B2678" t="s">
        <v>1855</v>
      </c>
      <c r="C2678">
        <v>40</v>
      </c>
      <c r="D2678" t="s">
        <v>1447</v>
      </c>
      <c r="E2678" t="s">
        <v>1858</v>
      </c>
      <c r="F2678" t="s">
        <v>1748</v>
      </c>
      <c r="H2678" s="165" t="str">
        <f>IF(ISBLANK('Q 5'!I242),"",IF('Q 5'!I242="&lt;please select&gt;","",'Q 5'!I242))</f>
        <v/>
      </c>
    </row>
    <row r="2679" spans="1:8" x14ac:dyDescent="0.3">
      <c r="A2679" t="s">
        <v>1847</v>
      </c>
      <c r="B2679" t="s">
        <v>1855</v>
      </c>
      <c r="C2679">
        <v>41</v>
      </c>
      <c r="D2679" t="s">
        <v>1447</v>
      </c>
      <c r="E2679" t="s">
        <v>1858</v>
      </c>
      <c r="F2679" t="s">
        <v>1748</v>
      </c>
      <c r="H2679" s="165" t="str">
        <f>IF(ISBLANK('Q 5'!I243),"",IF('Q 5'!I243="&lt;please select&gt;","",'Q 5'!I243))</f>
        <v/>
      </c>
    </row>
    <row r="2680" spans="1:8" x14ac:dyDescent="0.3">
      <c r="A2680" t="s">
        <v>1847</v>
      </c>
      <c r="B2680" t="s">
        <v>1855</v>
      </c>
      <c r="C2680">
        <v>42</v>
      </c>
      <c r="D2680" t="s">
        <v>1447</v>
      </c>
      <c r="E2680" t="s">
        <v>1858</v>
      </c>
      <c r="F2680" t="s">
        <v>1748</v>
      </c>
      <c r="H2680" s="165" t="str">
        <f>IF(ISBLANK('Q 5'!I244),"",IF('Q 5'!I244="&lt;please select&gt;","",'Q 5'!I244))</f>
        <v/>
      </c>
    </row>
    <row r="2681" spans="1:8" x14ac:dyDescent="0.3">
      <c r="A2681" t="s">
        <v>1847</v>
      </c>
      <c r="B2681" t="s">
        <v>1855</v>
      </c>
      <c r="C2681">
        <v>43</v>
      </c>
      <c r="D2681" t="s">
        <v>1447</v>
      </c>
      <c r="E2681" t="s">
        <v>1858</v>
      </c>
      <c r="F2681" t="s">
        <v>1748</v>
      </c>
      <c r="H2681" s="165" t="str">
        <f>IF(ISBLANK('Q 5'!I245),"",IF('Q 5'!I245="&lt;please select&gt;","",'Q 5'!I245))</f>
        <v/>
      </c>
    </row>
    <row r="2682" spans="1:8" x14ac:dyDescent="0.3">
      <c r="A2682" t="s">
        <v>1847</v>
      </c>
      <c r="B2682" t="s">
        <v>1855</v>
      </c>
      <c r="C2682">
        <v>44</v>
      </c>
      <c r="D2682" t="s">
        <v>1447</v>
      </c>
      <c r="E2682" t="s">
        <v>1858</v>
      </c>
      <c r="F2682" t="s">
        <v>1748</v>
      </c>
      <c r="H2682" s="165" t="str">
        <f>IF(ISBLANK('Q 5'!I246),"",IF('Q 5'!I246="&lt;please select&gt;","",'Q 5'!I246))</f>
        <v/>
      </c>
    </row>
    <row r="2683" spans="1:8" x14ac:dyDescent="0.3">
      <c r="A2683" t="s">
        <v>1847</v>
      </c>
      <c r="B2683" t="s">
        <v>1855</v>
      </c>
      <c r="C2683">
        <v>45</v>
      </c>
      <c r="D2683" t="s">
        <v>1447</v>
      </c>
      <c r="E2683" t="s">
        <v>1858</v>
      </c>
      <c r="F2683" t="s">
        <v>1748</v>
      </c>
      <c r="H2683" s="165" t="str">
        <f>IF(ISBLANK('Q 5'!I247),"",IF('Q 5'!I247="&lt;please select&gt;","",'Q 5'!I247))</f>
        <v/>
      </c>
    </row>
    <row r="2684" spans="1:8" x14ac:dyDescent="0.3">
      <c r="A2684" t="s">
        <v>1847</v>
      </c>
      <c r="B2684" t="s">
        <v>1855</v>
      </c>
      <c r="C2684">
        <v>46</v>
      </c>
      <c r="D2684" t="s">
        <v>1447</v>
      </c>
      <c r="E2684" t="s">
        <v>1858</v>
      </c>
      <c r="F2684" t="s">
        <v>1748</v>
      </c>
      <c r="H2684" s="165" t="str">
        <f>IF(ISBLANK('Q 5'!I248),"",IF('Q 5'!I248="&lt;please select&gt;","",'Q 5'!I248))</f>
        <v/>
      </c>
    </row>
    <row r="2685" spans="1:8" x14ac:dyDescent="0.3">
      <c r="A2685" t="s">
        <v>1847</v>
      </c>
      <c r="B2685" t="s">
        <v>1855</v>
      </c>
      <c r="C2685">
        <v>47</v>
      </c>
      <c r="D2685" t="s">
        <v>1447</v>
      </c>
      <c r="E2685" t="s">
        <v>1858</v>
      </c>
      <c r="F2685" t="s">
        <v>1748</v>
      </c>
      <c r="H2685" s="165" t="str">
        <f>IF(ISBLANK('Q 5'!I249),"",IF('Q 5'!I249="&lt;please select&gt;","",'Q 5'!I249))</f>
        <v/>
      </c>
    </row>
    <row r="2686" spans="1:8" x14ac:dyDescent="0.3">
      <c r="A2686" t="s">
        <v>1847</v>
      </c>
      <c r="B2686" t="s">
        <v>1855</v>
      </c>
      <c r="C2686">
        <v>48</v>
      </c>
      <c r="D2686" t="s">
        <v>1447</v>
      </c>
      <c r="E2686" t="s">
        <v>1858</v>
      </c>
      <c r="F2686" t="s">
        <v>1748</v>
      </c>
      <c r="H2686" s="165" t="str">
        <f>IF(ISBLANK('Q 5'!I250),"",IF('Q 5'!I250="&lt;please select&gt;","",'Q 5'!I250))</f>
        <v/>
      </c>
    </row>
    <row r="2687" spans="1:8" x14ac:dyDescent="0.3">
      <c r="A2687" t="s">
        <v>1847</v>
      </c>
      <c r="B2687" t="s">
        <v>1855</v>
      </c>
      <c r="C2687">
        <v>49</v>
      </c>
      <c r="D2687" t="s">
        <v>1447</v>
      </c>
      <c r="E2687" t="s">
        <v>1858</v>
      </c>
      <c r="F2687" t="s">
        <v>1748</v>
      </c>
      <c r="H2687" s="165" t="str">
        <f>IF(ISBLANK('Q 5'!I251),"",IF('Q 5'!I251="&lt;please select&gt;","",'Q 5'!I251))</f>
        <v/>
      </c>
    </row>
    <row r="2688" spans="1:8" x14ac:dyDescent="0.3">
      <c r="A2688" t="s">
        <v>1847</v>
      </c>
      <c r="B2688" t="s">
        <v>1855</v>
      </c>
      <c r="C2688">
        <v>50</v>
      </c>
      <c r="D2688" t="s">
        <v>1447</v>
      </c>
      <c r="E2688" t="s">
        <v>1858</v>
      </c>
      <c r="F2688" t="s">
        <v>1748</v>
      </c>
      <c r="H2688" s="165" t="str">
        <f>IF(ISBLANK('Q 5'!I252),"",IF('Q 5'!I252="&lt;please select&gt;","",'Q 5'!I252))</f>
        <v/>
      </c>
    </row>
    <row r="2689" spans="1:8" x14ac:dyDescent="0.3">
      <c r="A2689" t="s">
        <v>1847</v>
      </c>
      <c r="B2689" t="s">
        <v>1855</v>
      </c>
      <c r="C2689">
        <v>51</v>
      </c>
      <c r="D2689" t="s">
        <v>1447</v>
      </c>
      <c r="E2689" t="s">
        <v>1858</v>
      </c>
      <c r="F2689" t="s">
        <v>1748</v>
      </c>
      <c r="H2689" s="165" t="str">
        <f>IF(ISBLANK('Q 5'!I253),"",IF('Q 5'!I253="&lt;please select&gt;","",'Q 5'!I253))</f>
        <v/>
      </c>
    </row>
    <row r="2690" spans="1:8" x14ac:dyDescent="0.3">
      <c r="A2690" t="s">
        <v>1847</v>
      </c>
      <c r="B2690" t="s">
        <v>1855</v>
      </c>
      <c r="C2690">
        <v>52</v>
      </c>
      <c r="D2690" t="s">
        <v>1447</v>
      </c>
      <c r="E2690" t="s">
        <v>1858</v>
      </c>
      <c r="F2690" t="s">
        <v>1748</v>
      </c>
      <c r="H2690" s="165" t="str">
        <f>IF(ISBLANK('Q 5'!I254),"",IF('Q 5'!I254="&lt;please select&gt;","",'Q 5'!I254))</f>
        <v/>
      </c>
    </row>
    <row r="2691" spans="1:8" x14ac:dyDescent="0.3">
      <c r="A2691" t="s">
        <v>1847</v>
      </c>
      <c r="B2691" t="s">
        <v>1855</v>
      </c>
      <c r="C2691">
        <v>53</v>
      </c>
      <c r="D2691" t="s">
        <v>1447</v>
      </c>
      <c r="E2691" t="s">
        <v>1858</v>
      </c>
      <c r="F2691" t="s">
        <v>1748</v>
      </c>
      <c r="H2691" s="165" t="str">
        <f>IF(ISBLANK('Q 5'!I255),"",IF('Q 5'!I255="&lt;please select&gt;","",'Q 5'!I255))</f>
        <v/>
      </c>
    </row>
    <row r="2692" spans="1:8" x14ac:dyDescent="0.3">
      <c r="A2692" t="s">
        <v>1847</v>
      </c>
      <c r="B2692" t="s">
        <v>1855</v>
      </c>
      <c r="C2692">
        <v>54</v>
      </c>
      <c r="D2692" t="s">
        <v>1447</v>
      </c>
      <c r="E2692" t="s">
        <v>1858</v>
      </c>
      <c r="F2692" t="s">
        <v>1748</v>
      </c>
      <c r="H2692" s="165" t="str">
        <f>IF(ISBLANK('Q 5'!I256),"",IF('Q 5'!I256="&lt;please select&gt;","",'Q 5'!I256))</f>
        <v/>
      </c>
    </row>
    <row r="2693" spans="1:8" x14ac:dyDescent="0.3">
      <c r="A2693" t="s">
        <v>1847</v>
      </c>
      <c r="B2693" t="s">
        <v>1855</v>
      </c>
      <c r="C2693">
        <v>55</v>
      </c>
      <c r="D2693" t="s">
        <v>1447</v>
      </c>
      <c r="E2693" t="s">
        <v>1858</v>
      </c>
      <c r="F2693" t="s">
        <v>1748</v>
      </c>
      <c r="H2693" s="165" t="str">
        <f>IF(ISBLANK('Q 5'!I257),"",IF('Q 5'!I257="&lt;please select&gt;","",'Q 5'!I257))</f>
        <v/>
      </c>
    </row>
    <row r="2694" spans="1:8" x14ac:dyDescent="0.3">
      <c r="A2694" t="s">
        <v>1847</v>
      </c>
      <c r="B2694" t="s">
        <v>1855</v>
      </c>
      <c r="C2694">
        <v>56</v>
      </c>
      <c r="D2694" t="s">
        <v>1447</v>
      </c>
      <c r="E2694" t="s">
        <v>1858</v>
      </c>
      <c r="F2694" t="s">
        <v>1748</v>
      </c>
      <c r="H2694" s="165" t="str">
        <f>IF(ISBLANK('Q 5'!I258),"",IF('Q 5'!I258="&lt;please select&gt;","",'Q 5'!I258))</f>
        <v/>
      </c>
    </row>
    <row r="2695" spans="1:8" x14ac:dyDescent="0.3">
      <c r="A2695" t="s">
        <v>1847</v>
      </c>
      <c r="B2695" t="s">
        <v>1855</v>
      </c>
      <c r="C2695">
        <v>57</v>
      </c>
      <c r="D2695" t="s">
        <v>1447</v>
      </c>
      <c r="E2695" t="s">
        <v>1858</v>
      </c>
      <c r="F2695" t="s">
        <v>1748</v>
      </c>
      <c r="H2695" s="165" t="str">
        <f>IF(ISBLANK('Q 5'!I259),"",IF('Q 5'!I259="&lt;please select&gt;","",'Q 5'!I259))</f>
        <v/>
      </c>
    </row>
    <row r="2696" spans="1:8" x14ac:dyDescent="0.3">
      <c r="A2696" t="s">
        <v>1847</v>
      </c>
      <c r="B2696" t="s">
        <v>1855</v>
      </c>
      <c r="C2696">
        <v>58</v>
      </c>
      <c r="D2696" t="s">
        <v>1447</v>
      </c>
      <c r="E2696" t="s">
        <v>1858</v>
      </c>
      <c r="F2696" t="s">
        <v>1748</v>
      </c>
      <c r="H2696" s="165" t="str">
        <f>IF(ISBLANK('Q 5'!I260),"",IF('Q 5'!I260="&lt;please select&gt;","",'Q 5'!I260))</f>
        <v/>
      </c>
    </row>
    <row r="2697" spans="1:8" x14ac:dyDescent="0.3">
      <c r="A2697" t="s">
        <v>1847</v>
      </c>
      <c r="B2697" t="s">
        <v>1855</v>
      </c>
      <c r="C2697">
        <v>59</v>
      </c>
      <c r="D2697" t="s">
        <v>1447</v>
      </c>
      <c r="E2697" t="s">
        <v>1858</v>
      </c>
      <c r="F2697" t="s">
        <v>1748</v>
      </c>
      <c r="H2697" s="165" t="str">
        <f>IF(ISBLANK('Q 5'!I261),"",IF('Q 5'!I261="&lt;please select&gt;","",'Q 5'!I261))</f>
        <v/>
      </c>
    </row>
    <row r="2698" spans="1:8" x14ac:dyDescent="0.3">
      <c r="A2698" t="s">
        <v>1847</v>
      </c>
      <c r="B2698" t="s">
        <v>1855</v>
      </c>
      <c r="C2698">
        <v>60</v>
      </c>
      <c r="D2698" t="s">
        <v>1447</v>
      </c>
      <c r="E2698" t="s">
        <v>1858</v>
      </c>
      <c r="F2698" t="s">
        <v>1748</v>
      </c>
      <c r="H2698" s="165" t="str">
        <f>IF(ISBLANK('Q 5'!I262),"",IF('Q 5'!I262="&lt;please select&gt;","",'Q 5'!I262))</f>
        <v/>
      </c>
    </row>
    <row r="2699" spans="1:8" x14ac:dyDescent="0.3">
      <c r="A2699" t="s">
        <v>1847</v>
      </c>
      <c r="B2699" t="s">
        <v>1855</v>
      </c>
      <c r="C2699">
        <v>61</v>
      </c>
      <c r="D2699" t="s">
        <v>1447</v>
      </c>
      <c r="E2699" t="s">
        <v>1858</v>
      </c>
      <c r="F2699" t="s">
        <v>1748</v>
      </c>
      <c r="H2699" s="165" t="str">
        <f>IF(ISBLANK('Q 5'!I263),"",IF('Q 5'!I263="&lt;please select&gt;","",'Q 5'!I263))</f>
        <v/>
      </c>
    </row>
    <row r="2700" spans="1:8" x14ac:dyDescent="0.3">
      <c r="A2700" t="s">
        <v>1847</v>
      </c>
      <c r="B2700" t="s">
        <v>1855</v>
      </c>
      <c r="C2700">
        <v>62</v>
      </c>
      <c r="D2700" t="s">
        <v>1447</v>
      </c>
      <c r="E2700" t="s">
        <v>1858</v>
      </c>
      <c r="F2700" t="s">
        <v>1748</v>
      </c>
      <c r="H2700" s="165" t="str">
        <f>IF(ISBLANK('Q 5'!I264),"",IF('Q 5'!I264="&lt;please select&gt;","",'Q 5'!I264))</f>
        <v/>
      </c>
    </row>
    <row r="2701" spans="1:8" x14ac:dyDescent="0.3">
      <c r="A2701" t="s">
        <v>1847</v>
      </c>
      <c r="B2701" t="s">
        <v>1855</v>
      </c>
      <c r="C2701">
        <v>63</v>
      </c>
      <c r="D2701" t="s">
        <v>1447</v>
      </c>
      <c r="E2701" t="s">
        <v>1858</v>
      </c>
      <c r="F2701" t="s">
        <v>1748</v>
      </c>
      <c r="H2701" s="165" t="str">
        <f>IF(ISBLANK('Q 5'!I265),"",IF('Q 5'!I265="&lt;please select&gt;","",'Q 5'!I265))</f>
        <v/>
      </c>
    </row>
    <row r="2702" spans="1:8" x14ac:dyDescent="0.3">
      <c r="A2702" t="s">
        <v>1847</v>
      </c>
      <c r="B2702" t="s">
        <v>1855</v>
      </c>
      <c r="C2702">
        <v>64</v>
      </c>
      <c r="D2702" t="s">
        <v>1447</v>
      </c>
      <c r="E2702" t="s">
        <v>1858</v>
      </c>
      <c r="F2702" t="s">
        <v>1748</v>
      </c>
      <c r="H2702" s="165" t="str">
        <f>IF(ISBLANK('Q 5'!I266),"",IF('Q 5'!I266="&lt;please select&gt;","",'Q 5'!I266))</f>
        <v/>
      </c>
    </row>
    <row r="2703" spans="1:8" x14ac:dyDescent="0.3">
      <c r="A2703" t="s">
        <v>1847</v>
      </c>
      <c r="B2703" t="s">
        <v>1855</v>
      </c>
      <c r="C2703">
        <v>65</v>
      </c>
      <c r="D2703" t="s">
        <v>1447</v>
      </c>
      <c r="E2703" t="s">
        <v>1858</v>
      </c>
      <c r="F2703" t="s">
        <v>1748</v>
      </c>
      <c r="H2703" s="165" t="str">
        <f>IF(ISBLANK('Q 5'!I267),"",IF('Q 5'!I267="&lt;please select&gt;","",'Q 5'!I267))</f>
        <v/>
      </c>
    </row>
    <row r="2704" spans="1:8" x14ac:dyDescent="0.3">
      <c r="A2704" t="s">
        <v>1847</v>
      </c>
      <c r="B2704" t="s">
        <v>1855</v>
      </c>
      <c r="C2704">
        <v>66</v>
      </c>
      <c r="D2704" t="s">
        <v>1447</v>
      </c>
      <c r="E2704" t="s">
        <v>1858</v>
      </c>
      <c r="F2704" t="s">
        <v>1748</v>
      </c>
      <c r="H2704" s="165" t="str">
        <f>IF(ISBLANK('Q 5'!I268),"",IF('Q 5'!I268="&lt;please select&gt;","",'Q 5'!I268))</f>
        <v/>
      </c>
    </row>
    <row r="2705" spans="1:8" x14ac:dyDescent="0.3">
      <c r="A2705" t="s">
        <v>1847</v>
      </c>
      <c r="B2705" t="s">
        <v>1855</v>
      </c>
      <c r="C2705">
        <v>67</v>
      </c>
      <c r="D2705" t="s">
        <v>1447</v>
      </c>
      <c r="E2705" t="s">
        <v>1858</v>
      </c>
      <c r="F2705" t="s">
        <v>1748</v>
      </c>
      <c r="H2705" s="165" t="str">
        <f>IF(ISBLANK('Q 5'!I269),"",IF('Q 5'!I269="&lt;please select&gt;","",'Q 5'!I269))</f>
        <v/>
      </c>
    </row>
    <row r="2706" spans="1:8" x14ac:dyDescent="0.3">
      <c r="A2706" t="s">
        <v>1847</v>
      </c>
      <c r="B2706" t="s">
        <v>1855</v>
      </c>
      <c r="C2706">
        <v>68</v>
      </c>
      <c r="D2706" t="s">
        <v>1447</v>
      </c>
      <c r="E2706" t="s">
        <v>1858</v>
      </c>
      <c r="F2706" t="s">
        <v>1748</v>
      </c>
      <c r="H2706" s="165" t="str">
        <f>IF(ISBLANK('Q 5'!I270),"",IF('Q 5'!I270="&lt;please select&gt;","",'Q 5'!I270))</f>
        <v/>
      </c>
    </row>
    <row r="2707" spans="1:8" x14ac:dyDescent="0.3">
      <c r="A2707" t="s">
        <v>1847</v>
      </c>
      <c r="B2707" t="s">
        <v>1855</v>
      </c>
      <c r="C2707">
        <v>69</v>
      </c>
      <c r="D2707" t="s">
        <v>1447</v>
      </c>
      <c r="E2707" t="s">
        <v>1858</v>
      </c>
      <c r="F2707" t="s">
        <v>1748</v>
      </c>
      <c r="H2707" s="165" t="str">
        <f>IF(ISBLANK('Q 5'!I271),"",IF('Q 5'!I271="&lt;please select&gt;","",'Q 5'!I271))</f>
        <v/>
      </c>
    </row>
    <row r="2708" spans="1:8" x14ac:dyDescent="0.3">
      <c r="A2708" t="s">
        <v>1847</v>
      </c>
      <c r="B2708" t="s">
        <v>1855</v>
      </c>
      <c r="C2708">
        <v>70</v>
      </c>
      <c r="D2708" t="s">
        <v>1447</v>
      </c>
      <c r="E2708" t="s">
        <v>1858</v>
      </c>
      <c r="F2708" t="s">
        <v>1748</v>
      </c>
      <c r="H2708" s="165" t="str">
        <f>IF(ISBLANK('Q 5'!I272),"",IF('Q 5'!I272="&lt;please select&gt;","",'Q 5'!I272))</f>
        <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Electrodes Four et APC</v>
      </c>
    </row>
    <row r="3440" spans="1:8" x14ac:dyDescent="0.3">
      <c r="A3440" t="s">
        <v>1859</v>
      </c>
      <c r="B3440" t="s">
        <v>1860</v>
      </c>
      <c r="C3440">
        <v>2</v>
      </c>
      <c r="D3440" t="s">
        <v>1447</v>
      </c>
      <c r="E3440" t="s">
        <v>1861</v>
      </c>
      <c r="F3440" t="s">
        <v>1741</v>
      </c>
      <c r="G3440" t="str">
        <f>IF(ISBLANK('Q 5'!C1009),"",IF('Q 5'!C1009="&lt;please select&gt;","",'Q 5'!C1009))</f>
        <v>Fonte</v>
      </c>
    </row>
    <row r="3441" spans="1:7" x14ac:dyDescent="0.3">
      <c r="A3441" t="s">
        <v>1859</v>
      </c>
      <c r="B3441" t="s">
        <v>1860</v>
      </c>
      <c r="C3441">
        <v>3</v>
      </c>
      <c r="D3441" t="s">
        <v>1447</v>
      </c>
      <c r="E3441" t="s">
        <v>1861</v>
      </c>
      <c r="F3441" t="s">
        <v>1741</v>
      </c>
      <c r="G3441" t="str">
        <f>IF(ISBLANK('Q 5'!C1010),"",IF('Q 5'!C1010="&lt;please select&gt;","",'Q 5'!C1010))</f>
        <v xml:space="preserve">Aciers </v>
      </c>
    </row>
    <row r="3442" spans="1:7" x14ac:dyDescent="0.3">
      <c r="A3442" t="s">
        <v>1859</v>
      </c>
      <c r="B3442" t="s">
        <v>1860</v>
      </c>
      <c r="C3442">
        <v>4</v>
      </c>
      <c r="D3442" t="s">
        <v>1447</v>
      </c>
      <c r="E3442" t="s">
        <v>1861</v>
      </c>
      <c r="F3442" t="s">
        <v>1741</v>
      </c>
      <c r="G3442" t="str">
        <f>IF(ISBLANK('Q 5'!C1011),"",IF('Q 5'!C1011="&lt;please select&gt;","",'Q 5'!C1011))</f>
        <v>Castine</v>
      </c>
    </row>
    <row r="3443" spans="1:7" x14ac:dyDescent="0.3">
      <c r="A3443" t="s">
        <v>1859</v>
      </c>
      <c r="B3443" t="s">
        <v>1860</v>
      </c>
      <c r="C3443">
        <v>5</v>
      </c>
      <c r="D3443" t="s">
        <v>1447</v>
      </c>
      <c r="E3443" t="s">
        <v>1861</v>
      </c>
      <c r="F3443" t="s">
        <v>1741</v>
      </c>
      <c r="G3443" t="str">
        <f>IF(ISBLANK('Q 5'!C1012),"",IF('Q 5'!C1012="&lt;please select&gt;","",'Q 5'!C1012))</f>
        <v>GP-SFF-oht</v>
      </c>
    </row>
    <row r="3444" spans="1:7" x14ac:dyDescent="0.3">
      <c r="A3444" t="s">
        <v>1859</v>
      </c>
      <c r="B3444" t="s">
        <v>1860</v>
      </c>
      <c r="C3444">
        <v>6</v>
      </c>
      <c r="D3444" t="s">
        <v>1447</v>
      </c>
      <c r="E3444" t="s">
        <v>1861</v>
      </c>
      <c r="F3444" t="s">
        <v>1741</v>
      </c>
      <c r="G3444" t="str">
        <f>IF(ISBLANK('Q 5'!C1013),"",IF('Q 5'!C1013="&lt;please select&gt;","",'Q 5'!C1013))</f>
        <v>FLUX CF</v>
      </c>
    </row>
    <row r="3445" spans="1:7" x14ac:dyDescent="0.3">
      <c r="A3445" t="s">
        <v>1859</v>
      </c>
      <c r="B3445" t="s">
        <v>1860</v>
      </c>
      <c r="C3445">
        <v>7</v>
      </c>
      <c r="D3445" t="s">
        <v>1447</v>
      </c>
      <c r="E3445" t="s">
        <v>1861</v>
      </c>
      <c r="F3445" t="s">
        <v>1741</v>
      </c>
      <c r="G3445" t="str">
        <f>IF(ISBLANK('Q 5'!C1014),"",IF('Q 5'!C1014="&lt;please select&gt;","",'Q 5'!C1014))</f>
        <v>FLUX EVENT LAVEURS</v>
      </c>
    </row>
    <row r="3446" spans="1:7" x14ac:dyDescent="0.3">
      <c r="A3446" t="s">
        <v>1859</v>
      </c>
      <c r="B3446" t="s">
        <v>1860</v>
      </c>
      <c r="C3446">
        <v>8</v>
      </c>
      <c r="D3446" t="s">
        <v>1447</v>
      </c>
      <c r="E3446" t="s">
        <v>1861</v>
      </c>
      <c r="F3446" t="s">
        <v>1741</v>
      </c>
      <c r="G3446" t="str">
        <f>IF(ISBLANK('Q 5'!C1015),"",IF('Q 5'!C1015="&lt;please select&gt;","",'Q 5'!C1015))</f>
        <v xml:space="preserve">FLUX EVENT D121 </v>
      </c>
    </row>
    <row r="3447" spans="1:7" x14ac:dyDescent="0.3">
      <c r="A3447" t="s">
        <v>1859</v>
      </c>
      <c r="B3447" t="s">
        <v>1860</v>
      </c>
      <c r="C3447">
        <v>9</v>
      </c>
      <c r="D3447" t="s">
        <v>1447</v>
      </c>
      <c r="E3447" t="s">
        <v>1861</v>
      </c>
      <c r="F3447" t="s">
        <v>1741</v>
      </c>
      <c r="G3447" t="str">
        <f>IF(ISBLANK('Q 5'!C1016),"",IF('Q 5'!C1016="&lt;please select&gt;","",'Q 5'!C1016))</f>
        <v>FLUX EVENT D116</v>
      </c>
    </row>
    <row r="3448" spans="1:7" x14ac:dyDescent="0.3">
      <c r="A3448" t="s">
        <v>1859</v>
      </c>
      <c r="B3448" t="s">
        <v>1860</v>
      </c>
      <c r="C3448">
        <v>10</v>
      </c>
      <c r="D3448" t="s">
        <v>1447</v>
      </c>
      <c r="E3448" t="s">
        <v>1861</v>
      </c>
      <c r="F3448" t="s">
        <v>1741</v>
      </c>
      <c r="G3448" t="str">
        <f>IF(ISBLANK('Q 5'!C1017),"",IF('Q 5'!C1017="&lt;please select&gt;","",'Q 5'!C1017))</f>
        <v>FLUX EVENT CMS</v>
      </c>
    </row>
    <row r="3449" spans="1:7" x14ac:dyDescent="0.3">
      <c r="A3449" t="s">
        <v>1859</v>
      </c>
      <c r="B3449" t="s">
        <v>1860</v>
      </c>
      <c r="C3449">
        <v>11</v>
      </c>
      <c r="D3449" t="s">
        <v>1447</v>
      </c>
      <c r="E3449" t="s">
        <v>1861</v>
      </c>
      <c r="F3449" t="s">
        <v>1741</v>
      </c>
      <c r="G3449" t="str">
        <f>IF(ISBLANK('Q 5'!C1018),"",IF('Q 5'!C1018="&lt;please select&gt;","",'Q 5'!C1018))</f>
        <v>charbon importé</v>
      </c>
    </row>
    <row r="3450" spans="1:7" x14ac:dyDescent="0.3">
      <c r="A3450" t="s">
        <v>1859</v>
      </c>
      <c r="B3450" t="s">
        <v>1860</v>
      </c>
      <c r="C3450">
        <v>12</v>
      </c>
      <c r="D3450" t="s">
        <v>1447</v>
      </c>
      <c r="E3450" t="s">
        <v>1861</v>
      </c>
      <c r="F3450" t="s">
        <v>1741</v>
      </c>
      <c r="G3450" t="str">
        <f>IF(ISBLANK('Q 5'!C1019),"",IF('Q 5'!C1019="&lt;please select&gt;","",'Q 5'!C1019))</f>
        <v>charbon cendreux</v>
      </c>
    </row>
    <row r="3451" spans="1:7" x14ac:dyDescent="0.3">
      <c r="A3451" t="s">
        <v>1859</v>
      </c>
      <c r="B3451" t="s">
        <v>1860</v>
      </c>
      <c r="C3451">
        <v>13</v>
      </c>
      <c r="D3451" t="s">
        <v>1447</v>
      </c>
      <c r="E3451" t="s">
        <v>1861</v>
      </c>
      <c r="F3451" t="s">
        <v>1741</v>
      </c>
      <c r="G3451" t="str">
        <f>IF(ISBLANK('Q 5'!C1020),"",IF('Q 5'!C1020="&lt;please select&gt;","",'Q 5'!C1020))</f>
        <v xml:space="preserve"> F6 Gaz Rés. OXO (GR OXO)</v>
      </c>
    </row>
    <row r="3452" spans="1:7" x14ac:dyDescent="0.3">
      <c r="A3452" t="s">
        <v>1859</v>
      </c>
      <c r="B3452" t="s">
        <v>1860</v>
      </c>
      <c r="C3452">
        <v>14</v>
      </c>
      <c r="D3452" t="s">
        <v>1447</v>
      </c>
      <c r="E3452" t="s">
        <v>1861</v>
      </c>
      <c r="F3452" t="s">
        <v>1741</v>
      </c>
      <c r="G3452" t="str">
        <f>IF(ISBLANK('Q 5'!C1021),"",IF('Q 5'!C1021="&lt;please select&gt;","",'Q 5'!C1021))</f>
        <v>Purge PE (torche)</v>
      </c>
    </row>
    <row r="3453" spans="1:7" x14ac:dyDescent="0.3">
      <c r="A3453" t="s">
        <v>1859</v>
      </c>
      <c r="B3453" t="s">
        <v>1860</v>
      </c>
      <c r="C3453">
        <v>15</v>
      </c>
      <c r="D3453" t="s">
        <v>1447</v>
      </c>
      <c r="E3453" t="s">
        <v>1861</v>
      </c>
      <c r="F3453" t="s">
        <v>1741</v>
      </c>
      <c r="G3453" t="str">
        <f>IF(ISBLANK('Q 5'!C1022),"",IF('Q 5'!C1022="&lt;please select&gt;","",'Q 5'!C1022))</f>
        <v>Purge PE (chaudières RC4)</v>
      </c>
    </row>
    <row r="3454" spans="1:7" x14ac:dyDescent="0.3">
      <c r="A3454" t="s">
        <v>1859</v>
      </c>
      <c r="B3454" t="s">
        <v>1860</v>
      </c>
      <c r="C3454">
        <v>16</v>
      </c>
      <c r="D3454" t="s">
        <v>1447</v>
      </c>
      <c r="E3454" t="s">
        <v>1861</v>
      </c>
      <c r="F3454" t="s">
        <v>1741</v>
      </c>
      <c r="G3454" t="str">
        <f>IF(ISBLANK('Q 5'!C1023),"",IF('Q 5'!C1023="&lt;please select&gt;","",'Q 5'!C1023))</f>
        <v>Purge PE</v>
      </c>
    </row>
    <row r="3455" spans="1:7" x14ac:dyDescent="0.3">
      <c r="A3455" t="s">
        <v>1859</v>
      </c>
      <c r="B3455" t="s">
        <v>1860</v>
      </c>
      <c r="C3455">
        <v>17</v>
      </c>
      <c r="D3455" t="s">
        <v>1447</v>
      </c>
      <c r="E3455" t="s">
        <v>1861</v>
      </c>
      <c r="F3455" t="s">
        <v>1741</v>
      </c>
      <c r="G3455" t="str">
        <f>IF(ISBLANK('Q 5'!C1024),"",IF('Q 5'!C1024="&lt;please select&gt;","",'Q 5'!C1024))</f>
        <v>Fuel gaz</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1</v>
      </c>
    </row>
    <row r="3465" spans="1:8" x14ac:dyDescent="0.3">
      <c r="A3465" t="s">
        <v>1859</v>
      </c>
      <c r="B3465" t="s">
        <v>1860</v>
      </c>
      <c r="C3465">
        <v>2</v>
      </c>
      <c r="D3465" t="s">
        <v>1447</v>
      </c>
      <c r="E3465" t="s">
        <v>1862</v>
      </c>
      <c r="F3465" t="s">
        <v>1748</v>
      </c>
      <c r="H3465" s="165" t="str">
        <f>IF(ISBLANK('Q 5'!E1009),"",IF('Q 5'!E1009="&lt;please select&gt;","",'Q 5'!E1009))</f>
        <v>1</v>
      </c>
    </row>
    <row r="3466" spans="1:8" x14ac:dyDescent="0.3">
      <c r="A3466" t="s">
        <v>1859</v>
      </c>
      <c r="B3466" t="s">
        <v>1860</v>
      </c>
      <c r="C3466">
        <v>3</v>
      </c>
      <c r="D3466" t="s">
        <v>1447</v>
      </c>
      <c r="E3466" t="s">
        <v>1862</v>
      </c>
      <c r="F3466" t="s">
        <v>1748</v>
      </c>
      <c r="H3466" s="165" t="str">
        <f>IF(ISBLANK('Q 5'!E1010),"",IF('Q 5'!E1010="&lt;please select&gt;","",'Q 5'!E1010))</f>
        <v>1</v>
      </c>
    </row>
    <row r="3467" spans="1:8" x14ac:dyDescent="0.3">
      <c r="A3467" t="s">
        <v>1859</v>
      </c>
      <c r="B3467" t="s">
        <v>1860</v>
      </c>
      <c r="C3467">
        <v>4</v>
      </c>
      <c r="D3467" t="s">
        <v>1447</v>
      </c>
      <c r="E3467" t="s">
        <v>1862</v>
      </c>
      <c r="F3467" t="s">
        <v>1748</v>
      </c>
      <c r="H3467" s="165" t="str">
        <f>IF(ISBLANK('Q 5'!E1011),"",IF('Q 5'!E1011="&lt;please select&gt;","",'Q 5'!E1011))</f>
        <v>1</v>
      </c>
    </row>
    <row r="3468" spans="1:8" x14ac:dyDescent="0.3">
      <c r="A3468" t="s">
        <v>1859</v>
      </c>
      <c r="B3468" t="s">
        <v>1860</v>
      </c>
      <c r="C3468">
        <v>5</v>
      </c>
      <c r="D3468" t="s">
        <v>1447</v>
      </c>
      <c r="E3468" t="s">
        <v>1862</v>
      </c>
      <c r="F3468" t="s">
        <v>1748</v>
      </c>
      <c r="H3468" s="165" t="str">
        <f>IF(ISBLANK('Q 5'!E1012),"",IF('Q 5'!E1012="&lt;please select&gt;","",'Q 5'!E1012))</f>
        <v>1</v>
      </c>
    </row>
    <row r="3469" spans="1:8" x14ac:dyDescent="0.3">
      <c r="A3469" t="s">
        <v>1859</v>
      </c>
      <c r="B3469" t="s">
        <v>1860</v>
      </c>
      <c r="C3469">
        <v>6</v>
      </c>
      <c r="D3469" t="s">
        <v>1447</v>
      </c>
      <c r="E3469" t="s">
        <v>1862</v>
      </c>
      <c r="F3469" t="s">
        <v>1748</v>
      </c>
      <c r="H3469" s="165" t="str">
        <f>IF(ISBLANK('Q 5'!E1013),"",IF('Q 5'!E1013="&lt;please select&gt;","",'Q 5'!E1013))</f>
        <v>1</v>
      </c>
    </row>
    <row r="3470" spans="1:8" x14ac:dyDescent="0.3">
      <c r="A3470" t="s">
        <v>1859</v>
      </c>
      <c r="B3470" t="s">
        <v>1860</v>
      </c>
      <c r="C3470">
        <v>7</v>
      </c>
      <c r="D3470" t="s">
        <v>1447</v>
      </c>
      <c r="E3470" t="s">
        <v>1862</v>
      </c>
      <c r="F3470" t="s">
        <v>1748</v>
      </c>
      <c r="H3470" s="165" t="str">
        <f>IF(ISBLANK('Q 5'!E1014),"",IF('Q 5'!E1014="&lt;please select&gt;","",'Q 5'!E1014))</f>
        <v>1</v>
      </c>
    </row>
    <row r="3471" spans="1:8" x14ac:dyDescent="0.3">
      <c r="A3471" t="s">
        <v>1859</v>
      </c>
      <c r="B3471" t="s">
        <v>1860</v>
      </c>
      <c r="C3471">
        <v>8</v>
      </c>
      <c r="D3471" t="s">
        <v>1447</v>
      </c>
      <c r="E3471" t="s">
        <v>1862</v>
      </c>
      <c r="F3471" t="s">
        <v>1748</v>
      </c>
      <c r="H3471" s="165" t="str">
        <f>IF(ISBLANK('Q 5'!E1015),"",IF('Q 5'!E1015="&lt;please select&gt;","",'Q 5'!E1015))</f>
        <v>1</v>
      </c>
    </row>
    <row r="3472" spans="1:8" x14ac:dyDescent="0.3">
      <c r="A3472" t="s">
        <v>1859</v>
      </c>
      <c r="B3472" t="s">
        <v>1860</v>
      </c>
      <c r="C3472">
        <v>9</v>
      </c>
      <c r="D3472" t="s">
        <v>1447</v>
      </c>
      <c r="E3472" t="s">
        <v>1862</v>
      </c>
      <c r="F3472" t="s">
        <v>1748</v>
      </c>
      <c r="H3472" s="165" t="str">
        <f>IF(ISBLANK('Q 5'!E1016),"",IF('Q 5'!E1016="&lt;please select&gt;","",'Q 5'!E1016))</f>
        <v>1</v>
      </c>
    </row>
    <row r="3473" spans="1:8" x14ac:dyDescent="0.3">
      <c r="A3473" t="s">
        <v>1859</v>
      </c>
      <c r="B3473" t="s">
        <v>1860</v>
      </c>
      <c r="C3473">
        <v>10</v>
      </c>
      <c r="D3473" t="s">
        <v>1447</v>
      </c>
      <c r="E3473" t="s">
        <v>1862</v>
      </c>
      <c r="F3473" t="s">
        <v>1748</v>
      </c>
      <c r="H3473" s="165" t="str">
        <f>IF(ISBLANK('Q 5'!E1017),"",IF('Q 5'!E1017="&lt;please select&gt;","",'Q 5'!E1017))</f>
        <v>1</v>
      </c>
    </row>
    <row r="3474" spans="1:8" x14ac:dyDescent="0.3">
      <c r="A3474" t="s">
        <v>1859</v>
      </c>
      <c r="B3474" t="s">
        <v>1860</v>
      </c>
      <c r="C3474">
        <v>11</v>
      </c>
      <c r="D3474" t="s">
        <v>1447</v>
      </c>
      <c r="E3474" t="s">
        <v>1862</v>
      </c>
      <c r="F3474" t="s">
        <v>1748</v>
      </c>
      <c r="H3474" s="165" t="str">
        <f>IF(ISBLANK('Q 5'!E1018),"",IF('Q 5'!E1018="&lt;please select&gt;","",'Q 5'!E1018))</f>
        <v>1</v>
      </c>
    </row>
    <row r="3475" spans="1:8" x14ac:dyDescent="0.3">
      <c r="A3475" t="s">
        <v>1859</v>
      </c>
      <c r="B3475" t="s">
        <v>1860</v>
      </c>
      <c r="C3475">
        <v>12</v>
      </c>
      <c r="D3475" t="s">
        <v>1447</v>
      </c>
      <c r="E3475" t="s">
        <v>1862</v>
      </c>
      <c r="F3475" t="s">
        <v>1748</v>
      </c>
      <c r="H3475" s="165" t="str">
        <f>IF(ISBLANK('Q 5'!E1019),"",IF('Q 5'!E1019="&lt;please select&gt;","",'Q 5'!E1019))</f>
        <v>1</v>
      </c>
    </row>
    <row r="3476" spans="1:8" x14ac:dyDescent="0.3">
      <c r="A3476" t="s">
        <v>1859</v>
      </c>
      <c r="B3476" t="s">
        <v>1860</v>
      </c>
      <c r="C3476">
        <v>13</v>
      </c>
      <c r="D3476" t="s">
        <v>1447</v>
      </c>
      <c r="E3476" t="s">
        <v>1862</v>
      </c>
      <c r="F3476" t="s">
        <v>1748</v>
      </c>
      <c r="H3476" s="165" t="str">
        <f>IF(ISBLANK('Q 5'!E1020),"",IF('Q 5'!E1020="&lt;please select&gt;","",'Q 5'!E1020))</f>
        <v>1</v>
      </c>
    </row>
    <row r="3477" spans="1:8" x14ac:dyDescent="0.3">
      <c r="A3477" t="s">
        <v>1859</v>
      </c>
      <c r="B3477" t="s">
        <v>1860</v>
      </c>
      <c r="C3477">
        <v>14</v>
      </c>
      <c r="D3477" t="s">
        <v>1447</v>
      </c>
      <c r="E3477" t="s">
        <v>1862</v>
      </c>
      <c r="F3477" t="s">
        <v>1748</v>
      </c>
      <c r="H3477" s="165" t="str">
        <f>IF(ISBLANK('Q 5'!E1021),"",IF('Q 5'!E1021="&lt;please select&gt;","",'Q 5'!E1021))</f>
        <v>1</v>
      </c>
    </row>
    <row r="3478" spans="1:8" x14ac:dyDescent="0.3">
      <c r="A3478" t="s">
        <v>1859</v>
      </c>
      <c r="B3478" t="s">
        <v>1860</v>
      </c>
      <c r="C3478">
        <v>15</v>
      </c>
      <c r="D3478" t="s">
        <v>1447</v>
      </c>
      <c r="E3478" t="s">
        <v>1862</v>
      </c>
      <c r="F3478" t="s">
        <v>1748</v>
      </c>
      <c r="H3478" s="165" t="str">
        <f>IF(ISBLANK('Q 5'!E1022),"",IF('Q 5'!E1022="&lt;please select&gt;","",'Q 5'!E1022))</f>
        <v>1</v>
      </c>
    </row>
    <row r="3479" spans="1:8" x14ac:dyDescent="0.3">
      <c r="A3479" t="s">
        <v>1859</v>
      </c>
      <c r="B3479" t="s">
        <v>1860</v>
      </c>
      <c r="C3479">
        <v>16</v>
      </c>
      <c r="D3479" t="s">
        <v>1447</v>
      </c>
      <c r="E3479" t="s">
        <v>1862</v>
      </c>
      <c r="F3479" t="s">
        <v>1748</v>
      </c>
      <c r="H3479" s="165" t="str">
        <f>IF(ISBLANK('Q 5'!E1023),"",IF('Q 5'!E1023="&lt;please select&gt;","",'Q 5'!E1023))</f>
        <v>1</v>
      </c>
    </row>
    <row r="3480" spans="1:8" x14ac:dyDescent="0.3">
      <c r="A3480" t="s">
        <v>1859</v>
      </c>
      <c r="B3480" t="s">
        <v>1860</v>
      </c>
      <c r="C3480">
        <v>17</v>
      </c>
      <c r="D3480" t="s">
        <v>1447</v>
      </c>
      <c r="E3480" t="s">
        <v>1862</v>
      </c>
      <c r="F3480" t="s">
        <v>1748</v>
      </c>
      <c r="H3480" s="165" t="str">
        <f>IF(ISBLANK('Q 5'!E1024),"",IF('Q 5'!E1024="&lt;please select&gt;","",'Q 5'!E1024))</f>
        <v>1</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0</v>
      </c>
    </row>
    <row r="3490" spans="1:8" x14ac:dyDescent="0.3">
      <c r="A3490" t="s">
        <v>1859</v>
      </c>
      <c r="B3490" t="s">
        <v>1860</v>
      </c>
      <c r="C3490">
        <v>2</v>
      </c>
      <c r="D3490" t="s">
        <v>1447</v>
      </c>
      <c r="E3490" t="s">
        <v>1863</v>
      </c>
      <c r="F3490" t="s">
        <v>1748</v>
      </c>
      <c r="H3490" s="165" t="str">
        <f>IF(ISBLANK('Q 5'!F1009),"",IF('Q 5'!F1009="&lt;please select&gt;","",'Q 5'!F1009))</f>
        <v>1</v>
      </c>
    </row>
    <row r="3491" spans="1:8" x14ac:dyDescent="0.3">
      <c r="A3491" t="s">
        <v>1859</v>
      </c>
      <c r="B3491" t="s">
        <v>1860</v>
      </c>
      <c r="C3491">
        <v>3</v>
      </c>
      <c r="D3491" t="s">
        <v>1447</v>
      </c>
      <c r="E3491" t="s">
        <v>1863</v>
      </c>
      <c r="F3491" t="s">
        <v>1748</v>
      </c>
      <c r="H3491" s="165" t="str">
        <f>IF(ISBLANK('Q 5'!F1010),"",IF('Q 5'!F1010="&lt;please select&gt;","",'Q 5'!F1010))</f>
        <v>0</v>
      </c>
    </row>
    <row r="3492" spans="1:8" x14ac:dyDescent="0.3">
      <c r="A3492" t="s">
        <v>1859</v>
      </c>
      <c r="B3492" t="s">
        <v>1860</v>
      </c>
      <c r="C3492">
        <v>4</v>
      </c>
      <c r="D3492" t="s">
        <v>1447</v>
      </c>
      <c r="E3492" t="s">
        <v>1863</v>
      </c>
      <c r="F3492" t="s">
        <v>1748</v>
      </c>
      <c r="H3492" s="165" t="str">
        <f>IF(ISBLANK('Q 5'!F1011),"",IF('Q 5'!F1011="&lt;please select&gt;","",'Q 5'!F1011))</f>
        <v>0</v>
      </c>
    </row>
    <row r="3493" spans="1:8" x14ac:dyDescent="0.3">
      <c r="A3493" t="s">
        <v>1859</v>
      </c>
      <c r="B3493" t="s">
        <v>1860</v>
      </c>
      <c r="C3493">
        <v>5</v>
      </c>
      <c r="D3493" t="s">
        <v>1447</v>
      </c>
      <c r="E3493" t="s">
        <v>1863</v>
      </c>
      <c r="F3493" t="s">
        <v>1748</v>
      </c>
      <c r="H3493" s="165" t="str">
        <f>IF(ISBLANK('Q 5'!F1012),"",IF('Q 5'!F1012="&lt;please select&gt;","",'Q 5'!F1012))</f>
        <v>0</v>
      </c>
    </row>
    <row r="3494" spans="1:8" x14ac:dyDescent="0.3">
      <c r="A3494" t="s">
        <v>1859</v>
      </c>
      <c r="B3494" t="s">
        <v>1860</v>
      </c>
      <c r="C3494">
        <v>6</v>
      </c>
      <c r="D3494" t="s">
        <v>1447</v>
      </c>
      <c r="E3494" t="s">
        <v>1863</v>
      </c>
      <c r="F3494" t="s">
        <v>1748</v>
      </c>
      <c r="H3494" s="165" t="str">
        <f>IF(ISBLANK('Q 5'!F1013),"",IF('Q 5'!F1013="&lt;please select&gt;","",'Q 5'!F1013))</f>
        <v>0</v>
      </c>
    </row>
    <row r="3495" spans="1:8" x14ac:dyDescent="0.3">
      <c r="A3495" t="s">
        <v>1859</v>
      </c>
      <c r="B3495" t="s">
        <v>1860</v>
      </c>
      <c r="C3495">
        <v>7</v>
      </c>
      <c r="D3495" t="s">
        <v>1447</v>
      </c>
      <c r="E3495" t="s">
        <v>1863</v>
      </c>
      <c r="F3495" t="s">
        <v>1748</v>
      </c>
      <c r="H3495" s="165" t="str">
        <f>IF(ISBLANK('Q 5'!F1014),"",IF('Q 5'!F1014="&lt;please select&gt;","",'Q 5'!F1014))</f>
        <v>0</v>
      </c>
    </row>
    <row r="3496" spans="1:8" x14ac:dyDescent="0.3">
      <c r="A3496" t="s">
        <v>1859</v>
      </c>
      <c r="B3496" t="s">
        <v>1860</v>
      </c>
      <c r="C3496">
        <v>8</v>
      </c>
      <c r="D3496" t="s">
        <v>1447</v>
      </c>
      <c r="E3496" t="s">
        <v>1863</v>
      </c>
      <c r="F3496" t="s">
        <v>1748</v>
      </c>
      <c r="H3496" s="165" t="str">
        <f>IF(ISBLANK('Q 5'!F1015),"",IF('Q 5'!F1015="&lt;please select&gt;","",'Q 5'!F1015))</f>
        <v>0</v>
      </c>
    </row>
    <row r="3497" spans="1:8" x14ac:dyDescent="0.3">
      <c r="A3497" t="s">
        <v>1859</v>
      </c>
      <c r="B3497" t="s">
        <v>1860</v>
      </c>
      <c r="C3497">
        <v>9</v>
      </c>
      <c r="D3497" t="s">
        <v>1447</v>
      </c>
      <c r="E3497" t="s">
        <v>1863</v>
      </c>
      <c r="F3497" t="s">
        <v>1748</v>
      </c>
      <c r="H3497" s="165" t="str">
        <f>IF(ISBLANK('Q 5'!F1016),"",IF('Q 5'!F1016="&lt;please select&gt;","",'Q 5'!F1016))</f>
        <v>0</v>
      </c>
    </row>
    <row r="3498" spans="1:8" x14ac:dyDescent="0.3">
      <c r="A3498" t="s">
        <v>1859</v>
      </c>
      <c r="B3498" t="s">
        <v>1860</v>
      </c>
      <c r="C3498">
        <v>10</v>
      </c>
      <c r="D3498" t="s">
        <v>1447</v>
      </c>
      <c r="E3498" t="s">
        <v>1863</v>
      </c>
      <c r="F3498" t="s">
        <v>1748</v>
      </c>
      <c r="H3498" s="165" t="str">
        <f>IF(ISBLANK('Q 5'!F1017),"",IF('Q 5'!F1017="&lt;please select&gt;","",'Q 5'!F1017))</f>
        <v>0</v>
      </c>
    </row>
    <row r="3499" spans="1:8" x14ac:dyDescent="0.3">
      <c r="A3499" t="s">
        <v>1859</v>
      </c>
      <c r="B3499" t="s">
        <v>1860</v>
      </c>
      <c r="C3499">
        <v>11</v>
      </c>
      <c r="D3499" t="s">
        <v>1447</v>
      </c>
      <c r="E3499" t="s">
        <v>1863</v>
      </c>
      <c r="F3499" t="s">
        <v>1748</v>
      </c>
      <c r="H3499" s="165" t="str">
        <f>IF(ISBLANK('Q 5'!F1018),"",IF('Q 5'!F1018="&lt;please select&gt;","",'Q 5'!F1018))</f>
        <v>1</v>
      </c>
    </row>
    <row r="3500" spans="1:8" x14ac:dyDescent="0.3">
      <c r="A3500" t="s">
        <v>1859</v>
      </c>
      <c r="B3500" t="s">
        <v>1860</v>
      </c>
      <c r="C3500">
        <v>12</v>
      </c>
      <c r="D3500" t="s">
        <v>1447</v>
      </c>
      <c r="E3500" t="s">
        <v>1863</v>
      </c>
      <c r="F3500" t="s">
        <v>1748</v>
      </c>
      <c r="H3500" s="165" t="str">
        <f>IF(ISBLANK('Q 5'!F1019),"",IF('Q 5'!F1019="&lt;please select&gt;","",'Q 5'!F1019))</f>
        <v>1</v>
      </c>
    </row>
    <row r="3501" spans="1:8" x14ac:dyDescent="0.3">
      <c r="A3501" t="s">
        <v>1859</v>
      </c>
      <c r="B3501" t="s">
        <v>1860</v>
      </c>
      <c r="C3501">
        <v>13</v>
      </c>
      <c r="D3501" t="s">
        <v>1447</v>
      </c>
      <c r="E3501" t="s">
        <v>1863</v>
      </c>
      <c r="F3501" t="s">
        <v>1748</v>
      </c>
      <c r="H3501" s="165" t="str">
        <f>IF(ISBLANK('Q 5'!F1020),"",IF('Q 5'!F1020="&lt;please select&gt;","",'Q 5'!F1020))</f>
        <v>0</v>
      </c>
    </row>
    <row r="3502" spans="1:8" x14ac:dyDescent="0.3">
      <c r="A3502" t="s">
        <v>1859</v>
      </c>
      <c r="B3502" t="s">
        <v>1860</v>
      </c>
      <c r="C3502">
        <v>14</v>
      </c>
      <c r="D3502" t="s">
        <v>1447</v>
      </c>
      <c r="E3502" t="s">
        <v>1863</v>
      </c>
      <c r="F3502" t="s">
        <v>1748</v>
      </c>
      <c r="H3502" s="165" t="str">
        <f>IF(ISBLANK('Q 5'!F1021),"",IF('Q 5'!F1021="&lt;please select&gt;","",'Q 5'!F1021))</f>
        <v>0</v>
      </c>
    </row>
    <row r="3503" spans="1:8" x14ac:dyDescent="0.3">
      <c r="A3503" t="s">
        <v>1859</v>
      </c>
      <c r="B3503" t="s">
        <v>1860</v>
      </c>
      <c r="C3503">
        <v>15</v>
      </c>
      <c r="D3503" t="s">
        <v>1447</v>
      </c>
      <c r="E3503" t="s">
        <v>1863</v>
      </c>
      <c r="F3503" t="s">
        <v>1748</v>
      </c>
      <c r="H3503" s="165" t="str">
        <f>IF(ISBLANK('Q 5'!F1022),"",IF('Q 5'!F1022="&lt;please select&gt;","",'Q 5'!F1022))</f>
        <v>1</v>
      </c>
    </row>
    <row r="3504" spans="1:8" x14ac:dyDescent="0.3">
      <c r="A3504" t="s">
        <v>1859</v>
      </c>
      <c r="B3504" t="s">
        <v>1860</v>
      </c>
      <c r="C3504">
        <v>16</v>
      </c>
      <c r="D3504" t="s">
        <v>1447</v>
      </c>
      <c r="E3504" t="s">
        <v>1863</v>
      </c>
      <c r="F3504" t="s">
        <v>1748</v>
      </c>
      <c r="H3504" s="165" t="str">
        <f>IF(ISBLANK('Q 5'!F1023),"",IF('Q 5'!F1023="&lt;please select&gt;","",'Q 5'!F1023))</f>
        <v>0</v>
      </c>
    </row>
    <row r="3505" spans="1:11" x14ac:dyDescent="0.3">
      <c r="A3505" t="s">
        <v>1859</v>
      </c>
      <c r="B3505" t="s">
        <v>1860</v>
      </c>
      <c r="C3505">
        <v>17</v>
      </c>
      <c r="D3505" t="s">
        <v>1447</v>
      </c>
      <c r="E3505" t="s">
        <v>1863</v>
      </c>
      <c r="F3505" t="s">
        <v>1748</v>
      </c>
      <c r="H3505" s="165" t="str">
        <f>IF(ISBLANK('Q 5'!F1024),"",IF('Q 5'!F1024="&lt;please select&gt;","",'Q 5'!F1024))</f>
        <v>1</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Yes</v>
      </c>
    </row>
    <row r="3515" spans="1:11" x14ac:dyDescent="0.3">
      <c r="A3515" t="s">
        <v>1859</v>
      </c>
      <c r="B3515" t="s">
        <v>1860</v>
      </c>
      <c r="C3515">
        <v>2</v>
      </c>
      <c r="D3515" t="s">
        <v>1447</v>
      </c>
      <c r="E3515" t="s">
        <v>1864</v>
      </c>
      <c r="F3515" t="s">
        <v>1759</v>
      </c>
      <c r="K3515" t="str">
        <f>IF(ISBLANK('Q 5'!G1009),"",IF('Q 5'!G1009="&lt;please select&gt;","",'Q 5'!G1009))</f>
        <v>Yes</v>
      </c>
    </row>
    <row r="3516" spans="1:11" x14ac:dyDescent="0.3">
      <c r="A3516" t="s">
        <v>1859</v>
      </c>
      <c r="B3516" t="s">
        <v>1860</v>
      </c>
      <c r="C3516">
        <v>3</v>
      </c>
      <c r="D3516" t="s">
        <v>1447</v>
      </c>
      <c r="E3516" t="s">
        <v>1864</v>
      </c>
      <c r="F3516" t="s">
        <v>1759</v>
      </c>
      <c r="K3516" t="str">
        <f>IF(ISBLANK('Q 5'!G1010),"",IF('Q 5'!G1010="&lt;please select&gt;","",'Q 5'!G1010))</f>
        <v>Yes</v>
      </c>
    </row>
    <row r="3517" spans="1:11" x14ac:dyDescent="0.3">
      <c r="A3517" t="s">
        <v>1859</v>
      </c>
      <c r="B3517" t="s">
        <v>1860</v>
      </c>
      <c r="C3517">
        <v>4</v>
      </c>
      <c r="D3517" t="s">
        <v>1447</v>
      </c>
      <c r="E3517" t="s">
        <v>1864</v>
      </c>
      <c r="F3517" t="s">
        <v>1759</v>
      </c>
      <c r="K3517" t="str">
        <f>IF(ISBLANK('Q 5'!G1011),"",IF('Q 5'!G1011="&lt;please select&gt;","",'Q 5'!G1011))</f>
        <v>Yes</v>
      </c>
    </row>
    <row r="3518" spans="1:11" x14ac:dyDescent="0.3">
      <c r="A3518" t="s">
        <v>1859</v>
      </c>
      <c r="B3518" t="s">
        <v>1860</v>
      </c>
      <c r="C3518">
        <v>5</v>
      </c>
      <c r="D3518" t="s">
        <v>1447</v>
      </c>
      <c r="E3518" t="s">
        <v>1864</v>
      </c>
      <c r="F3518" t="s">
        <v>1759</v>
      </c>
      <c r="K3518" t="str">
        <f>IF(ISBLANK('Q 5'!G1012),"",IF('Q 5'!G1012="&lt;please select&gt;","",'Q 5'!G1012))</f>
        <v>Yes</v>
      </c>
    </row>
    <row r="3519" spans="1:11" x14ac:dyDescent="0.3">
      <c r="A3519" t="s">
        <v>1859</v>
      </c>
      <c r="B3519" t="s">
        <v>1860</v>
      </c>
      <c r="C3519">
        <v>6</v>
      </c>
      <c r="D3519" t="s">
        <v>1447</v>
      </c>
      <c r="E3519" t="s">
        <v>1864</v>
      </c>
      <c r="F3519" t="s">
        <v>1759</v>
      </c>
      <c r="K3519" t="str">
        <f>IF(ISBLANK('Q 5'!G1013),"",IF('Q 5'!G1013="&lt;please select&gt;","",'Q 5'!G1013))</f>
        <v>Yes</v>
      </c>
    </row>
    <row r="3520" spans="1:11" x14ac:dyDescent="0.3">
      <c r="A3520" t="s">
        <v>1859</v>
      </c>
      <c r="B3520" t="s">
        <v>1860</v>
      </c>
      <c r="C3520">
        <v>7</v>
      </c>
      <c r="D3520" t="s">
        <v>1447</v>
      </c>
      <c r="E3520" t="s">
        <v>1864</v>
      </c>
      <c r="F3520" t="s">
        <v>1759</v>
      </c>
      <c r="K3520" t="str">
        <f>IF(ISBLANK('Q 5'!G1014),"",IF('Q 5'!G1014="&lt;please select&gt;","",'Q 5'!G1014))</f>
        <v>Yes</v>
      </c>
    </row>
    <row r="3521" spans="1:11" x14ac:dyDescent="0.3">
      <c r="A3521" t="s">
        <v>1859</v>
      </c>
      <c r="B3521" t="s">
        <v>1860</v>
      </c>
      <c r="C3521">
        <v>8</v>
      </c>
      <c r="D3521" t="s">
        <v>1447</v>
      </c>
      <c r="E3521" t="s">
        <v>1864</v>
      </c>
      <c r="F3521" t="s">
        <v>1759</v>
      </c>
      <c r="K3521" t="str">
        <f>IF(ISBLANK('Q 5'!G1015),"",IF('Q 5'!G1015="&lt;please select&gt;","",'Q 5'!G1015))</f>
        <v>Yes</v>
      </c>
    </row>
    <row r="3522" spans="1:11" x14ac:dyDescent="0.3">
      <c r="A3522" t="s">
        <v>1859</v>
      </c>
      <c r="B3522" t="s">
        <v>1860</v>
      </c>
      <c r="C3522">
        <v>9</v>
      </c>
      <c r="D3522" t="s">
        <v>1447</v>
      </c>
      <c r="E3522" t="s">
        <v>1864</v>
      </c>
      <c r="F3522" t="s">
        <v>1759</v>
      </c>
      <c r="K3522" t="str">
        <f>IF(ISBLANK('Q 5'!G1016),"",IF('Q 5'!G1016="&lt;please select&gt;","",'Q 5'!G1016))</f>
        <v>Yes</v>
      </c>
    </row>
    <row r="3523" spans="1:11" x14ac:dyDescent="0.3">
      <c r="A3523" t="s">
        <v>1859</v>
      </c>
      <c r="B3523" t="s">
        <v>1860</v>
      </c>
      <c r="C3523">
        <v>10</v>
      </c>
      <c r="D3523" t="s">
        <v>1447</v>
      </c>
      <c r="E3523" t="s">
        <v>1864</v>
      </c>
      <c r="F3523" t="s">
        <v>1759</v>
      </c>
      <c r="K3523" t="str">
        <f>IF(ISBLANK('Q 5'!G1017),"",IF('Q 5'!G1017="&lt;please select&gt;","",'Q 5'!G1017))</f>
        <v>Yes</v>
      </c>
    </row>
    <row r="3524" spans="1:11" x14ac:dyDescent="0.3">
      <c r="A3524" t="s">
        <v>1859</v>
      </c>
      <c r="B3524" t="s">
        <v>1860</v>
      </c>
      <c r="C3524">
        <v>11</v>
      </c>
      <c r="D3524" t="s">
        <v>1447</v>
      </c>
      <c r="E3524" t="s">
        <v>1864</v>
      </c>
      <c r="F3524" t="s">
        <v>1759</v>
      </c>
      <c r="K3524" t="str">
        <f>IF(ISBLANK('Q 5'!G1018),"",IF('Q 5'!G1018="&lt;please select&gt;","",'Q 5'!G1018))</f>
        <v>Yes</v>
      </c>
    </row>
    <row r="3525" spans="1:11" x14ac:dyDescent="0.3">
      <c r="A3525" t="s">
        <v>1859</v>
      </c>
      <c r="B3525" t="s">
        <v>1860</v>
      </c>
      <c r="C3525">
        <v>12</v>
      </c>
      <c r="D3525" t="s">
        <v>1447</v>
      </c>
      <c r="E3525" t="s">
        <v>1864</v>
      </c>
      <c r="F3525" t="s">
        <v>1759</v>
      </c>
      <c r="K3525" t="str">
        <f>IF(ISBLANK('Q 5'!G1019),"",IF('Q 5'!G1019="&lt;please select&gt;","",'Q 5'!G1019))</f>
        <v>Yes</v>
      </c>
    </row>
    <row r="3526" spans="1:11" x14ac:dyDescent="0.3">
      <c r="A3526" t="s">
        <v>1859</v>
      </c>
      <c r="B3526" t="s">
        <v>1860</v>
      </c>
      <c r="C3526">
        <v>13</v>
      </c>
      <c r="D3526" t="s">
        <v>1447</v>
      </c>
      <c r="E3526" t="s">
        <v>1864</v>
      </c>
      <c r="F3526" t="s">
        <v>1759</v>
      </c>
      <c r="K3526" t="str">
        <f>IF(ISBLANK('Q 5'!G1020),"",IF('Q 5'!G1020="&lt;please select&gt;","",'Q 5'!G1020))</f>
        <v>Yes</v>
      </c>
    </row>
    <row r="3527" spans="1:11" x14ac:dyDescent="0.3">
      <c r="A3527" t="s">
        <v>1859</v>
      </c>
      <c r="B3527" t="s">
        <v>1860</v>
      </c>
      <c r="C3527">
        <v>14</v>
      </c>
      <c r="D3527" t="s">
        <v>1447</v>
      </c>
      <c r="E3527" t="s">
        <v>1864</v>
      </c>
      <c r="F3527" t="s">
        <v>1759</v>
      </c>
      <c r="K3527" t="str">
        <f>IF(ISBLANK('Q 5'!G1021),"",IF('Q 5'!G1021="&lt;please select&gt;","",'Q 5'!G1021))</f>
        <v>Yes</v>
      </c>
    </row>
    <row r="3528" spans="1:11" x14ac:dyDescent="0.3">
      <c r="A3528" t="s">
        <v>1859</v>
      </c>
      <c r="B3528" t="s">
        <v>1860</v>
      </c>
      <c r="C3528">
        <v>15</v>
      </c>
      <c r="D3528" t="s">
        <v>1447</v>
      </c>
      <c r="E3528" t="s">
        <v>1864</v>
      </c>
      <c r="F3528" t="s">
        <v>1759</v>
      </c>
      <c r="K3528" t="str">
        <f>IF(ISBLANK('Q 5'!G1022),"",IF('Q 5'!G1022="&lt;please select&gt;","",'Q 5'!G1022))</f>
        <v>Yes</v>
      </c>
    </row>
    <row r="3529" spans="1:11" x14ac:dyDescent="0.3">
      <c r="A3529" t="s">
        <v>1859</v>
      </c>
      <c r="B3529" t="s">
        <v>1860</v>
      </c>
      <c r="C3529">
        <v>16</v>
      </c>
      <c r="D3529" t="s">
        <v>1447</v>
      </c>
      <c r="E3529" t="s">
        <v>1864</v>
      </c>
      <c r="F3529" t="s">
        <v>1759</v>
      </c>
      <c r="K3529" t="str">
        <f>IF(ISBLANK('Q 5'!G1023),"",IF('Q 5'!G1023="&lt;please select&gt;","",'Q 5'!G1023))</f>
        <v>Yes</v>
      </c>
    </row>
    <row r="3530" spans="1:11" x14ac:dyDescent="0.3">
      <c r="A3530" t="s">
        <v>1859</v>
      </c>
      <c r="B3530" t="s">
        <v>1860</v>
      </c>
      <c r="C3530">
        <v>17</v>
      </c>
      <c r="D3530" t="s">
        <v>1447</v>
      </c>
      <c r="E3530" t="s">
        <v>1864</v>
      </c>
      <c r="F3530" t="s">
        <v>1759</v>
      </c>
      <c r="K3530" t="str">
        <f>IF(ISBLANK('Q 5'!G1024),"",IF('Q 5'!G1024="&lt;please select&gt;","",'Q 5'!G1024))</f>
        <v>Yes</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FR000000000000259</v>
      </c>
    </row>
    <row r="3565" spans="1:7" x14ac:dyDescent="0.3">
      <c r="A3565" t="s">
        <v>1866</v>
      </c>
      <c r="B3565" t="s">
        <v>1867</v>
      </c>
      <c r="C3565">
        <v>2</v>
      </c>
      <c r="D3565" t="s">
        <v>1447</v>
      </c>
      <c r="E3565" t="s">
        <v>1868</v>
      </c>
      <c r="F3565" t="s">
        <v>1741</v>
      </c>
      <c r="G3565" t="str">
        <f>IF(ISBLANK('Q 5'!C1038),"",IF('Q 5'!C1038="&lt;please select&gt;","",'Q 5'!C1038))</f>
        <v>FR000000000000368</v>
      </c>
    </row>
    <row r="3566" spans="1:7" x14ac:dyDescent="0.3">
      <c r="A3566" t="s">
        <v>1866</v>
      </c>
      <c r="B3566" t="s">
        <v>1867</v>
      </c>
      <c r="C3566">
        <v>3</v>
      </c>
      <c r="D3566" t="s">
        <v>1447</v>
      </c>
      <c r="E3566" t="s">
        <v>1868</v>
      </c>
      <c r="F3566" t="s">
        <v>1741</v>
      </c>
      <c r="G3566" t="str">
        <f>IF(ISBLANK('Q 5'!C1039),"",IF('Q 5'!C1039="&lt;please select&gt;","",'Q 5'!C1039))</f>
        <v>FR000000000000368</v>
      </c>
    </row>
    <row r="3567" spans="1:7" x14ac:dyDescent="0.3">
      <c r="A3567" t="s">
        <v>1866</v>
      </c>
      <c r="B3567" t="s">
        <v>1867</v>
      </c>
      <c r="C3567">
        <v>4</v>
      </c>
      <c r="D3567" t="s">
        <v>1447</v>
      </c>
      <c r="E3567" t="s">
        <v>1868</v>
      </c>
      <c r="F3567" t="s">
        <v>1741</v>
      </c>
      <c r="G3567" t="str">
        <f>IF(ISBLANK('Q 5'!C1040),"",IF('Q 5'!C1040="&lt;please select&gt;","",'Q 5'!C1040))</f>
        <v>FR000000000000427</v>
      </c>
    </row>
    <row r="3568" spans="1:7" x14ac:dyDescent="0.3">
      <c r="A3568" t="s">
        <v>1866</v>
      </c>
      <c r="B3568" t="s">
        <v>1867</v>
      </c>
      <c r="C3568">
        <v>5</v>
      </c>
      <c r="D3568" t="s">
        <v>1447</v>
      </c>
      <c r="E3568" t="s">
        <v>1868</v>
      </c>
      <c r="F3568" t="s">
        <v>1741</v>
      </c>
      <c r="G3568" t="str">
        <f>IF(ISBLANK('Q 5'!C1041),"",IF('Q 5'!C1041="&lt;please select&gt;","",'Q 5'!C1041))</f>
        <v>FR000000000000427</v>
      </c>
    </row>
    <row r="3569" spans="1:7" x14ac:dyDescent="0.3">
      <c r="A3569" t="s">
        <v>1866</v>
      </c>
      <c r="B3569" t="s">
        <v>1867</v>
      </c>
      <c r="C3569">
        <v>6</v>
      </c>
      <c r="D3569" t="s">
        <v>1447</v>
      </c>
      <c r="E3569" t="s">
        <v>1868</v>
      </c>
      <c r="F3569" t="s">
        <v>1741</v>
      </c>
      <c r="G3569" t="str">
        <f>IF(ISBLANK('Q 5'!C1042),"",IF('Q 5'!C1042="&lt;please select&gt;","",'Q 5'!C1042))</f>
        <v>FR000000000000427</v>
      </c>
    </row>
    <row r="3570" spans="1:7" x14ac:dyDescent="0.3">
      <c r="A3570" t="s">
        <v>1866</v>
      </c>
      <c r="B3570" t="s">
        <v>1867</v>
      </c>
      <c r="C3570">
        <v>7</v>
      </c>
      <c r="D3570" t="s">
        <v>1447</v>
      </c>
      <c r="E3570" t="s">
        <v>1868</v>
      </c>
      <c r="F3570" t="s">
        <v>1741</v>
      </c>
      <c r="G3570" t="str">
        <f>IF(ISBLANK('Q 5'!C1043),"",IF('Q 5'!C1043="&lt;please select&gt;","",'Q 5'!C1043))</f>
        <v>FR000000000000616</v>
      </c>
    </row>
    <row r="3571" spans="1:7" x14ac:dyDescent="0.3">
      <c r="A3571" t="s">
        <v>1866</v>
      </c>
      <c r="B3571" t="s">
        <v>1867</v>
      </c>
      <c r="C3571">
        <v>8</v>
      </c>
      <c r="D3571" t="s">
        <v>1447</v>
      </c>
      <c r="E3571" t="s">
        <v>1868</v>
      </c>
      <c r="F3571" t="s">
        <v>1741</v>
      </c>
      <c r="G3571" t="str">
        <f>IF(ISBLANK('Q 5'!C1044),"",IF('Q 5'!C1044="&lt;please select&gt;","",'Q 5'!C1044))</f>
        <v>FR000000000000616</v>
      </c>
    </row>
    <row r="3572" spans="1:7" x14ac:dyDescent="0.3">
      <c r="A3572" t="s">
        <v>1866</v>
      </c>
      <c r="B3572" t="s">
        <v>1867</v>
      </c>
      <c r="C3572">
        <v>9</v>
      </c>
      <c r="D3572" t="s">
        <v>1447</v>
      </c>
      <c r="E3572" t="s">
        <v>1868</v>
      </c>
      <c r="F3572" t="s">
        <v>1741</v>
      </c>
      <c r="G3572" t="str">
        <f>IF(ISBLANK('Q 5'!C1045),"",IF('Q 5'!C1045="&lt;please select&gt;","",'Q 5'!C1045))</f>
        <v>FR000000000000622</v>
      </c>
    </row>
    <row r="3573" spans="1:7" x14ac:dyDescent="0.3">
      <c r="A3573" t="s">
        <v>1866</v>
      </c>
      <c r="B3573" t="s">
        <v>1867</v>
      </c>
      <c r="C3573">
        <v>10</v>
      </c>
      <c r="D3573" t="s">
        <v>1447</v>
      </c>
      <c r="E3573" t="s">
        <v>1868</v>
      </c>
      <c r="F3573" t="s">
        <v>1741</v>
      </c>
      <c r="G3573" t="str">
        <f>IF(ISBLANK('Q 5'!C1046),"",IF('Q 5'!C1046="&lt;please select&gt;","",'Q 5'!C1046))</f>
        <v>FR000000000000627</v>
      </c>
    </row>
    <row r="3574" spans="1:7" x14ac:dyDescent="0.3">
      <c r="A3574" t="s">
        <v>1866</v>
      </c>
      <c r="B3574" t="s">
        <v>1867</v>
      </c>
      <c r="C3574">
        <v>11</v>
      </c>
      <c r="D3574" t="s">
        <v>1447</v>
      </c>
      <c r="E3574" t="s">
        <v>1868</v>
      </c>
      <c r="F3574" t="s">
        <v>1741</v>
      </c>
      <c r="G3574" t="str">
        <f>IF(ISBLANK('Q 5'!C1047),"",IF('Q 5'!C1047="&lt;please select&gt;","",'Q 5'!C1047))</f>
        <v>FR000000000000937</v>
      </c>
    </row>
    <row r="3575" spans="1:7" x14ac:dyDescent="0.3">
      <c r="A3575" t="s">
        <v>1866</v>
      </c>
      <c r="B3575" t="s">
        <v>1867</v>
      </c>
      <c r="C3575">
        <v>12</v>
      </c>
      <c r="D3575" t="s">
        <v>1447</v>
      </c>
      <c r="E3575" t="s">
        <v>1868</v>
      </c>
      <c r="F3575" t="s">
        <v>1741</v>
      </c>
      <c r="G3575" t="str">
        <f>IF(ISBLANK('Q 5'!C1048),"",IF('Q 5'!C1048="&lt;please select&gt;","",'Q 5'!C1048))</f>
        <v>FR000000000000534</v>
      </c>
    </row>
    <row r="3576" spans="1:7" x14ac:dyDescent="0.3">
      <c r="A3576" t="s">
        <v>1866</v>
      </c>
      <c r="B3576" t="s">
        <v>1867</v>
      </c>
      <c r="C3576">
        <v>13</v>
      </c>
      <c r="D3576" t="s">
        <v>1447</v>
      </c>
      <c r="E3576" t="s">
        <v>1868</v>
      </c>
      <c r="F3576" t="s">
        <v>1741</v>
      </c>
      <c r="G3576" t="str">
        <f>IF(ISBLANK('Q 5'!C1049),"",IF('Q 5'!C1049="&lt;please select&gt;","",'Q 5'!C1049))</f>
        <v>FR000000000000534</v>
      </c>
    </row>
    <row r="3577" spans="1:7" x14ac:dyDescent="0.3">
      <c r="A3577" t="s">
        <v>1866</v>
      </c>
      <c r="B3577" t="s">
        <v>1867</v>
      </c>
      <c r="C3577">
        <v>14</v>
      </c>
      <c r="D3577" t="s">
        <v>1447</v>
      </c>
      <c r="E3577" t="s">
        <v>1868</v>
      </c>
      <c r="F3577" t="s">
        <v>1741</v>
      </c>
      <c r="G3577" t="str">
        <f>IF(ISBLANK('Q 5'!C1050),"",IF('Q 5'!C1050="&lt;please select&gt;","",'Q 5'!C1050))</f>
        <v>FR000000000000534</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FCC Coke (F2)</v>
      </c>
    </row>
    <row r="3620" spans="1:7" x14ac:dyDescent="0.3">
      <c r="A3620" t="s">
        <v>1866</v>
      </c>
      <c r="B3620" t="s">
        <v>1867</v>
      </c>
      <c r="C3620">
        <v>2</v>
      </c>
      <c r="D3620" t="s">
        <v>1447</v>
      </c>
      <c r="E3620" t="s">
        <v>1869</v>
      </c>
      <c r="F3620" t="s">
        <v>1741</v>
      </c>
      <c r="G3620" t="str">
        <f>IF(ISBLANK('Q 5'!D1038),"",IF('Q 5'!D1038="&lt;please select&gt;","",'Q 5'!D1038))</f>
        <v>Combustion of non-reusable used tire (F12)</v>
      </c>
    </row>
    <row r="3621" spans="1:7" x14ac:dyDescent="0.3">
      <c r="A3621" t="s">
        <v>1866</v>
      </c>
      <c r="B3621" t="s">
        <v>1867</v>
      </c>
      <c r="C3621">
        <v>3</v>
      </c>
      <c r="D3621" t="s">
        <v>1447</v>
      </c>
      <c r="E3621" t="s">
        <v>1869</v>
      </c>
      <c r="F3621" t="s">
        <v>1741</v>
      </c>
      <c r="G3621" t="str">
        <f>IF(ISBLANK('Q 5'!D1039),"",IF('Q 5'!D1039="&lt;please select&gt;","",'Q 5'!D1039))</f>
        <v>Combustion of non-reusable used tire (F12)</v>
      </c>
    </row>
    <row r="3622" spans="1:7" x14ac:dyDescent="0.3">
      <c r="A3622" t="s">
        <v>1866</v>
      </c>
      <c r="B3622" t="s">
        <v>1867</v>
      </c>
      <c r="C3622">
        <v>4</v>
      </c>
      <c r="D3622" t="s">
        <v>1447</v>
      </c>
      <c r="E3622" t="s">
        <v>1869</v>
      </c>
      <c r="F3622" t="s">
        <v>1741</v>
      </c>
      <c r="G3622" t="str">
        <f>IF(ISBLANK('Q 5'!D1040),"",IF('Q 5'!D1040="&lt;please select&gt;","",'Q 5'!D1040))</f>
        <v>Refinery fuel gas (F1)</v>
      </c>
    </row>
    <row r="3623" spans="1:7" x14ac:dyDescent="0.3">
      <c r="A3623" t="s">
        <v>1866</v>
      </c>
      <c r="B3623" t="s">
        <v>1867</v>
      </c>
      <c r="C3623">
        <v>5</v>
      </c>
      <c r="D3623" t="s">
        <v>1447</v>
      </c>
      <c r="E3623" t="s">
        <v>1869</v>
      </c>
      <c r="F3623" t="s">
        <v>1741</v>
      </c>
      <c r="G3623" t="str">
        <f>IF(ISBLANK('Q 5'!D1041),"",IF('Q 5'!D1041="&lt;please select&gt;","",'Q 5'!D1041))</f>
        <v>stream cracker fuel gas (F2)</v>
      </c>
    </row>
    <row r="3624" spans="1:7" x14ac:dyDescent="0.3">
      <c r="A3624" t="s">
        <v>1866</v>
      </c>
      <c r="B3624" t="s">
        <v>1867</v>
      </c>
      <c r="C3624">
        <v>6</v>
      </c>
      <c r="D3624" t="s">
        <v>1447</v>
      </c>
      <c r="E3624" t="s">
        <v>1869</v>
      </c>
      <c r="F3624" t="s">
        <v>1741</v>
      </c>
      <c r="G3624" t="str">
        <f>IF(ISBLANK('Q 5'!D1042),"",IF('Q 5'!D1042="&lt;please select&gt;","",'Q 5'!D1042))</f>
        <v>FCC Coke (F3)</v>
      </c>
    </row>
    <row r="3625" spans="1:7" x14ac:dyDescent="0.3">
      <c r="A3625" t="s">
        <v>1866</v>
      </c>
      <c r="B3625" t="s">
        <v>1867</v>
      </c>
      <c r="C3625">
        <v>7</v>
      </c>
      <c r="D3625" t="s">
        <v>1447</v>
      </c>
      <c r="E3625" t="s">
        <v>1869</v>
      </c>
      <c r="F3625" t="s">
        <v>1741</v>
      </c>
      <c r="G3625" t="str">
        <f>IF(ISBLANK('Q 5'!D1043),"",IF('Q 5'!D1043="&lt;please select&gt;","",'Q 5'!D1043))</f>
        <v>Combustion : Flaring (F4)</v>
      </c>
    </row>
    <row r="3626" spans="1:7" x14ac:dyDescent="0.3">
      <c r="A3626" t="s">
        <v>1866</v>
      </c>
      <c r="B3626" t="s">
        <v>1867</v>
      </c>
      <c r="C3626">
        <v>8</v>
      </c>
      <c r="D3626" t="s">
        <v>1447</v>
      </c>
      <c r="E3626" t="s">
        <v>1869</v>
      </c>
      <c r="F3626" t="s">
        <v>1741</v>
      </c>
      <c r="G3626" t="str">
        <f>IF(ISBLANK('Q 5'!D1044),"",IF('Q 5'!D1044="&lt;please select&gt;","",'Q 5'!D1044))</f>
        <v>Combustion : Flaring (F4)</v>
      </c>
    </row>
    <row r="3627" spans="1:7" x14ac:dyDescent="0.3">
      <c r="A3627" t="s">
        <v>1866</v>
      </c>
      <c r="B3627" t="s">
        <v>1867</v>
      </c>
      <c r="C3627">
        <v>9</v>
      </c>
      <c r="D3627" t="s">
        <v>1447</v>
      </c>
      <c r="E3627" t="s">
        <v>1869</v>
      </c>
      <c r="F3627" t="s">
        <v>1741</v>
      </c>
      <c r="G3627" t="str">
        <f>IF(ISBLANK('Q 5'!D1045),"",IF('Q 5'!D1045="&lt;please select&gt;","",'Q 5'!D1045))</f>
        <v>Combustion : Refinery Fuel Gas (F10)</v>
      </c>
    </row>
    <row r="3628" spans="1:7" x14ac:dyDescent="0.3">
      <c r="A3628" t="s">
        <v>1866</v>
      </c>
      <c r="B3628" t="s">
        <v>1867</v>
      </c>
      <c r="C3628">
        <v>10</v>
      </c>
      <c r="D3628" t="s">
        <v>1447</v>
      </c>
      <c r="E3628" t="s">
        <v>1869</v>
      </c>
      <c r="F3628" t="s">
        <v>1741</v>
      </c>
      <c r="G3628" t="str">
        <f>IF(ISBLANK('Q 5'!D1046),"",IF('Q 5'!D1046="&lt;please select&gt;","",'Q 5'!D1046))</f>
        <v>Refinery fuel gas (F3)</v>
      </c>
    </row>
    <row r="3629" spans="1:7" x14ac:dyDescent="0.3">
      <c r="A3629" t="s">
        <v>1866</v>
      </c>
      <c r="B3629" t="s">
        <v>1867</v>
      </c>
      <c r="C3629">
        <v>11</v>
      </c>
      <c r="D3629" t="s">
        <v>1447</v>
      </c>
      <c r="E3629" t="s">
        <v>1869</v>
      </c>
      <c r="F3629" t="s">
        <v>1741</v>
      </c>
      <c r="G3629" t="str">
        <f>IF(ISBLANK('Q 5'!D1047),"",IF('Q 5'!D1047="&lt;please select&gt;","",'Q 5'!D1047))</f>
        <v>Industrial Waste : DIB/Textile</v>
      </c>
    </row>
    <row r="3630" spans="1:7" x14ac:dyDescent="0.3">
      <c r="A3630" t="s">
        <v>1866</v>
      </c>
      <c r="B3630" t="s">
        <v>1867</v>
      </c>
      <c r="C3630">
        <v>12</v>
      </c>
      <c r="D3630" t="s">
        <v>1447</v>
      </c>
      <c r="E3630" t="s">
        <v>1869</v>
      </c>
      <c r="F3630" t="s">
        <v>1741</v>
      </c>
      <c r="G3630" t="str">
        <f>IF(ISBLANK('Q 5'!D1048),"",IF('Q 5'!D1048="&lt;please select&gt;","",'Q 5'!D1048))</f>
        <v>Combustion of non-reusable used tire (F7)</v>
      </c>
    </row>
    <row r="3631" spans="1:7" x14ac:dyDescent="0.3">
      <c r="A3631" t="s">
        <v>1866</v>
      </c>
      <c r="B3631" t="s">
        <v>1867</v>
      </c>
      <c r="C3631">
        <v>13</v>
      </c>
      <c r="D3631" t="s">
        <v>1447</v>
      </c>
      <c r="E3631" t="s">
        <v>1869</v>
      </c>
      <c r="F3631" t="s">
        <v>1741</v>
      </c>
      <c r="G3631" t="str">
        <f>IF(ISBLANK('Q 5'!D1049),"",IF('Q 5'!D1049="&lt;please select&gt;","",'Q 5'!D1049))</f>
        <v>Combustion of non-reusable used tire (F7)</v>
      </c>
    </row>
    <row r="3632" spans="1:7" x14ac:dyDescent="0.3">
      <c r="A3632" t="s">
        <v>1866</v>
      </c>
      <c r="B3632" t="s">
        <v>1867</v>
      </c>
      <c r="C3632">
        <v>14</v>
      </c>
      <c r="D3632" t="s">
        <v>1447</v>
      </c>
      <c r="E3632" t="s">
        <v>1869</v>
      </c>
      <c r="F3632" t="s">
        <v>1741</v>
      </c>
      <c r="G3632" t="str">
        <f>IF(ISBLANK('Q 5'!D1050),"",IF('Q 5'!D1050="&lt;please select&gt;","",'Q 5'!D1050))</f>
        <v>Combustion fluff préca (F14)</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v>
      </c>
    </row>
    <row r="3675" spans="1:7" x14ac:dyDescent="0.3">
      <c r="A3675" t="s">
        <v>1866</v>
      </c>
      <c r="B3675" t="s">
        <v>1867</v>
      </c>
      <c r="C3675">
        <v>2</v>
      </c>
      <c r="D3675" t="s">
        <v>1447</v>
      </c>
      <c r="E3675" t="s">
        <v>1870</v>
      </c>
      <c r="F3675" t="s">
        <v>1741</v>
      </c>
      <c r="G3675" t="str">
        <f>IF(ISBLANK('Q 5'!E1038),"",IF('Q 5'!E1038="&lt;please select&gt;","",'Q 5'!E1038))</f>
        <v>/</v>
      </c>
    </row>
    <row r="3676" spans="1:7" x14ac:dyDescent="0.3">
      <c r="A3676" t="s">
        <v>1866</v>
      </c>
      <c r="B3676" t="s">
        <v>1867</v>
      </c>
      <c r="C3676">
        <v>3</v>
      </c>
      <c r="D3676" t="s">
        <v>1447</v>
      </c>
      <c r="E3676" t="s">
        <v>1870</v>
      </c>
      <c r="F3676" t="s">
        <v>1741</v>
      </c>
      <c r="G3676" t="str">
        <f>IF(ISBLANK('Q 5'!E1039),"",IF('Q 5'!E1039="&lt;please select&gt;","",'Q 5'!E1039))</f>
        <v>/</v>
      </c>
    </row>
    <row r="3677" spans="1:7" x14ac:dyDescent="0.3">
      <c r="A3677" t="s">
        <v>1866</v>
      </c>
      <c r="B3677" t="s">
        <v>1867</v>
      </c>
      <c r="C3677">
        <v>4</v>
      </c>
      <c r="D3677" t="s">
        <v>1447</v>
      </c>
      <c r="E3677" t="s">
        <v>1870</v>
      </c>
      <c r="F3677" t="s">
        <v>1741</v>
      </c>
      <c r="G3677" t="str">
        <f>IF(ISBLANK('Q 5'!E1040),"",IF('Q 5'!E1040="&lt;please select&gt;","",'Q 5'!E1040))</f>
        <v>/</v>
      </c>
    </row>
    <row r="3678" spans="1:7" x14ac:dyDescent="0.3">
      <c r="A3678" t="s">
        <v>1866</v>
      </c>
      <c r="B3678" t="s">
        <v>1867</v>
      </c>
      <c r="C3678">
        <v>5</v>
      </c>
      <c r="D3678" t="s">
        <v>1447</v>
      </c>
      <c r="E3678" t="s">
        <v>1870</v>
      </c>
      <c r="F3678" t="s">
        <v>1741</v>
      </c>
      <c r="G3678" t="str">
        <f>IF(ISBLANK('Q 5'!E1041),"",IF('Q 5'!E1041="&lt;please select&gt;","",'Q 5'!E1041))</f>
        <v>/</v>
      </c>
    </row>
    <row r="3679" spans="1:7" x14ac:dyDescent="0.3">
      <c r="A3679" t="s">
        <v>1866</v>
      </c>
      <c r="B3679" t="s">
        <v>1867</v>
      </c>
      <c r="C3679">
        <v>6</v>
      </c>
      <c r="D3679" t="s">
        <v>1447</v>
      </c>
      <c r="E3679" t="s">
        <v>1870</v>
      </c>
      <c r="F3679" t="s">
        <v>1741</v>
      </c>
      <c r="G3679" t="str">
        <f>IF(ISBLANK('Q 5'!E1042),"",IF('Q 5'!E1042="&lt;please select&gt;","",'Q 5'!E1042))</f>
        <v>/</v>
      </c>
    </row>
    <row r="3680" spans="1:7" x14ac:dyDescent="0.3">
      <c r="A3680" t="s">
        <v>1866</v>
      </c>
      <c r="B3680" t="s">
        <v>1867</v>
      </c>
      <c r="C3680">
        <v>7</v>
      </c>
      <c r="D3680" t="s">
        <v>1447</v>
      </c>
      <c r="E3680" t="s">
        <v>1870</v>
      </c>
      <c r="F3680" t="s">
        <v>1741</v>
      </c>
      <c r="G3680" t="str">
        <f>IF(ISBLANK('Q 5'!E1043),"",IF('Q 5'!E1043="&lt;please select&gt;","",'Q 5'!E1043))</f>
        <v>/</v>
      </c>
    </row>
    <row r="3681" spans="1:7" x14ac:dyDescent="0.3">
      <c r="A3681" t="s">
        <v>1866</v>
      </c>
      <c r="B3681" t="s">
        <v>1867</v>
      </c>
      <c r="C3681">
        <v>8</v>
      </c>
      <c r="D3681" t="s">
        <v>1447</v>
      </c>
      <c r="E3681" t="s">
        <v>1870</v>
      </c>
      <c r="F3681" t="s">
        <v>1741</v>
      </c>
      <c r="G3681" t="str">
        <f>IF(ISBLANK('Q 5'!E1044),"",IF('Q 5'!E1044="&lt;please select&gt;","",'Q 5'!E1044))</f>
        <v>/</v>
      </c>
    </row>
    <row r="3682" spans="1:7" x14ac:dyDescent="0.3">
      <c r="A3682" t="s">
        <v>1866</v>
      </c>
      <c r="B3682" t="s">
        <v>1867</v>
      </c>
      <c r="C3682">
        <v>9</v>
      </c>
      <c r="D3682" t="s">
        <v>1447</v>
      </c>
      <c r="E3682" t="s">
        <v>1870</v>
      </c>
      <c r="F3682" t="s">
        <v>1741</v>
      </c>
      <c r="G3682" t="str">
        <f>IF(ISBLANK('Q 5'!E1045),"",IF('Q 5'!E1045="&lt;please select&gt;","",'Q 5'!E1045))</f>
        <v>/</v>
      </c>
    </row>
    <row r="3683" spans="1:7" x14ac:dyDescent="0.3">
      <c r="A3683" t="s">
        <v>1866</v>
      </c>
      <c r="B3683" t="s">
        <v>1867</v>
      </c>
      <c r="C3683">
        <v>10</v>
      </c>
      <c r="D3683" t="s">
        <v>1447</v>
      </c>
      <c r="E3683" t="s">
        <v>1870</v>
      </c>
      <c r="F3683" t="s">
        <v>1741</v>
      </c>
      <c r="G3683" t="str">
        <f>IF(ISBLANK('Q 5'!E1046),"",IF('Q 5'!E1046="&lt;please select&gt;","",'Q 5'!E1046))</f>
        <v>/</v>
      </c>
    </row>
    <row r="3684" spans="1:7" x14ac:dyDescent="0.3">
      <c r="A3684" t="s">
        <v>1866</v>
      </c>
      <c r="B3684" t="s">
        <v>1867</v>
      </c>
      <c r="C3684">
        <v>11</v>
      </c>
      <c r="D3684" t="s">
        <v>1447</v>
      </c>
      <c r="E3684" t="s">
        <v>1870</v>
      </c>
      <c r="F3684" t="s">
        <v>1741</v>
      </c>
      <c r="G3684" t="str">
        <f>IF(ISBLANK('Q 5'!E1047),"",IF('Q 5'!E1047="&lt;please select&gt;","",'Q 5'!E1047))</f>
        <v>/</v>
      </c>
    </row>
    <row r="3685" spans="1:7" x14ac:dyDescent="0.3">
      <c r="A3685" t="s">
        <v>1866</v>
      </c>
      <c r="B3685" t="s">
        <v>1867</v>
      </c>
      <c r="C3685">
        <v>12</v>
      </c>
      <c r="D3685" t="s">
        <v>1447</v>
      </c>
      <c r="E3685" t="s">
        <v>1870</v>
      </c>
      <c r="F3685" t="s">
        <v>1741</v>
      </c>
      <c r="G3685" t="str">
        <f>IF(ISBLANK('Q 5'!E1048),"",IF('Q 5'!E1048="&lt;please select&gt;","",'Q 5'!E1048))</f>
        <v>/</v>
      </c>
    </row>
    <row r="3686" spans="1:7" x14ac:dyDescent="0.3">
      <c r="A3686" t="s">
        <v>1866</v>
      </c>
      <c r="B3686" t="s">
        <v>1867</v>
      </c>
      <c r="C3686">
        <v>13</v>
      </c>
      <c r="D3686" t="s">
        <v>1447</v>
      </c>
      <c r="E3686" t="s">
        <v>1870</v>
      </c>
      <c r="F3686" t="s">
        <v>1741</v>
      </c>
      <c r="G3686" t="str">
        <f>IF(ISBLANK('Q 5'!E1049),"",IF('Q 5'!E1049="&lt;please select&gt;","",'Q 5'!E1049))</f>
        <v>/</v>
      </c>
    </row>
    <row r="3687" spans="1:7" x14ac:dyDescent="0.3">
      <c r="A3687" t="s">
        <v>1866</v>
      </c>
      <c r="B3687" t="s">
        <v>1867</v>
      </c>
      <c r="C3687">
        <v>14</v>
      </c>
      <c r="D3687" t="s">
        <v>1447</v>
      </c>
      <c r="E3687" t="s">
        <v>1870</v>
      </c>
      <c r="F3687" t="s">
        <v>1741</v>
      </c>
      <c r="G3687" t="str">
        <f>IF(ISBLANK('Q 5'!E1050),"",IF('Q 5'!E1050="&lt;please select&gt;","",'Q 5'!E1050))</f>
        <v>/</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Quantity of fuel</v>
      </c>
    </row>
    <row r="3730" spans="1:11" x14ac:dyDescent="0.3">
      <c r="A3730" t="s">
        <v>1866</v>
      </c>
      <c r="B3730" t="s">
        <v>1867</v>
      </c>
      <c r="C3730">
        <v>2</v>
      </c>
      <c r="D3730" t="s">
        <v>1447</v>
      </c>
      <c r="E3730" t="s">
        <v>1871</v>
      </c>
      <c r="F3730" t="s">
        <v>1737</v>
      </c>
      <c r="K3730" t="str">
        <f>IF(ISBLANK('Q 5'!F1038),"",IF('Q 5'!F1038="&lt;please select&gt;","",'Q 5'!F1038))</f>
        <v>Emission factor</v>
      </c>
    </row>
    <row r="3731" spans="1:11" x14ac:dyDescent="0.3">
      <c r="A3731" t="s">
        <v>1866</v>
      </c>
      <c r="B3731" t="s">
        <v>1867</v>
      </c>
      <c r="C3731">
        <v>3</v>
      </c>
      <c r="D3731" t="s">
        <v>1447</v>
      </c>
      <c r="E3731" t="s">
        <v>1871</v>
      </c>
      <c r="F3731" t="s">
        <v>1737</v>
      </c>
      <c r="K3731" t="str">
        <f>IF(ISBLANK('Q 5'!F1039),"",IF('Q 5'!F1039="&lt;please select&gt;","",'Q 5'!F1039))</f>
        <v>Net calorific value</v>
      </c>
    </row>
    <row r="3732" spans="1:11" x14ac:dyDescent="0.3">
      <c r="A3732" t="s">
        <v>1866</v>
      </c>
      <c r="B3732" t="s">
        <v>1867</v>
      </c>
      <c r="C3732">
        <v>4</v>
      </c>
      <c r="D3732" t="s">
        <v>1447</v>
      </c>
      <c r="E3732" t="s">
        <v>1871</v>
      </c>
      <c r="F3732" t="s">
        <v>1737</v>
      </c>
      <c r="K3732" t="str">
        <f>IF(ISBLANK('Q 5'!F1040),"",IF('Q 5'!F1040="&lt;please select&gt;","",'Q 5'!F1040))</f>
        <v>Quantity of fuel</v>
      </c>
    </row>
    <row r="3733" spans="1:11" x14ac:dyDescent="0.3">
      <c r="A3733" t="s">
        <v>1866</v>
      </c>
      <c r="B3733" t="s">
        <v>1867</v>
      </c>
      <c r="C3733">
        <v>5</v>
      </c>
      <c r="D3733" t="s">
        <v>1447</v>
      </c>
      <c r="E3733" t="s">
        <v>1871</v>
      </c>
      <c r="F3733" t="s">
        <v>1737</v>
      </c>
      <c r="K3733" t="str">
        <f>IF(ISBLANK('Q 5'!F1041),"",IF('Q 5'!F1041="&lt;please select&gt;","",'Q 5'!F1041))</f>
        <v>Quantity of fuel</v>
      </c>
    </row>
    <row r="3734" spans="1:11" x14ac:dyDescent="0.3">
      <c r="A3734" t="s">
        <v>1866</v>
      </c>
      <c r="B3734" t="s">
        <v>1867</v>
      </c>
      <c r="C3734">
        <v>6</v>
      </c>
      <c r="D3734" t="s">
        <v>1447</v>
      </c>
      <c r="E3734" t="s">
        <v>1871</v>
      </c>
      <c r="F3734" t="s">
        <v>1737</v>
      </c>
      <c r="K3734" t="str">
        <f>IF(ISBLANK('Q 5'!F1042),"",IF('Q 5'!F1042="&lt;please select&gt;","",'Q 5'!F1042))</f>
        <v>Quantity of fuel</v>
      </c>
    </row>
    <row r="3735" spans="1:11" x14ac:dyDescent="0.3">
      <c r="A3735" t="s">
        <v>1866</v>
      </c>
      <c r="B3735" t="s">
        <v>1867</v>
      </c>
      <c r="C3735">
        <v>7</v>
      </c>
      <c r="D3735" t="s">
        <v>1447</v>
      </c>
      <c r="E3735" t="s">
        <v>1871</v>
      </c>
      <c r="F3735" t="s">
        <v>1737</v>
      </c>
      <c r="K3735" t="str">
        <f>IF(ISBLANK('Q 5'!F1043),"",IF('Q 5'!F1043="&lt;please select&gt;","",'Q 5'!F1043))</f>
        <v>Net calorific value</v>
      </c>
    </row>
    <row r="3736" spans="1:11" x14ac:dyDescent="0.3">
      <c r="A3736" t="s">
        <v>1866</v>
      </c>
      <c r="B3736" t="s">
        <v>1867</v>
      </c>
      <c r="C3736">
        <v>8</v>
      </c>
      <c r="D3736" t="s">
        <v>1447</v>
      </c>
      <c r="E3736" t="s">
        <v>1871</v>
      </c>
      <c r="F3736" t="s">
        <v>1737</v>
      </c>
      <c r="K3736" t="str">
        <f>IF(ISBLANK('Q 5'!F1044),"",IF('Q 5'!F1044="&lt;please select&gt;","",'Q 5'!F1044))</f>
        <v>Emission factor</v>
      </c>
    </row>
    <row r="3737" spans="1:11" x14ac:dyDescent="0.3">
      <c r="A3737" t="s">
        <v>1866</v>
      </c>
      <c r="B3737" t="s">
        <v>1867</v>
      </c>
      <c r="C3737">
        <v>9</v>
      </c>
      <c r="D3737" t="s">
        <v>1447</v>
      </c>
      <c r="E3737" t="s">
        <v>1871</v>
      </c>
      <c r="F3737" t="s">
        <v>1737</v>
      </c>
      <c r="K3737" t="str">
        <f>IF(ISBLANK('Q 5'!F1045),"",IF('Q 5'!F1045="&lt;please select&gt;","",'Q 5'!F1045))</f>
        <v>Emission factor</v>
      </c>
    </row>
    <row r="3738" spans="1:11" x14ac:dyDescent="0.3">
      <c r="A3738" t="s">
        <v>1866</v>
      </c>
      <c r="B3738" t="s">
        <v>1867</v>
      </c>
      <c r="C3738">
        <v>10</v>
      </c>
      <c r="D3738" t="s">
        <v>1447</v>
      </c>
      <c r="E3738" t="s">
        <v>1871</v>
      </c>
      <c r="F3738" t="s">
        <v>1737</v>
      </c>
      <c r="K3738" t="str">
        <f>IF(ISBLANK('Q 5'!F1046),"",IF('Q 5'!F1046="&lt;please select&gt;","",'Q 5'!F1046))</f>
        <v>Emission factor</v>
      </c>
    </row>
    <row r="3739" spans="1:11" x14ac:dyDescent="0.3">
      <c r="A3739" t="s">
        <v>1866</v>
      </c>
      <c r="B3739" t="s">
        <v>1867</v>
      </c>
      <c r="C3739">
        <v>11</v>
      </c>
      <c r="D3739" t="s">
        <v>1447</v>
      </c>
      <c r="E3739" t="s">
        <v>1871</v>
      </c>
      <c r="F3739" t="s">
        <v>1737</v>
      </c>
      <c r="K3739" t="str">
        <f>IF(ISBLANK('Q 5'!F1047),"",IF('Q 5'!F1047="&lt;please select&gt;","",'Q 5'!F1047))</f>
        <v>Biomass fraction</v>
      </c>
    </row>
    <row r="3740" spans="1:11" x14ac:dyDescent="0.3">
      <c r="A3740" t="s">
        <v>1866</v>
      </c>
      <c r="B3740" t="s">
        <v>1867</v>
      </c>
      <c r="C3740">
        <v>12</v>
      </c>
      <c r="D3740" t="s">
        <v>1447</v>
      </c>
      <c r="E3740" t="s">
        <v>1871</v>
      </c>
      <c r="F3740" t="s">
        <v>1737</v>
      </c>
      <c r="K3740" t="str">
        <f>IF(ISBLANK('Q 5'!F1048),"",IF('Q 5'!F1048="&lt;please select&gt;","",'Q 5'!F1048))</f>
        <v>Emission factor</v>
      </c>
    </row>
    <row r="3741" spans="1:11" x14ac:dyDescent="0.3">
      <c r="A3741" t="s">
        <v>1866</v>
      </c>
      <c r="B3741" t="s">
        <v>1867</v>
      </c>
      <c r="C3741">
        <v>13</v>
      </c>
      <c r="D3741" t="s">
        <v>1447</v>
      </c>
      <c r="E3741" t="s">
        <v>1871</v>
      </c>
      <c r="F3741" t="s">
        <v>1737</v>
      </c>
      <c r="K3741" t="str">
        <f>IF(ISBLANK('Q 5'!F1049),"",IF('Q 5'!F1049="&lt;please select&gt;","",'Q 5'!F1049))</f>
        <v>Net calorific value</v>
      </c>
    </row>
    <row r="3742" spans="1:11" x14ac:dyDescent="0.3">
      <c r="A3742" t="s">
        <v>1866</v>
      </c>
      <c r="B3742" t="s">
        <v>1867</v>
      </c>
      <c r="C3742">
        <v>14</v>
      </c>
      <c r="D3742" t="s">
        <v>1447</v>
      </c>
      <c r="E3742" t="s">
        <v>1871</v>
      </c>
      <c r="F3742" t="s">
        <v>1737</v>
      </c>
      <c r="K3742" t="str">
        <f>IF(ISBLANK('Q 5'!F1050),"",IF('Q 5'!F1050="&lt;please select&gt;","",'Q 5'!F1050))</f>
        <v>Quantity of fuel</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4</v>
      </c>
    </row>
    <row r="3785" spans="1:11" x14ac:dyDescent="0.3">
      <c r="A3785" t="s">
        <v>1866</v>
      </c>
      <c r="B3785" t="s">
        <v>1867</v>
      </c>
      <c r="C3785">
        <v>2</v>
      </c>
      <c r="D3785" t="s">
        <v>1447</v>
      </c>
      <c r="E3785" t="s">
        <v>1872</v>
      </c>
      <c r="F3785" t="s">
        <v>1737</v>
      </c>
      <c r="K3785" t="str">
        <f>IF(ISBLANK('Q 5'!G1038),"",IF('Q 5'!G1038="&lt;please select&gt;","",'Q 5'!G1038))</f>
        <v>3</v>
      </c>
    </row>
    <row r="3786" spans="1:11" x14ac:dyDescent="0.3">
      <c r="A3786" t="s">
        <v>1866</v>
      </c>
      <c r="B3786" t="s">
        <v>1867</v>
      </c>
      <c r="C3786">
        <v>3</v>
      </c>
      <c r="D3786" t="s">
        <v>1447</v>
      </c>
      <c r="E3786" t="s">
        <v>1872</v>
      </c>
      <c r="F3786" t="s">
        <v>1737</v>
      </c>
      <c r="K3786" t="str">
        <f>IF(ISBLANK('Q 5'!G1039),"",IF('Q 5'!G1039="&lt;please select&gt;","",'Q 5'!G1039))</f>
        <v>3</v>
      </c>
    </row>
    <row r="3787" spans="1:11" x14ac:dyDescent="0.3">
      <c r="A3787" t="s">
        <v>1866</v>
      </c>
      <c r="B3787" t="s">
        <v>1867</v>
      </c>
      <c r="C3787">
        <v>4</v>
      </c>
      <c r="D3787" t="s">
        <v>1447</v>
      </c>
      <c r="E3787" t="s">
        <v>1872</v>
      </c>
      <c r="F3787" t="s">
        <v>1737</v>
      </c>
      <c r="K3787" t="str">
        <f>IF(ISBLANK('Q 5'!G1040),"",IF('Q 5'!G1040="&lt;please select&gt;","",'Q 5'!G1040))</f>
        <v>4</v>
      </c>
    </row>
    <row r="3788" spans="1:11" x14ac:dyDescent="0.3">
      <c r="A3788" t="s">
        <v>1866</v>
      </c>
      <c r="B3788" t="s">
        <v>1867</v>
      </c>
      <c r="C3788">
        <v>5</v>
      </c>
      <c r="D3788" t="s">
        <v>1447</v>
      </c>
      <c r="E3788" t="s">
        <v>1872</v>
      </c>
      <c r="F3788" t="s">
        <v>1737</v>
      </c>
      <c r="K3788" t="str">
        <f>IF(ISBLANK('Q 5'!G1041),"",IF('Q 5'!G1041="&lt;please select&gt;","",'Q 5'!G1041))</f>
        <v>4</v>
      </c>
    </row>
    <row r="3789" spans="1:11" x14ac:dyDescent="0.3">
      <c r="A3789" t="s">
        <v>1866</v>
      </c>
      <c r="B3789" t="s">
        <v>1867</v>
      </c>
      <c r="C3789">
        <v>6</v>
      </c>
      <c r="D3789" t="s">
        <v>1447</v>
      </c>
      <c r="E3789" t="s">
        <v>1872</v>
      </c>
      <c r="F3789" t="s">
        <v>1737</v>
      </c>
      <c r="K3789" t="str">
        <f>IF(ISBLANK('Q 5'!G1042),"",IF('Q 5'!G1042="&lt;please select&gt;","",'Q 5'!G1042))</f>
        <v>4</v>
      </c>
    </row>
    <row r="3790" spans="1:11" x14ac:dyDescent="0.3">
      <c r="A3790" t="s">
        <v>1866</v>
      </c>
      <c r="B3790" t="s">
        <v>1867</v>
      </c>
      <c r="C3790">
        <v>7</v>
      </c>
      <c r="D3790" t="s">
        <v>1447</v>
      </c>
      <c r="E3790" t="s">
        <v>1872</v>
      </c>
      <c r="F3790" t="s">
        <v>1737</v>
      </c>
      <c r="K3790" t="str">
        <f>IF(ISBLANK('Q 5'!G1043),"",IF('Q 5'!G1043="&lt;please select&gt;","",'Q 5'!G1043))</f>
        <v>3</v>
      </c>
    </row>
    <row r="3791" spans="1:11" x14ac:dyDescent="0.3">
      <c r="A3791" t="s">
        <v>1866</v>
      </c>
      <c r="B3791" t="s">
        <v>1867</v>
      </c>
      <c r="C3791">
        <v>8</v>
      </c>
      <c r="D3791" t="s">
        <v>1447</v>
      </c>
      <c r="E3791" t="s">
        <v>1872</v>
      </c>
      <c r="F3791" t="s">
        <v>1737</v>
      </c>
      <c r="K3791" t="str">
        <f>IF(ISBLANK('Q 5'!G1044),"",IF('Q 5'!G1044="&lt;please select&gt;","",'Q 5'!G1044))</f>
        <v>3</v>
      </c>
    </row>
    <row r="3792" spans="1:11" x14ac:dyDescent="0.3">
      <c r="A3792" t="s">
        <v>1866</v>
      </c>
      <c r="B3792" t="s">
        <v>1867</v>
      </c>
      <c r="C3792">
        <v>9</v>
      </c>
      <c r="D3792" t="s">
        <v>1447</v>
      </c>
      <c r="E3792" t="s">
        <v>1872</v>
      </c>
      <c r="F3792" t="s">
        <v>1737</v>
      </c>
      <c r="K3792" t="str">
        <f>IF(ISBLANK('Q 5'!G1045),"",IF('Q 5'!G1045="&lt;please select&gt;","",'Q 5'!G1045))</f>
        <v>3</v>
      </c>
    </row>
    <row r="3793" spans="1:11" x14ac:dyDescent="0.3">
      <c r="A3793" t="s">
        <v>1866</v>
      </c>
      <c r="B3793" t="s">
        <v>1867</v>
      </c>
      <c r="C3793">
        <v>10</v>
      </c>
      <c r="D3793" t="s">
        <v>1447</v>
      </c>
      <c r="E3793" t="s">
        <v>1872</v>
      </c>
      <c r="F3793" t="s">
        <v>1737</v>
      </c>
      <c r="K3793" t="str">
        <f>IF(ISBLANK('Q 5'!G1046),"",IF('Q 5'!G1046="&lt;please select&gt;","",'Q 5'!G1046))</f>
        <v>3</v>
      </c>
    </row>
    <row r="3794" spans="1:11" x14ac:dyDescent="0.3">
      <c r="A3794" t="s">
        <v>1866</v>
      </c>
      <c r="B3794" t="s">
        <v>1867</v>
      </c>
      <c r="C3794">
        <v>11</v>
      </c>
      <c r="D3794" t="s">
        <v>1447</v>
      </c>
      <c r="E3794" t="s">
        <v>1872</v>
      </c>
      <c r="F3794" t="s">
        <v>1737</v>
      </c>
      <c r="K3794" t="str">
        <f>IF(ISBLANK('Q 5'!G1047),"",IF('Q 5'!G1047="&lt;please select&gt;","",'Q 5'!G1047))</f>
        <v>3</v>
      </c>
    </row>
    <row r="3795" spans="1:11" x14ac:dyDescent="0.3">
      <c r="A3795" t="s">
        <v>1866</v>
      </c>
      <c r="B3795" t="s">
        <v>1867</v>
      </c>
      <c r="C3795">
        <v>12</v>
      </c>
      <c r="D3795" t="s">
        <v>1447</v>
      </c>
      <c r="E3795" t="s">
        <v>1872</v>
      </c>
      <c r="F3795" t="s">
        <v>1737</v>
      </c>
      <c r="K3795" t="str">
        <f>IF(ISBLANK('Q 5'!G1048),"",IF('Q 5'!G1048="&lt;please select&gt;","",'Q 5'!G1048))</f>
        <v>3</v>
      </c>
    </row>
    <row r="3796" spans="1:11" x14ac:dyDescent="0.3">
      <c r="A3796" t="s">
        <v>1866</v>
      </c>
      <c r="B3796" t="s">
        <v>1867</v>
      </c>
      <c r="C3796">
        <v>13</v>
      </c>
      <c r="D3796" t="s">
        <v>1447</v>
      </c>
      <c r="E3796" t="s">
        <v>1872</v>
      </c>
      <c r="F3796" t="s">
        <v>1737</v>
      </c>
      <c r="K3796" t="str">
        <f>IF(ISBLANK('Q 5'!G1049),"",IF('Q 5'!G1049="&lt;please select&gt;","",'Q 5'!G1049))</f>
        <v>3</v>
      </c>
    </row>
    <row r="3797" spans="1:11" x14ac:dyDescent="0.3">
      <c r="A3797" t="s">
        <v>1866</v>
      </c>
      <c r="B3797" t="s">
        <v>1867</v>
      </c>
      <c r="C3797">
        <v>14</v>
      </c>
      <c r="D3797" t="s">
        <v>1447</v>
      </c>
      <c r="E3797" t="s">
        <v>1872</v>
      </c>
      <c r="F3797" t="s">
        <v>1737</v>
      </c>
      <c r="K3797" t="str">
        <f>IF(ISBLANK('Q 5'!G1050),"",IF('Q 5'!G1050="&lt;please select&gt;","",'Q 5'!G1050))</f>
        <v>4</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Tier 3</v>
      </c>
    </row>
    <row r="3840" spans="1:11" x14ac:dyDescent="0.3">
      <c r="A3840" t="s">
        <v>1866</v>
      </c>
      <c r="B3840" t="s">
        <v>1867</v>
      </c>
      <c r="C3840">
        <v>2</v>
      </c>
      <c r="D3840" t="s">
        <v>1447</v>
      </c>
      <c r="E3840" t="s">
        <v>1873</v>
      </c>
      <c r="F3840" t="s">
        <v>1737</v>
      </c>
      <c r="K3840" t="str">
        <f>IF(ISBLANK('Q 5'!H1038),"",IF('Q 5'!H1038="&lt;please select&gt;","",'Q 5'!H1038))</f>
        <v>Tier 2a</v>
      </c>
    </row>
    <row r="3841" spans="1:11" x14ac:dyDescent="0.3">
      <c r="A3841" t="s">
        <v>1866</v>
      </c>
      <c r="B3841" t="s">
        <v>1867</v>
      </c>
      <c r="C3841">
        <v>3</v>
      </c>
      <c r="D3841" t="s">
        <v>1447</v>
      </c>
      <c r="E3841" t="s">
        <v>1873</v>
      </c>
      <c r="F3841" t="s">
        <v>1737</v>
      </c>
      <c r="K3841" t="str">
        <f>IF(ISBLANK('Q 5'!H1039),"",IF('Q 5'!H1039="&lt;please select&gt;","",'Q 5'!H1039))</f>
        <v>Tier 2a</v>
      </c>
    </row>
    <row r="3842" spans="1:11" x14ac:dyDescent="0.3">
      <c r="A3842" t="s">
        <v>1866</v>
      </c>
      <c r="B3842" t="s">
        <v>1867</v>
      </c>
      <c r="C3842">
        <v>4</v>
      </c>
      <c r="D3842" t="s">
        <v>1447</v>
      </c>
      <c r="E3842" t="s">
        <v>1873</v>
      </c>
      <c r="F3842" t="s">
        <v>1737</v>
      </c>
      <c r="K3842" t="str">
        <f>IF(ISBLANK('Q 5'!H1040),"",IF('Q 5'!H1040="&lt;please select&gt;","",'Q 5'!H1040))</f>
        <v>Tier 3</v>
      </c>
    </row>
    <row r="3843" spans="1:11" x14ac:dyDescent="0.3">
      <c r="A3843" t="s">
        <v>1866</v>
      </c>
      <c r="B3843" t="s">
        <v>1867</v>
      </c>
      <c r="C3843">
        <v>5</v>
      </c>
      <c r="D3843" t="s">
        <v>1447</v>
      </c>
      <c r="E3843" t="s">
        <v>1873</v>
      </c>
      <c r="F3843" t="s">
        <v>1737</v>
      </c>
      <c r="K3843" t="str">
        <f>IF(ISBLANK('Q 5'!H1041),"",IF('Q 5'!H1041="&lt;please select&gt;","",'Q 5'!H1041))</f>
        <v>Tier 3</v>
      </c>
    </row>
    <row r="3844" spans="1:11" x14ac:dyDescent="0.3">
      <c r="A3844" t="s">
        <v>1866</v>
      </c>
      <c r="B3844" t="s">
        <v>1867</v>
      </c>
      <c r="C3844">
        <v>6</v>
      </c>
      <c r="D3844" t="s">
        <v>1447</v>
      </c>
      <c r="E3844" t="s">
        <v>1873</v>
      </c>
      <c r="F3844" t="s">
        <v>1737</v>
      </c>
      <c r="K3844" t="str">
        <f>IF(ISBLANK('Q 5'!H1042),"",IF('Q 5'!H1042="&lt;please select&gt;","",'Q 5'!H1042))</f>
        <v>Tier 3</v>
      </c>
    </row>
    <row r="3845" spans="1:11" x14ac:dyDescent="0.3">
      <c r="A3845" t="s">
        <v>1866</v>
      </c>
      <c r="B3845" t="s">
        <v>1867</v>
      </c>
      <c r="C3845">
        <v>7</v>
      </c>
      <c r="D3845" t="s">
        <v>1447</v>
      </c>
      <c r="E3845" t="s">
        <v>1873</v>
      </c>
      <c r="F3845" t="s">
        <v>1737</v>
      </c>
      <c r="K3845" t="str">
        <f>IF(ISBLANK('Q 5'!H1043),"",IF('Q 5'!H1043="&lt;please select&gt;","",'Q 5'!H1043))</f>
        <v>Tier 2a</v>
      </c>
    </row>
    <row r="3846" spans="1:11" x14ac:dyDescent="0.3">
      <c r="A3846" t="s">
        <v>1866</v>
      </c>
      <c r="B3846" t="s">
        <v>1867</v>
      </c>
      <c r="C3846">
        <v>8</v>
      </c>
      <c r="D3846" t="s">
        <v>1447</v>
      </c>
      <c r="E3846" t="s">
        <v>1873</v>
      </c>
      <c r="F3846" t="s">
        <v>1737</v>
      </c>
      <c r="K3846" t="str">
        <f>IF(ISBLANK('Q 5'!H1044),"",IF('Q 5'!H1044="&lt;please select&gt;","",'Q 5'!H1044))</f>
        <v>Tier 2b</v>
      </c>
    </row>
    <row r="3847" spans="1:11" x14ac:dyDescent="0.3">
      <c r="A3847" t="s">
        <v>1866</v>
      </c>
      <c r="B3847" t="s">
        <v>1867</v>
      </c>
      <c r="C3847">
        <v>9</v>
      </c>
      <c r="D3847" t="s">
        <v>1447</v>
      </c>
      <c r="E3847" t="s">
        <v>1873</v>
      </c>
      <c r="F3847" t="s">
        <v>1737</v>
      </c>
      <c r="K3847" t="str">
        <f>IF(ISBLANK('Q 5'!H1045),"",IF('Q 5'!H1045="&lt;please select&gt;","",'Q 5'!H1045))</f>
        <v>Tier 2b</v>
      </c>
    </row>
    <row r="3848" spans="1:11" x14ac:dyDescent="0.3">
      <c r="A3848" t="s">
        <v>1866</v>
      </c>
      <c r="B3848" t="s">
        <v>1867</v>
      </c>
      <c r="C3848">
        <v>10</v>
      </c>
      <c r="D3848" t="s">
        <v>1447</v>
      </c>
      <c r="E3848" t="s">
        <v>1873</v>
      </c>
      <c r="F3848" t="s">
        <v>1737</v>
      </c>
      <c r="K3848" t="str">
        <f>IF(ISBLANK('Q 5'!H1046),"",IF('Q 5'!H1046="&lt;please select&gt;","",'Q 5'!H1046))</f>
        <v>Tier 2b</v>
      </c>
    </row>
    <row r="3849" spans="1:11" x14ac:dyDescent="0.3">
      <c r="A3849" t="s">
        <v>1866</v>
      </c>
      <c r="B3849" t="s">
        <v>1867</v>
      </c>
      <c r="C3849">
        <v>11</v>
      </c>
      <c r="D3849" t="s">
        <v>1447</v>
      </c>
      <c r="E3849" t="s">
        <v>1873</v>
      </c>
      <c r="F3849" t="s">
        <v>1737</v>
      </c>
      <c r="K3849" t="str">
        <f>IF(ISBLANK('Q 5'!H1047),"",IF('Q 5'!H1047="&lt;please select&gt;","",'Q 5'!H1047))</f>
        <v>Tier 2</v>
      </c>
    </row>
    <row r="3850" spans="1:11" x14ac:dyDescent="0.3">
      <c r="A3850" t="s">
        <v>1866</v>
      </c>
      <c r="B3850" t="s">
        <v>1867</v>
      </c>
      <c r="C3850">
        <v>12</v>
      </c>
      <c r="D3850" t="s">
        <v>1447</v>
      </c>
      <c r="E3850" t="s">
        <v>1873</v>
      </c>
      <c r="F3850" t="s">
        <v>1737</v>
      </c>
      <c r="K3850" t="str">
        <f>IF(ISBLANK('Q 5'!H1048),"",IF('Q 5'!H1048="&lt;please select&gt;","",'Q 5'!H1048))</f>
        <v>Tier 2a</v>
      </c>
    </row>
    <row r="3851" spans="1:11" x14ac:dyDescent="0.3">
      <c r="A3851" t="s">
        <v>1866</v>
      </c>
      <c r="B3851" t="s">
        <v>1867</v>
      </c>
      <c r="C3851">
        <v>13</v>
      </c>
      <c r="D3851" t="s">
        <v>1447</v>
      </c>
      <c r="E3851" t="s">
        <v>1873</v>
      </c>
      <c r="F3851" t="s">
        <v>1737</v>
      </c>
      <c r="K3851" t="str">
        <f>IF(ISBLANK('Q 5'!H1049),"",IF('Q 5'!H1049="&lt;please select&gt;","",'Q 5'!H1049))</f>
        <v>Tier 2a</v>
      </c>
    </row>
    <row r="3852" spans="1:11" x14ac:dyDescent="0.3">
      <c r="A3852" t="s">
        <v>1866</v>
      </c>
      <c r="B3852" t="s">
        <v>1867</v>
      </c>
      <c r="C3852">
        <v>14</v>
      </c>
      <c r="D3852" t="s">
        <v>1447</v>
      </c>
      <c r="E3852" t="s">
        <v>1873</v>
      </c>
      <c r="F3852" t="s">
        <v>1737</v>
      </c>
      <c r="K3852" t="str">
        <f>IF(ISBLANK('Q 5'!H1050),"",IF('Q 5'!H1050="&lt;please select&gt;","",'Q 5'!H1050))</f>
        <v>Tier 3</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Calculation based methodology</v>
      </c>
    </row>
    <row r="3895" spans="1:11" x14ac:dyDescent="0.3">
      <c r="A3895" t="s">
        <v>1874</v>
      </c>
      <c r="B3895" t="s">
        <v>1875</v>
      </c>
      <c r="C3895">
        <v>2</v>
      </c>
      <c r="D3895" t="s">
        <v>1447</v>
      </c>
      <c r="E3895" t="s">
        <v>1876</v>
      </c>
      <c r="F3895" t="s">
        <v>1737</v>
      </c>
      <c r="K3895" t="str">
        <f>IF(ISBLANK('Q 5'!C1099),"",IF('Q 5'!C1099="&lt;please select&gt;","",'Q 5'!C1099))</f>
        <v>Calculation based methodology</v>
      </c>
    </row>
    <row r="3896" spans="1:11" x14ac:dyDescent="0.3">
      <c r="A3896" t="s">
        <v>1874</v>
      </c>
      <c r="B3896" t="s">
        <v>1875</v>
      </c>
      <c r="C3896">
        <v>3</v>
      </c>
      <c r="D3896" t="s">
        <v>1447</v>
      </c>
      <c r="E3896" t="s">
        <v>1876</v>
      </c>
      <c r="F3896" t="s">
        <v>1737</v>
      </c>
      <c r="K3896" t="str">
        <f>IF(ISBLANK('Q 5'!C1100),"",IF('Q 5'!C1100="&lt;please select&gt;","",'Q 5'!C1100))</f>
        <v>Calculation based methodology</v>
      </c>
    </row>
    <row r="3897" spans="1:11" x14ac:dyDescent="0.3">
      <c r="A3897" t="s">
        <v>1874</v>
      </c>
      <c r="B3897" t="s">
        <v>1875</v>
      </c>
      <c r="C3897">
        <v>4</v>
      </c>
      <c r="D3897" t="s">
        <v>1447</v>
      </c>
      <c r="E3897" t="s">
        <v>1876</v>
      </c>
      <c r="F3897" t="s">
        <v>1737</v>
      </c>
      <c r="K3897" t="str">
        <f>IF(ISBLANK('Q 5'!C1101),"",IF('Q 5'!C1101="&lt;please select&gt;","",'Q 5'!C1101))</f>
        <v>Calculation based methodology</v>
      </c>
    </row>
    <row r="3898" spans="1:11" x14ac:dyDescent="0.3">
      <c r="A3898" t="s">
        <v>1874</v>
      </c>
      <c r="B3898" t="s">
        <v>1875</v>
      </c>
      <c r="C3898">
        <v>5</v>
      </c>
      <c r="D3898" t="s">
        <v>1447</v>
      </c>
      <c r="E3898" t="s">
        <v>1876</v>
      </c>
      <c r="F3898" t="s">
        <v>1737</v>
      </c>
      <c r="K3898" t="str">
        <f>IF(ISBLANK('Q 5'!C1102),"",IF('Q 5'!C1102="&lt;please select&gt;","",'Q 5'!C1102))</f>
        <v>Calculation based methodology</v>
      </c>
    </row>
    <row r="3899" spans="1:11" x14ac:dyDescent="0.3">
      <c r="A3899" t="s">
        <v>1874</v>
      </c>
      <c r="B3899" t="s">
        <v>1875</v>
      </c>
      <c r="C3899">
        <v>6</v>
      </c>
      <c r="D3899" t="s">
        <v>1447</v>
      </c>
      <c r="E3899" t="s">
        <v>1876</v>
      </c>
      <c r="F3899" t="s">
        <v>1737</v>
      </c>
      <c r="K3899" t="str">
        <f>IF(ISBLANK('Q 5'!C1103),"",IF('Q 5'!C1103="&lt;please select&gt;","",'Q 5'!C1103))</f>
        <v>Calculation based methodology</v>
      </c>
    </row>
    <row r="3900" spans="1:11" x14ac:dyDescent="0.3">
      <c r="A3900" t="s">
        <v>1874</v>
      </c>
      <c r="B3900" t="s">
        <v>1875</v>
      </c>
      <c r="C3900">
        <v>7</v>
      </c>
      <c r="D3900" t="s">
        <v>1447</v>
      </c>
      <c r="E3900" t="s">
        <v>1876</v>
      </c>
      <c r="F3900" t="s">
        <v>1737</v>
      </c>
      <c r="K3900" t="str">
        <f>IF(ISBLANK('Q 5'!C1104),"",IF('Q 5'!C1104="&lt;please select&gt;","",'Q 5'!C1104))</f>
        <v>Calculation based methodology</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20 - Combustion of fuels as specified in Annex I of Directive 2003/87/EC</v>
      </c>
    </row>
    <row r="3917" spans="1:11" x14ac:dyDescent="0.3">
      <c r="A3917" t="s">
        <v>1874</v>
      </c>
      <c r="B3917" t="s">
        <v>1875</v>
      </c>
      <c r="C3917">
        <v>2</v>
      </c>
      <c r="D3917" t="s">
        <v>1447</v>
      </c>
      <c r="E3917" t="s">
        <v>1877</v>
      </c>
      <c r="F3917" t="s">
        <v>1737</v>
      </c>
      <c r="K3917" t="str">
        <f>IF(ISBLANK('Q 5'!E1099),"",IF('Q 5'!E1099="&lt;please select&gt;","",'Q 5'!E1099))</f>
        <v>21 - Refining of mineral oil</v>
      </c>
    </row>
    <row r="3918" spans="1:11" x14ac:dyDescent="0.3">
      <c r="A3918" t="s">
        <v>1874</v>
      </c>
      <c r="B3918" t="s">
        <v>1875</v>
      </c>
      <c r="C3918">
        <v>3</v>
      </c>
      <c r="D3918" t="s">
        <v>1447</v>
      </c>
      <c r="E3918" t="s">
        <v>1877</v>
      </c>
      <c r="F3918" t="s">
        <v>1737</v>
      </c>
      <c r="K3918" t="str">
        <f>IF(ISBLANK('Q 5'!E1100),"",IF('Q 5'!E1100="&lt;please select&gt;","",'Q 5'!E1100))</f>
        <v>24 - Production of pig iron or steel as specified in Annex I of Directive 2003/87/EC</v>
      </c>
    </row>
    <row r="3919" spans="1:11" x14ac:dyDescent="0.3">
      <c r="A3919" t="s">
        <v>1874</v>
      </c>
      <c r="B3919" t="s">
        <v>1875</v>
      </c>
      <c r="C3919">
        <v>4</v>
      </c>
      <c r="D3919" t="s">
        <v>1447</v>
      </c>
      <c r="E3919" t="s">
        <v>1877</v>
      </c>
      <c r="F3919" t="s">
        <v>1737</v>
      </c>
      <c r="K3919" t="str">
        <f>IF(ISBLANK('Q 5'!E1101),"",IF('Q 5'!E1101="&lt;please select&gt;","",'Q 5'!E1101))</f>
        <v>29 - Production of cement clinker in rotary kilns as specified in Annex I of Directive 2003/87/ EC</v>
      </c>
    </row>
    <row r="3920" spans="1:11" x14ac:dyDescent="0.3">
      <c r="A3920" t="s">
        <v>1874</v>
      </c>
      <c r="B3920" t="s">
        <v>1875</v>
      </c>
      <c r="C3920">
        <v>5</v>
      </c>
      <c r="D3920" t="s">
        <v>1447</v>
      </c>
      <c r="E3920" t="s">
        <v>1877</v>
      </c>
      <c r="F3920" t="s">
        <v>1737</v>
      </c>
      <c r="K3920" t="str">
        <f>IF(ISBLANK('Q 5'!E1102),"",IF('Q 5'!E1102="&lt;please select&gt;","",'Q 5'!E1102))</f>
        <v>31 - Manufacture of glass as specified in Annex I of Directive 2003/87/EC</v>
      </c>
    </row>
    <row r="3921" spans="1:11" x14ac:dyDescent="0.3">
      <c r="A3921" t="s">
        <v>1874</v>
      </c>
      <c r="B3921" t="s">
        <v>1875</v>
      </c>
      <c r="C3921">
        <v>6</v>
      </c>
      <c r="D3921" t="s">
        <v>1447</v>
      </c>
      <c r="E3921" t="s">
        <v>1877</v>
      </c>
      <c r="F3921" t="s">
        <v>1737</v>
      </c>
      <c r="K3921" t="str">
        <f>IF(ISBLANK('Q 5'!E1103),"",IF('Q 5'!E1103="&lt;please select&gt;","",'Q 5'!E1103))</f>
        <v xml:space="preserve">36 - Production of paper or cardboard as specified in Annex I of Directive 2003/87/EC </v>
      </c>
    </row>
    <row r="3922" spans="1:11" x14ac:dyDescent="0.3">
      <c r="A3922" t="s">
        <v>1874</v>
      </c>
      <c r="B3922" t="s">
        <v>1875</v>
      </c>
      <c r="C3922">
        <v>7</v>
      </c>
      <c r="D3922" t="s">
        <v>1447</v>
      </c>
      <c r="E3922" t="s">
        <v>1877</v>
      </c>
      <c r="F3922" t="s">
        <v>1737</v>
      </c>
      <c r="K3922" t="str">
        <f>IF(ISBLANK('Q 5'!E1104),"",IF('Q 5'!E1104="&lt;please select&gt;","",'Q 5'!E1104))</f>
        <v xml:space="preserve">42 - Production of bulk organic chemicals as specified in Annex I of Directive 2003/87/EC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9</v>
      </c>
    </row>
    <row r="3939" spans="1:11" x14ac:dyDescent="0.3">
      <c r="A3939" t="s">
        <v>1874</v>
      </c>
      <c r="B3939" t="s">
        <v>1875</v>
      </c>
      <c r="C3939">
        <v>2</v>
      </c>
      <c r="D3939" t="s">
        <v>1447</v>
      </c>
      <c r="E3939" t="s">
        <v>1878</v>
      </c>
      <c r="F3939" t="s">
        <v>1748</v>
      </c>
      <c r="H3939" s="165" t="str">
        <f>IF(ISBLANK('Q 5'!H1099),"",IF('Q 5'!H1099="&lt;please select&gt;","",'Q 5'!H1099))</f>
        <v>1</v>
      </c>
    </row>
    <row r="3940" spans="1:11" x14ac:dyDescent="0.3">
      <c r="A3940" t="s">
        <v>1874</v>
      </c>
      <c r="B3940" t="s">
        <v>1875</v>
      </c>
      <c r="C3940">
        <v>3</v>
      </c>
      <c r="D3940" t="s">
        <v>1447</v>
      </c>
      <c r="E3940" t="s">
        <v>1878</v>
      </c>
      <c r="F3940" t="s">
        <v>1748</v>
      </c>
      <c r="H3940" s="165" t="str">
        <f>IF(ISBLANK('Q 5'!H1100),"",IF('Q 5'!H1100="&lt;please select&gt;","",'Q 5'!H1100))</f>
        <v>4</v>
      </c>
    </row>
    <row r="3941" spans="1:11" x14ac:dyDescent="0.3">
      <c r="A3941" t="s">
        <v>1874</v>
      </c>
      <c r="B3941" t="s">
        <v>1875</v>
      </c>
      <c r="C3941">
        <v>4</v>
      </c>
      <c r="D3941" t="s">
        <v>1447</v>
      </c>
      <c r="E3941" t="s">
        <v>1878</v>
      </c>
      <c r="F3941" t="s">
        <v>1748</v>
      </c>
      <c r="H3941" s="165" t="str">
        <f>IF(ISBLANK('Q 5'!H1101),"",IF('Q 5'!H1101="&lt;please select&gt;","",'Q 5'!H1101))</f>
        <v>4</v>
      </c>
    </row>
    <row r="3942" spans="1:11" x14ac:dyDescent="0.3">
      <c r="A3942" t="s">
        <v>1874</v>
      </c>
      <c r="B3942" t="s">
        <v>1875</v>
      </c>
      <c r="C3942">
        <v>5</v>
      </c>
      <c r="D3942" t="s">
        <v>1447</v>
      </c>
      <c r="E3942" t="s">
        <v>1878</v>
      </c>
      <c r="F3942" t="s">
        <v>1748</v>
      </c>
      <c r="H3942" s="165" t="str">
        <f>IF(ISBLANK('Q 5'!H1102),"",IF('Q 5'!H1102="&lt;please select&gt;","",'Q 5'!H1102))</f>
        <v>1</v>
      </c>
    </row>
    <row r="3943" spans="1:11" x14ac:dyDescent="0.3">
      <c r="A3943" t="s">
        <v>1874</v>
      </c>
      <c r="B3943" t="s">
        <v>1875</v>
      </c>
      <c r="C3943">
        <v>6</v>
      </c>
      <c r="D3943" t="s">
        <v>1447</v>
      </c>
      <c r="E3943" t="s">
        <v>1878</v>
      </c>
      <c r="F3943" t="s">
        <v>1748</v>
      </c>
      <c r="H3943" s="165" t="str">
        <f>IF(ISBLANK('Q 5'!H1103),"",IF('Q 5'!H1103="&lt;please select&gt;","",'Q 5'!H1103))</f>
        <v>1</v>
      </c>
    </row>
    <row r="3944" spans="1:11" x14ac:dyDescent="0.3">
      <c r="A3944" t="s">
        <v>1874</v>
      </c>
      <c r="B3944" t="s">
        <v>1875</v>
      </c>
      <c r="C3944">
        <v>7</v>
      </c>
      <c r="D3944" t="s">
        <v>1447</v>
      </c>
      <c r="E3944" t="s">
        <v>1878</v>
      </c>
      <c r="F3944" t="s">
        <v>1748</v>
      </c>
      <c r="H3944" s="165" t="str">
        <f>IF(ISBLANK('Q 5'!H1104),"",IF('Q 5'!H1104="&lt;please select&gt;","",'Q 5'!H1104))</f>
        <v>1</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Yes</v>
      </c>
    </row>
    <row r="3961" spans="1:11" x14ac:dyDescent="0.3">
      <c r="A3961" t="s">
        <v>1879</v>
      </c>
      <c r="B3961" t="s">
        <v>1881</v>
      </c>
      <c r="C3961">
        <v>1</v>
      </c>
      <c r="D3961" t="s">
        <v>1447</v>
      </c>
      <c r="E3961" t="s">
        <v>1882</v>
      </c>
      <c r="F3961" t="s">
        <v>1741</v>
      </c>
      <c r="G3961" t="str">
        <f>IF(ISBLANK('Q 5'!C1127),"",IF('Q 5'!C1127="&lt;please select&gt;","",'Q 5'!C1127))</f>
        <v>FR000000000000033</v>
      </c>
    </row>
    <row r="3962" spans="1:11" x14ac:dyDescent="0.3">
      <c r="A3962" t="s">
        <v>1879</v>
      </c>
      <c r="B3962" t="s">
        <v>1881</v>
      </c>
      <c r="C3962">
        <v>2</v>
      </c>
      <c r="D3962" t="s">
        <v>1447</v>
      </c>
      <c r="E3962" t="s">
        <v>1882</v>
      </c>
      <c r="F3962" t="s">
        <v>1741</v>
      </c>
      <c r="G3962" t="str">
        <f>IF(ISBLANK('Q 5'!C1128),"",IF('Q 5'!C1128="&lt;please select&gt;","",'Q 5'!C1128))</f>
        <v>FR000000000000349</v>
      </c>
    </row>
    <row r="3963" spans="1:11" x14ac:dyDescent="0.3">
      <c r="A3963" t="s">
        <v>1879</v>
      </c>
      <c r="B3963" t="s">
        <v>1881</v>
      </c>
      <c r="C3963">
        <v>3</v>
      </c>
      <c r="D3963" t="s">
        <v>1447</v>
      </c>
      <c r="E3963" t="s">
        <v>1882</v>
      </c>
      <c r="F3963" t="s">
        <v>1741</v>
      </c>
      <c r="G3963" t="str">
        <f>IF(ISBLANK('Q 5'!C1129),"",IF('Q 5'!C1129="&lt;please select&gt;","",'Q 5'!C1129))</f>
        <v>FR000000000000349</v>
      </c>
    </row>
    <row r="3964" spans="1:11" x14ac:dyDescent="0.3">
      <c r="A3964" t="s">
        <v>1879</v>
      </c>
      <c r="B3964" t="s">
        <v>1881</v>
      </c>
      <c r="C3964">
        <v>4</v>
      </c>
      <c r="D3964" t="s">
        <v>1447</v>
      </c>
      <c r="E3964" t="s">
        <v>1882</v>
      </c>
      <c r="F3964" t="s">
        <v>1741</v>
      </c>
      <c r="G3964" t="str">
        <f>IF(ISBLANK('Q 5'!C1130),"",IF('Q 5'!C1130="&lt;please select&gt;","",'Q 5'!C1130))</f>
        <v>FR000000000000953</v>
      </c>
    </row>
    <row r="3965" spans="1:11" x14ac:dyDescent="0.3">
      <c r="A3965" t="s">
        <v>1879</v>
      </c>
      <c r="B3965" t="s">
        <v>1881</v>
      </c>
      <c r="C3965">
        <v>5</v>
      </c>
      <c r="D3965" t="s">
        <v>1447</v>
      </c>
      <c r="E3965" t="s">
        <v>1882</v>
      </c>
      <c r="F3965" t="s">
        <v>1741</v>
      </c>
      <c r="G3965" t="str">
        <f>IF(ISBLANK('Q 5'!C1131),"",IF('Q 5'!C1131="&lt;please select&gt;","",'Q 5'!C1131))</f>
        <v>FR000000000001064</v>
      </c>
    </row>
    <row r="3966" spans="1:11" x14ac:dyDescent="0.3">
      <c r="A3966" t="s">
        <v>1879</v>
      </c>
      <c r="B3966" t="s">
        <v>1881</v>
      </c>
      <c r="C3966">
        <v>6</v>
      </c>
      <c r="D3966" t="s">
        <v>1447</v>
      </c>
      <c r="E3966" t="s">
        <v>1882</v>
      </c>
      <c r="F3966" t="s">
        <v>1741</v>
      </c>
      <c r="G3966" t="str">
        <f>IF(ISBLANK('Q 5'!C1132),"",IF('Q 5'!C1132="&lt;please select&gt;","",'Q 5'!C1132))</f>
        <v>FR000000000001083</v>
      </c>
    </row>
    <row r="3967" spans="1:11" x14ac:dyDescent="0.3">
      <c r="A3967" t="s">
        <v>1879</v>
      </c>
      <c r="B3967" t="s">
        <v>1881</v>
      </c>
      <c r="C3967">
        <v>7</v>
      </c>
      <c r="D3967" t="s">
        <v>1447</v>
      </c>
      <c r="E3967" t="s">
        <v>1882</v>
      </c>
      <c r="F3967" t="s">
        <v>1741</v>
      </c>
      <c r="G3967" t="str">
        <f>IF(ISBLANK('Q 5'!C1133),"",IF('Q 5'!C1133="&lt;please select&gt;","",'Q 5'!C1133))</f>
        <v>FR000000000205706</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Applying tier 1 is technically infeasible or leads to unreasonable costs for more than one major or minor source streams</v>
      </c>
    </row>
    <row r="3972" spans="1:11" x14ac:dyDescent="0.3">
      <c r="A3972" t="s">
        <v>1879</v>
      </c>
      <c r="B3972" t="s">
        <v>1881</v>
      </c>
      <c r="C3972">
        <v>2</v>
      </c>
      <c r="D3972" t="s">
        <v>1447</v>
      </c>
      <c r="E3972" t="s">
        <v>1883</v>
      </c>
      <c r="F3972" t="s">
        <v>1737</v>
      </c>
      <c r="K3972" t="str">
        <f>IF(ISBLANK('Q 5'!D1128),"",IF('Q 5'!D1128="&lt;please select&gt;","",'Q 5'!D1128))</f>
        <v>Applying tier 1 is technically infeasible or leads to unreasonable costs for more than one major or minor source streams</v>
      </c>
    </row>
    <row r="3973" spans="1:11" x14ac:dyDescent="0.3">
      <c r="A3973" t="s">
        <v>1879</v>
      </c>
      <c r="B3973" t="s">
        <v>1881</v>
      </c>
      <c r="C3973">
        <v>3</v>
      </c>
      <c r="D3973" t="s">
        <v>1447</v>
      </c>
      <c r="E3973" t="s">
        <v>1883</v>
      </c>
      <c r="F3973" t="s">
        <v>1737</v>
      </c>
      <c r="K3973" t="str">
        <f>IF(ISBLANK('Q 5'!D1129),"",IF('Q 5'!D1129="&lt;please select&gt;","",'Q 5'!D1129))</f>
        <v>Applying tier 1 is technically infeasible or leads to unreasonable costs for one minor source stream</v>
      </c>
    </row>
    <row r="3974" spans="1:11" x14ac:dyDescent="0.3">
      <c r="A3974" t="s">
        <v>1879</v>
      </c>
      <c r="B3974" t="s">
        <v>1881</v>
      </c>
      <c r="C3974">
        <v>4</v>
      </c>
      <c r="D3974" t="s">
        <v>1447</v>
      </c>
      <c r="E3974" t="s">
        <v>1883</v>
      </c>
      <c r="F3974" t="s">
        <v>1737</v>
      </c>
      <c r="K3974" t="str">
        <f>IF(ISBLANK('Q 5'!D1130),"",IF('Q 5'!D1130="&lt;please select&gt;","",'Q 5'!D1130))</f>
        <v>Applying tier 1 is technically infeasible or leads to unreasonable costs for one minor source stream</v>
      </c>
    </row>
    <row r="3975" spans="1:11" x14ac:dyDescent="0.3">
      <c r="A3975" t="s">
        <v>1879</v>
      </c>
      <c r="B3975" t="s">
        <v>1881</v>
      </c>
      <c r="C3975">
        <v>5</v>
      </c>
      <c r="D3975" t="s">
        <v>1447</v>
      </c>
      <c r="E3975" t="s">
        <v>1883</v>
      </c>
      <c r="F3975" t="s">
        <v>1737</v>
      </c>
      <c r="K3975" t="str">
        <f>IF(ISBLANK('Q 5'!D1131),"",IF('Q 5'!D1131="&lt;please select&gt;","",'Q 5'!D1131))</f>
        <v>Applying tier 1 is technically infeasible or leads to unreasonable costs for one minor source stream</v>
      </c>
    </row>
    <row r="3976" spans="1:11" x14ac:dyDescent="0.3">
      <c r="A3976" t="s">
        <v>1879</v>
      </c>
      <c r="B3976" t="s">
        <v>1881</v>
      </c>
      <c r="C3976">
        <v>6</v>
      </c>
      <c r="D3976" t="s">
        <v>1447</v>
      </c>
      <c r="E3976" t="s">
        <v>1883</v>
      </c>
      <c r="F3976" t="s">
        <v>1737</v>
      </c>
      <c r="K3976" t="str">
        <f>IF(ISBLANK('Q 5'!D1132),"",IF('Q 5'!D1132="&lt;please select&gt;","",'Q 5'!D1132))</f>
        <v>Applying tier 1 is technically infeasible or leads to unreasonable costs for one minor source stream</v>
      </c>
    </row>
    <row r="3977" spans="1:11" x14ac:dyDescent="0.3">
      <c r="A3977" t="s">
        <v>1879</v>
      </c>
      <c r="B3977" t="s">
        <v>1881</v>
      </c>
      <c r="C3977">
        <v>7</v>
      </c>
      <c r="D3977" t="s">
        <v>1447</v>
      </c>
      <c r="E3977" t="s">
        <v>1883</v>
      </c>
      <c r="F3977" t="s">
        <v>1737</v>
      </c>
      <c r="K3977" t="str">
        <f>IF(ISBLANK('Q 5'!D1133),"",IF('Q 5'!D1133="&lt;please select&gt;","",'Q 5'!D1133))</f>
        <v>Applying tier 1 is technically infeasible or leads to unreasonable costs for more than one major or minor source streams</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Quantity of fuel</v>
      </c>
    </row>
    <row r="3982" spans="1:11" x14ac:dyDescent="0.3">
      <c r="A3982" t="s">
        <v>1879</v>
      </c>
      <c r="B3982" t="s">
        <v>1881</v>
      </c>
      <c r="C3982">
        <v>2</v>
      </c>
      <c r="D3982" t="s">
        <v>1447</v>
      </c>
      <c r="E3982" t="s">
        <v>1884</v>
      </c>
      <c r="F3982" t="s">
        <v>1737</v>
      </c>
      <c r="K3982" t="str">
        <f>IF(ISBLANK('Q 5'!H1128),"",IF('Q 5'!H1128="&lt;please select&gt;","",'Q 5'!H1128))</f>
        <v>Quantity of fuel</v>
      </c>
    </row>
    <row r="3983" spans="1:11" x14ac:dyDescent="0.3">
      <c r="A3983" t="s">
        <v>1879</v>
      </c>
      <c r="B3983" t="s">
        <v>1881</v>
      </c>
      <c r="C3983">
        <v>3</v>
      </c>
      <c r="D3983" t="s">
        <v>1447</v>
      </c>
      <c r="E3983" t="s">
        <v>1884</v>
      </c>
      <c r="F3983" t="s">
        <v>1737</v>
      </c>
      <c r="K3983" t="str">
        <f>IF(ISBLANK('Q 5'!H1129),"",IF('Q 5'!H1129="&lt;please select&gt;","",'Q 5'!H1129))</f>
        <v>Annual average hourly emissions in kg/h from the source</v>
      </c>
    </row>
    <row r="3984" spans="1:11" x14ac:dyDescent="0.3">
      <c r="A3984" t="s">
        <v>1879</v>
      </c>
      <c r="B3984" t="s">
        <v>1881</v>
      </c>
      <c r="C3984">
        <v>4</v>
      </c>
      <c r="D3984" t="s">
        <v>1447</v>
      </c>
      <c r="E3984" t="s">
        <v>1884</v>
      </c>
      <c r="F3984" t="s">
        <v>1737</v>
      </c>
      <c r="K3984" t="str">
        <f>IF(ISBLANK('Q 5'!H1130),"",IF('Q 5'!H1130="&lt;please select&gt;","",'Q 5'!H1130))</f>
        <v>Quantity of material</v>
      </c>
    </row>
    <row r="3985" spans="1:11" x14ac:dyDescent="0.3">
      <c r="A3985" t="s">
        <v>1879</v>
      </c>
      <c r="B3985" t="s">
        <v>1881</v>
      </c>
      <c r="C3985">
        <v>5</v>
      </c>
      <c r="D3985" t="s">
        <v>1447</v>
      </c>
      <c r="E3985" t="s">
        <v>1884</v>
      </c>
      <c r="F3985" t="s">
        <v>1737</v>
      </c>
      <c r="K3985" t="str">
        <f>IF(ISBLANK('Q 5'!H1131),"",IF('Q 5'!H1131="&lt;please select&gt;","",'Q 5'!H1131))</f>
        <v>Quantity of fuel</v>
      </c>
    </row>
    <row r="3986" spans="1:11" x14ac:dyDescent="0.3">
      <c r="A3986" t="s">
        <v>1879</v>
      </c>
      <c r="B3986" t="s">
        <v>1881</v>
      </c>
      <c r="C3986">
        <v>6</v>
      </c>
      <c r="D3986" t="s">
        <v>1447</v>
      </c>
      <c r="E3986" t="s">
        <v>1884</v>
      </c>
      <c r="F3986" t="s">
        <v>1737</v>
      </c>
      <c r="K3986" t="str">
        <f>IF(ISBLANK('Q 5'!H1132),"",IF('Q 5'!H1132="&lt;please select&gt;","",'Q 5'!H1132))</f>
        <v>Quantity of fuel</v>
      </c>
    </row>
    <row r="3987" spans="1:11" x14ac:dyDescent="0.3">
      <c r="A3987" t="s">
        <v>1879</v>
      </c>
      <c r="B3987" t="s">
        <v>1881</v>
      </c>
      <c r="C3987">
        <v>7</v>
      </c>
      <c r="D3987" t="s">
        <v>1447</v>
      </c>
      <c r="E3987" t="s">
        <v>1884</v>
      </c>
      <c r="F3987" t="s">
        <v>1737</v>
      </c>
      <c r="K3987" t="str">
        <f>IF(ISBLANK('Q 5'!H1133),"",IF('Q 5'!H1133="&lt;please select&gt;","",'Q 5'!H1133))</f>
        <v>Quantity of fuel</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13728.02</v>
      </c>
    </row>
    <row r="3992" spans="1:11" x14ac:dyDescent="0.3">
      <c r="A3992" t="s">
        <v>1879</v>
      </c>
      <c r="B3992" t="s">
        <v>1881</v>
      </c>
      <c r="C3992">
        <v>2</v>
      </c>
      <c r="D3992" t="s">
        <v>1447</v>
      </c>
      <c r="E3992" t="s">
        <v>1885</v>
      </c>
      <c r="F3992" t="s">
        <v>1806</v>
      </c>
      <c r="I3992" t="str">
        <f>IF(ISBLANK('Q 5'!I1128),"",IF('Q 5'!I1128="&lt;please select&gt;","",'Q 5'!I1128))</f>
        <v>903.36</v>
      </c>
    </row>
    <row r="3993" spans="1:11" x14ac:dyDescent="0.3">
      <c r="A3993" t="s">
        <v>1879</v>
      </c>
      <c r="B3993" t="s">
        <v>1881</v>
      </c>
      <c r="C3993">
        <v>3</v>
      </c>
      <c r="D3993" t="s">
        <v>1447</v>
      </c>
      <c r="E3993" t="s">
        <v>1885</v>
      </c>
      <c r="F3993" t="s">
        <v>1806</v>
      </c>
      <c r="I3993" t="str">
        <f>IF(ISBLANK('Q 5'!I1129),"",IF('Q 5'!I1129="&lt;please select&gt;","",'Q 5'!I1129))</f>
        <v>416.75</v>
      </c>
    </row>
    <row r="3994" spans="1:11" x14ac:dyDescent="0.3">
      <c r="A3994" t="s">
        <v>1879</v>
      </c>
      <c r="B3994" t="s">
        <v>1881</v>
      </c>
      <c r="C3994">
        <v>4</v>
      </c>
      <c r="D3994" t="s">
        <v>1447</v>
      </c>
      <c r="E3994" t="s">
        <v>1885</v>
      </c>
      <c r="F3994" t="s">
        <v>1806</v>
      </c>
      <c r="I3994" t="str">
        <f>IF(ISBLANK('Q 5'!I1130),"",IF('Q 5'!I1130="&lt;please select&gt;","",'Q 5'!I1130))</f>
        <v>-4999.832</v>
      </c>
    </row>
    <row r="3995" spans="1:11" x14ac:dyDescent="0.3">
      <c r="A3995" t="s">
        <v>1879</v>
      </c>
      <c r="B3995" t="s">
        <v>1881</v>
      </c>
      <c r="C3995">
        <v>5</v>
      </c>
      <c r="D3995" t="s">
        <v>1447</v>
      </c>
      <c r="E3995" t="s">
        <v>1885</v>
      </c>
      <c r="F3995" t="s">
        <v>1806</v>
      </c>
      <c r="I3995" t="str">
        <f>IF(ISBLANK('Q 5'!I1131),"",IF('Q 5'!I1131="&lt;please select&gt;","",'Q 5'!I1131))</f>
        <v>558.4</v>
      </c>
    </row>
    <row r="3996" spans="1:11" x14ac:dyDescent="0.3">
      <c r="A3996" t="s">
        <v>1879</v>
      </c>
      <c r="B3996" t="s">
        <v>1881</v>
      </c>
      <c r="C3996">
        <v>6</v>
      </c>
      <c r="D3996" t="s">
        <v>1447</v>
      </c>
      <c r="E3996" t="s">
        <v>1885</v>
      </c>
      <c r="F3996" t="s">
        <v>1806</v>
      </c>
      <c r="I3996" t="str">
        <f>IF(ISBLANK('Q 5'!I1132),"",IF('Q 5'!I1132="&lt;please select&gt;","",'Q 5'!I1132))</f>
        <v>3597.4</v>
      </c>
    </row>
    <row r="3997" spans="1:11" x14ac:dyDescent="0.3">
      <c r="A3997" t="s">
        <v>1879</v>
      </c>
      <c r="B3997" t="s">
        <v>1881</v>
      </c>
      <c r="C3997">
        <v>7</v>
      </c>
      <c r="D3997" t="s">
        <v>1447</v>
      </c>
      <c r="E3997" t="s">
        <v>1885</v>
      </c>
      <c r="F3997" t="s">
        <v>1806</v>
      </c>
      <c r="I3997" t="str">
        <f>IF(ISBLANK('Q 5'!I1133),"",IF('Q 5'!I1133="&lt;please select&gt;","",'Q 5'!I1133))</f>
        <v>13584</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B</v>
      </c>
    </row>
    <row r="4002" spans="1:11" x14ac:dyDescent="0.3">
      <c r="A4002" t="s">
        <v>1886</v>
      </c>
      <c r="B4002" t="s">
        <v>1887</v>
      </c>
      <c r="C4002">
        <v>2</v>
      </c>
      <c r="D4002" t="s">
        <v>1447</v>
      </c>
      <c r="E4002" t="s">
        <v>1856</v>
      </c>
      <c r="F4002" t="s">
        <v>1737</v>
      </c>
      <c r="K4002" t="str">
        <f>IF(ISBLANK('Q 5'!C1145),"",IF('Q 5'!C1145="&lt;please select&gt;","",'Q 5'!C1145))</f>
        <v>Category B</v>
      </c>
    </row>
    <row r="4003" spans="1:11" x14ac:dyDescent="0.3">
      <c r="A4003" t="s">
        <v>1886</v>
      </c>
      <c r="B4003" t="s">
        <v>1887</v>
      </c>
      <c r="C4003">
        <v>3</v>
      </c>
      <c r="D4003" t="s">
        <v>1447</v>
      </c>
      <c r="E4003" t="s">
        <v>1856</v>
      </c>
      <c r="F4003" t="s">
        <v>1737</v>
      </c>
      <c r="K4003" t="str">
        <f>IF(ISBLANK('Q 5'!C1146),"",IF('Q 5'!C1146="&lt;please select&gt;","",'Q 5'!C1146))</f>
        <v>Category C</v>
      </c>
    </row>
    <row r="4004" spans="1:11" x14ac:dyDescent="0.3">
      <c r="A4004" t="s">
        <v>1886</v>
      </c>
      <c r="B4004" t="s">
        <v>1887</v>
      </c>
      <c r="C4004">
        <v>4</v>
      </c>
      <c r="D4004" t="s">
        <v>1447</v>
      </c>
      <c r="E4004" t="s">
        <v>1856</v>
      </c>
      <c r="F4004" t="s">
        <v>1737</v>
      </c>
      <c r="K4004" t="str">
        <f>IF(ISBLANK('Q 5'!C1147),"",IF('Q 5'!C1147="&lt;please select&gt;","",'Q 5'!C1147))</f>
        <v>Category C</v>
      </c>
    </row>
    <row r="4005" spans="1:11" x14ac:dyDescent="0.3">
      <c r="A4005" t="s">
        <v>1886</v>
      </c>
      <c r="B4005" t="s">
        <v>1887</v>
      </c>
      <c r="C4005">
        <v>5</v>
      </c>
      <c r="D4005" t="s">
        <v>1447</v>
      </c>
      <c r="E4005" t="s">
        <v>1856</v>
      </c>
      <c r="F4005" t="s">
        <v>1737</v>
      </c>
      <c r="K4005" t="str">
        <f>IF(ISBLANK('Q 5'!C1148),"",IF('Q 5'!C1148="&lt;please select&gt;","",'Q 5'!C1148))</f>
        <v>Category C</v>
      </c>
    </row>
    <row r="4006" spans="1:11" x14ac:dyDescent="0.3">
      <c r="A4006" t="s">
        <v>1886</v>
      </c>
      <c r="B4006" t="s">
        <v>1887</v>
      </c>
      <c r="C4006">
        <v>6</v>
      </c>
      <c r="D4006" t="s">
        <v>1447</v>
      </c>
      <c r="E4006" t="s">
        <v>1856</v>
      </c>
      <c r="F4006" t="s">
        <v>1737</v>
      </c>
      <c r="K4006" t="str">
        <f>IF(ISBLANK('Q 5'!C1149),"",IF('Q 5'!C1149="&lt;please select&gt;","",'Q 5'!C1149))</f>
        <v>Category C</v>
      </c>
    </row>
    <row r="4007" spans="1:11" x14ac:dyDescent="0.3">
      <c r="A4007" t="s">
        <v>1886</v>
      </c>
      <c r="B4007" t="s">
        <v>1887</v>
      </c>
      <c r="C4007">
        <v>7</v>
      </c>
      <c r="D4007" t="s">
        <v>1447</v>
      </c>
      <c r="E4007" t="s">
        <v>1856</v>
      </c>
      <c r="F4007" t="s">
        <v>1737</v>
      </c>
      <c r="K4007" t="str">
        <f>IF(ISBLANK('Q 5'!C1150),"",IF('Q 5'!C1150="&lt;please select&gt;","",'Q 5'!C1150))</f>
        <v>Category C</v>
      </c>
    </row>
    <row r="4008" spans="1:11" x14ac:dyDescent="0.3">
      <c r="A4008" t="s">
        <v>1886</v>
      </c>
      <c r="B4008" t="s">
        <v>1887</v>
      </c>
      <c r="C4008">
        <v>8</v>
      </c>
      <c r="D4008" t="s">
        <v>1447</v>
      </c>
      <c r="E4008" t="s">
        <v>1856</v>
      </c>
      <c r="F4008" t="s">
        <v>1737</v>
      </c>
      <c r="K4008" t="str">
        <f>IF(ISBLANK('Q 5'!C1151),"",IF('Q 5'!C1151="&lt;please select&gt;","",'Q 5'!C1151))</f>
        <v>Category C</v>
      </c>
    </row>
    <row r="4009" spans="1:11" x14ac:dyDescent="0.3">
      <c r="A4009" t="s">
        <v>1886</v>
      </c>
      <c r="B4009" t="s">
        <v>1887</v>
      </c>
      <c r="C4009">
        <v>9</v>
      </c>
      <c r="D4009" t="s">
        <v>1447</v>
      </c>
      <c r="E4009" t="s">
        <v>1856</v>
      </c>
      <c r="F4009" t="s">
        <v>1737</v>
      </c>
      <c r="K4009" t="str">
        <f>IF(ISBLANK('Q 5'!C1152),"",IF('Q 5'!C1152="&lt;please select&gt;","",'Q 5'!C1152))</f>
        <v>Category C</v>
      </c>
    </row>
    <row r="4010" spans="1:11" x14ac:dyDescent="0.3">
      <c r="A4010" t="s">
        <v>1886</v>
      </c>
      <c r="B4010" t="s">
        <v>1887</v>
      </c>
      <c r="C4010">
        <v>10</v>
      </c>
      <c r="D4010" t="s">
        <v>1447</v>
      </c>
      <c r="E4010" t="s">
        <v>1856</v>
      </c>
      <c r="F4010" t="s">
        <v>1737</v>
      </c>
      <c r="K4010" t="str">
        <f>IF(ISBLANK('Q 5'!C1153),"",IF('Q 5'!C1153="&lt;please select&gt;","",'Q 5'!C1153))</f>
        <v>Category C</v>
      </c>
    </row>
    <row r="4011" spans="1:11" x14ac:dyDescent="0.3">
      <c r="A4011" t="s">
        <v>1886</v>
      </c>
      <c r="B4011" t="s">
        <v>1887</v>
      </c>
      <c r="C4011">
        <v>11</v>
      </c>
      <c r="D4011" t="s">
        <v>1447</v>
      </c>
      <c r="E4011" t="s">
        <v>1856</v>
      </c>
      <c r="F4011" t="s">
        <v>1737</v>
      </c>
      <c r="K4011" t="str">
        <f>IF(ISBLANK('Q 5'!C1154),"",IF('Q 5'!C1154="&lt;please select&gt;","",'Q 5'!C1154))</f>
        <v>Category C</v>
      </c>
    </row>
    <row r="4012" spans="1:11" x14ac:dyDescent="0.3">
      <c r="A4012" t="s">
        <v>1886</v>
      </c>
      <c r="B4012" t="s">
        <v>1887</v>
      </c>
      <c r="C4012">
        <v>12</v>
      </c>
      <c r="D4012" t="s">
        <v>1447</v>
      </c>
      <c r="E4012" t="s">
        <v>1856</v>
      </c>
      <c r="F4012" t="s">
        <v>1737</v>
      </c>
      <c r="K4012" t="str">
        <f>IF(ISBLANK('Q 5'!C1155),"",IF('Q 5'!C1155="&lt;please select&gt;","",'Q 5'!C1155))</f>
        <v>Category C</v>
      </c>
    </row>
    <row r="4013" spans="1:11" x14ac:dyDescent="0.3">
      <c r="A4013" t="s">
        <v>1886</v>
      </c>
      <c r="B4013" t="s">
        <v>1887</v>
      </c>
      <c r="C4013">
        <v>13</v>
      </c>
      <c r="D4013" t="s">
        <v>1447</v>
      </c>
      <c r="E4013" t="s">
        <v>1856</v>
      </c>
      <c r="F4013" t="s">
        <v>1737</v>
      </c>
      <c r="K4013" t="str">
        <f>IF(ISBLANK('Q 5'!C1156),"",IF('Q 5'!C1156="&lt;please select&gt;","",'Q 5'!C1156))</f>
        <v>Category C</v>
      </c>
    </row>
    <row r="4014" spans="1:11" x14ac:dyDescent="0.3">
      <c r="A4014" t="s">
        <v>1886</v>
      </c>
      <c r="B4014" t="s">
        <v>1887</v>
      </c>
      <c r="C4014">
        <v>14</v>
      </c>
      <c r="D4014" t="s">
        <v>1447</v>
      </c>
      <c r="E4014" t="s">
        <v>1856</v>
      </c>
      <c r="F4014" t="s">
        <v>1737</v>
      </c>
      <c r="K4014" t="str">
        <f>IF(ISBLANK('Q 5'!C1157),"",IF('Q 5'!C1157="&lt;please select&gt;","",'Q 5'!C1157))</f>
        <v>Category C</v>
      </c>
    </row>
    <row r="4015" spans="1:11" x14ac:dyDescent="0.3">
      <c r="A4015" t="s">
        <v>1886</v>
      </c>
      <c r="B4015" t="s">
        <v>1887</v>
      </c>
      <c r="C4015">
        <v>15</v>
      </c>
      <c r="D4015" t="s">
        <v>1447</v>
      </c>
      <c r="E4015" t="s">
        <v>1856</v>
      </c>
      <c r="F4015" t="s">
        <v>1737</v>
      </c>
      <c r="K4015" t="str">
        <f>IF(ISBLANK('Q 5'!C1158),"",IF('Q 5'!C1158="&lt;please select&gt;","",'Q 5'!C1158))</f>
        <v>Category B</v>
      </c>
    </row>
    <row r="4016" spans="1:11" x14ac:dyDescent="0.3">
      <c r="A4016" t="s">
        <v>1886</v>
      </c>
      <c r="B4016" t="s">
        <v>1887</v>
      </c>
      <c r="C4016">
        <v>16</v>
      </c>
      <c r="D4016" t="s">
        <v>1447</v>
      </c>
      <c r="E4016" t="s">
        <v>1856</v>
      </c>
      <c r="F4016" t="s">
        <v>1737</v>
      </c>
      <c r="K4016" t="str">
        <f>IF(ISBLANK('Q 5'!C1159),"",IF('Q 5'!C1159="&lt;please select&gt;","",'Q 5'!C1159))</f>
        <v>Category B</v>
      </c>
    </row>
    <row r="4017" spans="1:11" x14ac:dyDescent="0.3">
      <c r="A4017" t="s">
        <v>1886</v>
      </c>
      <c r="B4017" t="s">
        <v>1887</v>
      </c>
      <c r="C4017">
        <v>17</v>
      </c>
      <c r="D4017" t="s">
        <v>1447</v>
      </c>
      <c r="E4017" t="s">
        <v>1856</v>
      </c>
      <c r="F4017" t="s">
        <v>1737</v>
      </c>
      <c r="K4017" t="str">
        <f>IF(ISBLANK('Q 5'!C1160),"",IF('Q 5'!C1160="&lt;please select&gt;","",'Q 5'!C1160))</f>
        <v>Category B</v>
      </c>
    </row>
    <row r="4018" spans="1:11" x14ac:dyDescent="0.3">
      <c r="A4018" t="s">
        <v>1886</v>
      </c>
      <c r="B4018" t="s">
        <v>1887</v>
      </c>
      <c r="C4018">
        <v>18</v>
      </c>
      <c r="D4018" t="s">
        <v>1447</v>
      </c>
      <c r="E4018" t="s">
        <v>1856</v>
      </c>
      <c r="F4018" t="s">
        <v>1737</v>
      </c>
      <c r="K4018" t="str">
        <f>IF(ISBLANK('Q 5'!C1161),"",IF('Q 5'!C1161="&lt;please select&gt;","",'Q 5'!C1161))</f>
        <v>Category B</v>
      </c>
    </row>
    <row r="4019" spans="1:11" x14ac:dyDescent="0.3">
      <c r="A4019" t="s">
        <v>1886</v>
      </c>
      <c r="B4019" t="s">
        <v>1887</v>
      </c>
      <c r="C4019">
        <v>19</v>
      </c>
      <c r="D4019" t="s">
        <v>1447</v>
      </c>
      <c r="E4019" t="s">
        <v>1856</v>
      </c>
      <c r="F4019" t="s">
        <v>1737</v>
      </c>
      <c r="K4019" t="str">
        <f>IF(ISBLANK('Q 5'!C1162),"",IF('Q 5'!C1162="&lt;please select&gt;","",'Q 5'!C1162))</f>
        <v>Category B</v>
      </c>
    </row>
    <row r="4020" spans="1:11" x14ac:dyDescent="0.3">
      <c r="A4020" t="s">
        <v>1886</v>
      </c>
      <c r="B4020" t="s">
        <v>1887</v>
      </c>
      <c r="C4020">
        <v>20</v>
      </c>
      <c r="D4020" t="s">
        <v>1447</v>
      </c>
      <c r="E4020" t="s">
        <v>1856</v>
      </c>
      <c r="F4020" t="s">
        <v>1737</v>
      </c>
      <c r="K4020" t="str">
        <f>IF(ISBLANK('Q 5'!C1163),"",IF('Q 5'!C1163="&lt;please select&gt;","",'Q 5'!C1163))</f>
        <v>Category B</v>
      </c>
    </row>
    <row r="4021" spans="1:11" x14ac:dyDescent="0.3">
      <c r="A4021" t="s">
        <v>1886</v>
      </c>
      <c r="B4021" t="s">
        <v>1887</v>
      </c>
      <c r="C4021">
        <v>21</v>
      </c>
      <c r="D4021" t="s">
        <v>1447</v>
      </c>
      <c r="E4021" t="s">
        <v>1856</v>
      </c>
      <c r="F4021" t="s">
        <v>1737</v>
      </c>
      <c r="K4021" t="str">
        <f>IF(ISBLANK('Q 5'!C1164),"",IF('Q 5'!C1164="&lt;please select&gt;","",'Q 5'!C1164))</f>
        <v>Category B</v>
      </c>
    </row>
    <row r="4022" spans="1:11" x14ac:dyDescent="0.3">
      <c r="A4022" t="s">
        <v>1886</v>
      </c>
      <c r="B4022" t="s">
        <v>1887</v>
      </c>
      <c r="C4022">
        <v>22</v>
      </c>
      <c r="D4022" t="s">
        <v>1447</v>
      </c>
      <c r="E4022" t="s">
        <v>1856</v>
      </c>
      <c r="F4022" t="s">
        <v>1737</v>
      </c>
      <c r="K4022" t="str">
        <f>IF(ISBLANK('Q 5'!C1165),"",IF('Q 5'!C1165="&lt;please select&gt;","",'Q 5'!C1165))</f>
        <v>Category B</v>
      </c>
    </row>
    <row r="4023" spans="1:11" x14ac:dyDescent="0.3">
      <c r="A4023" t="s">
        <v>1886</v>
      </c>
      <c r="B4023" t="s">
        <v>1887</v>
      </c>
      <c r="C4023">
        <v>23</v>
      </c>
      <c r="D4023" t="s">
        <v>1447</v>
      </c>
      <c r="E4023" t="s">
        <v>1856</v>
      </c>
      <c r="F4023" t="s">
        <v>1737</v>
      </c>
      <c r="K4023" t="str">
        <f>IF(ISBLANK('Q 5'!C1166),"",IF('Q 5'!C1166="&lt;please select&gt;","",'Q 5'!C1166))</f>
        <v>Category B</v>
      </c>
    </row>
    <row r="4024" spans="1:11" x14ac:dyDescent="0.3">
      <c r="A4024" t="s">
        <v>1886</v>
      </c>
      <c r="B4024" t="s">
        <v>1887</v>
      </c>
      <c r="C4024">
        <v>24</v>
      </c>
      <c r="D4024" t="s">
        <v>1447</v>
      </c>
      <c r="E4024" t="s">
        <v>1856</v>
      </c>
      <c r="F4024" t="s">
        <v>1737</v>
      </c>
      <c r="K4024" t="str">
        <f>IF(ISBLANK('Q 5'!C1167),"",IF('Q 5'!C1167="&lt;please select&gt;","",'Q 5'!C1167))</f>
        <v>Category B</v>
      </c>
    </row>
    <row r="4025" spans="1:11" x14ac:dyDescent="0.3">
      <c r="A4025" t="s">
        <v>1886</v>
      </c>
      <c r="B4025" t="s">
        <v>1887</v>
      </c>
      <c r="C4025">
        <v>25</v>
      </c>
      <c r="D4025" t="s">
        <v>1447</v>
      </c>
      <c r="E4025" t="s">
        <v>1856</v>
      </c>
      <c r="F4025" t="s">
        <v>1737</v>
      </c>
      <c r="K4025" t="str">
        <f>IF(ISBLANK('Q 5'!C1168),"",IF('Q 5'!C1168="&lt;please select&gt;","",'Q 5'!C1168))</f>
        <v>Category B</v>
      </c>
    </row>
    <row r="4026" spans="1:11" x14ac:dyDescent="0.3">
      <c r="A4026" t="s">
        <v>1886</v>
      </c>
      <c r="B4026" t="s">
        <v>1887</v>
      </c>
      <c r="C4026">
        <v>26</v>
      </c>
      <c r="D4026" t="s">
        <v>1447</v>
      </c>
      <c r="E4026" t="s">
        <v>1856</v>
      </c>
      <c r="F4026" t="s">
        <v>1737</v>
      </c>
      <c r="K4026" t="str">
        <f>IF(ISBLANK('Q 5'!C1169),"",IF('Q 5'!C1169="&lt;please select&gt;","",'Q 5'!C1169))</f>
        <v>Category B</v>
      </c>
    </row>
    <row r="4027" spans="1:11" x14ac:dyDescent="0.3">
      <c r="A4027" t="s">
        <v>1886</v>
      </c>
      <c r="B4027" t="s">
        <v>1887</v>
      </c>
      <c r="C4027">
        <v>27</v>
      </c>
      <c r="D4027" t="s">
        <v>1447</v>
      </c>
      <c r="E4027" t="s">
        <v>1856</v>
      </c>
      <c r="F4027" t="s">
        <v>1737</v>
      </c>
      <c r="K4027" t="str">
        <f>IF(ISBLANK('Q 5'!C1170),"",IF('Q 5'!C1170="&lt;please select&gt;","",'Q 5'!C1170))</f>
        <v>Category B</v>
      </c>
    </row>
    <row r="4028" spans="1:11" x14ac:dyDescent="0.3">
      <c r="A4028" t="s">
        <v>1886</v>
      </c>
      <c r="B4028" t="s">
        <v>1887</v>
      </c>
      <c r="C4028">
        <v>28</v>
      </c>
      <c r="D4028" t="s">
        <v>1447</v>
      </c>
      <c r="E4028" t="s">
        <v>1856</v>
      </c>
      <c r="F4028" t="s">
        <v>1737</v>
      </c>
      <c r="K4028" t="str">
        <f>IF(ISBLANK('Q 5'!C1171),"",IF('Q 5'!C1171="&lt;please select&gt;","",'Q 5'!C1171))</f>
        <v>Category B</v>
      </c>
    </row>
    <row r="4029" spans="1:11" x14ac:dyDescent="0.3">
      <c r="A4029" t="s">
        <v>1886</v>
      </c>
      <c r="B4029" t="s">
        <v>1887</v>
      </c>
      <c r="C4029">
        <v>29</v>
      </c>
      <c r="D4029" t="s">
        <v>1447</v>
      </c>
      <c r="E4029" t="s">
        <v>1856</v>
      </c>
      <c r="F4029" t="s">
        <v>1737</v>
      </c>
      <c r="K4029" t="str">
        <f>IF(ISBLANK('Q 5'!C1172),"",IF('Q 5'!C1172="&lt;please select&gt;","",'Q 5'!C1172))</f>
        <v>Category B</v>
      </c>
    </row>
    <row r="4030" spans="1:11" x14ac:dyDescent="0.3">
      <c r="A4030" t="s">
        <v>1886</v>
      </c>
      <c r="B4030" t="s">
        <v>1887</v>
      </c>
      <c r="C4030">
        <v>30</v>
      </c>
      <c r="D4030" t="s">
        <v>1447</v>
      </c>
      <c r="E4030" t="s">
        <v>1856</v>
      </c>
      <c r="F4030" t="s">
        <v>1737</v>
      </c>
      <c r="K4030" t="str">
        <f>IF(ISBLANK('Q 5'!C1173),"",IF('Q 5'!C1173="&lt;please select&gt;","",'Q 5'!C1173))</f>
        <v>Category B</v>
      </c>
    </row>
    <row r="4031" spans="1:11" x14ac:dyDescent="0.3">
      <c r="A4031" t="s">
        <v>1886</v>
      </c>
      <c r="B4031" t="s">
        <v>1887</v>
      </c>
      <c r="C4031">
        <v>31</v>
      </c>
      <c r="D4031" t="s">
        <v>1447</v>
      </c>
      <c r="E4031" t="s">
        <v>1856</v>
      </c>
      <c r="F4031" t="s">
        <v>1737</v>
      </c>
      <c r="K4031" t="str">
        <f>IF(ISBLANK('Q 5'!C1174),"",IF('Q 5'!C1174="&lt;please select&gt;","",'Q 5'!C1174))</f>
        <v>Category A</v>
      </c>
    </row>
    <row r="4032" spans="1:11" x14ac:dyDescent="0.3">
      <c r="A4032" t="s">
        <v>1886</v>
      </c>
      <c r="B4032" t="s">
        <v>1887</v>
      </c>
      <c r="C4032">
        <v>32</v>
      </c>
      <c r="D4032" t="s">
        <v>1447</v>
      </c>
      <c r="E4032" t="s">
        <v>1856</v>
      </c>
      <c r="F4032" t="s">
        <v>1737</v>
      </c>
      <c r="K4032" t="str">
        <f>IF(ISBLANK('Q 5'!C1175),"",IF('Q 5'!C1175="&lt;please select&gt;","",'Q 5'!C1175))</f>
        <v>Category A</v>
      </c>
    </row>
    <row r="4033" spans="1:11" x14ac:dyDescent="0.3">
      <c r="A4033" t="s">
        <v>1886</v>
      </c>
      <c r="B4033" t="s">
        <v>1887</v>
      </c>
      <c r="C4033">
        <v>33</v>
      </c>
      <c r="D4033" t="s">
        <v>1447</v>
      </c>
      <c r="E4033" t="s">
        <v>1856</v>
      </c>
      <c r="F4033" t="s">
        <v>1737</v>
      </c>
      <c r="K4033" t="str">
        <f>IF(ISBLANK('Q 5'!C1176),"",IF('Q 5'!C1176="&lt;please select&gt;","",'Q 5'!C1176))</f>
        <v>Category A</v>
      </c>
    </row>
    <row r="4034" spans="1:11" x14ac:dyDescent="0.3">
      <c r="A4034" t="s">
        <v>1886</v>
      </c>
      <c r="B4034" t="s">
        <v>1887</v>
      </c>
      <c r="C4034">
        <v>34</v>
      </c>
      <c r="D4034" t="s">
        <v>1447</v>
      </c>
      <c r="E4034" t="s">
        <v>1856</v>
      </c>
      <c r="F4034" t="s">
        <v>1737</v>
      </c>
      <c r="K4034" t="str">
        <f>IF(ISBLANK('Q 5'!C1177),"",IF('Q 5'!C1177="&lt;please select&gt;","",'Q 5'!C1177))</f>
        <v>Category A</v>
      </c>
    </row>
    <row r="4035" spans="1:11" x14ac:dyDescent="0.3">
      <c r="A4035" t="s">
        <v>1886</v>
      </c>
      <c r="B4035" t="s">
        <v>1887</v>
      </c>
      <c r="C4035">
        <v>35</v>
      </c>
      <c r="D4035" t="s">
        <v>1447</v>
      </c>
      <c r="E4035" t="s">
        <v>1856</v>
      </c>
      <c r="F4035" t="s">
        <v>1737</v>
      </c>
      <c r="K4035" t="str">
        <f>IF(ISBLANK('Q 5'!C1178),"",IF('Q 5'!C1178="&lt;please select&gt;","",'Q 5'!C1178))</f>
        <v>Category A</v>
      </c>
    </row>
    <row r="4036" spans="1:11" x14ac:dyDescent="0.3">
      <c r="A4036" t="s">
        <v>1886</v>
      </c>
      <c r="B4036" t="s">
        <v>1887</v>
      </c>
      <c r="C4036">
        <v>36</v>
      </c>
      <c r="D4036" t="s">
        <v>1447</v>
      </c>
      <c r="E4036" t="s">
        <v>1856</v>
      </c>
      <c r="F4036" t="s">
        <v>1737</v>
      </c>
      <c r="K4036" t="str">
        <f>IF(ISBLANK('Q 5'!C1179),"",IF('Q 5'!C1179="&lt;please select&gt;","",'Q 5'!C1179))</f>
        <v>Category A</v>
      </c>
    </row>
    <row r="4037" spans="1:11" x14ac:dyDescent="0.3">
      <c r="A4037" t="s">
        <v>1886</v>
      </c>
      <c r="B4037" t="s">
        <v>1887</v>
      </c>
      <c r="C4037">
        <v>37</v>
      </c>
      <c r="D4037" t="s">
        <v>1447</v>
      </c>
      <c r="E4037" t="s">
        <v>1856</v>
      </c>
      <c r="F4037" t="s">
        <v>1737</v>
      </c>
      <c r="K4037" t="str">
        <f>IF(ISBLANK('Q 5'!C1180),"",IF('Q 5'!C1180="&lt;please select&gt;","",'Q 5'!C1180))</f>
        <v>Category A</v>
      </c>
    </row>
    <row r="4038" spans="1:11" x14ac:dyDescent="0.3">
      <c r="A4038" t="s">
        <v>1886</v>
      </c>
      <c r="B4038" t="s">
        <v>1887</v>
      </c>
      <c r="C4038">
        <v>38</v>
      </c>
      <c r="D4038" t="s">
        <v>1447</v>
      </c>
      <c r="E4038" t="s">
        <v>1856</v>
      </c>
      <c r="F4038" t="s">
        <v>1737</v>
      </c>
      <c r="K4038" t="str">
        <f>IF(ISBLANK('Q 5'!C1181),"",IF('Q 5'!C1181="&lt;please select&gt;","",'Q 5'!C1181))</f>
        <v>Category A</v>
      </c>
    </row>
    <row r="4039" spans="1:11" x14ac:dyDescent="0.3">
      <c r="A4039" t="s">
        <v>1886</v>
      </c>
      <c r="B4039" t="s">
        <v>1887</v>
      </c>
      <c r="C4039">
        <v>39</v>
      </c>
      <c r="D4039" t="s">
        <v>1447</v>
      </c>
      <c r="E4039" t="s">
        <v>1856</v>
      </c>
      <c r="F4039" t="s">
        <v>1737</v>
      </c>
      <c r="K4039" t="str">
        <f>IF(ISBLANK('Q 5'!C1182),"",IF('Q 5'!C1182="&lt;please select&gt;","",'Q 5'!C1182))</f>
        <v>Category A</v>
      </c>
    </row>
    <row r="4040" spans="1:11" x14ac:dyDescent="0.3">
      <c r="A4040" t="s">
        <v>1886</v>
      </c>
      <c r="B4040" t="s">
        <v>1887</v>
      </c>
      <c r="C4040">
        <v>40</v>
      </c>
      <c r="D4040" t="s">
        <v>1447</v>
      </c>
      <c r="E4040" t="s">
        <v>1856</v>
      </c>
      <c r="F4040" t="s">
        <v>1737</v>
      </c>
      <c r="K4040" t="str">
        <f>IF(ISBLANK('Q 5'!C1183),"",IF('Q 5'!C1183="&lt;please select&gt;","",'Q 5'!C1183))</f>
        <v>Category A</v>
      </c>
    </row>
    <row r="4041" spans="1:11" x14ac:dyDescent="0.3">
      <c r="A4041" t="s">
        <v>1886</v>
      </c>
      <c r="B4041" t="s">
        <v>1887</v>
      </c>
      <c r="C4041">
        <v>41</v>
      </c>
      <c r="D4041" t="s">
        <v>1447</v>
      </c>
      <c r="E4041" t="s">
        <v>1856</v>
      </c>
      <c r="F4041" t="s">
        <v>1737</v>
      </c>
      <c r="K4041" t="str">
        <f>IF(ISBLANK('Q 5'!C1184),"",IF('Q 5'!C1184="&lt;please select&gt;","",'Q 5'!C1184))</f>
        <v>Category A</v>
      </c>
    </row>
    <row r="4042" spans="1:11" x14ac:dyDescent="0.3">
      <c r="A4042" t="s">
        <v>1886</v>
      </c>
      <c r="B4042" t="s">
        <v>1887</v>
      </c>
      <c r="C4042">
        <v>42</v>
      </c>
      <c r="D4042" t="s">
        <v>1447</v>
      </c>
      <c r="E4042" t="s">
        <v>1856</v>
      </c>
      <c r="F4042" t="s">
        <v>1737</v>
      </c>
      <c r="K4042" t="str">
        <f>IF(ISBLANK('Q 5'!C1185),"",IF('Q 5'!C1185="&lt;please select&gt;","",'Q 5'!C1185))</f>
        <v>Category A</v>
      </c>
    </row>
    <row r="4043" spans="1:11" x14ac:dyDescent="0.3">
      <c r="A4043" t="s">
        <v>1886</v>
      </c>
      <c r="B4043" t="s">
        <v>1887</v>
      </c>
      <c r="C4043">
        <v>43</v>
      </c>
      <c r="D4043" t="s">
        <v>1447</v>
      </c>
      <c r="E4043" t="s">
        <v>1856</v>
      </c>
      <c r="F4043" t="s">
        <v>1737</v>
      </c>
      <c r="K4043" t="str">
        <f>IF(ISBLANK('Q 5'!C1186),"",IF('Q 5'!C1186="&lt;please select&gt;","",'Q 5'!C1186))</f>
        <v>Category A</v>
      </c>
    </row>
    <row r="4044" spans="1:11" x14ac:dyDescent="0.3">
      <c r="A4044" t="s">
        <v>1886</v>
      </c>
      <c r="B4044" t="s">
        <v>1887</v>
      </c>
      <c r="C4044">
        <v>44</v>
      </c>
      <c r="D4044" t="s">
        <v>1447</v>
      </c>
      <c r="E4044" t="s">
        <v>1856</v>
      </c>
      <c r="F4044" t="s">
        <v>1737</v>
      </c>
      <c r="K4044" t="str">
        <f>IF(ISBLANK('Q 5'!C1187),"",IF('Q 5'!C1187="&lt;please select&gt;","",'Q 5'!C1187))</f>
        <v>Category A</v>
      </c>
    </row>
    <row r="4045" spans="1:11" x14ac:dyDescent="0.3">
      <c r="A4045" t="s">
        <v>1886</v>
      </c>
      <c r="B4045" t="s">
        <v>1887</v>
      </c>
      <c r="C4045">
        <v>45</v>
      </c>
      <c r="D4045" t="s">
        <v>1447</v>
      </c>
      <c r="E4045" t="s">
        <v>1856</v>
      </c>
      <c r="F4045" t="s">
        <v>1737</v>
      </c>
      <c r="K4045" t="str">
        <f>IF(ISBLANK('Q 5'!C1188),"",IF('Q 5'!C1188="&lt;please select&gt;","",'Q 5'!C1188))</f>
        <v>Category A</v>
      </c>
    </row>
    <row r="4046" spans="1:11" x14ac:dyDescent="0.3">
      <c r="A4046" t="s">
        <v>1886</v>
      </c>
      <c r="B4046" t="s">
        <v>1887</v>
      </c>
      <c r="C4046">
        <v>46</v>
      </c>
      <c r="D4046" t="s">
        <v>1447</v>
      </c>
      <c r="E4046" t="s">
        <v>1856</v>
      </c>
      <c r="F4046" t="s">
        <v>1737</v>
      </c>
      <c r="K4046" t="str">
        <f>IF(ISBLANK('Q 5'!C1189),"",IF('Q 5'!C1189="&lt;please select&gt;","",'Q 5'!C1189))</f>
        <v>Category A</v>
      </c>
    </row>
    <row r="4047" spans="1:11" x14ac:dyDescent="0.3">
      <c r="A4047" t="s">
        <v>1886</v>
      </c>
      <c r="B4047" t="s">
        <v>1887</v>
      </c>
      <c r="C4047">
        <v>47</v>
      </c>
      <c r="D4047" t="s">
        <v>1447</v>
      </c>
      <c r="E4047" t="s">
        <v>1856</v>
      </c>
      <c r="F4047" t="s">
        <v>1737</v>
      </c>
      <c r="K4047" t="str">
        <f>IF(ISBLANK('Q 5'!C1190),"",IF('Q 5'!C1190="&lt;please select&gt;","",'Q 5'!C1190))</f>
        <v>Category A</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20 - Combustion of fuels as specified in Annex I of Directive 2003/87/EC</v>
      </c>
    </row>
    <row r="4072" spans="1:11" x14ac:dyDescent="0.3">
      <c r="A4072" t="s">
        <v>1886</v>
      </c>
      <c r="B4072" t="s">
        <v>1887</v>
      </c>
      <c r="C4072">
        <v>2</v>
      </c>
      <c r="D4072" t="s">
        <v>1447</v>
      </c>
      <c r="E4072" t="s">
        <v>1888</v>
      </c>
      <c r="F4072" t="s">
        <v>1737</v>
      </c>
      <c r="K4072" t="str">
        <f>IF(ISBLANK('Q 5'!D1145),"",IF('Q 5'!D1145="&lt;please select&gt;","",'Q 5'!D1145))</f>
        <v>29 - Production of cement clinker in rotary kilns as specified in Annex I of Directive 2003/87/ EC</v>
      </c>
    </row>
    <row r="4073" spans="1:11" x14ac:dyDescent="0.3">
      <c r="A4073" t="s">
        <v>1886</v>
      </c>
      <c r="B4073" t="s">
        <v>1887</v>
      </c>
      <c r="C4073">
        <v>3</v>
      </c>
      <c r="D4073" t="s">
        <v>1447</v>
      </c>
      <c r="E4073" t="s">
        <v>1888</v>
      </c>
      <c r="F4073" t="s">
        <v>1737</v>
      </c>
      <c r="K4073" t="str">
        <f>IF(ISBLANK('Q 5'!D1146),"",IF('Q 5'!D1146="&lt;please select&gt;","",'Q 5'!D1146))</f>
        <v>29 - Production of cement clinker in rotary kilns as specified in Annex I of Directive 2003/87/ EC</v>
      </c>
    </row>
    <row r="4074" spans="1:11" x14ac:dyDescent="0.3">
      <c r="A4074" t="s">
        <v>1886</v>
      </c>
      <c r="B4074" t="s">
        <v>1887</v>
      </c>
      <c r="C4074">
        <v>4</v>
      </c>
      <c r="D4074" t="s">
        <v>1447</v>
      </c>
      <c r="E4074" t="s">
        <v>1888</v>
      </c>
      <c r="F4074" t="s">
        <v>1737</v>
      </c>
      <c r="K4074" t="str">
        <f>IF(ISBLANK('Q 5'!D1147),"",IF('Q 5'!D1147="&lt;please select&gt;","",'Q 5'!D1147))</f>
        <v>21 - Refining of mineral oil</v>
      </c>
    </row>
    <row r="4075" spans="1:11" x14ac:dyDescent="0.3">
      <c r="A4075" t="s">
        <v>1886</v>
      </c>
      <c r="B4075" t="s">
        <v>1887</v>
      </c>
      <c r="C4075">
        <v>5</v>
      </c>
      <c r="D4075" t="s">
        <v>1447</v>
      </c>
      <c r="E4075" t="s">
        <v>1888</v>
      </c>
      <c r="F4075" t="s">
        <v>1737</v>
      </c>
      <c r="K4075" t="str">
        <f>IF(ISBLANK('Q 5'!D1148),"",IF('Q 5'!D1148="&lt;please select&gt;","",'Q 5'!D1148))</f>
        <v>20 - Combustion of fuels as specified in Annex I of Directive 2003/87/EC</v>
      </c>
    </row>
    <row r="4076" spans="1:11" x14ac:dyDescent="0.3">
      <c r="A4076" t="s">
        <v>1886</v>
      </c>
      <c r="B4076" t="s">
        <v>1887</v>
      </c>
      <c r="C4076">
        <v>6</v>
      </c>
      <c r="D4076" t="s">
        <v>1447</v>
      </c>
      <c r="E4076" t="s">
        <v>1888</v>
      </c>
      <c r="F4076" t="s">
        <v>1737</v>
      </c>
      <c r="K4076" t="str">
        <f>IF(ISBLANK('Q 5'!D1149),"",IF('Q 5'!D1149="&lt;please select&gt;","",'Q 5'!D1149))</f>
        <v>23 - Metal ore (including sulphide ore) roasting or sintering, including pelletisation</v>
      </c>
    </row>
    <row r="4077" spans="1:11" x14ac:dyDescent="0.3">
      <c r="A4077" t="s">
        <v>1886</v>
      </c>
      <c r="B4077" t="s">
        <v>1887</v>
      </c>
      <c r="C4077">
        <v>7</v>
      </c>
      <c r="D4077" t="s">
        <v>1447</v>
      </c>
      <c r="E4077" t="s">
        <v>1888</v>
      </c>
      <c r="F4077" t="s">
        <v>1737</v>
      </c>
      <c r="K4077" t="str">
        <f>IF(ISBLANK('Q 5'!D1150),"",IF('Q 5'!D1150="&lt;please select&gt;","",'Q 5'!D1150))</f>
        <v>26 - Production of primary aluminium</v>
      </c>
    </row>
    <row r="4078" spans="1:11" x14ac:dyDescent="0.3">
      <c r="A4078" t="s">
        <v>1886</v>
      </c>
      <c r="B4078" t="s">
        <v>1887</v>
      </c>
      <c r="C4078">
        <v>8</v>
      </c>
      <c r="D4078" t="s">
        <v>1447</v>
      </c>
      <c r="E4078" t="s">
        <v>1888</v>
      </c>
      <c r="F4078" t="s">
        <v>1737</v>
      </c>
      <c r="K4078" t="str">
        <f>IF(ISBLANK('Q 5'!D1151),"",IF('Q 5'!D1151="&lt;please select&gt;","",'Q 5'!D1151))</f>
        <v xml:space="preserve">41 - Production of ammonia </v>
      </c>
    </row>
    <row r="4079" spans="1:11" x14ac:dyDescent="0.3">
      <c r="A4079" t="s">
        <v>1886</v>
      </c>
      <c r="B4079" t="s">
        <v>1887</v>
      </c>
      <c r="C4079">
        <v>9</v>
      </c>
      <c r="D4079" t="s">
        <v>1447</v>
      </c>
      <c r="E4079" t="s">
        <v>1888</v>
      </c>
      <c r="F4079" t="s">
        <v>1737</v>
      </c>
      <c r="K4079" t="str">
        <f>IF(ISBLANK('Q 5'!D1152),"",IF('Q 5'!D1152="&lt;please select&gt;","",'Q 5'!D1152))</f>
        <v>30 - Production of lime or calcination of dolomite or magnesite as specified in Annex I of Directive 2003/87/ EC</v>
      </c>
    </row>
    <row r="4080" spans="1:11" x14ac:dyDescent="0.3">
      <c r="A4080" t="s">
        <v>1886</v>
      </c>
      <c r="B4080" t="s">
        <v>1887</v>
      </c>
      <c r="C4080">
        <v>10</v>
      </c>
      <c r="D4080" t="s">
        <v>1447</v>
      </c>
      <c r="E4080" t="s">
        <v>1888</v>
      </c>
      <c r="F4080" t="s">
        <v>1737</v>
      </c>
      <c r="K4080" t="str">
        <f>IF(ISBLANK('Q 5'!D1153),"",IF('Q 5'!D1153="&lt;please select&gt;","",'Q 5'!D1153))</f>
        <v>29 - Production of cement clinker in rotary kilns as specified in Annex I of Directive 2003/87/ EC</v>
      </c>
    </row>
    <row r="4081" spans="1:11" x14ac:dyDescent="0.3">
      <c r="A4081" t="s">
        <v>1886</v>
      </c>
      <c r="B4081" t="s">
        <v>1887</v>
      </c>
      <c r="C4081">
        <v>11</v>
      </c>
      <c r="D4081" t="s">
        <v>1447</v>
      </c>
      <c r="E4081" t="s">
        <v>1888</v>
      </c>
      <c r="F4081" t="s">
        <v>1737</v>
      </c>
      <c r="K4081" t="str">
        <f>IF(ISBLANK('Q 5'!D1154),"",IF('Q 5'!D1154="&lt;please select&gt;","",'Q 5'!D1154))</f>
        <v>24 - Production of pig iron or steel as specified in Annex I of Directive 2003/87/EC</v>
      </c>
    </row>
    <row r="4082" spans="1:11" x14ac:dyDescent="0.3">
      <c r="A4082" t="s">
        <v>1886</v>
      </c>
      <c r="B4082" t="s">
        <v>1887</v>
      </c>
      <c r="C4082">
        <v>12</v>
      </c>
      <c r="D4082" t="s">
        <v>1447</v>
      </c>
      <c r="E4082" t="s">
        <v>1888</v>
      </c>
      <c r="F4082" t="s">
        <v>1737</v>
      </c>
      <c r="K4082" t="str">
        <f>IF(ISBLANK('Q 5'!D1155),"",IF('Q 5'!D1155="&lt;please select&gt;","",'Q 5'!D1155))</f>
        <v xml:space="preserve">42 - Production of bulk organic chemicals as specified in Annex I of Directive 2003/87/EC </v>
      </c>
    </row>
    <row r="4083" spans="1:11" x14ac:dyDescent="0.3">
      <c r="A4083" t="s">
        <v>1886</v>
      </c>
      <c r="B4083" t="s">
        <v>1887</v>
      </c>
      <c r="C4083">
        <v>13</v>
      </c>
      <c r="D4083" t="s">
        <v>1447</v>
      </c>
      <c r="E4083" t="s">
        <v>1888</v>
      </c>
      <c r="F4083" t="s">
        <v>1737</v>
      </c>
      <c r="K4083" t="str">
        <f>IF(ISBLANK('Q 5'!D1156),"",IF('Q 5'!D1156="&lt;please select&gt;","",'Q 5'!D1156))</f>
        <v>44 - Production of soda ash (Na2CO3) and sodium bicarbonate (NaHCO3) as specified in Annex I of Directive 2003/87/EC</v>
      </c>
    </row>
    <row r="4084" spans="1:11" x14ac:dyDescent="0.3">
      <c r="A4084" t="s">
        <v>1886</v>
      </c>
      <c r="B4084" t="s">
        <v>1887</v>
      </c>
      <c r="C4084">
        <v>14</v>
      </c>
      <c r="D4084" t="s">
        <v>1447</v>
      </c>
      <c r="E4084" t="s">
        <v>1888</v>
      </c>
      <c r="F4084" t="s">
        <v>1737</v>
      </c>
      <c r="K4084" t="str">
        <f>IF(ISBLANK('Q 5'!D1157),"",IF('Q 5'!D1157="&lt;please select&gt;","",'Q 5'!D1157))</f>
        <v>21 - Refining of mineral oil</v>
      </c>
    </row>
    <row r="4085" spans="1:11" x14ac:dyDescent="0.3">
      <c r="A4085" t="s">
        <v>1886</v>
      </c>
      <c r="B4085" t="s">
        <v>1887</v>
      </c>
      <c r="C4085">
        <v>15</v>
      </c>
      <c r="D4085" t="s">
        <v>1447</v>
      </c>
      <c r="E4085" t="s">
        <v>1888</v>
      </c>
      <c r="F4085" t="s">
        <v>1737</v>
      </c>
      <c r="K4085" t="str">
        <f>IF(ISBLANK('Q 5'!D1158),"",IF('Q 5'!D1158="&lt;please select&gt;","",'Q 5'!D1158))</f>
        <v>20 - Combustion of fuels as specified in Annex I of Directive 2003/87/EC</v>
      </c>
    </row>
    <row r="4086" spans="1:11" x14ac:dyDescent="0.3">
      <c r="A4086" t="s">
        <v>1886</v>
      </c>
      <c r="B4086" t="s">
        <v>1887</v>
      </c>
      <c r="C4086">
        <v>16</v>
      </c>
      <c r="D4086" t="s">
        <v>1447</v>
      </c>
      <c r="E4086" t="s">
        <v>1888</v>
      </c>
      <c r="F4086" t="s">
        <v>1737</v>
      </c>
      <c r="K4086" t="str">
        <f>IF(ISBLANK('Q 5'!D1159),"",IF('Q 5'!D1159="&lt;please select&gt;","",'Q 5'!D1159))</f>
        <v>33 - Manufacture of mineral wool insulation material using glass, rock or slag as specified in Annex I of Directive 2003/87/EC</v>
      </c>
    </row>
    <row r="4087" spans="1:11" x14ac:dyDescent="0.3">
      <c r="A4087" t="s">
        <v>1886</v>
      </c>
      <c r="B4087" t="s">
        <v>1887</v>
      </c>
      <c r="C4087">
        <v>17</v>
      </c>
      <c r="D4087" t="s">
        <v>1447</v>
      </c>
      <c r="E4087" t="s">
        <v>1888</v>
      </c>
      <c r="F4087" t="s">
        <v>1737</v>
      </c>
      <c r="K4087" t="str">
        <f>IF(ISBLANK('Q 5'!D1160),"",IF('Q 5'!D1160="&lt;please select&gt;","",'Q 5'!D1160))</f>
        <v>31 - Manufacture of glass as specified in Annex I of Directive 2003/87/EC</v>
      </c>
    </row>
    <row r="4088" spans="1:11" x14ac:dyDescent="0.3">
      <c r="A4088" t="s">
        <v>1886</v>
      </c>
      <c r="B4088" t="s">
        <v>1887</v>
      </c>
      <c r="C4088">
        <v>18</v>
      </c>
      <c r="D4088" t="s">
        <v>1447</v>
      </c>
      <c r="E4088" t="s">
        <v>1888</v>
      </c>
      <c r="F4088" t="s">
        <v>1737</v>
      </c>
      <c r="K4088" t="str">
        <f>IF(ISBLANK('Q 5'!D1161),"",IF('Q 5'!D1161="&lt;please select&gt;","",'Q 5'!D1161))</f>
        <v xml:space="preserve">39 - Production of adipic acid </v>
      </c>
    </row>
    <row r="4089" spans="1:11" x14ac:dyDescent="0.3">
      <c r="A4089" t="s">
        <v>1886</v>
      </c>
      <c r="B4089" t="s">
        <v>1887</v>
      </c>
      <c r="C4089">
        <v>19</v>
      </c>
      <c r="D4089" t="s">
        <v>1447</v>
      </c>
      <c r="E4089" t="s">
        <v>1888</v>
      </c>
      <c r="F4089" t="s">
        <v>1737</v>
      </c>
      <c r="K4089" t="str">
        <f>IF(ISBLANK('Q 5'!D1162),"",IF('Q 5'!D1162="&lt;please select&gt;","",'Q 5'!D1162))</f>
        <v>30 - Production of lime or calcination of dolomite or magnesite as specified in Annex I of Directive 2003/87/ EC</v>
      </c>
    </row>
    <row r="4090" spans="1:11" x14ac:dyDescent="0.3">
      <c r="A4090" t="s">
        <v>1886</v>
      </c>
      <c r="B4090" t="s">
        <v>1887</v>
      </c>
      <c r="C4090">
        <v>20</v>
      </c>
      <c r="D4090" t="s">
        <v>1447</v>
      </c>
      <c r="E4090" t="s">
        <v>1888</v>
      </c>
      <c r="F4090" t="s">
        <v>1737</v>
      </c>
      <c r="K4090" t="str">
        <f>IF(ISBLANK('Q 5'!D1163),"",IF('Q 5'!D1163="&lt;please select&gt;","",'Q 5'!D1163))</f>
        <v>29 - Production of cement clinker in rotary kilns as specified in Annex I of Directive 2003/87/ EC</v>
      </c>
    </row>
    <row r="4091" spans="1:11" x14ac:dyDescent="0.3">
      <c r="A4091" t="s">
        <v>1886</v>
      </c>
      <c r="B4091" t="s">
        <v>1887</v>
      </c>
      <c r="C4091">
        <v>21</v>
      </c>
      <c r="D4091" t="s">
        <v>1447</v>
      </c>
      <c r="E4091" t="s">
        <v>1888</v>
      </c>
      <c r="F4091" t="s">
        <v>1737</v>
      </c>
      <c r="K4091" t="str">
        <f>IF(ISBLANK('Q 5'!D1164),"",IF('Q 5'!D1164="&lt;please select&gt;","",'Q 5'!D1164))</f>
        <v>24 - Production of pig iron or steel as specified in Annex I of Directive 2003/87/EC</v>
      </c>
    </row>
    <row r="4092" spans="1:11" x14ac:dyDescent="0.3">
      <c r="A4092" t="s">
        <v>1886</v>
      </c>
      <c r="B4092" t="s">
        <v>1887</v>
      </c>
      <c r="C4092">
        <v>22</v>
      </c>
      <c r="D4092" t="s">
        <v>1447</v>
      </c>
      <c r="E4092" t="s">
        <v>1888</v>
      </c>
      <c r="F4092" t="s">
        <v>1737</v>
      </c>
      <c r="K4092" t="str">
        <f>IF(ISBLANK('Q 5'!D1165),"",IF('Q 5'!D1165="&lt;please select&gt;","",'Q 5'!D1165))</f>
        <v xml:space="preserve">37 - Production of carbon black as specified in Annex I of Directive 2003/87/EC </v>
      </c>
    </row>
    <row r="4093" spans="1:11" x14ac:dyDescent="0.3">
      <c r="A4093" t="s">
        <v>1886</v>
      </c>
      <c r="B4093" t="s">
        <v>1887</v>
      </c>
      <c r="C4093">
        <v>23</v>
      </c>
      <c r="D4093" t="s">
        <v>1447</v>
      </c>
      <c r="E4093" t="s">
        <v>1888</v>
      </c>
      <c r="F4093" t="s">
        <v>1737</v>
      </c>
      <c r="K4093" t="str">
        <f>IF(ISBLANK('Q 5'!D1166),"",IF('Q 5'!D1166="&lt;please select&gt;","",'Q 5'!D1166))</f>
        <v xml:space="preserve">36 - Production of paper or cardboard as specified in Annex I of Directive 2003/87/EC </v>
      </c>
    </row>
    <row r="4094" spans="1:11" x14ac:dyDescent="0.3">
      <c r="A4094" t="s">
        <v>1886</v>
      </c>
      <c r="B4094" t="s">
        <v>1887</v>
      </c>
      <c r="C4094">
        <v>24</v>
      </c>
      <c r="D4094" t="s">
        <v>1447</v>
      </c>
      <c r="E4094" t="s">
        <v>1888</v>
      </c>
      <c r="F4094" t="s">
        <v>1737</v>
      </c>
      <c r="K4094" t="str">
        <f>IF(ISBLANK('Q 5'!D1167),"",IF('Q 5'!D1167="&lt;please select&gt;","",'Q 5'!D1167))</f>
        <v>35 - Production of pulp as specified in Annex I of Directive 2003/87/EC</v>
      </c>
    </row>
    <row r="4095" spans="1:11" x14ac:dyDescent="0.3">
      <c r="A4095" t="s">
        <v>1886</v>
      </c>
      <c r="B4095" t="s">
        <v>1887</v>
      </c>
      <c r="C4095">
        <v>25</v>
      </c>
      <c r="D4095" t="s">
        <v>1447</v>
      </c>
      <c r="E4095" t="s">
        <v>1888</v>
      </c>
      <c r="F4095" t="s">
        <v>1737</v>
      </c>
      <c r="K4095" t="str">
        <f>IF(ISBLANK('Q 5'!D1168),"",IF('Q 5'!D1168="&lt;please select&gt;","",'Q 5'!D1168))</f>
        <v xml:space="preserve">42 - Production of bulk organic chemicals as specified in Annex I of Directive 2003/87/EC </v>
      </c>
    </row>
    <row r="4096" spans="1:11" x14ac:dyDescent="0.3">
      <c r="A4096" t="s">
        <v>1886</v>
      </c>
      <c r="B4096" t="s">
        <v>1887</v>
      </c>
      <c r="C4096">
        <v>26</v>
      </c>
      <c r="D4096" t="s">
        <v>1447</v>
      </c>
      <c r="E4096" t="s">
        <v>1888</v>
      </c>
      <c r="F4096" t="s">
        <v>1737</v>
      </c>
      <c r="K4096" t="str">
        <f>IF(ISBLANK('Q 5'!D1169),"",IF('Q 5'!D1169="&lt;please select&gt;","",'Q 5'!D1169))</f>
        <v xml:space="preserve">43 - Production of hydrogen (H2) and synthesis gas as specified in Annex I of Directive 2003/87/EC </v>
      </c>
    </row>
    <row r="4097" spans="1:11" x14ac:dyDescent="0.3">
      <c r="A4097" t="s">
        <v>1886</v>
      </c>
      <c r="B4097" t="s">
        <v>1887</v>
      </c>
      <c r="C4097">
        <v>27</v>
      </c>
      <c r="D4097" t="s">
        <v>1447</v>
      </c>
      <c r="E4097" t="s">
        <v>1888</v>
      </c>
      <c r="F4097" t="s">
        <v>1737</v>
      </c>
      <c r="K4097" t="str">
        <f>IF(ISBLANK('Q 5'!D1170),"",IF('Q 5'!D1170="&lt;please select&gt;","",'Q 5'!D1170))</f>
        <v>25 - Production or processing of ferrous metals as specified in Annex I of Directive 2003/87/EC</v>
      </c>
    </row>
    <row r="4098" spans="1:11" x14ac:dyDescent="0.3">
      <c r="A4098" t="s">
        <v>1886</v>
      </c>
      <c r="B4098" t="s">
        <v>1887</v>
      </c>
      <c r="C4098">
        <v>28</v>
      </c>
      <c r="D4098" t="s">
        <v>1447</v>
      </c>
      <c r="E4098" t="s">
        <v>1888</v>
      </c>
      <c r="F4098" t="s">
        <v>1737</v>
      </c>
      <c r="K4098" t="str">
        <f>IF(ISBLANK('Q 5'!D1171),"",IF('Q 5'!D1171="&lt;please select&gt;","",'Q 5'!D1171))</f>
        <v>28 - Production or processing of non-ferrous metals as specified in Annex I of Directive 2003/87/EC</v>
      </c>
    </row>
    <row r="4099" spans="1:11" x14ac:dyDescent="0.3">
      <c r="A4099" t="s">
        <v>1886</v>
      </c>
      <c r="B4099" t="s">
        <v>1887</v>
      </c>
      <c r="C4099">
        <v>29</v>
      </c>
      <c r="D4099" t="s">
        <v>1447</v>
      </c>
      <c r="E4099" t="s">
        <v>1888</v>
      </c>
      <c r="F4099" t="s">
        <v>1737</v>
      </c>
      <c r="K4099" t="str">
        <f>IF(ISBLANK('Q 5'!D1172),"",IF('Q 5'!D1172="&lt;please select&gt;","",'Q 5'!D1172))</f>
        <v>21 - Refining of mineral oil</v>
      </c>
    </row>
    <row r="4100" spans="1:11" x14ac:dyDescent="0.3">
      <c r="A4100" t="s">
        <v>1886</v>
      </c>
      <c r="B4100" t="s">
        <v>1887</v>
      </c>
      <c r="C4100">
        <v>30</v>
      </c>
      <c r="D4100" t="s">
        <v>1447</v>
      </c>
      <c r="E4100" t="s">
        <v>1888</v>
      </c>
      <c r="F4100" t="s">
        <v>1737</v>
      </c>
      <c r="K4100" t="str">
        <f>IF(ISBLANK('Q 5'!D1173),"",IF('Q 5'!D1173="&lt;please select&gt;","",'Q 5'!D1173))</f>
        <v>34 - Drying or calcination of gypsum or production of plaster boards and other gypsum products, as specified in Annex I of Directive 2003/87/EC</v>
      </c>
    </row>
    <row r="4101" spans="1:11" x14ac:dyDescent="0.3">
      <c r="A4101" t="s">
        <v>1886</v>
      </c>
      <c r="B4101" t="s">
        <v>1887</v>
      </c>
      <c r="C4101">
        <v>31</v>
      </c>
      <c r="D4101" t="s">
        <v>1447</v>
      </c>
      <c r="E4101" t="s">
        <v>1888</v>
      </c>
      <c r="F4101" t="s">
        <v>1737</v>
      </c>
      <c r="K4101" t="str">
        <f>IF(ISBLANK('Q 5'!D1174),"",IF('Q 5'!D1174="&lt;please select&gt;","",'Q 5'!D1174))</f>
        <v>20 - Combustion of fuels as specified in Annex I of Directive 2003/87/EC</v>
      </c>
    </row>
    <row r="4102" spans="1:11" x14ac:dyDescent="0.3">
      <c r="A4102" t="s">
        <v>1886</v>
      </c>
      <c r="B4102" t="s">
        <v>1887</v>
      </c>
      <c r="C4102">
        <v>32</v>
      </c>
      <c r="D4102" t="s">
        <v>1447</v>
      </c>
      <c r="E4102" t="s">
        <v>1888</v>
      </c>
      <c r="F4102" t="s">
        <v>1737</v>
      </c>
      <c r="K4102" t="str">
        <f>IF(ISBLANK('Q 5'!D1175),"",IF('Q 5'!D1175="&lt;please select&gt;","",'Q 5'!D1175))</f>
        <v>33 - Manufacture of mineral wool insulation material using glass, rock or slag as specified in Annex I of Directive 2003/87/EC</v>
      </c>
    </row>
    <row r="4103" spans="1:11" x14ac:dyDescent="0.3">
      <c r="A4103" t="s">
        <v>1886</v>
      </c>
      <c r="B4103" t="s">
        <v>1887</v>
      </c>
      <c r="C4103">
        <v>33</v>
      </c>
      <c r="D4103" t="s">
        <v>1447</v>
      </c>
      <c r="E4103" t="s">
        <v>1888</v>
      </c>
      <c r="F4103" t="s">
        <v>1737</v>
      </c>
      <c r="K4103" t="str">
        <f>IF(ISBLANK('Q 5'!D1176),"",IF('Q 5'!D1176="&lt;please select&gt;","",'Q 5'!D1176))</f>
        <v>32 - Manufacture of ceramic products as specified in Annex I of Directive 2003/87/EC</v>
      </c>
    </row>
    <row r="4104" spans="1:11" x14ac:dyDescent="0.3">
      <c r="A4104" t="s">
        <v>1886</v>
      </c>
      <c r="B4104" t="s">
        <v>1887</v>
      </c>
      <c r="C4104">
        <v>34</v>
      </c>
      <c r="D4104" t="s">
        <v>1447</v>
      </c>
      <c r="E4104" t="s">
        <v>1888</v>
      </c>
      <c r="F4104" t="s">
        <v>1737</v>
      </c>
      <c r="K4104" t="str">
        <f>IF(ISBLANK('Q 5'!D1177),"",IF('Q 5'!D1177="&lt;please select&gt;","",'Q 5'!D1177))</f>
        <v>31 - Manufacture of glass as specified in Annex I of Directive 2003/87/EC</v>
      </c>
    </row>
    <row r="4105" spans="1:11" x14ac:dyDescent="0.3">
      <c r="A4105" t="s">
        <v>1886</v>
      </c>
      <c r="B4105" t="s">
        <v>1887</v>
      </c>
      <c r="C4105">
        <v>35</v>
      </c>
      <c r="D4105" t="s">
        <v>1447</v>
      </c>
      <c r="E4105" t="s">
        <v>1888</v>
      </c>
      <c r="F4105" t="s">
        <v>1737</v>
      </c>
      <c r="K4105" t="str">
        <f>IF(ISBLANK('Q 5'!D1178),"",IF('Q 5'!D1178="&lt;please select&gt;","",'Q 5'!D1178))</f>
        <v>26 - Production of primary aluminium</v>
      </c>
    </row>
    <row r="4106" spans="1:11" x14ac:dyDescent="0.3">
      <c r="A4106" t="s">
        <v>1886</v>
      </c>
      <c r="B4106" t="s">
        <v>1887</v>
      </c>
      <c r="C4106">
        <v>36</v>
      </c>
      <c r="D4106" t="s">
        <v>1447</v>
      </c>
      <c r="E4106" t="s">
        <v>1888</v>
      </c>
      <c r="F4106" t="s">
        <v>1737</v>
      </c>
      <c r="K4106" t="str">
        <f>IF(ISBLANK('Q 5'!D1179),"",IF('Q 5'!D1179="&lt;please select&gt;","",'Q 5'!D1179))</f>
        <v>30 - Production of lime or calcination of dolomite or magnesite as specified in Annex I of Directive 2003/87/ EC</v>
      </c>
    </row>
    <row r="4107" spans="1:11" x14ac:dyDescent="0.3">
      <c r="A4107" t="s">
        <v>1886</v>
      </c>
      <c r="B4107" t="s">
        <v>1887</v>
      </c>
      <c r="C4107">
        <v>37</v>
      </c>
      <c r="D4107" t="s">
        <v>1447</v>
      </c>
      <c r="E4107" t="s">
        <v>1888</v>
      </c>
      <c r="F4107" t="s">
        <v>1737</v>
      </c>
      <c r="K4107" t="str">
        <f>IF(ISBLANK('Q 5'!D1180),"",IF('Q 5'!D1180="&lt;please select&gt;","",'Q 5'!D1180))</f>
        <v>24 - Production of pig iron or steel as specified in Annex I of Directive 2003/87/EC</v>
      </c>
    </row>
    <row r="4108" spans="1:11" x14ac:dyDescent="0.3">
      <c r="A4108" t="s">
        <v>1886</v>
      </c>
      <c r="B4108" t="s">
        <v>1887</v>
      </c>
      <c r="C4108">
        <v>38</v>
      </c>
      <c r="D4108" t="s">
        <v>1447</v>
      </c>
      <c r="E4108" t="s">
        <v>1888</v>
      </c>
      <c r="F4108" t="s">
        <v>1737</v>
      </c>
      <c r="K4108" t="str">
        <f>IF(ISBLANK('Q 5'!D1181),"",IF('Q 5'!D1181="&lt;please select&gt;","",'Q 5'!D1181))</f>
        <v xml:space="preserve">36 - Production of paper or cardboard as specified in Annex I of Directive 2003/87/EC </v>
      </c>
    </row>
    <row r="4109" spans="1:11" x14ac:dyDescent="0.3">
      <c r="A4109" t="s">
        <v>1886</v>
      </c>
      <c r="B4109" t="s">
        <v>1887</v>
      </c>
      <c r="C4109">
        <v>39</v>
      </c>
      <c r="D4109" t="s">
        <v>1447</v>
      </c>
      <c r="E4109" t="s">
        <v>1888</v>
      </c>
      <c r="F4109" t="s">
        <v>1737</v>
      </c>
      <c r="K4109" t="str">
        <f>IF(ISBLANK('Q 5'!D1182),"",IF('Q 5'!D1182="&lt;please select&gt;","",'Q 5'!D1182))</f>
        <v xml:space="preserve">42 - Production of bulk organic chemicals as specified in Annex I of Directive 2003/87/EC </v>
      </c>
    </row>
    <row r="4110" spans="1:11" x14ac:dyDescent="0.3">
      <c r="A4110" t="s">
        <v>1886</v>
      </c>
      <c r="B4110" t="s">
        <v>1887</v>
      </c>
      <c r="C4110">
        <v>40</v>
      </c>
      <c r="D4110" t="s">
        <v>1447</v>
      </c>
      <c r="E4110" t="s">
        <v>1888</v>
      </c>
      <c r="F4110" t="s">
        <v>1737</v>
      </c>
      <c r="K4110" t="str">
        <f>IF(ISBLANK('Q 5'!D1183),"",IF('Q 5'!D1183="&lt;please select&gt;","",'Q 5'!D1183))</f>
        <v>25 - Production or processing of ferrous metals as specified in Annex I of Directive 2003/87/EC</v>
      </c>
    </row>
    <row r="4111" spans="1:11" x14ac:dyDescent="0.3">
      <c r="A4111" t="s">
        <v>1886</v>
      </c>
      <c r="B4111" t="s">
        <v>1887</v>
      </c>
      <c r="C4111">
        <v>41</v>
      </c>
      <c r="D4111" t="s">
        <v>1447</v>
      </c>
      <c r="E4111" t="s">
        <v>1888</v>
      </c>
      <c r="F4111" t="s">
        <v>1737</v>
      </c>
      <c r="K4111" t="str">
        <f>IF(ISBLANK('Q 5'!D1184),"",IF('Q 5'!D1184="&lt;please select&gt;","",'Q 5'!D1184))</f>
        <v>28 - Production or processing of non-ferrous metals as specified in Annex I of Directive 2003/87/EC</v>
      </c>
    </row>
    <row r="4112" spans="1:11" x14ac:dyDescent="0.3">
      <c r="A4112" t="s">
        <v>1886</v>
      </c>
      <c r="B4112" t="s">
        <v>1887</v>
      </c>
      <c r="C4112">
        <v>42</v>
      </c>
      <c r="D4112" t="s">
        <v>1447</v>
      </c>
      <c r="E4112" t="s">
        <v>1888</v>
      </c>
      <c r="F4112" t="s">
        <v>1737</v>
      </c>
      <c r="K4112" t="str">
        <f>IF(ISBLANK('Q 5'!D1185),"",IF('Q 5'!D1185="&lt;please select&gt;","",'Q 5'!D1185))</f>
        <v>34 - Drying or calcination of gypsum or production of plaster boards and other gypsum products, as specified in Annex I of Directive 2003/87/EC</v>
      </c>
    </row>
    <row r="4113" spans="1:11" x14ac:dyDescent="0.3">
      <c r="A4113" t="s">
        <v>1886</v>
      </c>
      <c r="B4113" t="s">
        <v>1887</v>
      </c>
      <c r="C4113">
        <v>43</v>
      </c>
      <c r="D4113" t="s">
        <v>1447</v>
      </c>
      <c r="E4113" t="s">
        <v>1888</v>
      </c>
      <c r="F4113" t="s">
        <v>1737</v>
      </c>
      <c r="K4113" t="str">
        <f>IF(ISBLANK('Q 5'!D1186),"",IF('Q 5'!D1186="&lt;please select&gt;","",'Q 5'!D1186))</f>
        <v xml:space="preserve">43 - Production of hydrogen (H2) and synthesis gas as specified in Annex I of Directive 2003/87/EC </v>
      </c>
    </row>
    <row r="4114" spans="1:11" x14ac:dyDescent="0.3">
      <c r="A4114" t="s">
        <v>1886</v>
      </c>
      <c r="B4114" t="s">
        <v>1887</v>
      </c>
      <c r="C4114">
        <v>44</v>
      </c>
      <c r="D4114" t="s">
        <v>1447</v>
      </c>
      <c r="E4114" t="s">
        <v>1888</v>
      </c>
      <c r="F4114" t="s">
        <v>1737</v>
      </c>
      <c r="K4114" t="str">
        <f>IF(ISBLANK('Q 5'!D1187),"",IF('Q 5'!D1187="&lt;please select&gt;","",'Q 5'!D1187))</f>
        <v>35 - Production of pulp as specified in Annex I of Directive 2003/87/EC</v>
      </c>
    </row>
    <row r="4115" spans="1:11" x14ac:dyDescent="0.3">
      <c r="A4115" t="s">
        <v>1886</v>
      </c>
      <c r="B4115" t="s">
        <v>1887</v>
      </c>
      <c r="C4115">
        <v>45</v>
      </c>
      <c r="D4115" t="s">
        <v>1447</v>
      </c>
      <c r="E4115" t="s">
        <v>1888</v>
      </c>
      <c r="F4115" t="s">
        <v>1737</v>
      </c>
      <c r="K4115" t="str">
        <f>IF(ISBLANK('Q 5'!D1188),"",IF('Q 5'!D1188="&lt;please select&gt;","",'Q 5'!D1188))</f>
        <v>29 - Production of cement clinker in rotary kilns as specified in Annex I of Directive 2003/87/ EC</v>
      </c>
    </row>
    <row r="4116" spans="1:11" x14ac:dyDescent="0.3">
      <c r="A4116" t="s">
        <v>1886</v>
      </c>
      <c r="B4116" t="s">
        <v>1887</v>
      </c>
      <c r="C4116">
        <v>46</v>
      </c>
      <c r="D4116" t="s">
        <v>1447</v>
      </c>
      <c r="E4116" t="s">
        <v>1888</v>
      </c>
      <c r="F4116" t="s">
        <v>1737</v>
      </c>
      <c r="K4116" t="str">
        <f>IF(ISBLANK('Q 5'!D1189),"",IF('Q 5'!D1189="&lt;please select&gt;","",'Q 5'!D1189))</f>
        <v>27 - Production of secondary aluminium as specific in Annex I of Directive 2003/87/EC</v>
      </c>
    </row>
    <row r="4117" spans="1:11" x14ac:dyDescent="0.3">
      <c r="A4117" t="s">
        <v>1886</v>
      </c>
      <c r="B4117" t="s">
        <v>1887</v>
      </c>
      <c r="C4117">
        <v>47</v>
      </c>
      <c r="D4117" t="s">
        <v>1447</v>
      </c>
      <c r="E4117" t="s">
        <v>1888</v>
      </c>
      <c r="F4117" t="s">
        <v>1737</v>
      </c>
      <c r="K4117" t="str">
        <f>IF(ISBLANK('Q 5'!D1190),"",IF('Q 5'!D1190="&lt;please select&gt;","",'Q 5'!D1190))</f>
        <v xml:space="preserve">38 - Production of nitric acid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in accordance with Article 69(1)</v>
      </c>
    </row>
    <row r="4142" spans="1:11" x14ac:dyDescent="0.3">
      <c r="A4142" t="s">
        <v>1886</v>
      </c>
      <c r="B4142" t="s">
        <v>1887</v>
      </c>
      <c r="C4142">
        <v>2</v>
      </c>
      <c r="D4142" t="s">
        <v>1447</v>
      </c>
      <c r="E4142" t="s">
        <v>1889</v>
      </c>
      <c r="F4142" t="s">
        <v>1737</v>
      </c>
      <c r="K4142" t="str">
        <f>IF(ISBLANK('Q 5'!F1145),"",IF('Q 5'!F1145="&lt;please select&gt;","",'Q 5'!F1145))</f>
        <v>Improvement report in accordance with Article 69(1)</v>
      </c>
    </row>
    <row r="4143" spans="1:11" x14ac:dyDescent="0.3">
      <c r="A4143" t="s">
        <v>1886</v>
      </c>
      <c r="B4143" t="s">
        <v>1887</v>
      </c>
      <c r="C4143">
        <v>3</v>
      </c>
      <c r="D4143" t="s">
        <v>1447</v>
      </c>
      <c r="E4143" t="s">
        <v>1889</v>
      </c>
      <c r="F4143" t="s">
        <v>1737</v>
      </c>
      <c r="K4143" t="str">
        <f>IF(ISBLANK('Q 5'!F1146),"",IF('Q 5'!F1146="&lt;please select&gt;","",'Q 5'!F1146))</f>
        <v>Improvement report in accordance with Article 69(1)</v>
      </c>
    </row>
    <row r="4144" spans="1:11" x14ac:dyDescent="0.3">
      <c r="A4144" t="s">
        <v>1886</v>
      </c>
      <c r="B4144" t="s">
        <v>1887</v>
      </c>
      <c r="C4144">
        <v>4</v>
      </c>
      <c r="D4144" t="s">
        <v>1447</v>
      </c>
      <c r="E4144" t="s">
        <v>1889</v>
      </c>
      <c r="F4144" t="s">
        <v>1737</v>
      </c>
      <c r="K4144" t="str">
        <f>IF(ISBLANK('Q 5'!F1147),"",IF('Q 5'!F1147="&lt;please select&gt;","",'Q 5'!F1147))</f>
        <v>Improvement report in accordance with Article 69(1)</v>
      </c>
    </row>
    <row r="4145" spans="1:11" x14ac:dyDescent="0.3">
      <c r="A4145" t="s">
        <v>1886</v>
      </c>
      <c r="B4145" t="s">
        <v>1887</v>
      </c>
      <c r="C4145">
        <v>5</v>
      </c>
      <c r="D4145" t="s">
        <v>1447</v>
      </c>
      <c r="E4145" t="s">
        <v>1889</v>
      </c>
      <c r="F4145" t="s">
        <v>1737</v>
      </c>
      <c r="K4145" t="str">
        <f>IF(ISBLANK('Q 5'!F1148),"",IF('Q 5'!F1148="&lt;please select&gt;","",'Q 5'!F1148))</f>
        <v>Improvement report according to Article 69(4)</v>
      </c>
    </row>
    <row r="4146" spans="1:11" x14ac:dyDescent="0.3">
      <c r="A4146" t="s">
        <v>1886</v>
      </c>
      <c r="B4146" t="s">
        <v>1887</v>
      </c>
      <c r="C4146">
        <v>6</v>
      </c>
      <c r="D4146" t="s">
        <v>1447</v>
      </c>
      <c r="E4146" t="s">
        <v>1889</v>
      </c>
      <c r="F4146" t="s">
        <v>1737</v>
      </c>
      <c r="K4146" t="str">
        <f>IF(ISBLANK('Q 5'!F1149),"",IF('Q 5'!F1149="&lt;please select&gt;","",'Q 5'!F1149))</f>
        <v>Improvement report according to Article 69(4)</v>
      </c>
    </row>
    <row r="4147" spans="1:11" x14ac:dyDescent="0.3">
      <c r="A4147" t="s">
        <v>1886</v>
      </c>
      <c r="B4147" t="s">
        <v>1887</v>
      </c>
      <c r="C4147">
        <v>7</v>
      </c>
      <c r="D4147" t="s">
        <v>1447</v>
      </c>
      <c r="E4147" t="s">
        <v>1889</v>
      </c>
      <c r="F4147" t="s">
        <v>1737</v>
      </c>
      <c r="K4147" t="str">
        <f>IF(ISBLANK('Q 5'!F1150),"",IF('Q 5'!F1150="&lt;please select&gt;","",'Q 5'!F1150))</f>
        <v>Improvement report according to Article 69(4)</v>
      </c>
    </row>
    <row r="4148" spans="1:11" x14ac:dyDescent="0.3">
      <c r="A4148" t="s">
        <v>1886</v>
      </c>
      <c r="B4148" t="s">
        <v>1887</v>
      </c>
      <c r="C4148">
        <v>8</v>
      </c>
      <c r="D4148" t="s">
        <v>1447</v>
      </c>
      <c r="E4148" t="s">
        <v>1889</v>
      </c>
      <c r="F4148" t="s">
        <v>1737</v>
      </c>
      <c r="K4148" t="str">
        <f>IF(ISBLANK('Q 5'!F1151),"",IF('Q 5'!F1151="&lt;please select&gt;","",'Q 5'!F1151))</f>
        <v>Improvement report according to Article 69(4)</v>
      </c>
    </row>
    <row r="4149" spans="1:11" x14ac:dyDescent="0.3">
      <c r="A4149" t="s">
        <v>1886</v>
      </c>
      <c r="B4149" t="s">
        <v>1887</v>
      </c>
      <c r="C4149">
        <v>9</v>
      </c>
      <c r="D4149" t="s">
        <v>1447</v>
      </c>
      <c r="E4149" t="s">
        <v>1889</v>
      </c>
      <c r="F4149" t="s">
        <v>1737</v>
      </c>
      <c r="K4149" t="str">
        <f>IF(ISBLANK('Q 5'!F1152),"",IF('Q 5'!F1152="&lt;please select&gt;","",'Q 5'!F1152))</f>
        <v>Improvement report according to Article 69(4)</v>
      </c>
    </row>
    <row r="4150" spans="1:11" x14ac:dyDescent="0.3">
      <c r="A4150" t="s">
        <v>1886</v>
      </c>
      <c r="B4150" t="s">
        <v>1887</v>
      </c>
      <c r="C4150">
        <v>10</v>
      </c>
      <c r="D4150" t="s">
        <v>1447</v>
      </c>
      <c r="E4150" t="s">
        <v>1889</v>
      </c>
      <c r="F4150" t="s">
        <v>1737</v>
      </c>
      <c r="K4150" t="str">
        <f>IF(ISBLANK('Q 5'!F1153),"",IF('Q 5'!F1153="&lt;please select&gt;","",'Q 5'!F1153))</f>
        <v>Improvement report according to Article 69(4)</v>
      </c>
    </row>
    <row r="4151" spans="1:11" x14ac:dyDescent="0.3">
      <c r="A4151" t="s">
        <v>1886</v>
      </c>
      <c r="B4151" t="s">
        <v>1887</v>
      </c>
      <c r="C4151">
        <v>11</v>
      </c>
      <c r="D4151" t="s">
        <v>1447</v>
      </c>
      <c r="E4151" t="s">
        <v>1889</v>
      </c>
      <c r="F4151" t="s">
        <v>1737</v>
      </c>
      <c r="K4151" t="str">
        <f>IF(ISBLANK('Q 5'!F1154),"",IF('Q 5'!F1154="&lt;please select&gt;","",'Q 5'!F1154))</f>
        <v>Improvement report according to Article 69(4)</v>
      </c>
    </row>
    <row r="4152" spans="1:11" x14ac:dyDescent="0.3">
      <c r="A4152" t="s">
        <v>1886</v>
      </c>
      <c r="B4152" t="s">
        <v>1887</v>
      </c>
      <c r="C4152">
        <v>12</v>
      </c>
      <c r="D4152" t="s">
        <v>1447</v>
      </c>
      <c r="E4152" t="s">
        <v>1889</v>
      </c>
      <c r="F4152" t="s">
        <v>1737</v>
      </c>
      <c r="K4152" t="str">
        <f>IF(ISBLANK('Q 5'!F1155),"",IF('Q 5'!F1155="&lt;please select&gt;","",'Q 5'!F1155))</f>
        <v>Improvement report according to Article 69(4)</v>
      </c>
    </row>
    <row r="4153" spans="1:11" x14ac:dyDescent="0.3">
      <c r="A4153" t="s">
        <v>1886</v>
      </c>
      <c r="B4153" t="s">
        <v>1887</v>
      </c>
      <c r="C4153">
        <v>13</v>
      </c>
      <c r="D4153" t="s">
        <v>1447</v>
      </c>
      <c r="E4153" t="s">
        <v>1889</v>
      </c>
      <c r="F4153" t="s">
        <v>1737</v>
      </c>
      <c r="K4153" t="str">
        <f>IF(ISBLANK('Q 5'!F1156),"",IF('Q 5'!F1156="&lt;please select&gt;","",'Q 5'!F1156))</f>
        <v>Improvement report according to Article 69(4)</v>
      </c>
    </row>
    <row r="4154" spans="1:11" x14ac:dyDescent="0.3">
      <c r="A4154" t="s">
        <v>1886</v>
      </c>
      <c r="B4154" t="s">
        <v>1887</v>
      </c>
      <c r="C4154">
        <v>14</v>
      </c>
      <c r="D4154" t="s">
        <v>1447</v>
      </c>
      <c r="E4154" t="s">
        <v>1889</v>
      </c>
      <c r="F4154" t="s">
        <v>1737</v>
      </c>
      <c r="K4154" t="str">
        <f>IF(ISBLANK('Q 5'!F1157),"",IF('Q 5'!F1157="&lt;please select&gt;","",'Q 5'!F1157))</f>
        <v>Improvement report according to Article 69(4)</v>
      </c>
    </row>
    <row r="4155" spans="1:11" x14ac:dyDescent="0.3">
      <c r="A4155" t="s">
        <v>1886</v>
      </c>
      <c r="B4155" t="s">
        <v>1887</v>
      </c>
      <c r="C4155">
        <v>15</v>
      </c>
      <c r="D4155" t="s">
        <v>1447</v>
      </c>
      <c r="E4155" t="s">
        <v>1889</v>
      </c>
      <c r="F4155" t="s">
        <v>1737</v>
      </c>
      <c r="K4155" t="str">
        <f>IF(ISBLANK('Q 5'!F1158),"",IF('Q 5'!F1158="&lt;please select&gt;","",'Q 5'!F1158))</f>
        <v>Improvement report according to Article 69(4)</v>
      </c>
    </row>
    <row r="4156" spans="1:11" x14ac:dyDescent="0.3">
      <c r="A4156" t="s">
        <v>1886</v>
      </c>
      <c r="B4156" t="s">
        <v>1887</v>
      </c>
      <c r="C4156">
        <v>16</v>
      </c>
      <c r="D4156" t="s">
        <v>1447</v>
      </c>
      <c r="E4156" t="s">
        <v>1889</v>
      </c>
      <c r="F4156" t="s">
        <v>1737</v>
      </c>
      <c r="K4156" t="str">
        <f>IF(ISBLANK('Q 5'!F1159),"",IF('Q 5'!F1159="&lt;please select&gt;","",'Q 5'!F1159))</f>
        <v>Improvement report according to Article 69(4)</v>
      </c>
    </row>
    <row r="4157" spans="1:11" x14ac:dyDescent="0.3">
      <c r="A4157" t="s">
        <v>1886</v>
      </c>
      <c r="B4157" t="s">
        <v>1887</v>
      </c>
      <c r="C4157">
        <v>17</v>
      </c>
      <c r="D4157" t="s">
        <v>1447</v>
      </c>
      <c r="E4157" t="s">
        <v>1889</v>
      </c>
      <c r="F4157" t="s">
        <v>1737</v>
      </c>
      <c r="K4157" t="str">
        <f>IF(ISBLANK('Q 5'!F1160),"",IF('Q 5'!F1160="&lt;please select&gt;","",'Q 5'!F1160))</f>
        <v>Improvement report according to Article 69(4)</v>
      </c>
    </row>
    <row r="4158" spans="1:11" x14ac:dyDescent="0.3">
      <c r="A4158" t="s">
        <v>1886</v>
      </c>
      <c r="B4158" t="s">
        <v>1887</v>
      </c>
      <c r="C4158">
        <v>18</v>
      </c>
      <c r="D4158" t="s">
        <v>1447</v>
      </c>
      <c r="E4158" t="s">
        <v>1889</v>
      </c>
      <c r="F4158" t="s">
        <v>1737</v>
      </c>
      <c r="K4158" t="str">
        <f>IF(ISBLANK('Q 5'!F1161),"",IF('Q 5'!F1161="&lt;please select&gt;","",'Q 5'!F1161))</f>
        <v>Improvement report according to Article 69(4)</v>
      </c>
    </row>
    <row r="4159" spans="1:11" x14ac:dyDescent="0.3">
      <c r="A4159" t="s">
        <v>1886</v>
      </c>
      <c r="B4159" t="s">
        <v>1887</v>
      </c>
      <c r="C4159">
        <v>19</v>
      </c>
      <c r="D4159" t="s">
        <v>1447</v>
      </c>
      <c r="E4159" t="s">
        <v>1889</v>
      </c>
      <c r="F4159" t="s">
        <v>1737</v>
      </c>
      <c r="K4159" t="str">
        <f>IF(ISBLANK('Q 5'!F1162),"",IF('Q 5'!F1162="&lt;please select&gt;","",'Q 5'!F1162))</f>
        <v>Improvement report according to Article 69(4)</v>
      </c>
    </row>
    <row r="4160" spans="1:11" x14ac:dyDescent="0.3">
      <c r="A4160" t="s">
        <v>1886</v>
      </c>
      <c r="B4160" t="s">
        <v>1887</v>
      </c>
      <c r="C4160">
        <v>20</v>
      </c>
      <c r="D4160" t="s">
        <v>1447</v>
      </c>
      <c r="E4160" t="s">
        <v>1889</v>
      </c>
      <c r="F4160" t="s">
        <v>1737</v>
      </c>
      <c r="K4160" t="str">
        <f>IF(ISBLANK('Q 5'!F1163),"",IF('Q 5'!F1163="&lt;please select&gt;","",'Q 5'!F1163))</f>
        <v>Improvement report according to Article 69(4)</v>
      </c>
    </row>
    <row r="4161" spans="1:11" x14ac:dyDescent="0.3">
      <c r="A4161" t="s">
        <v>1886</v>
      </c>
      <c r="B4161" t="s">
        <v>1887</v>
      </c>
      <c r="C4161">
        <v>21</v>
      </c>
      <c r="D4161" t="s">
        <v>1447</v>
      </c>
      <c r="E4161" t="s">
        <v>1889</v>
      </c>
      <c r="F4161" t="s">
        <v>1737</v>
      </c>
      <c r="K4161" t="str">
        <f>IF(ISBLANK('Q 5'!F1164),"",IF('Q 5'!F1164="&lt;please select&gt;","",'Q 5'!F1164))</f>
        <v>Improvement report according to Article 69(4)</v>
      </c>
    </row>
    <row r="4162" spans="1:11" x14ac:dyDescent="0.3">
      <c r="A4162" t="s">
        <v>1886</v>
      </c>
      <c r="B4162" t="s">
        <v>1887</v>
      </c>
      <c r="C4162">
        <v>22</v>
      </c>
      <c r="D4162" t="s">
        <v>1447</v>
      </c>
      <c r="E4162" t="s">
        <v>1889</v>
      </c>
      <c r="F4162" t="s">
        <v>1737</v>
      </c>
      <c r="K4162" t="str">
        <f>IF(ISBLANK('Q 5'!F1165),"",IF('Q 5'!F1165="&lt;please select&gt;","",'Q 5'!F1165))</f>
        <v>Improvement report according to Article 69(4)</v>
      </c>
    </row>
    <row r="4163" spans="1:11" x14ac:dyDescent="0.3">
      <c r="A4163" t="s">
        <v>1886</v>
      </c>
      <c r="B4163" t="s">
        <v>1887</v>
      </c>
      <c r="C4163">
        <v>23</v>
      </c>
      <c r="D4163" t="s">
        <v>1447</v>
      </c>
      <c r="E4163" t="s">
        <v>1889</v>
      </c>
      <c r="F4163" t="s">
        <v>1737</v>
      </c>
      <c r="K4163" t="str">
        <f>IF(ISBLANK('Q 5'!F1166),"",IF('Q 5'!F1166="&lt;please select&gt;","",'Q 5'!F1166))</f>
        <v>Improvement report according to Article 69(4)</v>
      </c>
    </row>
    <row r="4164" spans="1:11" x14ac:dyDescent="0.3">
      <c r="A4164" t="s">
        <v>1886</v>
      </c>
      <c r="B4164" t="s">
        <v>1887</v>
      </c>
      <c r="C4164">
        <v>24</v>
      </c>
      <c r="D4164" t="s">
        <v>1447</v>
      </c>
      <c r="E4164" t="s">
        <v>1889</v>
      </c>
      <c r="F4164" t="s">
        <v>1737</v>
      </c>
      <c r="K4164" t="str">
        <f>IF(ISBLANK('Q 5'!F1167),"",IF('Q 5'!F1167="&lt;please select&gt;","",'Q 5'!F1167))</f>
        <v>Improvement report according to Article 69(4)</v>
      </c>
    </row>
    <row r="4165" spans="1:11" x14ac:dyDescent="0.3">
      <c r="A4165" t="s">
        <v>1886</v>
      </c>
      <c r="B4165" t="s">
        <v>1887</v>
      </c>
      <c r="C4165">
        <v>25</v>
      </c>
      <c r="D4165" t="s">
        <v>1447</v>
      </c>
      <c r="E4165" t="s">
        <v>1889</v>
      </c>
      <c r="F4165" t="s">
        <v>1737</v>
      </c>
      <c r="K4165" t="str">
        <f>IF(ISBLANK('Q 5'!F1168),"",IF('Q 5'!F1168="&lt;please select&gt;","",'Q 5'!F1168))</f>
        <v>Improvement report according to Article 69(4)</v>
      </c>
    </row>
    <row r="4166" spans="1:11" x14ac:dyDescent="0.3">
      <c r="A4166" t="s">
        <v>1886</v>
      </c>
      <c r="B4166" t="s">
        <v>1887</v>
      </c>
      <c r="C4166">
        <v>26</v>
      </c>
      <c r="D4166" t="s">
        <v>1447</v>
      </c>
      <c r="E4166" t="s">
        <v>1889</v>
      </c>
      <c r="F4166" t="s">
        <v>1737</v>
      </c>
      <c r="K4166" t="str">
        <f>IF(ISBLANK('Q 5'!F1169),"",IF('Q 5'!F1169="&lt;please select&gt;","",'Q 5'!F1169))</f>
        <v>Improvement report according to Article 69(4)</v>
      </c>
    </row>
    <row r="4167" spans="1:11" x14ac:dyDescent="0.3">
      <c r="A4167" t="s">
        <v>1886</v>
      </c>
      <c r="B4167" t="s">
        <v>1887</v>
      </c>
      <c r="C4167">
        <v>27</v>
      </c>
      <c r="D4167" t="s">
        <v>1447</v>
      </c>
      <c r="E4167" t="s">
        <v>1889</v>
      </c>
      <c r="F4167" t="s">
        <v>1737</v>
      </c>
      <c r="K4167" t="str">
        <f>IF(ISBLANK('Q 5'!F1170),"",IF('Q 5'!F1170="&lt;please select&gt;","",'Q 5'!F1170))</f>
        <v>Improvement report according to Article 69(4)</v>
      </c>
    </row>
    <row r="4168" spans="1:11" x14ac:dyDescent="0.3">
      <c r="A4168" t="s">
        <v>1886</v>
      </c>
      <c r="B4168" t="s">
        <v>1887</v>
      </c>
      <c r="C4168">
        <v>28</v>
      </c>
      <c r="D4168" t="s">
        <v>1447</v>
      </c>
      <c r="E4168" t="s">
        <v>1889</v>
      </c>
      <c r="F4168" t="s">
        <v>1737</v>
      </c>
      <c r="K4168" t="str">
        <f>IF(ISBLANK('Q 5'!F1171),"",IF('Q 5'!F1171="&lt;please select&gt;","",'Q 5'!F1171))</f>
        <v>Improvement report according to Article 69(4)</v>
      </c>
    </row>
    <row r="4169" spans="1:11" x14ac:dyDescent="0.3">
      <c r="A4169" t="s">
        <v>1886</v>
      </c>
      <c r="B4169" t="s">
        <v>1887</v>
      </c>
      <c r="C4169">
        <v>29</v>
      </c>
      <c r="D4169" t="s">
        <v>1447</v>
      </c>
      <c r="E4169" t="s">
        <v>1889</v>
      </c>
      <c r="F4169" t="s">
        <v>1737</v>
      </c>
      <c r="K4169" t="str">
        <f>IF(ISBLANK('Q 5'!F1172),"",IF('Q 5'!F1172="&lt;please select&gt;","",'Q 5'!F1172))</f>
        <v>Improvement report according to Article 69(4)</v>
      </c>
    </row>
    <row r="4170" spans="1:11" x14ac:dyDescent="0.3">
      <c r="A4170" t="s">
        <v>1886</v>
      </c>
      <c r="B4170" t="s">
        <v>1887</v>
      </c>
      <c r="C4170">
        <v>30</v>
      </c>
      <c r="D4170" t="s">
        <v>1447</v>
      </c>
      <c r="E4170" t="s">
        <v>1889</v>
      </c>
      <c r="F4170" t="s">
        <v>1737</v>
      </c>
      <c r="K4170" t="str">
        <f>IF(ISBLANK('Q 5'!F1173),"",IF('Q 5'!F1173="&lt;please select&gt;","",'Q 5'!F1173))</f>
        <v>Improvement report according to Article 69(4)</v>
      </c>
    </row>
    <row r="4171" spans="1:11" x14ac:dyDescent="0.3">
      <c r="A4171" t="s">
        <v>1886</v>
      </c>
      <c r="B4171" t="s">
        <v>1887</v>
      </c>
      <c r="C4171">
        <v>31</v>
      </c>
      <c r="D4171" t="s">
        <v>1447</v>
      </c>
      <c r="E4171" t="s">
        <v>1889</v>
      </c>
      <c r="F4171" t="s">
        <v>1737</v>
      </c>
      <c r="K4171" t="str">
        <f>IF(ISBLANK('Q 5'!F1174),"",IF('Q 5'!F1174="&lt;please select&gt;","",'Q 5'!F1174))</f>
        <v>Improvement report according to Article 69(4)</v>
      </c>
    </row>
    <row r="4172" spans="1:11" x14ac:dyDescent="0.3">
      <c r="A4172" t="s">
        <v>1886</v>
      </c>
      <c r="B4172" t="s">
        <v>1887</v>
      </c>
      <c r="C4172">
        <v>32</v>
      </c>
      <c r="D4172" t="s">
        <v>1447</v>
      </c>
      <c r="E4172" t="s">
        <v>1889</v>
      </c>
      <c r="F4172" t="s">
        <v>1737</v>
      </c>
      <c r="K4172" t="str">
        <f>IF(ISBLANK('Q 5'!F1175),"",IF('Q 5'!F1175="&lt;please select&gt;","",'Q 5'!F1175))</f>
        <v>Improvement report according to Article 69(4)</v>
      </c>
    </row>
    <row r="4173" spans="1:11" x14ac:dyDescent="0.3">
      <c r="A4173" t="s">
        <v>1886</v>
      </c>
      <c r="B4173" t="s">
        <v>1887</v>
      </c>
      <c r="C4173">
        <v>33</v>
      </c>
      <c r="D4173" t="s">
        <v>1447</v>
      </c>
      <c r="E4173" t="s">
        <v>1889</v>
      </c>
      <c r="F4173" t="s">
        <v>1737</v>
      </c>
      <c r="K4173" t="str">
        <f>IF(ISBLANK('Q 5'!F1176),"",IF('Q 5'!F1176="&lt;please select&gt;","",'Q 5'!F1176))</f>
        <v>Improvement report according to Article 69(4)</v>
      </c>
    </row>
    <row r="4174" spans="1:11" x14ac:dyDescent="0.3">
      <c r="A4174" t="s">
        <v>1886</v>
      </c>
      <c r="B4174" t="s">
        <v>1887</v>
      </c>
      <c r="C4174">
        <v>34</v>
      </c>
      <c r="D4174" t="s">
        <v>1447</v>
      </c>
      <c r="E4174" t="s">
        <v>1889</v>
      </c>
      <c r="F4174" t="s">
        <v>1737</v>
      </c>
      <c r="K4174" t="str">
        <f>IF(ISBLANK('Q 5'!F1177),"",IF('Q 5'!F1177="&lt;please select&gt;","",'Q 5'!F1177))</f>
        <v>Improvement report according to Article 69(4)</v>
      </c>
    </row>
    <row r="4175" spans="1:11" x14ac:dyDescent="0.3">
      <c r="A4175" t="s">
        <v>1886</v>
      </c>
      <c r="B4175" t="s">
        <v>1887</v>
      </c>
      <c r="C4175">
        <v>35</v>
      </c>
      <c r="D4175" t="s">
        <v>1447</v>
      </c>
      <c r="E4175" t="s">
        <v>1889</v>
      </c>
      <c r="F4175" t="s">
        <v>1737</v>
      </c>
      <c r="K4175" t="str">
        <f>IF(ISBLANK('Q 5'!F1178),"",IF('Q 5'!F1178="&lt;please select&gt;","",'Q 5'!F1178))</f>
        <v>Improvement report according to Article 69(4)</v>
      </c>
    </row>
    <row r="4176" spans="1:11" x14ac:dyDescent="0.3">
      <c r="A4176" t="s">
        <v>1886</v>
      </c>
      <c r="B4176" t="s">
        <v>1887</v>
      </c>
      <c r="C4176">
        <v>36</v>
      </c>
      <c r="D4176" t="s">
        <v>1447</v>
      </c>
      <c r="E4176" t="s">
        <v>1889</v>
      </c>
      <c r="F4176" t="s">
        <v>1737</v>
      </c>
      <c r="K4176" t="str">
        <f>IF(ISBLANK('Q 5'!F1179),"",IF('Q 5'!F1179="&lt;please select&gt;","",'Q 5'!F1179))</f>
        <v>Improvement report according to Article 69(4)</v>
      </c>
    </row>
    <row r="4177" spans="1:11" x14ac:dyDescent="0.3">
      <c r="A4177" t="s">
        <v>1886</v>
      </c>
      <c r="B4177" t="s">
        <v>1887</v>
      </c>
      <c r="C4177">
        <v>37</v>
      </c>
      <c r="D4177" t="s">
        <v>1447</v>
      </c>
      <c r="E4177" t="s">
        <v>1889</v>
      </c>
      <c r="F4177" t="s">
        <v>1737</v>
      </c>
      <c r="K4177" t="str">
        <f>IF(ISBLANK('Q 5'!F1180),"",IF('Q 5'!F1180="&lt;please select&gt;","",'Q 5'!F1180))</f>
        <v>Improvement report according to Article 69(4)</v>
      </c>
    </row>
    <row r="4178" spans="1:11" x14ac:dyDescent="0.3">
      <c r="A4178" t="s">
        <v>1886</v>
      </c>
      <c r="B4178" t="s">
        <v>1887</v>
      </c>
      <c r="C4178">
        <v>38</v>
      </c>
      <c r="D4178" t="s">
        <v>1447</v>
      </c>
      <c r="E4178" t="s">
        <v>1889</v>
      </c>
      <c r="F4178" t="s">
        <v>1737</v>
      </c>
      <c r="K4178" t="str">
        <f>IF(ISBLANK('Q 5'!F1181),"",IF('Q 5'!F1181="&lt;please select&gt;","",'Q 5'!F1181))</f>
        <v>Improvement report according to Article 69(4)</v>
      </c>
    </row>
    <row r="4179" spans="1:11" x14ac:dyDescent="0.3">
      <c r="A4179" t="s">
        <v>1886</v>
      </c>
      <c r="B4179" t="s">
        <v>1887</v>
      </c>
      <c r="C4179">
        <v>39</v>
      </c>
      <c r="D4179" t="s">
        <v>1447</v>
      </c>
      <c r="E4179" t="s">
        <v>1889</v>
      </c>
      <c r="F4179" t="s">
        <v>1737</v>
      </c>
      <c r="K4179" t="str">
        <f>IF(ISBLANK('Q 5'!F1182),"",IF('Q 5'!F1182="&lt;please select&gt;","",'Q 5'!F1182))</f>
        <v>Improvement report according to Article 69(4)</v>
      </c>
    </row>
    <row r="4180" spans="1:11" x14ac:dyDescent="0.3">
      <c r="A4180" t="s">
        <v>1886</v>
      </c>
      <c r="B4180" t="s">
        <v>1887</v>
      </c>
      <c r="C4180">
        <v>40</v>
      </c>
      <c r="D4180" t="s">
        <v>1447</v>
      </c>
      <c r="E4180" t="s">
        <v>1889</v>
      </c>
      <c r="F4180" t="s">
        <v>1737</v>
      </c>
      <c r="K4180" t="str">
        <f>IF(ISBLANK('Q 5'!F1183),"",IF('Q 5'!F1183="&lt;please select&gt;","",'Q 5'!F1183))</f>
        <v>Improvement report according to Article 69(4)</v>
      </c>
    </row>
    <row r="4181" spans="1:11" x14ac:dyDescent="0.3">
      <c r="A4181" t="s">
        <v>1886</v>
      </c>
      <c r="B4181" t="s">
        <v>1887</v>
      </c>
      <c r="C4181">
        <v>41</v>
      </c>
      <c r="D4181" t="s">
        <v>1447</v>
      </c>
      <c r="E4181" t="s">
        <v>1889</v>
      </c>
      <c r="F4181" t="s">
        <v>1737</v>
      </c>
      <c r="K4181" t="str">
        <f>IF(ISBLANK('Q 5'!F1184),"",IF('Q 5'!F1184="&lt;please select&gt;","",'Q 5'!F1184))</f>
        <v>Improvement report according to Article 69(4)</v>
      </c>
    </row>
    <row r="4182" spans="1:11" x14ac:dyDescent="0.3">
      <c r="A4182" t="s">
        <v>1886</v>
      </c>
      <c r="B4182" t="s">
        <v>1887</v>
      </c>
      <c r="C4182">
        <v>42</v>
      </c>
      <c r="D4182" t="s">
        <v>1447</v>
      </c>
      <c r="E4182" t="s">
        <v>1889</v>
      </c>
      <c r="F4182" t="s">
        <v>1737</v>
      </c>
      <c r="K4182" t="str">
        <f>IF(ISBLANK('Q 5'!F1185),"",IF('Q 5'!F1185="&lt;please select&gt;","",'Q 5'!F1185))</f>
        <v>Improvement report according to Article 69(4)</v>
      </c>
    </row>
    <row r="4183" spans="1:11" x14ac:dyDescent="0.3">
      <c r="A4183" t="s">
        <v>1886</v>
      </c>
      <c r="B4183" t="s">
        <v>1887</v>
      </c>
      <c r="C4183">
        <v>43</v>
      </c>
      <c r="D4183" t="s">
        <v>1447</v>
      </c>
      <c r="E4183" t="s">
        <v>1889</v>
      </c>
      <c r="F4183" t="s">
        <v>1737</v>
      </c>
      <c r="K4183" t="str">
        <f>IF(ISBLANK('Q 5'!F1186),"",IF('Q 5'!F1186="&lt;please select&gt;","",'Q 5'!F1186))</f>
        <v>Improvement report according to Article 69(4)</v>
      </c>
    </row>
    <row r="4184" spans="1:11" x14ac:dyDescent="0.3">
      <c r="A4184" t="s">
        <v>1886</v>
      </c>
      <c r="B4184" t="s">
        <v>1887</v>
      </c>
      <c r="C4184">
        <v>44</v>
      </c>
      <c r="D4184" t="s">
        <v>1447</v>
      </c>
      <c r="E4184" t="s">
        <v>1889</v>
      </c>
      <c r="F4184" t="s">
        <v>1737</v>
      </c>
      <c r="K4184" t="str">
        <f>IF(ISBLANK('Q 5'!F1187),"",IF('Q 5'!F1187="&lt;please select&gt;","",'Q 5'!F1187))</f>
        <v>Improvement report according to Article 69(4)</v>
      </c>
    </row>
    <row r="4185" spans="1:11" x14ac:dyDescent="0.3">
      <c r="A4185" t="s">
        <v>1886</v>
      </c>
      <c r="B4185" t="s">
        <v>1887</v>
      </c>
      <c r="C4185">
        <v>45</v>
      </c>
      <c r="D4185" t="s">
        <v>1447</v>
      </c>
      <c r="E4185" t="s">
        <v>1889</v>
      </c>
      <c r="F4185" t="s">
        <v>1737</v>
      </c>
      <c r="K4185" t="str">
        <f>IF(ISBLANK('Q 5'!F1188),"",IF('Q 5'!F1188="&lt;please select&gt;","",'Q 5'!F1188))</f>
        <v>Improvement report according to Article 69(4)</v>
      </c>
    </row>
    <row r="4186" spans="1:11" x14ac:dyDescent="0.3">
      <c r="A4186" t="s">
        <v>1886</v>
      </c>
      <c r="B4186" t="s">
        <v>1887</v>
      </c>
      <c r="C4186">
        <v>46</v>
      </c>
      <c r="D4186" t="s">
        <v>1447</v>
      </c>
      <c r="E4186" t="s">
        <v>1889</v>
      </c>
      <c r="F4186" t="s">
        <v>1737</v>
      </c>
      <c r="K4186" t="str">
        <f>IF(ISBLANK('Q 5'!F1189),"",IF('Q 5'!F1189="&lt;please select&gt;","",'Q 5'!F1189))</f>
        <v>Improvement report according to Article 69(4)</v>
      </c>
    </row>
    <row r="4187" spans="1:11" x14ac:dyDescent="0.3">
      <c r="A4187" t="s">
        <v>1886</v>
      </c>
      <c r="B4187" t="s">
        <v>1887</v>
      </c>
      <c r="C4187">
        <v>47</v>
      </c>
      <c r="D4187" t="s">
        <v>1447</v>
      </c>
      <c r="E4187" t="s">
        <v>1889</v>
      </c>
      <c r="F4187" t="s">
        <v>1737</v>
      </c>
      <c r="K4187" t="str">
        <f>IF(ISBLANK('Q 5'!F1190),"",IF('Q 5'!F1190="&lt;please select&gt;","",'Q 5'!F1190))</f>
        <v>Improvement report according to Article 69(4)</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2</v>
      </c>
    </row>
    <row r="4212" spans="1:11" x14ac:dyDescent="0.3">
      <c r="A4212" t="s">
        <v>1886</v>
      </c>
      <c r="B4212" t="s">
        <v>1887</v>
      </c>
      <c r="C4212">
        <v>2</v>
      </c>
      <c r="D4212" t="s">
        <v>1447</v>
      </c>
      <c r="E4212" t="s">
        <v>1890</v>
      </c>
      <c r="F4212" t="s">
        <v>1748</v>
      </c>
      <c r="H4212" t="str">
        <f>IF(ISBLANK('Q 5'!H1145),"",IF('Q 5'!H1145="&lt;please select&gt;","",'Q 5'!H1145))</f>
        <v>2</v>
      </c>
    </row>
    <row r="4213" spans="1:11" x14ac:dyDescent="0.3">
      <c r="A4213" t="s">
        <v>1886</v>
      </c>
      <c r="B4213" t="s">
        <v>1887</v>
      </c>
      <c r="C4213">
        <v>3</v>
      </c>
      <c r="D4213" t="s">
        <v>1447</v>
      </c>
      <c r="E4213" t="s">
        <v>1890</v>
      </c>
      <c r="F4213" t="s">
        <v>1748</v>
      </c>
      <c r="H4213" t="str">
        <f>IF(ISBLANK('Q 5'!H1146),"",IF('Q 5'!H1146="&lt;please select&gt;","",'Q 5'!H1146))</f>
        <v>1</v>
      </c>
    </row>
    <row r="4214" spans="1:11" x14ac:dyDescent="0.3">
      <c r="A4214" t="s">
        <v>1886</v>
      </c>
      <c r="B4214" t="s">
        <v>1887</v>
      </c>
      <c r="C4214">
        <v>4</v>
      </c>
      <c r="D4214" t="s">
        <v>1447</v>
      </c>
      <c r="E4214" t="s">
        <v>1890</v>
      </c>
      <c r="F4214" t="s">
        <v>1748</v>
      </c>
      <c r="H4214" t="str">
        <f>IF(ISBLANK('Q 5'!H1147),"",IF('Q 5'!H1147="&lt;please select&gt;","",'Q 5'!H1147))</f>
        <v>1</v>
      </c>
    </row>
    <row r="4215" spans="1:11" x14ac:dyDescent="0.3">
      <c r="A4215" t="s">
        <v>1886</v>
      </c>
      <c r="B4215" t="s">
        <v>1887</v>
      </c>
      <c r="C4215">
        <v>5</v>
      </c>
      <c r="D4215" t="s">
        <v>1447</v>
      </c>
      <c r="E4215" t="s">
        <v>1890</v>
      </c>
      <c r="F4215" t="s">
        <v>1748</v>
      </c>
      <c r="H4215" t="str">
        <f>IF(ISBLANK('Q 5'!H1148),"",IF('Q 5'!H1148="&lt;please select&gt;","",'Q 5'!H1148))</f>
        <v>10</v>
      </c>
    </row>
    <row r="4216" spans="1:11" x14ac:dyDescent="0.3">
      <c r="A4216" t="s">
        <v>1886</v>
      </c>
      <c r="B4216" t="s">
        <v>1887</v>
      </c>
      <c r="C4216">
        <v>6</v>
      </c>
      <c r="D4216" t="s">
        <v>1447</v>
      </c>
      <c r="E4216" t="s">
        <v>1890</v>
      </c>
      <c r="F4216" t="s">
        <v>1748</v>
      </c>
      <c r="H4216" t="str">
        <f>IF(ISBLANK('Q 5'!H1149),"",IF('Q 5'!H1149="&lt;please select&gt;","",'Q 5'!H1149))</f>
        <v>1</v>
      </c>
    </row>
    <row r="4217" spans="1:11" x14ac:dyDescent="0.3">
      <c r="A4217" t="s">
        <v>1886</v>
      </c>
      <c r="B4217" t="s">
        <v>1887</v>
      </c>
      <c r="C4217">
        <v>7</v>
      </c>
      <c r="D4217" t="s">
        <v>1447</v>
      </c>
      <c r="E4217" t="s">
        <v>1890</v>
      </c>
      <c r="F4217" t="s">
        <v>1748</v>
      </c>
      <c r="H4217" t="str">
        <f>IF(ISBLANK('Q 5'!H1150),"",IF('Q 5'!H1150="&lt;please select&gt;","",'Q 5'!H1150))</f>
        <v>1</v>
      </c>
    </row>
    <row r="4218" spans="1:11" x14ac:dyDescent="0.3">
      <c r="A4218" t="s">
        <v>1886</v>
      </c>
      <c r="B4218" t="s">
        <v>1887</v>
      </c>
      <c r="C4218">
        <v>8</v>
      </c>
      <c r="D4218" t="s">
        <v>1447</v>
      </c>
      <c r="E4218" t="s">
        <v>1890</v>
      </c>
      <c r="F4218" t="s">
        <v>1748</v>
      </c>
      <c r="H4218" t="str">
        <f>IF(ISBLANK('Q 5'!H1151),"",IF('Q 5'!H1151="&lt;please select&gt;","",'Q 5'!H1151))</f>
        <v>1</v>
      </c>
    </row>
    <row r="4219" spans="1:11" x14ac:dyDescent="0.3">
      <c r="A4219" t="s">
        <v>1886</v>
      </c>
      <c r="B4219" t="s">
        <v>1887</v>
      </c>
      <c r="C4219">
        <v>9</v>
      </c>
      <c r="D4219" t="s">
        <v>1447</v>
      </c>
      <c r="E4219" t="s">
        <v>1890</v>
      </c>
      <c r="F4219" t="s">
        <v>1748</v>
      </c>
      <c r="H4219" t="str">
        <f>IF(ISBLANK('Q 5'!H1152),"",IF('Q 5'!H1152="&lt;please select&gt;","",'Q 5'!H1152))</f>
        <v>1</v>
      </c>
    </row>
    <row r="4220" spans="1:11" x14ac:dyDescent="0.3">
      <c r="A4220" t="s">
        <v>1886</v>
      </c>
      <c r="B4220" t="s">
        <v>1887</v>
      </c>
      <c r="C4220">
        <v>10</v>
      </c>
      <c r="D4220" t="s">
        <v>1447</v>
      </c>
      <c r="E4220" t="s">
        <v>1890</v>
      </c>
      <c r="F4220" t="s">
        <v>1748</v>
      </c>
      <c r="H4220" t="str">
        <f>IF(ISBLANK('Q 5'!H1153),"",IF('Q 5'!H1153="&lt;please select&gt;","",'Q 5'!H1153))</f>
        <v>8</v>
      </c>
    </row>
    <row r="4221" spans="1:11" x14ac:dyDescent="0.3">
      <c r="A4221" t="s">
        <v>1886</v>
      </c>
      <c r="B4221" t="s">
        <v>1887</v>
      </c>
      <c r="C4221">
        <v>11</v>
      </c>
      <c r="D4221" t="s">
        <v>1447</v>
      </c>
      <c r="E4221" t="s">
        <v>1890</v>
      </c>
      <c r="F4221" t="s">
        <v>1748</v>
      </c>
      <c r="H4221" t="str">
        <f>IF(ISBLANK('Q 5'!H1154),"",IF('Q 5'!H1154="&lt;please select&gt;","",'Q 5'!H1154))</f>
        <v>1</v>
      </c>
    </row>
    <row r="4222" spans="1:11" x14ac:dyDescent="0.3">
      <c r="A4222" t="s">
        <v>1886</v>
      </c>
      <c r="B4222" t="s">
        <v>1887</v>
      </c>
      <c r="C4222">
        <v>12</v>
      </c>
      <c r="D4222" t="s">
        <v>1447</v>
      </c>
      <c r="E4222" t="s">
        <v>1890</v>
      </c>
      <c r="F4222" t="s">
        <v>1748</v>
      </c>
      <c r="H4222" t="str">
        <f>IF(ISBLANK('Q 5'!H1155),"",IF('Q 5'!H1155="&lt;please select&gt;","",'Q 5'!H1155))</f>
        <v>4</v>
      </c>
    </row>
    <row r="4223" spans="1:11" x14ac:dyDescent="0.3">
      <c r="A4223" t="s">
        <v>1886</v>
      </c>
      <c r="B4223" t="s">
        <v>1887</v>
      </c>
      <c r="C4223">
        <v>13</v>
      </c>
      <c r="D4223" t="s">
        <v>1447</v>
      </c>
      <c r="E4223" t="s">
        <v>1890</v>
      </c>
      <c r="F4223" t="s">
        <v>1748</v>
      </c>
      <c r="H4223" t="str">
        <f>IF(ISBLANK('Q 5'!H1156),"",IF('Q 5'!H1156="&lt;please select&gt;","",'Q 5'!H1156))</f>
        <v>1</v>
      </c>
    </row>
    <row r="4224" spans="1:11" x14ac:dyDescent="0.3">
      <c r="A4224" t="s">
        <v>1886</v>
      </c>
      <c r="B4224" t="s">
        <v>1887</v>
      </c>
      <c r="C4224">
        <v>14</v>
      </c>
      <c r="D4224" t="s">
        <v>1447</v>
      </c>
      <c r="E4224" t="s">
        <v>1890</v>
      </c>
      <c r="F4224" t="s">
        <v>1748</v>
      </c>
      <c r="H4224" t="str">
        <f>IF(ISBLANK('Q 5'!H1157),"",IF('Q 5'!H1157="&lt;please select&gt;","",'Q 5'!H1157))</f>
        <v>6</v>
      </c>
    </row>
    <row r="4225" spans="1:8" x14ac:dyDescent="0.3">
      <c r="A4225" t="s">
        <v>1886</v>
      </c>
      <c r="B4225" t="s">
        <v>1887</v>
      </c>
      <c r="C4225">
        <v>15</v>
      </c>
      <c r="D4225" t="s">
        <v>1447</v>
      </c>
      <c r="E4225" t="s">
        <v>1890</v>
      </c>
      <c r="F4225" t="s">
        <v>1748</v>
      </c>
      <c r="H4225" t="str">
        <f>IF(ISBLANK('Q 5'!H1158),"",IF('Q 5'!H1158="&lt;please select&gt;","",'Q 5'!H1158))</f>
        <v>36</v>
      </c>
    </row>
    <row r="4226" spans="1:8" x14ac:dyDescent="0.3">
      <c r="A4226" t="s">
        <v>1886</v>
      </c>
      <c r="B4226" t="s">
        <v>1887</v>
      </c>
      <c r="C4226">
        <v>16</v>
      </c>
      <c r="D4226" t="s">
        <v>1447</v>
      </c>
      <c r="E4226" t="s">
        <v>1890</v>
      </c>
      <c r="F4226" t="s">
        <v>1748</v>
      </c>
      <c r="H4226" t="str">
        <f>IF(ISBLANK('Q 5'!H1159),"",IF('Q 5'!H1159="&lt;please select&gt;","",'Q 5'!H1159))</f>
        <v>1</v>
      </c>
    </row>
    <row r="4227" spans="1:8" x14ac:dyDescent="0.3">
      <c r="A4227" t="s">
        <v>1886</v>
      </c>
      <c r="B4227" t="s">
        <v>1887</v>
      </c>
      <c r="C4227">
        <v>17</v>
      </c>
      <c r="D4227" t="s">
        <v>1447</v>
      </c>
      <c r="E4227" t="s">
        <v>1890</v>
      </c>
      <c r="F4227" t="s">
        <v>1748</v>
      </c>
      <c r="H4227" t="str">
        <f>IF(ISBLANK('Q 5'!H1160),"",IF('Q 5'!H1160="&lt;please select&gt;","",'Q 5'!H1160))</f>
        <v>13</v>
      </c>
    </row>
    <row r="4228" spans="1:8" x14ac:dyDescent="0.3">
      <c r="A4228" t="s">
        <v>1886</v>
      </c>
      <c r="B4228" t="s">
        <v>1887</v>
      </c>
      <c r="C4228">
        <v>18</v>
      </c>
      <c r="D4228" t="s">
        <v>1447</v>
      </c>
      <c r="E4228" t="s">
        <v>1890</v>
      </c>
      <c r="F4228" t="s">
        <v>1748</v>
      </c>
      <c r="H4228" t="str">
        <f>IF(ISBLANK('Q 5'!H1161),"",IF('Q 5'!H1161="&lt;please select&gt;","",'Q 5'!H1161))</f>
        <v>1</v>
      </c>
    </row>
    <row r="4229" spans="1:8" x14ac:dyDescent="0.3">
      <c r="A4229" t="s">
        <v>1886</v>
      </c>
      <c r="B4229" t="s">
        <v>1887</v>
      </c>
      <c r="C4229">
        <v>19</v>
      </c>
      <c r="D4229" t="s">
        <v>1447</v>
      </c>
      <c r="E4229" t="s">
        <v>1890</v>
      </c>
      <c r="F4229" t="s">
        <v>1748</v>
      </c>
      <c r="H4229" t="str">
        <f>IF(ISBLANK('Q 5'!H1162),"",IF('Q 5'!H1162="&lt;please select&gt;","",'Q 5'!H1162))</f>
        <v>13</v>
      </c>
    </row>
    <row r="4230" spans="1:8" x14ac:dyDescent="0.3">
      <c r="A4230" t="s">
        <v>1886</v>
      </c>
      <c r="B4230" t="s">
        <v>1887</v>
      </c>
      <c r="C4230">
        <v>20</v>
      </c>
      <c r="D4230" t="s">
        <v>1447</v>
      </c>
      <c r="E4230" t="s">
        <v>1890</v>
      </c>
      <c r="F4230" t="s">
        <v>1748</v>
      </c>
      <c r="H4230" t="str">
        <f>IF(ISBLANK('Q 5'!H1163),"",IF('Q 5'!H1163="&lt;please select&gt;","",'Q 5'!H1163))</f>
        <v>15</v>
      </c>
    </row>
    <row r="4231" spans="1:8" x14ac:dyDescent="0.3">
      <c r="A4231" t="s">
        <v>1886</v>
      </c>
      <c r="B4231" t="s">
        <v>1887</v>
      </c>
      <c r="C4231">
        <v>21</v>
      </c>
      <c r="D4231" t="s">
        <v>1447</v>
      </c>
      <c r="E4231" t="s">
        <v>1890</v>
      </c>
      <c r="F4231" t="s">
        <v>1748</v>
      </c>
      <c r="H4231" t="str">
        <f>IF(ISBLANK('Q 5'!H1164),"",IF('Q 5'!H1164="&lt;please select&gt;","",'Q 5'!H1164))</f>
        <v>8</v>
      </c>
    </row>
    <row r="4232" spans="1:8" x14ac:dyDescent="0.3">
      <c r="A4232" t="s">
        <v>1886</v>
      </c>
      <c r="B4232" t="s">
        <v>1887</v>
      </c>
      <c r="C4232">
        <v>22</v>
      </c>
      <c r="D4232" t="s">
        <v>1447</v>
      </c>
      <c r="E4232" t="s">
        <v>1890</v>
      </c>
      <c r="F4232" t="s">
        <v>1748</v>
      </c>
      <c r="H4232" t="str">
        <f>IF(ISBLANK('Q 5'!H1165),"",IF('Q 5'!H1165="&lt;please select&gt;","",'Q 5'!H1165))</f>
        <v>1</v>
      </c>
    </row>
    <row r="4233" spans="1:8" x14ac:dyDescent="0.3">
      <c r="A4233" t="s">
        <v>1886</v>
      </c>
      <c r="B4233" t="s">
        <v>1887</v>
      </c>
      <c r="C4233">
        <v>23</v>
      </c>
      <c r="D4233" t="s">
        <v>1447</v>
      </c>
      <c r="E4233" t="s">
        <v>1890</v>
      </c>
      <c r="F4233" t="s">
        <v>1748</v>
      </c>
      <c r="H4233" t="str">
        <f>IF(ISBLANK('Q 5'!H1166),"",IF('Q 5'!H1166="&lt;please select&gt;","",'Q 5'!H1166))</f>
        <v>3</v>
      </c>
    </row>
    <row r="4234" spans="1:8" x14ac:dyDescent="0.3">
      <c r="A4234" t="s">
        <v>1886</v>
      </c>
      <c r="B4234" t="s">
        <v>1887</v>
      </c>
      <c r="C4234">
        <v>24</v>
      </c>
      <c r="D4234" t="s">
        <v>1447</v>
      </c>
      <c r="E4234" t="s">
        <v>1890</v>
      </c>
      <c r="F4234" t="s">
        <v>1748</v>
      </c>
      <c r="H4234" t="str">
        <f>IF(ISBLANK('Q 5'!H1167),"",IF('Q 5'!H1167="&lt;please select&gt;","",'Q 5'!H1167))</f>
        <v>2</v>
      </c>
    </row>
    <row r="4235" spans="1:8" x14ac:dyDescent="0.3">
      <c r="A4235" t="s">
        <v>1886</v>
      </c>
      <c r="B4235" t="s">
        <v>1887</v>
      </c>
      <c r="C4235">
        <v>25</v>
      </c>
      <c r="D4235" t="s">
        <v>1447</v>
      </c>
      <c r="E4235" t="s">
        <v>1890</v>
      </c>
      <c r="F4235" t="s">
        <v>1748</v>
      </c>
      <c r="H4235" t="str">
        <f>IF(ISBLANK('Q 5'!H1168),"",IF('Q 5'!H1168="&lt;please select&gt;","",'Q 5'!H1168))</f>
        <v>14</v>
      </c>
    </row>
    <row r="4236" spans="1:8" x14ac:dyDescent="0.3">
      <c r="A4236" t="s">
        <v>1886</v>
      </c>
      <c r="B4236" t="s">
        <v>1887</v>
      </c>
      <c r="C4236">
        <v>26</v>
      </c>
      <c r="D4236" t="s">
        <v>1447</v>
      </c>
      <c r="E4236" t="s">
        <v>1890</v>
      </c>
      <c r="F4236" t="s">
        <v>1748</v>
      </c>
      <c r="H4236" t="str">
        <f>IF(ISBLANK('Q 5'!H1169),"",IF('Q 5'!H1169="&lt;please select&gt;","",'Q 5'!H1169))</f>
        <v>2</v>
      </c>
    </row>
    <row r="4237" spans="1:8" x14ac:dyDescent="0.3">
      <c r="A4237" t="s">
        <v>1886</v>
      </c>
      <c r="B4237" t="s">
        <v>1887</v>
      </c>
      <c r="C4237">
        <v>27</v>
      </c>
      <c r="D4237" t="s">
        <v>1447</v>
      </c>
      <c r="E4237" t="s">
        <v>1890</v>
      </c>
      <c r="F4237" t="s">
        <v>1748</v>
      </c>
      <c r="H4237" t="str">
        <f>IF(ISBLANK('Q 5'!H1170),"",IF('Q 5'!H1170="&lt;please select&gt;","",'Q 5'!H1170))</f>
        <v>4</v>
      </c>
    </row>
    <row r="4238" spans="1:8" x14ac:dyDescent="0.3">
      <c r="A4238" t="s">
        <v>1886</v>
      </c>
      <c r="B4238" t="s">
        <v>1887</v>
      </c>
      <c r="C4238">
        <v>28</v>
      </c>
      <c r="D4238" t="s">
        <v>1447</v>
      </c>
      <c r="E4238" t="s">
        <v>1890</v>
      </c>
      <c r="F4238" t="s">
        <v>1748</v>
      </c>
      <c r="H4238" t="str">
        <f>IF(ISBLANK('Q 5'!H1171),"",IF('Q 5'!H1171="&lt;please select&gt;","",'Q 5'!H1171))</f>
        <v>4</v>
      </c>
    </row>
    <row r="4239" spans="1:8" x14ac:dyDescent="0.3">
      <c r="A4239" t="s">
        <v>1886</v>
      </c>
      <c r="B4239" t="s">
        <v>1887</v>
      </c>
      <c r="C4239">
        <v>29</v>
      </c>
      <c r="D4239" t="s">
        <v>1447</v>
      </c>
      <c r="E4239" t="s">
        <v>1890</v>
      </c>
      <c r="F4239" t="s">
        <v>1748</v>
      </c>
      <c r="H4239" t="str">
        <f>IF(ISBLANK('Q 5'!H1172),"",IF('Q 5'!H1172="&lt;please select&gt;","",'Q 5'!H1172))</f>
        <v>1</v>
      </c>
    </row>
    <row r="4240" spans="1:8" x14ac:dyDescent="0.3">
      <c r="A4240" t="s">
        <v>1886</v>
      </c>
      <c r="B4240" t="s">
        <v>1887</v>
      </c>
      <c r="C4240">
        <v>30</v>
      </c>
      <c r="D4240" t="s">
        <v>1447</v>
      </c>
      <c r="E4240" t="s">
        <v>1890</v>
      </c>
      <c r="F4240" t="s">
        <v>1748</v>
      </c>
      <c r="H4240" t="str">
        <f>IF(ISBLANK('Q 5'!H1173),"",IF('Q 5'!H1173="&lt;please select&gt;","",'Q 5'!H1173))</f>
        <v>1</v>
      </c>
    </row>
    <row r="4241" spans="1:8" x14ac:dyDescent="0.3">
      <c r="A4241" t="s">
        <v>1886</v>
      </c>
      <c r="B4241" t="s">
        <v>1887</v>
      </c>
      <c r="C4241">
        <v>31</v>
      </c>
      <c r="D4241" t="s">
        <v>1447</v>
      </c>
      <c r="E4241" t="s">
        <v>1890</v>
      </c>
      <c r="F4241" t="s">
        <v>1748</v>
      </c>
      <c r="H4241" t="str">
        <f>IF(ISBLANK('Q 5'!H1174),"",IF('Q 5'!H1174="&lt;please select&gt;","",'Q 5'!H1174))</f>
        <v>176</v>
      </c>
    </row>
    <row r="4242" spans="1:8" x14ac:dyDescent="0.3">
      <c r="A4242" t="s">
        <v>1886</v>
      </c>
      <c r="B4242" t="s">
        <v>1887</v>
      </c>
      <c r="C4242">
        <v>32</v>
      </c>
      <c r="D4242" t="s">
        <v>1447</v>
      </c>
      <c r="E4242" t="s">
        <v>1890</v>
      </c>
      <c r="F4242" t="s">
        <v>1748</v>
      </c>
      <c r="H4242" t="str">
        <f>IF(ISBLANK('Q 5'!H1175),"",IF('Q 5'!H1175="&lt;please select&gt;","",'Q 5'!H1175))</f>
        <v>3</v>
      </c>
    </row>
    <row r="4243" spans="1:8" x14ac:dyDescent="0.3">
      <c r="A4243" t="s">
        <v>1886</v>
      </c>
      <c r="B4243" t="s">
        <v>1887</v>
      </c>
      <c r="C4243">
        <v>33</v>
      </c>
      <c r="D4243" t="s">
        <v>1447</v>
      </c>
      <c r="E4243" t="s">
        <v>1890</v>
      </c>
      <c r="F4243" t="s">
        <v>1748</v>
      </c>
      <c r="H4243" t="str">
        <f>IF(ISBLANK('Q 5'!H1176),"",IF('Q 5'!H1176="&lt;please select&gt;","",'Q 5'!H1176))</f>
        <v>8</v>
      </c>
    </row>
    <row r="4244" spans="1:8" x14ac:dyDescent="0.3">
      <c r="A4244" t="s">
        <v>1886</v>
      </c>
      <c r="B4244" t="s">
        <v>1887</v>
      </c>
      <c r="C4244">
        <v>34</v>
      </c>
      <c r="D4244" t="s">
        <v>1447</v>
      </c>
      <c r="E4244" t="s">
        <v>1890</v>
      </c>
      <c r="F4244" t="s">
        <v>1748</v>
      </c>
      <c r="H4244" t="str">
        <f>IF(ISBLANK('Q 5'!H1177),"",IF('Q 5'!H1177="&lt;please select&gt;","",'Q 5'!H1177))</f>
        <v>9</v>
      </c>
    </row>
    <row r="4245" spans="1:8" x14ac:dyDescent="0.3">
      <c r="A4245" t="s">
        <v>1886</v>
      </c>
      <c r="B4245" t="s">
        <v>1887</v>
      </c>
      <c r="C4245">
        <v>35</v>
      </c>
      <c r="D4245" t="s">
        <v>1447</v>
      </c>
      <c r="E4245" t="s">
        <v>1890</v>
      </c>
      <c r="F4245" t="s">
        <v>1748</v>
      </c>
      <c r="H4245" t="str">
        <f>IF(ISBLANK('Q 5'!H1178),"",IF('Q 5'!H1178="&lt;please select&gt;","",'Q 5'!H1178))</f>
        <v>1</v>
      </c>
    </row>
    <row r="4246" spans="1:8" x14ac:dyDescent="0.3">
      <c r="A4246" t="s">
        <v>1886</v>
      </c>
      <c r="B4246" t="s">
        <v>1887</v>
      </c>
      <c r="C4246">
        <v>36</v>
      </c>
      <c r="D4246" t="s">
        <v>1447</v>
      </c>
      <c r="E4246" t="s">
        <v>1890</v>
      </c>
      <c r="F4246" t="s">
        <v>1748</v>
      </c>
      <c r="H4246" t="str">
        <f>IF(ISBLANK('Q 5'!H1179),"",IF('Q 5'!H1179="&lt;please select&gt;","",'Q 5'!H1179))</f>
        <v>9</v>
      </c>
    </row>
    <row r="4247" spans="1:8" x14ac:dyDescent="0.3">
      <c r="A4247" t="s">
        <v>1886</v>
      </c>
      <c r="B4247" t="s">
        <v>1887</v>
      </c>
      <c r="C4247">
        <v>37</v>
      </c>
      <c r="D4247" t="s">
        <v>1447</v>
      </c>
      <c r="E4247" t="s">
        <v>1890</v>
      </c>
      <c r="F4247" t="s">
        <v>1748</v>
      </c>
      <c r="H4247" t="str">
        <f>IF(ISBLANK('Q 5'!H1180),"",IF('Q 5'!H1180="&lt;please select&gt;","",'Q 5'!H1180))</f>
        <v>4</v>
      </c>
    </row>
    <row r="4248" spans="1:8" x14ac:dyDescent="0.3">
      <c r="A4248" t="s">
        <v>1886</v>
      </c>
      <c r="B4248" t="s">
        <v>1887</v>
      </c>
      <c r="C4248">
        <v>38</v>
      </c>
      <c r="D4248" t="s">
        <v>1447</v>
      </c>
      <c r="E4248" t="s">
        <v>1890</v>
      </c>
      <c r="F4248" t="s">
        <v>1748</v>
      </c>
      <c r="H4248" t="str">
        <f>IF(ISBLANK('Q 5'!H1181),"",IF('Q 5'!H1181="&lt;please select&gt;","",'Q 5'!H1181))</f>
        <v>25</v>
      </c>
    </row>
    <row r="4249" spans="1:8" x14ac:dyDescent="0.3">
      <c r="A4249" t="s">
        <v>1886</v>
      </c>
      <c r="B4249" t="s">
        <v>1887</v>
      </c>
      <c r="C4249">
        <v>39</v>
      </c>
      <c r="D4249" t="s">
        <v>1447</v>
      </c>
      <c r="E4249" t="s">
        <v>1890</v>
      </c>
      <c r="F4249" t="s">
        <v>1748</v>
      </c>
      <c r="H4249" t="str">
        <f>IF(ISBLANK('Q 5'!H1182),"",IF('Q 5'!H1182="&lt;please select&gt;","",'Q 5'!H1182))</f>
        <v>12</v>
      </c>
    </row>
    <row r="4250" spans="1:8" x14ac:dyDescent="0.3">
      <c r="A4250" t="s">
        <v>1886</v>
      </c>
      <c r="B4250" t="s">
        <v>1887</v>
      </c>
      <c r="C4250">
        <v>40</v>
      </c>
      <c r="D4250" t="s">
        <v>1447</v>
      </c>
      <c r="E4250" t="s">
        <v>1890</v>
      </c>
      <c r="F4250" t="s">
        <v>1748</v>
      </c>
      <c r="H4250" t="str">
        <f>IF(ISBLANK('Q 5'!H1183),"",IF('Q 5'!H1183="&lt;please select&gt;","",'Q 5'!H1183))</f>
        <v>11</v>
      </c>
    </row>
    <row r="4251" spans="1:8" x14ac:dyDescent="0.3">
      <c r="A4251" t="s">
        <v>1886</v>
      </c>
      <c r="B4251" t="s">
        <v>1887</v>
      </c>
      <c r="C4251">
        <v>41</v>
      </c>
      <c r="D4251" t="s">
        <v>1447</v>
      </c>
      <c r="E4251" t="s">
        <v>1890</v>
      </c>
      <c r="F4251" t="s">
        <v>1748</v>
      </c>
      <c r="H4251" t="str">
        <f>IF(ISBLANK('Q 5'!H1184),"",IF('Q 5'!H1184="&lt;please select&gt;","",'Q 5'!H1184))</f>
        <v>2</v>
      </c>
    </row>
    <row r="4252" spans="1:8" x14ac:dyDescent="0.3">
      <c r="A4252" t="s">
        <v>1886</v>
      </c>
      <c r="B4252" t="s">
        <v>1887</v>
      </c>
      <c r="C4252">
        <v>42</v>
      </c>
      <c r="D4252" t="s">
        <v>1447</v>
      </c>
      <c r="E4252" t="s">
        <v>1890</v>
      </c>
      <c r="F4252" t="s">
        <v>1748</v>
      </c>
      <c r="H4252" t="str">
        <f>IF(ISBLANK('Q 5'!H1185),"",IF('Q 5'!H1185="&lt;please select&gt;","",'Q 5'!H1185))</f>
        <v>3</v>
      </c>
    </row>
    <row r="4253" spans="1:8" x14ac:dyDescent="0.3">
      <c r="A4253" t="s">
        <v>1886</v>
      </c>
      <c r="B4253" t="s">
        <v>1887</v>
      </c>
      <c r="C4253">
        <v>43</v>
      </c>
      <c r="D4253" t="s">
        <v>1447</v>
      </c>
      <c r="E4253" t="s">
        <v>1890</v>
      </c>
      <c r="F4253" t="s">
        <v>1748</v>
      </c>
      <c r="H4253" t="str">
        <f>IF(ISBLANK('Q 5'!H1186),"",IF('Q 5'!H1186="&lt;please select&gt;","",'Q 5'!H1186))</f>
        <v>1</v>
      </c>
    </row>
    <row r="4254" spans="1:8" x14ac:dyDescent="0.3">
      <c r="A4254" t="s">
        <v>1886</v>
      </c>
      <c r="B4254" t="s">
        <v>1887</v>
      </c>
      <c r="C4254">
        <v>44</v>
      </c>
      <c r="D4254" t="s">
        <v>1447</v>
      </c>
      <c r="E4254" t="s">
        <v>1890</v>
      </c>
      <c r="F4254" t="s">
        <v>1748</v>
      </c>
      <c r="H4254" t="str">
        <f>IF(ISBLANK('Q 5'!H1187),"",IF('Q 5'!H1187="&lt;please select&gt;","",'Q 5'!H1187))</f>
        <v>1</v>
      </c>
    </row>
    <row r="4255" spans="1:8" x14ac:dyDescent="0.3">
      <c r="A4255" t="s">
        <v>1886</v>
      </c>
      <c r="B4255" t="s">
        <v>1887</v>
      </c>
      <c r="C4255">
        <v>45</v>
      </c>
      <c r="D4255" t="s">
        <v>1447</v>
      </c>
      <c r="E4255" t="s">
        <v>1890</v>
      </c>
      <c r="F4255" t="s">
        <v>1748</v>
      </c>
      <c r="H4255" t="str">
        <f>IF(ISBLANK('Q 5'!H1188),"",IF('Q 5'!H1188="&lt;please select&gt;","",'Q 5'!H1188))</f>
        <v>1</v>
      </c>
    </row>
    <row r="4256" spans="1:8" x14ac:dyDescent="0.3">
      <c r="A4256" t="s">
        <v>1886</v>
      </c>
      <c r="B4256" t="s">
        <v>1887</v>
      </c>
      <c r="C4256">
        <v>46</v>
      </c>
      <c r="D4256" t="s">
        <v>1447</v>
      </c>
      <c r="E4256" t="s">
        <v>1890</v>
      </c>
      <c r="F4256" t="s">
        <v>1748</v>
      </c>
      <c r="H4256" t="str">
        <f>IF(ISBLANK('Q 5'!H1189),"",IF('Q 5'!H1189="&lt;please select&gt;","",'Q 5'!H1189))</f>
        <v>1</v>
      </c>
    </row>
    <row r="4257" spans="1:8" x14ac:dyDescent="0.3">
      <c r="A4257" t="s">
        <v>1886</v>
      </c>
      <c r="B4257" t="s">
        <v>1887</v>
      </c>
      <c r="C4257">
        <v>47</v>
      </c>
      <c r="D4257" t="s">
        <v>1447</v>
      </c>
      <c r="E4257" t="s">
        <v>1890</v>
      </c>
      <c r="F4257" t="s">
        <v>1748</v>
      </c>
      <c r="H4257" t="str">
        <f>IF(ISBLANK('Q 5'!H1190),"",IF('Q 5'!H1190="&lt;please select&gt;","",'Q 5'!H1190))</f>
        <v>2</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1</v>
      </c>
    </row>
    <row r="4282" spans="1:8" x14ac:dyDescent="0.3">
      <c r="A4282" t="s">
        <v>1886</v>
      </c>
      <c r="B4282" t="s">
        <v>1887</v>
      </c>
      <c r="C4282">
        <v>2</v>
      </c>
      <c r="D4282" t="s">
        <v>1447</v>
      </c>
      <c r="E4282" t="s">
        <v>1891</v>
      </c>
      <c r="F4282" t="s">
        <v>1748</v>
      </c>
      <c r="H4282" t="str">
        <f>IF(ISBLANK('Q 5'!I1145),"",IF('Q 5'!I1145="&lt;please select&gt;","",'Q 5'!I1145))</f>
        <v>2</v>
      </c>
    </row>
    <row r="4283" spans="1:8" x14ac:dyDescent="0.3">
      <c r="A4283" t="s">
        <v>1886</v>
      </c>
      <c r="B4283" t="s">
        <v>1887</v>
      </c>
      <c r="C4283">
        <v>3</v>
      </c>
      <c r="D4283" t="s">
        <v>1447</v>
      </c>
      <c r="E4283" t="s">
        <v>1891</v>
      </c>
      <c r="F4283" t="s">
        <v>1748</v>
      </c>
      <c r="H4283" t="str">
        <f>IF(ISBLANK('Q 5'!I1146),"",IF('Q 5'!I1146="&lt;please select&gt;","",'Q 5'!I1146))</f>
        <v>1</v>
      </c>
    </row>
    <row r="4284" spans="1:8" x14ac:dyDescent="0.3">
      <c r="A4284" t="s">
        <v>1886</v>
      </c>
      <c r="B4284" t="s">
        <v>1887</v>
      </c>
      <c r="C4284">
        <v>4</v>
      </c>
      <c r="D4284" t="s">
        <v>1447</v>
      </c>
      <c r="E4284" t="s">
        <v>1891</v>
      </c>
      <c r="F4284" t="s">
        <v>1748</v>
      </c>
      <c r="H4284" t="str">
        <f>IF(ISBLANK('Q 5'!I1147),"",IF('Q 5'!I1147="&lt;please select&gt;","",'Q 5'!I1147))</f>
        <v>1</v>
      </c>
    </row>
    <row r="4285" spans="1:8" x14ac:dyDescent="0.3">
      <c r="A4285" t="s">
        <v>1886</v>
      </c>
      <c r="B4285" t="s">
        <v>1887</v>
      </c>
      <c r="C4285">
        <v>5</v>
      </c>
      <c r="D4285" t="s">
        <v>1447</v>
      </c>
      <c r="E4285" t="s">
        <v>1891</v>
      </c>
      <c r="F4285" t="s">
        <v>1748</v>
      </c>
      <c r="H4285" t="str">
        <f>IF(ISBLANK('Q 5'!I1148),"",IF('Q 5'!I1148="&lt;please select&gt;","",'Q 5'!I1148))</f>
        <v>10</v>
      </c>
    </row>
    <row r="4286" spans="1:8" x14ac:dyDescent="0.3">
      <c r="A4286" t="s">
        <v>1886</v>
      </c>
      <c r="B4286" t="s">
        <v>1887</v>
      </c>
      <c r="C4286">
        <v>6</v>
      </c>
      <c r="D4286" t="s">
        <v>1447</v>
      </c>
      <c r="E4286" t="s">
        <v>1891</v>
      </c>
      <c r="F4286" t="s">
        <v>1748</v>
      </c>
      <c r="H4286" t="str">
        <f>IF(ISBLANK('Q 5'!I1149),"",IF('Q 5'!I1149="&lt;please select&gt;","",'Q 5'!I1149))</f>
        <v>1</v>
      </c>
    </row>
    <row r="4287" spans="1:8" x14ac:dyDescent="0.3">
      <c r="A4287" t="s">
        <v>1886</v>
      </c>
      <c r="B4287" t="s">
        <v>1887</v>
      </c>
      <c r="C4287">
        <v>7</v>
      </c>
      <c r="D4287" t="s">
        <v>1447</v>
      </c>
      <c r="E4287" t="s">
        <v>1891</v>
      </c>
      <c r="F4287" t="s">
        <v>1748</v>
      </c>
      <c r="H4287" t="str">
        <f>IF(ISBLANK('Q 5'!I1150),"",IF('Q 5'!I1150="&lt;please select&gt;","",'Q 5'!I1150))</f>
        <v>1</v>
      </c>
    </row>
    <row r="4288" spans="1:8" x14ac:dyDescent="0.3">
      <c r="A4288" t="s">
        <v>1886</v>
      </c>
      <c r="B4288" t="s">
        <v>1887</v>
      </c>
      <c r="C4288">
        <v>8</v>
      </c>
      <c r="D4288" t="s">
        <v>1447</v>
      </c>
      <c r="E4288" t="s">
        <v>1891</v>
      </c>
      <c r="F4288" t="s">
        <v>1748</v>
      </c>
      <c r="H4288" t="str">
        <f>IF(ISBLANK('Q 5'!I1151),"",IF('Q 5'!I1151="&lt;please select&gt;","",'Q 5'!I1151))</f>
        <v>1</v>
      </c>
    </row>
    <row r="4289" spans="1:8" x14ac:dyDescent="0.3">
      <c r="A4289" t="s">
        <v>1886</v>
      </c>
      <c r="B4289" t="s">
        <v>1887</v>
      </c>
      <c r="C4289">
        <v>9</v>
      </c>
      <c r="D4289" t="s">
        <v>1447</v>
      </c>
      <c r="E4289" t="s">
        <v>1891</v>
      </c>
      <c r="F4289" t="s">
        <v>1748</v>
      </c>
      <c r="H4289" t="str">
        <f>IF(ISBLANK('Q 5'!I1152),"",IF('Q 5'!I1152="&lt;please select&gt;","",'Q 5'!I1152))</f>
        <v>1</v>
      </c>
    </row>
    <row r="4290" spans="1:8" x14ac:dyDescent="0.3">
      <c r="A4290" t="s">
        <v>1886</v>
      </c>
      <c r="B4290" t="s">
        <v>1887</v>
      </c>
      <c r="C4290">
        <v>10</v>
      </c>
      <c r="D4290" t="s">
        <v>1447</v>
      </c>
      <c r="E4290" t="s">
        <v>1891</v>
      </c>
      <c r="F4290" t="s">
        <v>1748</v>
      </c>
      <c r="H4290" t="str">
        <f>IF(ISBLANK('Q 5'!I1153),"",IF('Q 5'!I1153="&lt;please select&gt;","",'Q 5'!I1153))</f>
        <v>8</v>
      </c>
    </row>
    <row r="4291" spans="1:8" x14ac:dyDescent="0.3">
      <c r="A4291" t="s">
        <v>1886</v>
      </c>
      <c r="B4291" t="s">
        <v>1887</v>
      </c>
      <c r="C4291">
        <v>11</v>
      </c>
      <c r="D4291" t="s">
        <v>1447</v>
      </c>
      <c r="E4291" t="s">
        <v>1891</v>
      </c>
      <c r="F4291" t="s">
        <v>1748</v>
      </c>
      <c r="H4291" t="str">
        <f>IF(ISBLANK('Q 5'!I1154),"",IF('Q 5'!I1154="&lt;please select&gt;","",'Q 5'!I1154))</f>
        <v>1</v>
      </c>
    </row>
    <row r="4292" spans="1:8" x14ac:dyDescent="0.3">
      <c r="A4292" t="s">
        <v>1886</v>
      </c>
      <c r="B4292" t="s">
        <v>1887</v>
      </c>
      <c r="C4292">
        <v>12</v>
      </c>
      <c r="D4292" t="s">
        <v>1447</v>
      </c>
      <c r="E4292" t="s">
        <v>1891</v>
      </c>
      <c r="F4292" t="s">
        <v>1748</v>
      </c>
      <c r="H4292" t="str">
        <f>IF(ISBLANK('Q 5'!I1155),"",IF('Q 5'!I1155="&lt;please select&gt;","",'Q 5'!I1155))</f>
        <v>4</v>
      </c>
    </row>
    <row r="4293" spans="1:8" x14ac:dyDescent="0.3">
      <c r="A4293" t="s">
        <v>1886</v>
      </c>
      <c r="B4293" t="s">
        <v>1887</v>
      </c>
      <c r="C4293">
        <v>13</v>
      </c>
      <c r="D4293" t="s">
        <v>1447</v>
      </c>
      <c r="E4293" t="s">
        <v>1891</v>
      </c>
      <c r="F4293" t="s">
        <v>1748</v>
      </c>
      <c r="H4293" t="str">
        <f>IF(ISBLANK('Q 5'!I1156),"",IF('Q 5'!I1156="&lt;please select&gt;","",'Q 5'!I1156))</f>
        <v>1</v>
      </c>
    </row>
    <row r="4294" spans="1:8" x14ac:dyDescent="0.3">
      <c r="A4294" t="s">
        <v>1886</v>
      </c>
      <c r="B4294" t="s">
        <v>1887</v>
      </c>
      <c r="C4294">
        <v>14</v>
      </c>
      <c r="D4294" t="s">
        <v>1447</v>
      </c>
      <c r="E4294" t="s">
        <v>1891</v>
      </c>
      <c r="F4294" t="s">
        <v>1748</v>
      </c>
      <c r="H4294" t="str">
        <f>IF(ISBLANK('Q 5'!I1157),"",IF('Q 5'!I1157="&lt;please select&gt;","",'Q 5'!I1157))</f>
        <v>6</v>
      </c>
    </row>
    <row r="4295" spans="1:8" x14ac:dyDescent="0.3">
      <c r="A4295" t="s">
        <v>1886</v>
      </c>
      <c r="B4295" t="s">
        <v>1887</v>
      </c>
      <c r="C4295">
        <v>15</v>
      </c>
      <c r="D4295" t="s">
        <v>1447</v>
      </c>
      <c r="E4295" t="s">
        <v>1891</v>
      </c>
      <c r="F4295" t="s">
        <v>1748</v>
      </c>
      <c r="H4295" t="str">
        <f>IF(ISBLANK('Q 5'!I1158),"",IF('Q 5'!I1158="&lt;please select&gt;","",'Q 5'!I1158))</f>
        <v>30</v>
      </c>
    </row>
    <row r="4296" spans="1:8" x14ac:dyDescent="0.3">
      <c r="A4296" t="s">
        <v>1886</v>
      </c>
      <c r="B4296" t="s">
        <v>1887</v>
      </c>
      <c r="C4296">
        <v>16</v>
      </c>
      <c r="D4296" t="s">
        <v>1447</v>
      </c>
      <c r="E4296" t="s">
        <v>1891</v>
      </c>
      <c r="F4296" t="s">
        <v>1748</v>
      </c>
      <c r="H4296" t="str">
        <f>IF(ISBLANK('Q 5'!I1159),"",IF('Q 5'!I1159="&lt;please select&gt;","",'Q 5'!I1159))</f>
        <v>1</v>
      </c>
    </row>
    <row r="4297" spans="1:8" x14ac:dyDescent="0.3">
      <c r="A4297" t="s">
        <v>1886</v>
      </c>
      <c r="B4297" t="s">
        <v>1887</v>
      </c>
      <c r="C4297">
        <v>17</v>
      </c>
      <c r="D4297" t="s">
        <v>1447</v>
      </c>
      <c r="E4297" t="s">
        <v>1891</v>
      </c>
      <c r="F4297" t="s">
        <v>1748</v>
      </c>
      <c r="H4297" t="str">
        <f>IF(ISBLANK('Q 5'!I1160),"",IF('Q 5'!I1160="&lt;please select&gt;","",'Q 5'!I1160))</f>
        <v>13</v>
      </c>
    </row>
    <row r="4298" spans="1:8" x14ac:dyDescent="0.3">
      <c r="A4298" t="s">
        <v>1886</v>
      </c>
      <c r="B4298" t="s">
        <v>1887</v>
      </c>
      <c r="C4298">
        <v>18</v>
      </c>
      <c r="D4298" t="s">
        <v>1447</v>
      </c>
      <c r="E4298" t="s">
        <v>1891</v>
      </c>
      <c r="F4298" t="s">
        <v>1748</v>
      </c>
      <c r="H4298" t="str">
        <f>IF(ISBLANK('Q 5'!I1161),"",IF('Q 5'!I1161="&lt;please select&gt;","",'Q 5'!I1161))</f>
        <v>1</v>
      </c>
    </row>
    <row r="4299" spans="1:8" x14ac:dyDescent="0.3">
      <c r="A4299" t="s">
        <v>1886</v>
      </c>
      <c r="B4299" t="s">
        <v>1887</v>
      </c>
      <c r="C4299">
        <v>19</v>
      </c>
      <c r="D4299" t="s">
        <v>1447</v>
      </c>
      <c r="E4299" t="s">
        <v>1891</v>
      </c>
      <c r="F4299" t="s">
        <v>1748</v>
      </c>
      <c r="H4299" t="str">
        <f>IF(ISBLANK('Q 5'!I1162),"",IF('Q 5'!I1162="&lt;please select&gt;","",'Q 5'!I1162))</f>
        <v>13</v>
      </c>
    </row>
    <row r="4300" spans="1:8" x14ac:dyDescent="0.3">
      <c r="A4300" t="s">
        <v>1886</v>
      </c>
      <c r="B4300" t="s">
        <v>1887</v>
      </c>
      <c r="C4300">
        <v>20</v>
      </c>
      <c r="D4300" t="s">
        <v>1447</v>
      </c>
      <c r="E4300" t="s">
        <v>1891</v>
      </c>
      <c r="F4300" t="s">
        <v>1748</v>
      </c>
      <c r="H4300" t="str">
        <f>IF(ISBLANK('Q 5'!I1163),"",IF('Q 5'!I1163="&lt;please select&gt;","",'Q 5'!I1163))</f>
        <v>13</v>
      </c>
    </row>
    <row r="4301" spans="1:8" x14ac:dyDescent="0.3">
      <c r="A4301" t="s">
        <v>1886</v>
      </c>
      <c r="B4301" t="s">
        <v>1887</v>
      </c>
      <c r="C4301">
        <v>21</v>
      </c>
      <c r="D4301" t="s">
        <v>1447</v>
      </c>
      <c r="E4301" t="s">
        <v>1891</v>
      </c>
      <c r="F4301" t="s">
        <v>1748</v>
      </c>
      <c r="H4301" t="str">
        <f>IF(ISBLANK('Q 5'!I1164),"",IF('Q 5'!I1164="&lt;please select&gt;","",'Q 5'!I1164))</f>
        <v>8</v>
      </c>
    </row>
    <row r="4302" spans="1:8" x14ac:dyDescent="0.3">
      <c r="A4302" t="s">
        <v>1886</v>
      </c>
      <c r="B4302" t="s">
        <v>1887</v>
      </c>
      <c r="C4302">
        <v>22</v>
      </c>
      <c r="D4302" t="s">
        <v>1447</v>
      </c>
      <c r="E4302" t="s">
        <v>1891</v>
      </c>
      <c r="F4302" t="s">
        <v>1748</v>
      </c>
      <c r="H4302" t="str">
        <f>IF(ISBLANK('Q 5'!I1165),"",IF('Q 5'!I1165="&lt;please select&gt;","",'Q 5'!I1165))</f>
        <v>1</v>
      </c>
    </row>
    <row r="4303" spans="1:8" x14ac:dyDescent="0.3">
      <c r="A4303" t="s">
        <v>1886</v>
      </c>
      <c r="B4303" t="s">
        <v>1887</v>
      </c>
      <c r="C4303">
        <v>23</v>
      </c>
      <c r="D4303" t="s">
        <v>1447</v>
      </c>
      <c r="E4303" t="s">
        <v>1891</v>
      </c>
      <c r="F4303" t="s">
        <v>1748</v>
      </c>
      <c r="H4303" t="str">
        <f>IF(ISBLANK('Q 5'!I1166),"",IF('Q 5'!I1166="&lt;please select&gt;","",'Q 5'!I1166))</f>
        <v>3</v>
      </c>
    </row>
    <row r="4304" spans="1:8" x14ac:dyDescent="0.3">
      <c r="A4304" t="s">
        <v>1886</v>
      </c>
      <c r="B4304" t="s">
        <v>1887</v>
      </c>
      <c r="C4304">
        <v>24</v>
      </c>
      <c r="D4304" t="s">
        <v>1447</v>
      </c>
      <c r="E4304" t="s">
        <v>1891</v>
      </c>
      <c r="F4304" t="s">
        <v>1748</v>
      </c>
      <c r="H4304" t="str">
        <f>IF(ISBLANK('Q 5'!I1167),"",IF('Q 5'!I1167="&lt;please select&gt;","",'Q 5'!I1167))</f>
        <v>2</v>
      </c>
    </row>
    <row r="4305" spans="1:8" x14ac:dyDescent="0.3">
      <c r="A4305" t="s">
        <v>1886</v>
      </c>
      <c r="B4305" t="s">
        <v>1887</v>
      </c>
      <c r="C4305">
        <v>25</v>
      </c>
      <c r="D4305" t="s">
        <v>1447</v>
      </c>
      <c r="E4305" t="s">
        <v>1891</v>
      </c>
      <c r="F4305" t="s">
        <v>1748</v>
      </c>
      <c r="H4305" t="str">
        <f>IF(ISBLANK('Q 5'!I1168),"",IF('Q 5'!I1168="&lt;please select&gt;","",'Q 5'!I1168))</f>
        <v>14</v>
      </c>
    </row>
    <row r="4306" spans="1:8" x14ac:dyDescent="0.3">
      <c r="A4306" t="s">
        <v>1886</v>
      </c>
      <c r="B4306" t="s">
        <v>1887</v>
      </c>
      <c r="C4306">
        <v>26</v>
      </c>
      <c r="D4306" t="s">
        <v>1447</v>
      </c>
      <c r="E4306" t="s">
        <v>1891</v>
      </c>
      <c r="F4306" t="s">
        <v>1748</v>
      </c>
      <c r="H4306" t="str">
        <f>IF(ISBLANK('Q 5'!I1169),"",IF('Q 5'!I1169="&lt;please select&gt;","",'Q 5'!I1169))</f>
        <v>2</v>
      </c>
    </row>
    <row r="4307" spans="1:8" x14ac:dyDescent="0.3">
      <c r="A4307" t="s">
        <v>1886</v>
      </c>
      <c r="B4307" t="s">
        <v>1887</v>
      </c>
      <c r="C4307">
        <v>27</v>
      </c>
      <c r="D4307" t="s">
        <v>1447</v>
      </c>
      <c r="E4307" t="s">
        <v>1891</v>
      </c>
      <c r="F4307" t="s">
        <v>1748</v>
      </c>
      <c r="H4307" t="str">
        <f>IF(ISBLANK('Q 5'!I1170),"",IF('Q 5'!I1170="&lt;please select&gt;","",'Q 5'!I1170))</f>
        <v>4</v>
      </c>
    </row>
    <row r="4308" spans="1:8" x14ac:dyDescent="0.3">
      <c r="A4308" t="s">
        <v>1886</v>
      </c>
      <c r="B4308" t="s">
        <v>1887</v>
      </c>
      <c r="C4308">
        <v>28</v>
      </c>
      <c r="D4308" t="s">
        <v>1447</v>
      </c>
      <c r="E4308" t="s">
        <v>1891</v>
      </c>
      <c r="F4308" t="s">
        <v>1748</v>
      </c>
      <c r="H4308" t="str">
        <f>IF(ISBLANK('Q 5'!I1171),"",IF('Q 5'!I1171="&lt;please select&gt;","",'Q 5'!I1171))</f>
        <v>4</v>
      </c>
    </row>
    <row r="4309" spans="1:8" x14ac:dyDescent="0.3">
      <c r="A4309" t="s">
        <v>1886</v>
      </c>
      <c r="B4309" t="s">
        <v>1887</v>
      </c>
      <c r="C4309">
        <v>29</v>
      </c>
      <c r="D4309" t="s">
        <v>1447</v>
      </c>
      <c r="E4309" t="s">
        <v>1891</v>
      </c>
      <c r="F4309" t="s">
        <v>1748</v>
      </c>
      <c r="H4309" t="str">
        <f>IF(ISBLANK('Q 5'!I1172),"",IF('Q 5'!I1172="&lt;please select&gt;","",'Q 5'!I1172))</f>
        <v>0</v>
      </c>
    </row>
    <row r="4310" spans="1:8" x14ac:dyDescent="0.3">
      <c r="A4310" t="s">
        <v>1886</v>
      </c>
      <c r="B4310" t="s">
        <v>1887</v>
      </c>
      <c r="C4310">
        <v>30</v>
      </c>
      <c r="D4310" t="s">
        <v>1447</v>
      </c>
      <c r="E4310" t="s">
        <v>1891</v>
      </c>
      <c r="F4310" t="s">
        <v>1748</v>
      </c>
      <c r="H4310" t="str">
        <f>IF(ISBLANK('Q 5'!I1173),"",IF('Q 5'!I1173="&lt;please select&gt;","",'Q 5'!I1173))</f>
        <v>1</v>
      </c>
    </row>
    <row r="4311" spans="1:8" x14ac:dyDescent="0.3">
      <c r="A4311" t="s">
        <v>1886</v>
      </c>
      <c r="B4311" t="s">
        <v>1887</v>
      </c>
      <c r="C4311">
        <v>31</v>
      </c>
      <c r="D4311" t="s">
        <v>1447</v>
      </c>
      <c r="E4311" t="s">
        <v>1891</v>
      </c>
      <c r="F4311" t="s">
        <v>1748</v>
      </c>
      <c r="H4311" t="str">
        <f>IF(ISBLANK('Q 5'!I1174),"",IF('Q 5'!I1174="&lt;please select&gt;","",'Q 5'!I1174))</f>
        <v>26</v>
      </c>
    </row>
    <row r="4312" spans="1:8" x14ac:dyDescent="0.3">
      <c r="A4312" t="s">
        <v>1886</v>
      </c>
      <c r="B4312" t="s">
        <v>1887</v>
      </c>
      <c r="C4312">
        <v>32</v>
      </c>
      <c r="D4312" t="s">
        <v>1447</v>
      </c>
      <c r="E4312" t="s">
        <v>1891</v>
      </c>
      <c r="F4312" t="s">
        <v>1748</v>
      </c>
      <c r="H4312" t="str">
        <f>IF(ISBLANK('Q 5'!I1175),"",IF('Q 5'!I1175="&lt;please select&gt;","",'Q 5'!I1175))</f>
        <v>3</v>
      </c>
    </row>
    <row r="4313" spans="1:8" x14ac:dyDescent="0.3">
      <c r="A4313" t="s">
        <v>1886</v>
      </c>
      <c r="B4313" t="s">
        <v>1887</v>
      </c>
      <c r="C4313">
        <v>33</v>
      </c>
      <c r="D4313" t="s">
        <v>1447</v>
      </c>
      <c r="E4313" t="s">
        <v>1891</v>
      </c>
      <c r="F4313" t="s">
        <v>1748</v>
      </c>
      <c r="H4313" t="str">
        <f>IF(ISBLANK('Q 5'!I1176),"",IF('Q 5'!I1176="&lt;please select&gt;","",'Q 5'!I1176))</f>
        <v>7</v>
      </c>
    </row>
    <row r="4314" spans="1:8" x14ac:dyDescent="0.3">
      <c r="A4314" t="s">
        <v>1886</v>
      </c>
      <c r="B4314" t="s">
        <v>1887</v>
      </c>
      <c r="C4314">
        <v>34</v>
      </c>
      <c r="D4314" t="s">
        <v>1447</v>
      </c>
      <c r="E4314" t="s">
        <v>1891</v>
      </c>
      <c r="F4314" t="s">
        <v>1748</v>
      </c>
      <c r="H4314" t="str">
        <f>IF(ISBLANK('Q 5'!I1177),"",IF('Q 5'!I1177="&lt;please select&gt;","",'Q 5'!I1177))</f>
        <v>8</v>
      </c>
    </row>
    <row r="4315" spans="1:8" x14ac:dyDescent="0.3">
      <c r="A4315" t="s">
        <v>1886</v>
      </c>
      <c r="B4315" t="s">
        <v>1887</v>
      </c>
      <c r="C4315">
        <v>35</v>
      </c>
      <c r="D4315" t="s">
        <v>1447</v>
      </c>
      <c r="E4315" t="s">
        <v>1891</v>
      </c>
      <c r="F4315" t="s">
        <v>1748</v>
      </c>
      <c r="H4315" t="str">
        <f>IF(ISBLANK('Q 5'!I1178),"",IF('Q 5'!I1178="&lt;please select&gt;","",'Q 5'!I1178))</f>
        <v>1</v>
      </c>
    </row>
    <row r="4316" spans="1:8" x14ac:dyDescent="0.3">
      <c r="A4316" t="s">
        <v>1886</v>
      </c>
      <c r="B4316" t="s">
        <v>1887</v>
      </c>
      <c r="C4316">
        <v>36</v>
      </c>
      <c r="D4316" t="s">
        <v>1447</v>
      </c>
      <c r="E4316" t="s">
        <v>1891</v>
      </c>
      <c r="F4316" t="s">
        <v>1748</v>
      </c>
      <c r="H4316" t="str">
        <f>IF(ISBLANK('Q 5'!I1179),"",IF('Q 5'!I1179="&lt;please select&gt;","",'Q 5'!I1179))</f>
        <v>8</v>
      </c>
    </row>
    <row r="4317" spans="1:8" x14ac:dyDescent="0.3">
      <c r="A4317" t="s">
        <v>1886</v>
      </c>
      <c r="B4317" t="s">
        <v>1887</v>
      </c>
      <c r="C4317">
        <v>37</v>
      </c>
      <c r="D4317" t="s">
        <v>1447</v>
      </c>
      <c r="E4317" t="s">
        <v>1891</v>
      </c>
      <c r="F4317" t="s">
        <v>1748</v>
      </c>
      <c r="H4317" t="str">
        <f>IF(ISBLANK('Q 5'!I1180),"",IF('Q 5'!I1180="&lt;please select&gt;","",'Q 5'!I1180))</f>
        <v>3</v>
      </c>
    </row>
    <row r="4318" spans="1:8" x14ac:dyDescent="0.3">
      <c r="A4318" t="s">
        <v>1886</v>
      </c>
      <c r="B4318" t="s">
        <v>1887</v>
      </c>
      <c r="C4318">
        <v>38</v>
      </c>
      <c r="D4318" t="s">
        <v>1447</v>
      </c>
      <c r="E4318" t="s">
        <v>1891</v>
      </c>
      <c r="F4318" t="s">
        <v>1748</v>
      </c>
      <c r="H4318" t="str">
        <f>IF(ISBLANK('Q 5'!I1181),"",IF('Q 5'!I1181="&lt;please select&gt;","",'Q 5'!I1181))</f>
        <v>23</v>
      </c>
    </row>
    <row r="4319" spans="1:8" x14ac:dyDescent="0.3">
      <c r="A4319" t="s">
        <v>1886</v>
      </c>
      <c r="B4319" t="s">
        <v>1887</v>
      </c>
      <c r="C4319">
        <v>39</v>
      </c>
      <c r="D4319" t="s">
        <v>1447</v>
      </c>
      <c r="E4319" t="s">
        <v>1891</v>
      </c>
      <c r="F4319" t="s">
        <v>1748</v>
      </c>
      <c r="H4319" t="str">
        <f>IF(ISBLANK('Q 5'!I1182),"",IF('Q 5'!I1182="&lt;please select&gt;","",'Q 5'!I1182))</f>
        <v>10</v>
      </c>
    </row>
    <row r="4320" spans="1:8" x14ac:dyDescent="0.3">
      <c r="A4320" t="s">
        <v>1886</v>
      </c>
      <c r="B4320" t="s">
        <v>1887</v>
      </c>
      <c r="C4320">
        <v>40</v>
      </c>
      <c r="D4320" t="s">
        <v>1447</v>
      </c>
      <c r="E4320" t="s">
        <v>1891</v>
      </c>
      <c r="F4320" t="s">
        <v>1748</v>
      </c>
      <c r="H4320" t="str">
        <f>IF(ISBLANK('Q 5'!I1183),"",IF('Q 5'!I1183="&lt;please select&gt;","",'Q 5'!I1183))</f>
        <v>10</v>
      </c>
    </row>
    <row r="4321" spans="1:8" x14ac:dyDescent="0.3">
      <c r="A4321" t="s">
        <v>1886</v>
      </c>
      <c r="B4321" t="s">
        <v>1887</v>
      </c>
      <c r="C4321">
        <v>41</v>
      </c>
      <c r="D4321" t="s">
        <v>1447</v>
      </c>
      <c r="E4321" t="s">
        <v>1891</v>
      </c>
      <c r="F4321" t="s">
        <v>1748</v>
      </c>
      <c r="H4321" t="str">
        <f>IF(ISBLANK('Q 5'!I1184),"",IF('Q 5'!I1184="&lt;please select&gt;","",'Q 5'!I1184))</f>
        <v>2</v>
      </c>
    </row>
    <row r="4322" spans="1:8" x14ac:dyDescent="0.3">
      <c r="A4322" t="s">
        <v>1886</v>
      </c>
      <c r="B4322" t="s">
        <v>1887</v>
      </c>
      <c r="C4322">
        <v>42</v>
      </c>
      <c r="D4322" t="s">
        <v>1447</v>
      </c>
      <c r="E4322" t="s">
        <v>1891</v>
      </c>
      <c r="F4322" t="s">
        <v>1748</v>
      </c>
      <c r="H4322" t="str">
        <f>IF(ISBLANK('Q 5'!I1185),"",IF('Q 5'!I1185="&lt;please select&gt;","",'Q 5'!I1185))</f>
        <v>3</v>
      </c>
    </row>
    <row r="4323" spans="1:8" x14ac:dyDescent="0.3">
      <c r="A4323" t="s">
        <v>1886</v>
      </c>
      <c r="B4323" t="s">
        <v>1887</v>
      </c>
      <c r="C4323">
        <v>43</v>
      </c>
      <c r="D4323" t="s">
        <v>1447</v>
      </c>
      <c r="E4323" t="s">
        <v>1891</v>
      </c>
      <c r="F4323" t="s">
        <v>1748</v>
      </c>
      <c r="H4323" t="str">
        <f>IF(ISBLANK('Q 5'!I1186),"",IF('Q 5'!I1186="&lt;please select&gt;","",'Q 5'!I1186))</f>
        <v>1</v>
      </c>
    </row>
    <row r="4324" spans="1:8" x14ac:dyDescent="0.3">
      <c r="A4324" t="s">
        <v>1886</v>
      </c>
      <c r="B4324" t="s">
        <v>1887</v>
      </c>
      <c r="C4324">
        <v>44</v>
      </c>
      <c r="D4324" t="s">
        <v>1447</v>
      </c>
      <c r="E4324" t="s">
        <v>1891</v>
      </c>
      <c r="F4324" t="s">
        <v>1748</v>
      </c>
      <c r="H4324" t="str">
        <f>IF(ISBLANK('Q 5'!I1187),"",IF('Q 5'!I1187="&lt;please select&gt;","",'Q 5'!I1187))</f>
        <v>1</v>
      </c>
    </row>
    <row r="4325" spans="1:8" x14ac:dyDescent="0.3">
      <c r="A4325" t="s">
        <v>1886</v>
      </c>
      <c r="B4325" t="s">
        <v>1887</v>
      </c>
      <c r="C4325">
        <v>45</v>
      </c>
      <c r="D4325" t="s">
        <v>1447</v>
      </c>
      <c r="E4325" t="s">
        <v>1891</v>
      </c>
      <c r="F4325" t="s">
        <v>1748</v>
      </c>
      <c r="H4325" t="str">
        <f>IF(ISBLANK('Q 5'!I1188),"",IF('Q 5'!I1188="&lt;please select&gt;","",'Q 5'!I1188))</f>
        <v>1</v>
      </c>
    </row>
    <row r="4326" spans="1:8" x14ac:dyDescent="0.3">
      <c r="A4326" t="s">
        <v>1886</v>
      </c>
      <c r="B4326" t="s">
        <v>1887</v>
      </c>
      <c r="C4326">
        <v>46</v>
      </c>
      <c r="D4326" t="s">
        <v>1447</v>
      </c>
      <c r="E4326" t="s">
        <v>1891</v>
      </c>
      <c r="F4326" t="s">
        <v>1748</v>
      </c>
      <c r="H4326" t="str">
        <f>IF(ISBLANK('Q 5'!I1189),"",IF('Q 5'!I1189="&lt;please select&gt;","",'Q 5'!I1189))</f>
        <v>1</v>
      </c>
    </row>
    <row r="4327" spans="1:8" x14ac:dyDescent="0.3">
      <c r="A4327" t="s">
        <v>1886</v>
      </c>
      <c r="B4327" t="s">
        <v>1887</v>
      </c>
      <c r="C4327">
        <v>47</v>
      </c>
      <c r="D4327" t="s">
        <v>1447</v>
      </c>
      <c r="E4327" t="s">
        <v>1891</v>
      </c>
      <c r="F4327" t="s">
        <v>1748</v>
      </c>
      <c r="H4327" t="str">
        <f>IF(ISBLANK('Q 5'!I1190),"",IF('Q 5'!I1190="&lt;please select&gt;","",'Q 5'!I1190))</f>
        <v>2</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Yes</v>
      </c>
    </row>
    <row r="4352" spans="1:11" x14ac:dyDescent="0.3">
      <c r="A4352" t="s">
        <v>1892</v>
      </c>
      <c r="B4352" t="s">
        <v>1894</v>
      </c>
      <c r="C4352">
        <v>1</v>
      </c>
      <c r="D4352" t="s">
        <v>1447</v>
      </c>
      <c r="E4352" t="s">
        <v>1895</v>
      </c>
      <c r="F4352" t="s">
        <v>1737</v>
      </c>
      <c r="K4352" t="str">
        <f>IF(ISBLANK('Q 5'!C1220),"",IF('Q 5'!C1220="&lt;please select&gt;","",'Q 5'!C1220))</f>
        <v>Transfer of CO2 in PCC (Article 49(1) (b))</v>
      </c>
    </row>
    <row r="4353" spans="1:11" x14ac:dyDescent="0.3">
      <c r="A4353" t="s">
        <v>1892</v>
      </c>
      <c r="B4353" t="s">
        <v>1894</v>
      </c>
      <c r="C4353">
        <v>2</v>
      </c>
      <c r="D4353" t="s">
        <v>1447</v>
      </c>
      <c r="E4353" t="s">
        <v>1895</v>
      </c>
      <c r="F4353" t="s">
        <v>1737</v>
      </c>
      <c r="K4353" t="str">
        <f>IF(ISBLANK('Q 5'!C1221),"",IF('Q 5'!C1221="&lt;please select&gt;","",'Q 5'!C1221))</f>
        <v>Transfer of CO2 in PCC (Article 49(1) (b))</v>
      </c>
    </row>
    <row r="4354" spans="1:11" x14ac:dyDescent="0.3">
      <c r="A4354" t="s">
        <v>1892</v>
      </c>
      <c r="B4354" t="s">
        <v>1894</v>
      </c>
      <c r="C4354">
        <v>3</v>
      </c>
      <c r="D4354" t="s">
        <v>1447</v>
      </c>
      <c r="E4354" t="s">
        <v>1895</v>
      </c>
      <c r="F4354" t="s">
        <v>1737</v>
      </c>
      <c r="K4354" t="str">
        <f>IF(ISBLANK('Q 5'!C1222),"",IF('Q 5'!C1222="&lt;please select&gt;","",'Q 5'!C1222))</f>
        <v>Transfer of CO2 in PCC (Article 49(1) (b))</v>
      </c>
    </row>
    <row r="4355" spans="1:11" x14ac:dyDescent="0.3">
      <c r="A4355" t="s">
        <v>1892</v>
      </c>
      <c r="B4355" t="s">
        <v>1894</v>
      </c>
      <c r="C4355">
        <v>4</v>
      </c>
      <c r="D4355" t="s">
        <v>1447</v>
      </c>
      <c r="E4355" t="s">
        <v>1895</v>
      </c>
      <c r="F4355" t="s">
        <v>1737</v>
      </c>
      <c r="K4355" t="str">
        <f>IF(ISBLANK('Q 5'!C1223),"",IF('Q 5'!C1223="&lt;please select&gt;","",'Q 5'!C1223))</f>
        <v>Transfer of inherent CO2 (Article 48)</v>
      </c>
    </row>
    <row r="4356" spans="1:11" x14ac:dyDescent="0.3">
      <c r="A4356" t="s">
        <v>1892</v>
      </c>
      <c r="B4356" t="s">
        <v>1894</v>
      </c>
      <c r="C4356">
        <v>5</v>
      </c>
      <c r="D4356" t="s">
        <v>1447</v>
      </c>
      <c r="E4356" t="s">
        <v>1895</v>
      </c>
      <c r="F4356" t="s">
        <v>1737</v>
      </c>
      <c r="K4356" t="str">
        <f>IF(ISBLANK('Q 5'!C1224),"",IF('Q 5'!C1224="&lt;please select&gt;","",'Q 5'!C1224))</f>
        <v>Transfer of CO2 in PCC (Article 49(1) (b))</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FR000000000000329</v>
      </c>
    </row>
    <row r="4450" spans="1:7" x14ac:dyDescent="0.3">
      <c r="A4450" t="s">
        <v>1892</v>
      </c>
      <c r="B4450" t="s">
        <v>1894</v>
      </c>
      <c r="C4450">
        <v>2</v>
      </c>
      <c r="D4450" t="s">
        <v>1447</v>
      </c>
      <c r="E4450" t="s">
        <v>1896</v>
      </c>
      <c r="F4450" t="s">
        <v>1741</v>
      </c>
      <c r="G4450" t="str">
        <f>IF(ISBLANK('Q 5'!D1221),"",IF('Q 5'!D1221="&lt;please select&gt;","",'Q 5'!D1221))</f>
        <v>FR000000000000338</v>
      </c>
    </row>
    <row r="4451" spans="1:7" x14ac:dyDescent="0.3">
      <c r="A4451" t="s">
        <v>1892</v>
      </c>
      <c r="B4451" t="s">
        <v>1894</v>
      </c>
      <c r="C4451">
        <v>3</v>
      </c>
      <c r="D4451" t="s">
        <v>1447</v>
      </c>
      <c r="E4451" t="s">
        <v>1896</v>
      </c>
      <c r="F4451" t="s">
        <v>1741</v>
      </c>
      <c r="G4451" t="str">
        <f>IF(ISBLANK('Q 5'!D1222),"",IF('Q 5'!D1222="&lt;please select&gt;","",'Q 5'!D1222))</f>
        <v>FR000000000000501</v>
      </c>
    </row>
    <row r="4452" spans="1:7" x14ac:dyDescent="0.3">
      <c r="A4452" t="s">
        <v>1892</v>
      </c>
      <c r="B4452" t="s">
        <v>1894</v>
      </c>
      <c r="C4452">
        <v>4</v>
      </c>
      <c r="D4452" t="s">
        <v>1447</v>
      </c>
      <c r="E4452" t="s">
        <v>1896</v>
      </c>
      <c r="F4452" t="s">
        <v>1741</v>
      </c>
      <c r="G4452" t="str">
        <f>IF(ISBLANK('Q 5'!D1223),"",IF('Q 5'!D1223="&lt;please select&gt;","",'Q 5'!D1223))</f>
        <v>FR000000000000956</v>
      </c>
    </row>
    <row r="4453" spans="1:7" x14ac:dyDescent="0.3">
      <c r="A4453" t="s">
        <v>1892</v>
      </c>
      <c r="B4453" t="s">
        <v>1894</v>
      </c>
      <c r="C4453">
        <v>5</v>
      </c>
      <c r="D4453" t="s">
        <v>1447</v>
      </c>
      <c r="E4453" t="s">
        <v>1896</v>
      </c>
      <c r="F4453" t="s">
        <v>1741</v>
      </c>
      <c r="G4453" t="str">
        <f>IF(ISBLANK('Q 5'!D1224),"",IF('Q 5'!D1224="&lt;please select&gt;","",'Q 5'!D1224))</f>
        <v>FR000000000001143</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FR000000000205748</v>
      </c>
    </row>
    <row r="4547" spans="1:7" x14ac:dyDescent="0.3">
      <c r="A4547" t="s">
        <v>1892</v>
      </c>
      <c r="B4547" t="s">
        <v>1894</v>
      </c>
      <c r="C4547">
        <v>2</v>
      </c>
      <c r="D4547" t="s">
        <v>1447</v>
      </c>
      <c r="E4547" t="s">
        <v>1897</v>
      </c>
      <c r="F4547" t="s">
        <v>1741</v>
      </c>
      <c r="G4547" t="str">
        <f>IF(ISBLANK('Q 5'!E1221),"",IF('Q 5'!E1221="&lt;please select&gt;","",'Q 5'!E1221))</f>
        <v>Non EU-ETS consumer</v>
      </c>
    </row>
    <row r="4548" spans="1:7" x14ac:dyDescent="0.3">
      <c r="A4548" t="s">
        <v>1892</v>
      </c>
      <c r="B4548" t="s">
        <v>1894</v>
      </c>
      <c r="C4548">
        <v>3</v>
      </c>
      <c r="D4548" t="s">
        <v>1447</v>
      </c>
      <c r="E4548" t="s">
        <v>1897</v>
      </c>
      <c r="F4548" t="s">
        <v>1741</v>
      </c>
      <c r="G4548" t="str">
        <f>IF(ISBLANK('Q 5'!E1222),"",IF('Q 5'!E1222="&lt;please select&gt;","",'Q 5'!E1222))</f>
        <v>Non EU-ETS consumer</v>
      </c>
    </row>
    <row r="4549" spans="1:7" x14ac:dyDescent="0.3">
      <c r="A4549" t="s">
        <v>1892</v>
      </c>
      <c r="B4549" t="s">
        <v>1894</v>
      </c>
      <c r="C4549">
        <v>4</v>
      </c>
      <c r="D4549" t="s">
        <v>1447</v>
      </c>
      <c r="E4549" t="s">
        <v>1897</v>
      </c>
      <c r="F4549" t="s">
        <v>1741</v>
      </c>
      <c r="G4549" t="str">
        <f>IF(ISBLANK('Q 5'!E1223),"",IF('Q 5'!E1223="&lt;please select&gt;","",'Q 5'!E1223))</f>
        <v>FR000000000000988</v>
      </c>
    </row>
    <row r="4550" spans="1:7" x14ac:dyDescent="0.3">
      <c r="A4550" t="s">
        <v>1892</v>
      </c>
      <c r="B4550" t="s">
        <v>1894</v>
      </c>
      <c r="C4550">
        <v>5</v>
      </c>
      <c r="D4550" t="s">
        <v>1447</v>
      </c>
      <c r="E4550" t="s">
        <v>1897</v>
      </c>
      <c r="F4550" t="s">
        <v>1741</v>
      </c>
      <c r="G4550" t="str">
        <f>IF(ISBLANK('Q 5'!E1224),"",IF('Q 5'!E1224="&lt;please select&gt;","",'Q 5'!E1224))</f>
        <v>FR000000000000177</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2995</v>
      </c>
    </row>
    <row r="4644" spans="1:9" x14ac:dyDescent="0.3">
      <c r="A4644" t="s">
        <v>1892</v>
      </c>
      <c r="B4644" t="s">
        <v>1894</v>
      </c>
      <c r="C4644">
        <v>2</v>
      </c>
      <c r="D4644" t="s">
        <v>1447</v>
      </c>
      <c r="E4644" t="s">
        <v>1898</v>
      </c>
      <c r="F4644" t="s">
        <v>1806</v>
      </c>
      <c r="I4644" t="str">
        <f>IF(ISBLANK('Q 5'!F1221),"",IF('Q 5'!F1221="&lt;please select&gt;","",'Q 5'!F1221))</f>
        <v>8666</v>
      </c>
    </row>
    <row r="4645" spans="1:9" x14ac:dyDescent="0.3">
      <c r="A4645" t="s">
        <v>1892</v>
      </c>
      <c r="B4645" t="s">
        <v>1894</v>
      </c>
      <c r="C4645">
        <v>3</v>
      </c>
      <c r="D4645" t="s">
        <v>1447</v>
      </c>
      <c r="E4645" t="s">
        <v>1898</v>
      </c>
      <c r="F4645" t="s">
        <v>1806</v>
      </c>
      <c r="I4645" t="str">
        <f>IF(ISBLANK('Q 5'!F1222),"",IF('Q 5'!F1222="&lt;please select&gt;","",'Q 5'!F1222))</f>
        <v>11421</v>
      </c>
    </row>
    <row r="4646" spans="1:9" x14ac:dyDescent="0.3">
      <c r="A4646" t="s">
        <v>1892</v>
      </c>
      <c r="B4646" t="s">
        <v>1894</v>
      </c>
      <c r="C4646">
        <v>4</v>
      </c>
      <c r="D4646" t="s">
        <v>1447</v>
      </c>
      <c r="E4646" t="s">
        <v>1898</v>
      </c>
      <c r="F4646" t="s">
        <v>1806</v>
      </c>
      <c r="I4646" t="str">
        <f>IF(ISBLANK('Q 5'!F1223),"",IF('Q 5'!F1223="&lt;please select&gt;","",'Q 5'!F1223))</f>
        <v>3773529.325511</v>
      </c>
    </row>
    <row r="4647" spans="1:9" x14ac:dyDescent="0.3">
      <c r="A4647" t="s">
        <v>1892</v>
      </c>
      <c r="B4647" t="s">
        <v>1894</v>
      </c>
      <c r="C4647">
        <v>5</v>
      </c>
      <c r="D4647" t="s">
        <v>1447</v>
      </c>
      <c r="E4647" t="s">
        <v>1898</v>
      </c>
      <c r="F4647" t="s">
        <v>1806</v>
      </c>
      <c r="I4647" t="str">
        <f>IF(ISBLANK('Q 5'!F1224),"",IF('Q 5'!F1224="&lt;please select&gt;","",'Q 5'!F1224))</f>
        <v>4262</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0</v>
      </c>
    </row>
    <row r="4741" spans="1:9" x14ac:dyDescent="0.3">
      <c r="A4741" t="s">
        <v>1892</v>
      </c>
      <c r="B4741" t="s">
        <v>1894</v>
      </c>
      <c r="C4741">
        <v>2</v>
      </c>
      <c r="D4741" t="s">
        <v>1447</v>
      </c>
      <c r="E4741" t="s">
        <v>1899</v>
      </c>
      <c r="F4741" t="s">
        <v>1806</v>
      </c>
      <c r="I4741" t="str">
        <f>IF(ISBLANK('Q 5'!G1221),"",IF('Q 5'!G1221="&lt;please select&gt;","",'Q 5'!G1221))</f>
        <v>0</v>
      </c>
    </row>
    <row r="4742" spans="1:9" x14ac:dyDescent="0.3">
      <c r="A4742" t="s">
        <v>1892</v>
      </c>
      <c r="B4742" t="s">
        <v>1894</v>
      </c>
      <c r="C4742">
        <v>3</v>
      </c>
      <c r="D4742" t="s">
        <v>1447</v>
      </c>
      <c r="E4742" t="s">
        <v>1899</v>
      </c>
      <c r="F4742" t="s">
        <v>1806</v>
      </c>
      <c r="I4742" t="str">
        <f>IF(ISBLANK('Q 5'!G1222),"",IF('Q 5'!G1222="&lt;please select&gt;","",'Q 5'!G1222))</f>
        <v>0</v>
      </c>
    </row>
    <row r="4743" spans="1:9" x14ac:dyDescent="0.3">
      <c r="A4743" t="s">
        <v>1892</v>
      </c>
      <c r="B4743" t="s">
        <v>1894</v>
      </c>
      <c r="C4743">
        <v>4</v>
      </c>
      <c r="D4743" t="s">
        <v>1447</v>
      </c>
      <c r="E4743" t="s">
        <v>1899</v>
      </c>
      <c r="F4743" t="s">
        <v>1806</v>
      </c>
      <c r="I4743" t="str">
        <f>IF(ISBLANK('Q 5'!G1223),"",IF('Q 5'!G1223="&lt;please select&gt;","",'Q 5'!G1223))</f>
        <v>3773528.9964</v>
      </c>
    </row>
    <row r="4744" spans="1:9" x14ac:dyDescent="0.3">
      <c r="A4744" t="s">
        <v>1892</v>
      </c>
      <c r="B4744" t="s">
        <v>1894</v>
      </c>
      <c r="C4744">
        <v>5</v>
      </c>
      <c r="D4744" t="s">
        <v>1447</v>
      </c>
      <c r="E4744" t="s">
        <v>1899</v>
      </c>
      <c r="F4744" t="s">
        <v>1806</v>
      </c>
      <c r="I4744" t="str">
        <f>IF(ISBLANK('Q 5'!G1224),"",IF('Q 5'!G1224="&lt;please select&gt;","",'Q 5'!G1224))</f>
        <v>0</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xml:space="preserve">42 - Production of bulk organic chemicals as specified in Annex I of Directive 2003/87/EC </v>
      </c>
    </row>
    <row r="4838" spans="1:11" x14ac:dyDescent="0.3">
      <c r="A4838" t="s">
        <v>1892</v>
      </c>
      <c r="B4838" t="s">
        <v>1894</v>
      </c>
      <c r="C4838">
        <v>2</v>
      </c>
      <c r="D4838" t="s">
        <v>1447</v>
      </c>
      <c r="E4838" t="s">
        <v>1900</v>
      </c>
      <c r="F4838" t="s">
        <v>1737</v>
      </c>
      <c r="K4838" t="str">
        <f>IF(ISBLANK('Q 5'!H1221),"",IF('Q 5'!H1221="&lt;please select&gt;","",'Q 5'!H1221))</f>
        <v>-</v>
      </c>
    </row>
    <row r="4839" spans="1:11" x14ac:dyDescent="0.3">
      <c r="A4839" t="s">
        <v>1892</v>
      </c>
      <c r="B4839" t="s">
        <v>1894</v>
      </c>
      <c r="C4839">
        <v>3</v>
      </c>
      <c r="D4839" t="s">
        <v>1447</v>
      </c>
      <c r="E4839" t="s">
        <v>1900</v>
      </c>
      <c r="F4839" t="s">
        <v>1737</v>
      </c>
      <c r="K4839" t="str">
        <f>IF(ISBLANK('Q 5'!H1222),"",IF('Q 5'!H1222="&lt;please select&gt;","",'Q 5'!H1222))</f>
        <v>-</v>
      </c>
    </row>
    <row r="4840" spans="1:11" x14ac:dyDescent="0.3">
      <c r="A4840" t="s">
        <v>1892</v>
      </c>
      <c r="B4840" t="s">
        <v>1894</v>
      </c>
      <c r="C4840">
        <v>4</v>
      </c>
      <c r="D4840" t="s">
        <v>1447</v>
      </c>
      <c r="E4840" t="s">
        <v>1900</v>
      </c>
      <c r="F4840" t="s">
        <v>1737</v>
      </c>
      <c r="K4840" t="str">
        <f>IF(ISBLANK('Q 5'!H1223),"",IF('Q 5'!H1223="&lt;please select&gt;","",'Q 5'!H1223))</f>
        <v>20 - Combustion of fuels as specified in Annex I of Directive 2003/87/EC</v>
      </c>
    </row>
    <row r="4841" spans="1:11" x14ac:dyDescent="0.3">
      <c r="A4841" t="s">
        <v>1892</v>
      </c>
      <c r="B4841" t="s">
        <v>1894</v>
      </c>
      <c r="C4841">
        <v>5</v>
      </c>
      <c r="D4841" t="s">
        <v>1447</v>
      </c>
      <c r="E4841" t="s">
        <v>1900</v>
      </c>
      <c r="F4841" t="s">
        <v>1737</v>
      </c>
      <c r="K4841" t="str">
        <f>IF(ISBLANK('Q 5'!H1224),"",IF('Q 5'!H1224="&lt;please select&gt;","",'Q 5'!H1224))</f>
        <v xml:space="preserve">36 - Production of paper or cardboard as specified in Annex I of Directive 2003/87/EC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v>
      </c>
    </row>
    <row r="4935" spans="1:11" x14ac:dyDescent="0.3">
      <c r="A4935" t="s">
        <v>1892</v>
      </c>
      <c r="B4935" t="s">
        <v>1894</v>
      </c>
      <c r="C4935">
        <v>2</v>
      </c>
      <c r="D4935" t="s">
        <v>1447</v>
      </c>
      <c r="E4935" t="s">
        <v>1901</v>
      </c>
      <c r="F4935" t="s">
        <v>1741</v>
      </c>
      <c r="G4935" t="str">
        <f>IF(ISBLANK('Q 5'!I1221),"",IF('Q 5'!I1221="&lt;please select&gt;","",'Q 5'!I1221))</f>
        <v>-</v>
      </c>
    </row>
    <row r="4936" spans="1:11" x14ac:dyDescent="0.3">
      <c r="A4936" t="s">
        <v>1892</v>
      </c>
      <c r="B4936" t="s">
        <v>1894</v>
      </c>
      <c r="C4936">
        <v>3</v>
      </c>
      <c r="D4936" t="s">
        <v>1447</v>
      </c>
      <c r="E4936" t="s">
        <v>1901</v>
      </c>
      <c r="F4936" t="s">
        <v>1741</v>
      </c>
      <c r="G4936" t="str">
        <f>IF(ISBLANK('Q 5'!I1222),"",IF('Q 5'!I1222="&lt;please select&gt;","",'Q 5'!I1222))</f>
        <v>-</v>
      </c>
    </row>
    <row r="4937" spans="1:11" x14ac:dyDescent="0.3">
      <c r="A4937" t="s">
        <v>1892</v>
      </c>
      <c r="B4937" t="s">
        <v>1894</v>
      </c>
      <c r="C4937">
        <v>4</v>
      </c>
      <c r="D4937" t="s">
        <v>1447</v>
      </c>
      <c r="E4937" t="s">
        <v>1901</v>
      </c>
      <c r="F4937" t="s">
        <v>1741</v>
      </c>
      <c r="G4937" t="str">
        <f>IF(ISBLANK('Q 5'!I1223),"",IF('Q 5'!I1223="&lt;please select&gt;","",'Q 5'!I1223))</f>
        <v>-</v>
      </c>
    </row>
    <row r="4938" spans="1:11" x14ac:dyDescent="0.3">
      <c r="A4938" t="s">
        <v>1892</v>
      </c>
      <c r="B4938" t="s">
        <v>1894</v>
      </c>
      <c r="C4938">
        <v>5</v>
      </c>
      <c r="D4938" t="s">
        <v>1447</v>
      </c>
      <c r="E4938" t="s">
        <v>1901</v>
      </c>
      <c r="F4938" t="s">
        <v>1741</v>
      </c>
      <c r="G4938" t="str">
        <f>IF(ISBLANK('Q 5'!I1224),"",IF('Q 5'!I1224="&lt;please select&gt;","",'Q 5'!I1224))</f>
        <v>-</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Yes</v>
      </c>
    </row>
    <row r="5032" spans="1:11" x14ac:dyDescent="0.3">
      <c r="A5032" t="s">
        <v>1902</v>
      </c>
      <c r="B5032" t="s">
        <v>1904</v>
      </c>
      <c r="C5032">
        <v>1</v>
      </c>
      <c r="D5032" t="s">
        <v>1447</v>
      </c>
      <c r="E5032" t="s">
        <v>1905</v>
      </c>
      <c r="F5032" t="s">
        <v>1741</v>
      </c>
      <c r="G5032" t="str">
        <f>IF(ISBLANK('Q 5'!C1327),"",IF('Q 5'!C1327="&lt;please select&gt;","",'Q 5'!C1327))</f>
        <v>FR000000000203838</v>
      </c>
    </row>
    <row r="5033" spans="1:11" x14ac:dyDescent="0.3">
      <c r="A5033" t="s">
        <v>1902</v>
      </c>
      <c r="B5033" t="s">
        <v>1904</v>
      </c>
      <c r="C5033">
        <v>2</v>
      </c>
      <c r="D5033" t="s">
        <v>1447</v>
      </c>
      <c r="E5033" t="s">
        <v>1905</v>
      </c>
      <c r="F5033" t="s">
        <v>1741</v>
      </c>
      <c r="G5033" t="str">
        <f>IF(ISBLANK('Q 5'!C1328),"",IF('Q 5'!C1328="&lt;please select&gt;","",'Q 5'!C1328))</f>
        <v>FR000000000203841</v>
      </c>
    </row>
    <row r="5034" spans="1:11" x14ac:dyDescent="0.3">
      <c r="A5034" t="s">
        <v>1902</v>
      </c>
      <c r="B5034" t="s">
        <v>1904</v>
      </c>
      <c r="C5034">
        <v>3</v>
      </c>
      <c r="D5034" t="s">
        <v>1447</v>
      </c>
      <c r="E5034" t="s">
        <v>1905</v>
      </c>
      <c r="F5034" t="s">
        <v>1741</v>
      </c>
      <c r="G5034" t="str">
        <f>IF(ISBLANK('Q 5'!C1329),"",IF('Q 5'!C1329="&lt;please select&gt;","",'Q 5'!C1329))</f>
        <v>FR000000000000559</v>
      </c>
    </row>
    <row r="5035" spans="1:11" x14ac:dyDescent="0.3">
      <c r="A5035" t="s">
        <v>1902</v>
      </c>
      <c r="B5035" t="s">
        <v>1904</v>
      </c>
      <c r="C5035">
        <v>4</v>
      </c>
      <c r="D5035" t="s">
        <v>1447</v>
      </c>
      <c r="E5035" t="s">
        <v>1905</v>
      </c>
      <c r="F5035" t="s">
        <v>1741</v>
      </c>
      <c r="G5035" t="str">
        <f>IF(ISBLANK('Q 5'!C1330),"",IF('Q 5'!C1330="&lt;please select&gt;","",'Q 5'!C1330))</f>
        <v>FR000000000000827</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
      </c>
    </row>
    <row r="5083" spans="1:7" x14ac:dyDescent="0.3">
      <c r="A5083" t="s">
        <v>1902</v>
      </c>
      <c r="B5083" t="s">
        <v>1904</v>
      </c>
      <c r="C5083">
        <v>2</v>
      </c>
      <c r="D5083" t="s">
        <v>1447</v>
      </c>
      <c r="E5083" t="s">
        <v>1906</v>
      </c>
      <c r="F5083" t="s">
        <v>1741</v>
      </c>
      <c r="G5083" t="str">
        <f>IF(ISBLANK('Q 5'!E1328),"",IF('Q 5'!E1328="&lt;please select&gt;","",'Q 5'!E1328))</f>
        <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FR000000000000827</v>
      </c>
    </row>
    <row r="5086" spans="1:7" x14ac:dyDescent="0.3">
      <c r="A5086" t="s">
        <v>1902</v>
      </c>
      <c r="B5086" t="s">
        <v>1904</v>
      </c>
      <c r="C5086">
        <v>5</v>
      </c>
      <c r="D5086" t="s">
        <v>1447</v>
      </c>
      <c r="E5086" t="s">
        <v>1906</v>
      </c>
      <c r="F5086" t="s">
        <v>1741</v>
      </c>
      <c r="G5086" t="str">
        <f>IF(ISBLANK('Q 5'!E1331),"",IF('Q 5'!E1331="&lt;please select&gt;","",'Q 5'!E1331))</f>
        <v>FR000000000205532</v>
      </c>
    </row>
    <row r="5087" spans="1:7" x14ac:dyDescent="0.3">
      <c r="A5087" t="s">
        <v>1902</v>
      </c>
      <c r="B5087" t="s">
        <v>1904</v>
      </c>
      <c r="C5087">
        <v>6</v>
      </c>
      <c r="D5087" t="s">
        <v>1447</v>
      </c>
      <c r="E5087" t="s">
        <v>1906</v>
      </c>
      <c r="F5087" t="s">
        <v>1741</v>
      </c>
      <c r="G5087" t="str">
        <f>IF(ISBLANK('Q 5'!E1332),"",IF('Q 5'!E1332="&lt;please select&gt;","",'Q 5'!E1332))</f>
        <v>FR000000000204782</v>
      </c>
    </row>
    <row r="5088" spans="1:7" x14ac:dyDescent="0.3">
      <c r="A5088" t="s">
        <v>1902</v>
      </c>
      <c r="B5088" t="s">
        <v>1904</v>
      </c>
      <c r="C5088">
        <v>7</v>
      </c>
      <c r="D5088" t="s">
        <v>1447</v>
      </c>
      <c r="E5088" t="s">
        <v>1906</v>
      </c>
      <c r="F5088" t="s">
        <v>1741</v>
      </c>
      <c r="G5088" t="str">
        <f>IF(ISBLANK('Q 5'!E1333),"",IF('Q 5'!E1333="&lt;please select&gt;","",'Q 5'!E1333))</f>
        <v>FR000000000000072</v>
      </c>
    </row>
    <row r="5089" spans="1:7" x14ac:dyDescent="0.3">
      <c r="A5089" t="s">
        <v>1902</v>
      </c>
      <c r="B5089" t="s">
        <v>1904</v>
      </c>
      <c r="C5089">
        <v>8</v>
      </c>
      <c r="D5089" t="s">
        <v>1447</v>
      </c>
      <c r="E5089" t="s">
        <v>1906</v>
      </c>
      <c r="F5089" t="s">
        <v>1741</v>
      </c>
      <c r="G5089" t="str">
        <f>IF(ISBLANK('Q 5'!E1334),"",IF('Q 5'!E1334="&lt;please select&gt;","",'Q 5'!E1334))</f>
        <v>FR000000000204210</v>
      </c>
    </row>
    <row r="5090" spans="1:7" x14ac:dyDescent="0.3">
      <c r="A5090" t="s">
        <v>1902</v>
      </c>
      <c r="B5090" t="s">
        <v>1904</v>
      </c>
      <c r="C5090">
        <v>9</v>
      </c>
      <c r="D5090" t="s">
        <v>1447</v>
      </c>
      <c r="E5090" t="s">
        <v>1906</v>
      </c>
      <c r="F5090" t="s">
        <v>1741</v>
      </c>
      <c r="G5090" t="str">
        <f>IF(ISBLANK('Q 5'!E1335),"",IF('Q 5'!E1335="&lt;please select&gt;","",'Q 5'!E1335))</f>
        <v>FR000000000001132</v>
      </c>
    </row>
    <row r="5091" spans="1:7" x14ac:dyDescent="0.3">
      <c r="A5091" t="s">
        <v>1902</v>
      </c>
      <c r="B5091" t="s">
        <v>1904</v>
      </c>
      <c r="C5091">
        <v>10</v>
      </c>
      <c r="D5091" t="s">
        <v>1447</v>
      </c>
      <c r="E5091" t="s">
        <v>1906</v>
      </c>
      <c r="F5091" t="s">
        <v>1741</v>
      </c>
      <c r="G5091" t="str">
        <f>IF(ISBLANK('Q 5'!E1336),"",IF('Q 5'!E1336="&lt;please select&gt;","",'Q 5'!E1336))</f>
        <v>FR000000000204205</v>
      </c>
    </row>
    <row r="5092" spans="1:7" x14ac:dyDescent="0.3">
      <c r="A5092" t="s">
        <v>1902</v>
      </c>
      <c r="B5092" t="s">
        <v>1904</v>
      </c>
      <c r="C5092">
        <v>11</v>
      </c>
      <c r="D5092" t="s">
        <v>1447</v>
      </c>
      <c r="E5092" t="s">
        <v>1906</v>
      </c>
      <c r="F5092" t="s">
        <v>1741</v>
      </c>
      <c r="G5092" t="str">
        <f>IF(ISBLANK('Q 5'!E1337),"",IF('Q 5'!E1337="&lt;please select&gt;","",'Q 5'!E1337))</f>
        <v>FR000000000204209</v>
      </c>
    </row>
    <row r="5093" spans="1:7" x14ac:dyDescent="0.3">
      <c r="A5093" t="s">
        <v>1902</v>
      </c>
      <c r="B5093" t="s">
        <v>1904</v>
      </c>
      <c r="C5093">
        <v>12</v>
      </c>
      <c r="D5093" t="s">
        <v>1447</v>
      </c>
      <c r="E5093" t="s">
        <v>1906</v>
      </c>
      <c r="F5093" t="s">
        <v>1741</v>
      </c>
      <c r="G5093" t="str">
        <f>IF(ISBLANK('Q 5'!E1338),"",IF('Q 5'!E1338="&lt;please select&gt;","",'Q 5'!E1338))</f>
        <v>FR000000000206232</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153877</v>
      </c>
    </row>
    <row r="5133" spans="1:9" x14ac:dyDescent="0.3">
      <c r="A5133" t="s">
        <v>1902</v>
      </c>
      <c r="B5133" t="s">
        <v>1904</v>
      </c>
      <c r="C5133">
        <v>2</v>
      </c>
      <c r="D5133" t="s">
        <v>1447</v>
      </c>
      <c r="E5133" t="s">
        <v>1907</v>
      </c>
      <c r="F5133" t="s">
        <v>1806</v>
      </c>
      <c r="I5133" s="165" t="str">
        <f>IF(ISBLANK('Q 5'!G1328),"",IF('Q 5'!G1328="&lt;please select&gt;","",'Q 5'!G1328))</f>
        <v>22539</v>
      </c>
    </row>
    <row r="5134" spans="1:9" x14ac:dyDescent="0.3">
      <c r="A5134" t="s">
        <v>1902</v>
      </c>
      <c r="B5134" t="s">
        <v>1904</v>
      </c>
      <c r="C5134">
        <v>3</v>
      </c>
      <c r="D5134" t="s">
        <v>1447</v>
      </c>
      <c r="E5134" t="s">
        <v>1907</v>
      </c>
      <c r="F5134" t="s">
        <v>1806</v>
      </c>
      <c r="I5134" s="165" t="str">
        <f>IF(ISBLANK('Q 5'!G1329),"",IF('Q 5'!G1329="&lt;please select&gt;","",'Q 5'!G1329))</f>
        <v>139080</v>
      </c>
    </row>
    <row r="5135" spans="1:9" x14ac:dyDescent="0.3">
      <c r="A5135" t="s">
        <v>1902</v>
      </c>
      <c r="B5135" t="s">
        <v>1904</v>
      </c>
      <c r="C5135">
        <v>4</v>
      </c>
      <c r="D5135" t="s">
        <v>1447</v>
      </c>
      <c r="E5135" t="s">
        <v>1907</v>
      </c>
      <c r="F5135" t="s">
        <v>1806</v>
      </c>
      <c r="I5135" s="165" t="str">
        <f>IF(ISBLANK('Q 5'!G1330),"",IF('Q 5'!G1330="&lt;please select&gt;","",'Q 5'!G1330))</f>
        <v>403379</v>
      </c>
    </row>
    <row r="5136" spans="1:9" x14ac:dyDescent="0.3">
      <c r="A5136" t="s">
        <v>1902</v>
      </c>
      <c r="B5136" t="s">
        <v>1904</v>
      </c>
      <c r="C5136">
        <v>5</v>
      </c>
      <c r="D5136" t="s">
        <v>1447</v>
      </c>
      <c r="E5136" t="s">
        <v>1907</v>
      </c>
      <c r="F5136" t="s">
        <v>1806</v>
      </c>
      <c r="I5136" s="165" t="str">
        <f>IF(ISBLANK('Q 5'!G1331),"",IF('Q 5'!G1331="&lt;please select&gt;","",'Q 5'!G1331))</f>
        <v>25097</v>
      </c>
    </row>
    <row r="5137" spans="1:9" x14ac:dyDescent="0.3">
      <c r="A5137" t="s">
        <v>1902</v>
      </c>
      <c r="B5137" t="s">
        <v>1904</v>
      </c>
      <c r="C5137">
        <v>6</v>
      </c>
      <c r="D5137" t="s">
        <v>1447</v>
      </c>
      <c r="E5137" t="s">
        <v>1907</v>
      </c>
      <c r="F5137" t="s">
        <v>1806</v>
      </c>
      <c r="I5137" s="165" t="str">
        <f>IF(ISBLANK('Q 5'!G1332),"",IF('Q 5'!G1332="&lt;please select&gt;","",'Q 5'!G1332))</f>
        <v>10250</v>
      </c>
    </row>
    <row r="5138" spans="1:9" x14ac:dyDescent="0.3">
      <c r="A5138" t="s">
        <v>1902</v>
      </c>
      <c r="B5138" t="s">
        <v>1904</v>
      </c>
      <c r="C5138">
        <v>7</v>
      </c>
      <c r="D5138" t="s">
        <v>1447</v>
      </c>
      <c r="E5138" t="s">
        <v>1907</v>
      </c>
      <c r="F5138" t="s">
        <v>1806</v>
      </c>
      <c r="I5138" s="165" t="str">
        <f>IF(ISBLANK('Q 5'!G1333),"",IF('Q 5'!G1333="&lt;please select&gt;","",'Q 5'!G1333))</f>
        <v>56545</v>
      </c>
    </row>
    <row r="5139" spans="1:9" x14ac:dyDescent="0.3">
      <c r="A5139" t="s">
        <v>1902</v>
      </c>
      <c r="B5139" t="s">
        <v>1904</v>
      </c>
      <c r="C5139">
        <v>8</v>
      </c>
      <c r="D5139" t="s">
        <v>1447</v>
      </c>
      <c r="E5139" t="s">
        <v>1907</v>
      </c>
      <c r="F5139" t="s">
        <v>1806</v>
      </c>
      <c r="I5139" s="165" t="str">
        <f>IF(ISBLANK('Q 5'!G1334),"",IF('Q 5'!G1334="&lt;please select&gt;","",'Q 5'!G1334))</f>
        <v>49694</v>
      </c>
    </row>
    <row r="5140" spans="1:9" x14ac:dyDescent="0.3">
      <c r="A5140" t="s">
        <v>1902</v>
      </c>
      <c r="B5140" t="s">
        <v>1904</v>
      </c>
      <c r="C5140">
        <v>9</v>
      </c>
      <c r="D5140" t="s">
        <v>1447</v>
      </c>
      <c r="E5140" t="s">
        <v>1907</v>
      </c>
      <c r="F5140" t="s">
        <v>1806</v>
      </c>
      <c r="I5140" s="165" t="str">
        <f>IF(ISBLANK('Q 5'!G1335),"",IF('Q 5'!G1335="&lt;please select&gt;","",'Q 5'!G1335))</f>
        <v>94020</v>
      </c>
    </row>
    <row r="5141" spans="1:9" x14ac:dyDescent="0.3">
      <c r="A5141" t="s">
        <v>1902</v>
      </c>
      <c r="B5141" t="s">
        <v>1904</v>
      </c>
      <c r="C5141">
        <v>10</v>
      </c>
      <c r="D5141" t="s">
        <v>1447</v>
      </c>
      <c r="E5141" t="s">
        <v>1907</v>
      </c>
      <c r="F5141" t="s">
        <v>1806</v>
      </c>
      <c r="I5141" s="165" t="str">
        <f>IF(ISBLANK('Q 5'!G1336),"",IF('Q 5'!G1336="&lt;please select&gt;","",'Q 5'!G1336))</f>
        <v>35768</v>
      </c>
    </row>
    <row r="5142" spans="1:9" x14ac:dyDescent="0.3">
      <c r="A5142" t="s">
        <v>1902</v>
      </c>
      <c r="B5142" t="s">
        <v>1904</v>
      </c>
      <c r="C5142">
        <v>11</v>
      </c>
      <c r="D5142" t="s">
        <v>1447</v>
      </c>
      <c r="E5142" t="s">
        <v>1907</v>
      </c>
      <c r="F5142" t="s">
        <v>1806</v>
      </c>
      <c r="I5142" s="165" t="str">
        <f>IF(ISBLANK('Q 5'!G1337),"",IF('Q 5'!G1337="&lt;please select&gt;","",'Q 5'!G1337))</f>
        <v>28203</v>
      </c>
    </row>
    <row r="5143" spans="1:9" x14ac:dyDescent="0.3">
      <c r="A5143" t="s">
        <v>1902</v>
      </c>
      <c r="B5143" t="s">
        <v>1904</v>
      </c>
      <c r="C5143">
        <v>12</v>
      </c>
      <c r="D5143" t="s">
        <v>1447</v>
      </c>
      <c r="E5143" t="s">
        <v>1907</v>
      </c>
      <c r="F5143" t="s">
        <v>1806</v>
      </c>
      <c r="I5143" s="165" t="str">
        <f>IF(ISBLANK('Q 5'!G1338),"",IF('Q 5'!G1338="&lt;please select&gt;","",'Q 5'!G1338))</f>
        <v>500320</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123665.604</v>
      </c>
    </row>
    <row r="5183" spans="1:9" x14ac:dyDescent="0.3">
      <c r="A5183" t="s">
        <v>1902</v>
      </c>
      <c r="B5183" t="s">
        <v>1904</v>
      </c>
      <c r="C5183">
        <v>2</v>
      </c>
      <c r="D5183" t="s">
        <v>1447</v>
      </c>
      <c r="E5183" t="s">
        <v>1908</v>
      </c>
      <c r="F5183" t="s">
        <v>1806</v>
      </c>
      <c r="I5183" s="165" t="str">
        <f>IF(ISBLANK('Q 5'!H1328),"",IF('Q 5'!H1328="&lt;please select&gt;","",'Q 5'!H1328))</f>
        <v>21656.5</v>
      </c>
    </row>
    <row r="5184" spans="1:9" x14ac:dyDescent="0.3">
      <c r="A5184" t="s">
        <v>1902</v>
      </c>
      <c r="B5184" t="s">
        <v>1904</v>
      </c>
      <c r="C5184">
        <v>3</v>
      </c>
      <c r="D5184" t="s">
        <v>1447</v>
      </c>
      <c r="E5184" t="s">
        <v>1908</v>
      </c>
      <c r="F5184" t="s">
        <v>1806</v>
      </c>
      <c r="I5184" s="165" t="str">
        <f>IF(ISBLANK('Q 5'!H1329),"",IF('Q 5'!H1329="&lt;please select&gt;","",'Q 5'!H1329))</f>
        <v>0</v>
      </c>
    </row>
    <row r="5185" spans="1:9" x14ac:dyDescent="0.3">
      <c r="A5185" t="s">
        <v>1902</v>
      </c>
      <c r="B5185" t="s">
        <v>1904</v>
      </c>
      <c r="C5185">
        <v>4</v>
      </c>
      <c r="D5185" t="s">
        <v>1447</v>
      </c>
      <c r="E5185" t="s">
        <v>1908</v>
      </c>
      <c r="F5185" t="s">
        <v>1806</v>
      </c>
      <c r="I5185" s="165" t="str">
        <f>IF(ISBLANK('Q 5'!H1330),"",IF('Q 5'!H1330="&lt;please select&gt;","",'Q 5'!H1330))</f>
        <v>88526.6959094411</v>
      </c>
    </row>
    <row r="5186" spans="1:9" x14ac:dyDescent="0.3">
      <c r="A5186" t="s">
        <v>1902</v>
      </c>
      <c r="B5186" t="s">
        <v>1904</v>
      </c>
      <c r="C5186">
        <v>5</v>
      </c>
      <c r="D5186" t="s">
        <v>1447</v>
      </c>
      <c r="E5186" t="s">
        <v>1908</v>
      </c>
      <c r="F5186" t="s">
        <v>1806</v>
      </c>
      <c r="I5186" s="165" t="str">
        <f>IF(ISBLANK('Q 5'!H1331),"",IF('Q 5'!H1331="&lt;please select&gt;","",'Q 5'!H1331))</f>
        <v>24379.313896</v>
      </c>
    </row>
    <row r="5187" spans="1:9" x14ac:dyDescent="0.3">
      <c r="A5187" t="s">
        <v>1902</v>
      </c>
      <c r="B5187" t="s">
        <v>1904</v>
      </c>
      <c r="C5187">
        <v>6</v>
      </c>
      <c r="D5187" t="s">
        <v>1447</v>
      </c>
      <c r="E5187" t="s">
        <v>1908</v>
      </c>
      <c r="F5187" t="s">
        <v>1806</v>
      </c>
      <c r="I5187" s="165" t="str">
        <f>IF(ISBLANK('Q 5'!H1332),"",IF('Q 5'!H1332="&lt;please select&gt;","",'Q 5'!H1332))</f>
        <v>10250</v>
      </c>
    </row>
    <row r="5188" spans="1:9" x14ac:dyDescent="0.3">
      <c r="A5188" t="s">
        <v>1902</v>
      </c>
      <c r="B5188" t="s">
        <v>1904</v>
      </c>
      <c r="C5188">
        <v>7</v>
      </c>
      <c r="D5188" t="s">
        <v>1447</v>
      </c>
      <c r="E5188" t="s">
        <v>1908</v>
      </c>
      <c r="F5188" t="s">
        <v>1806</v>
      </c>
      <c r="I5188" s="165" t="str">
        <f>IF(ISBLANK('Q 5'!H1333),"",IF('Q 5'!H1333="&lt;please select&gt;","",'Q 5'!H1333))</f>
        <v>53698.427847</v>
      </c>
    </row>
    <row r="5189" spans="1:9" x14ac:dyDescent="0.3">
      <c r="A5189" t="s">
        <v>1902</v>
      </c>
      <c r="B5189" t="s">
        <v>1904</v>
      </c>
      <c r="C5189">
        <v>8</v>
      </c>
      <c r="D5189" t="s">
        <v>1447</v>
      </c>
      <c r="E5189" t="s">
        <v>1908</v>
      </c>
      <c r="F5189" t="s">
        <v>1806</v>
      </c>
      <c r="I5189" s="165" t="str">
        <f>IF(ISBLANK('Q 5'!H1334),"",IF('Q 5'!H1334="&lt;please select&gt;","",'Q 5'!H1334))</f>
        <v>49693.504549</v>
      </c>
    </row>
    <row r="5190" spans="1:9" x14ac:dyDescent="0.3">
      <c r="A5190" t="s">
        <v>1902</v>
      </c>
      <c r="B5190" t="s">
        <v>1904</v>
      </c>
      <c r="C5190">
        <v>9</v>
      </c>
      <c r="D5190" t="s">
        <v>1447</v>
      </c>
      <c r="E5190" t="s">
        <v>1908</v>
      </c>
      <c r="F5190" t="s">
        <v>1806</v>
      </c>
      <c r="I5190" s="165" t="str">
        <f>IF(ISBLANK('Q 5'!H1335),"",IF('Q 5'!H1335="&lt;please select&gt;","",'Q 5'!H1335))</f>
        <v>72604.919025</v>
      </c>
    </row>
    <row r="5191" spans="1:9" x14ac:dyDescent="0.3">
      <c r="A5191" t="s">
        <v>1902</v>
      </c>
      <c r="B5191" t="s">
        <v>1904</v>
      </c>
      <c r="C5191">
        <v>10</v>
      </c>
      <c r="D5191" t="s">
        <v>1447</v>
      </c>
      <c r="E5191" t="s">
        <v>1908</v>
      </c>
      <c r="F5191" t="s">
        <v>1806</v>
      </c>
      <c r="I5191" s="165" t="str">
        <f>IF(ISBLANK('Q 5'!H1336),"",IF('Q 5'!H1336="&lt;please select&gt;","",'Q 5'!H1336))</f>
        <v>35768.366951</v>
      </c>
    </row>
    <row r="5192" spans="1:9" x14ac:dyDescent="0.3">
      <c r="A5192" t="s">
        <v>1902</v>
      </c>
      <c r="B5192" t="s">
        <v>1904</v>
      </c>
      <c r="C5192">
        <v>11</v>
      </c>
      <c r="D5192" t="s">
        <v>1447</v>
      </c>
      <c r="E5192" t="s">
        <v>1908</v>
      </c>
      <c r="F5192" t="s">
        <v>1806</v>
      </c>
      <c r="I5192" s="165" t="str">
        <f>IF(ISBLANK('Q 5'!H1337),"",IF('Q 5'!H1337="&lt;please select&gt;","",'Q 5'!H1337))</f>
        <v>28202.727601</v>
      </c>
    </row>
    <row r="5193" spans="1:9" x14ac:dyDescent="0.3">
      <c r="A5193" t="s">
        <v>1902</v>
      </c>
      <c r="B5193" t="s">
        <v>1904</v>
      </c>
      <c r="C5193">
        <v>12</v>
      </c>
      <c r="D5193" t="s">
        <v>1447</v>
      </c>
      <c r="E5193" t="s">
        <v>1908</v>
      </c>
      <c r="F5193" t="s">
        <v>1806</v>
      </c>
      <c r="I5193" s="165" t="str">
        <f>IF(ISBLANK('Q 5'!H1338),"",IF('Q 5'!H1338="&lt;please select&gt;","",'Q 5'!H1338))</f>
        <v>34315.750753</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No</v>
      </c>
    </row>
    <row r="5233" spans="1:11" x14ac:dyDescent="0.3">
      <c r="A5233" t="s">
        <v>1902</v>
      </c>
      <c r="B5233" t="s">
        <v>1904</v>
      </c>
      <c r="C5233">
        <v>2</v>
      </c>
      <c r="D5233" t="s">
        <v>1447</v>
      </c>
      <c r="E5233" t="s">
        <v>1909</v>
      </c>
      <c r="F5233" t="s">
        <v>1759</v>
      </c>
      <c r="K5233" t="str">
        <f>IF(ISBLANK('Q 5'!I1328),"",IF('Q 5'!I1328="&lt;please select&gt;","",'Q 5'!I1328))</f>
        <v>No</v>
      </c>
    </row>
    <row r="5234" spans="1:11" x14ac:dyDescent="0.3">
      <c r="A5234" t="s">
        <v>1902</v>
      </c>
      <c r="B5234" t="s">
        <v>1904</v>
      </c>
      <c r="C5234">
        <v>3</v>
      </c>
      <c r="D5234" t="s">
        <v>1447</v>
      </c>
      <c r="E5234" t="s">
        <v>1909</v>
      </c>
      <c r="F5234" t="s">
        <v>1759</v>
      </c>
      <c r="K5234" t="str">
        <f>IF(ISBLANK('Q 5'!I1329),"",IF('Q 5'!I1329="&lt;please select&gt;","",'Q 5'!I1329))</f>
        <v>No</v>
      </c>
    </row>
    <row r="5235" spans="1:11" x14ac:dyDescent="0.3">
      <c r="A5235" t="s">
        <v>1902</v>
      </c>
      <c r="B5235" t="s">
        <v>1904</v>
      </c>
      <c r="C5235">
        <v>4</v>
      </c>
      <c r="D5235" t="s">
        <v>1447</v>
      </c>
      <c r="E5235" t="s">
        <v>1909</v>
      </c>
      <c r="F5235" t="s">
        <v>1759</v>
      </c>
      <c r="K5235" t="str">
        <f>IF(ISBLANK('Q 5'!I1330),"",IF('Q 5'!I1330="&lt;please select&gt;","",'Q 5'!I1330))</f>
        <v>No</v>
      </c>
    </row>
    <row r="5236" spans="1:11" x14ac:dyDescent="0.3">
      <c r="A5236" t="s">
        <v>1902</v>
      </c>
      <c r="B5236" t="s">
        <v>1904</v>
      </c>
      <c r="C5236">
        <v>5</v>
      </c>
      <c r="D5236" t="s">
        <v>1447</v>
      </c>
      <c r="E5236" t="s">
        <v>1909</v>
      </c>
      <c r="F5236" t="s">
        <v>1759</v>
      </c>
      <c r="K5236" t="str">
        <f>IF(ISBLANK('Q 5'!I1331),"",IF('Q 5'!I1331="&lt;please select&gt;","",'Q 5'!I1331))</f>
        <v>No</v>
      </c>
    </row>
    <row r="5237" spans="1:11" x14ac:dyDescent="0.3">
      <c r="A5237" t="s">
        <v>1902</v>
      </c>
      <c r="B5237" t="s">
        <v>1904</v>
      </c>
      <c r="C5237">
        <v>6</v>
      </c>
      <c r="D5237" t="s">
        <v>1447</v>
      </c>
      <c r="E5237" t="s">
        <v>1909</v>
      </c>
      <c r="F5237" t="s">
        <v>1759</v>
      </c>
      <c r="K5237" t="str">
        <f>IF(ISBLANK('Q 5'!I1332),"",IF('Q 5'!I1332="&lt;please select&gt;","",'Q 5'!I1332))</f>
        <v>No</v>
      </c>
    </row>
    <row r="5238" spans="1:11" x14ac:dyDescent="0.3">
      <c r="A5238" t="s">
        <v>1902</v>
      </c>
      <c r="B5238" t="s">
        <v>1904</v>
      </c>
      <c r="C5238">
        <v>7</v>
      </c>
      <c r="D5238" t="s">
        <v>1447</v>
      </c>
      <c r="E5238" t="s">
        <v>1909</v>
      </c>
      <c r="F5238" t="s">
        <v>1759</v>
      </c>
      <c r="K5238" t="str">
        <f>IF(ISBLANK('Q 5'!I1333),"",IF('Q 5'!I1333="&lt;please select&gt;","",'Q 5'!I1333))</f>
        <v>No</v>
      </c>
    </row>
    <row r="5239" spans="1:11" x14ac:dyDescent="0.3">
      <c r="A5239" t="s">
        <v>1902</v>
      </c>
      <c r="B5239" t="s">
        <v>1904</v>
      </c>
      <c r="C5239">
        <v>8</v>
      </c>
      <c r="D5239" t="s">
        <v>1447</v>
      </c>
      <c r="E5239" t="s">
        <v>1909</v>
      </c>
      <c r="F5239" t="s">
        <v>1759</v>
      </c>
      <c r="K5239" t="str">
        <f>IF(ISBLANK('Q 5'!I1334),"",IF('Q 5'!I1334="&lt;please select&gt;","",'Q 5'!I1334))</f>
        <v>No</v>
      </c>
    </row>
    <row r="5240" spans="1:11" x14ac:dyDescent="0.3">
      <c r="A5240" t="s">
        <v>1902</v>
      </c>
      <c r="B5240" t="s">
        <v>1904</v>
      </c>
      <c r="C5240">
        <v>9</v>
      </c>
      <c r="D5240" t="s">
        <v>1447</v>
      </c>
      <c r="E5240" t="s">
        <v>1909</v>
      </c>
      <c r="F5240" t="s">
        <v>1759</v>
      </c>
      <c r="K5240" t="str">
        <f>IF(ISBLANK('Q 5'!I1335),"",IF('Q 5'!I1335="&lt;please select&gt;","",'Q 5'!I1335))</f>
        <v>No</v>
      </c>
    </row>
    <row r="5241" spans="1:11" x14ac:dyDescent="0.3">
      <c r="A5241" t="s">
        <v>1902</v>
      </c>
      <c r="B5241" t="s">
        <v>1904</v>
      </c>
      <c r="C5241">
        <v>10</v>
      </c>
      <c r="D5241" t="s">
        <v>1447</v>
      </c>
      <c r="E5241" t="s">
        <v>1909</v>
      </c>
      <c r="F5241" t="s">
        <v>1759</v>
      </c>
      <c r="K5241" t="str">
        <f>IF(ISBLANK('Q 5'!I1336),"",IF('Q 5'!I1336="&lt;please select&gt;","",'Q 5'!I1336))</f>
        <v>No</v>
      </c>
    </row>
    <row r="5242" spans="1:11" x14ac:dyDescent="0.3">
      <c r="A5242" t="s">
        <v>1902</v>
      </c>
      <c r="B5242" t="s">
        <v>1904</v>
      </c>
      <c r="C5242">
        <v>11</v>
      </c>
      <c r="D5242" t="s">
        <v>1447</v>
      </c>
      <c r="E5242" t="s">
        <v>1909</v>
      </c>
      <c r="F5242" t="s">
        <v>1759</v>
      </c>
      <c r="K5242" t="str">
        <f>IF(ISBLANK('Q 5'!I1337),"",IF('Q 5'!I1337="&lt;please select&gt;","",'Q 5'!I1337))</f>
        <v>No</v>
      </c>
    </row>
    <row r="5243" spans="1:11" x14ac:dyDescent="0.3">
      <c r="A5243" t="s">
        <v>1902</v>
      </c>
      <c r="B5243" t="s">
        <v>1904</v>
      </c>
      <c r="C5243">
        <v>12</v>
      </c>
      <c r="D5243" t="s">
        <v>1447</v>
      </c>
      <c r="E5243" t="s">
        <v>1909</v>
      </c>
      <c r="F5243" t="s">
        <v>1759</v>
      </c>
      <c r="K5243" t="str">
        <f>IF(ISBLANK('Q 5'!I1338),"",IF('Q 5'!I1338="&lt;please select&gt;","",'Q 5'!I1338))</f>
        <v>No</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Use of voluntary schemes recognised by the European Commission</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20 - Combustion of fuels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20 - Combustion of fuels as specified in Annex I of Directive 2003/87/EC</v>
      </c>
    </row>
    <row r="5286" spans="1:11" x14ac:dyDescent="0.3">
      <c r="A5286" t="s">
        <v>1910</v>
      </c>
      <c r="B5286" t="s">
        <v>1912</v>
      </c>
      <c r="C5286">
        <v>4</v>
      </c>
      <c r="D5286" t="s">
        <v>1447</v>
      </c>
      <c r="E5286" t="s">
        <v>1888</v>
      </c>
      <c r="F5286" t="s">
        <v>1737</v>
      </c>
      <c r="K5286" t="str">
        <f>IF(ISBLANK('Q 5'!C1392),"",IF('Q 5'!C1392="&lt;please select&gt;","",'Q 5'!C1392))</f>
        <v>24 - Production of pig iron or steel as specified in Annex I of Directive 2003/87/EC</v>
      </c>
    </row>
    <row r="5287" spans="1:11" x14ac:dyDescent="0.3">
      <c r="A5287" t="s">
        <v>1910</v>
      </c>
      <c r="B5287" t="s">
        <v>1912</v>
      </c>
      <c r="C5287">
        <v>5</v>
      </c>
      <c r="D5287" t="s">
        <v>1447</v>
      </c>
      <c r="E5287" t="s">
        <v>1888</v>
      </c>
      <c r="F5287" t="s">
        <v>1737</v>
      </c>
      <c r="K5287" t="str">
        <f>IF(ISBLANK('Q 5'!C1393),"",IF('Q 5'!C1393="&lt;please select&gt;","",'Q 5'!C1393))</f>
        <v>25 - Production or processing of ferrous metals as specified in Annex I of Directive 2003/87/EC</v>
      </c>
    </row>
    <row r="5288" spans="1:11" x14ac:dyDescent="0.3">
      <c r="A5288" t="s">
        <v>1910</v>
      </c>
      <c r="B5288" t="s">
        <v>1912</v>
      </c>
      <c r="C5288">
        <v>6</v>
      </c>
      <c r="D5288" t="s">
        <v>1447</v>
      </c>
      <c r="E5288" t="s">
        <v>1888</v>
      </c>
      <c r="F5288" t="s">
        <v>1737</v>
      </c>
      <c r="K5288" t="str">
        <f>IF(ISBLANK('Q 5'!C1394),"",IF('Q 5'!C1394="&lt;please select&gt;","",'Q 5'!C1394))</f>
        <v>28 - Production or processing of non-ferrous metals as specified in Annex I of Directive 2003/87/EC</v>
      </c>
    </row>
    <row r="5289" spans="1:11" x14ac:dyDescent="0.3">
      <c r="A5289" t="s">
        <v>1910</v>
      </c>
      <c r="B5289" t="s">
        <v>1912</v>
      </c>
      <c r="C5289">
        <v>7</v>
      </c>
      <c r="D5289" t="s">
        <v>1447</v>
      </c>
      <c r="E5289" t="s">
        <v>1888</v>
      </c>
      <c r="F5289" t="s">
        <v>1737</v>
      </c>
      <c r="K5289" t="str">
        <f>IF(ISBLANK('Q 5'!C1395),"",IF('Q 5'!C1395="&lt;please select&gt;","",'Q 5'!C1395))</f>
        <v>29 - Production of cement clinker in rotary kilns as specified in Annex I of Directive 2003/87/ EC</v>
      </c>
    </row>
    <row r="5290" spans="1:11" x14ac:dyDescent="0.3">
      <c r="A5290" t="s">
        <v>1910</v>
      </c>
      <c r="B5290" t="s">
        <v>1912</v>
      </c>
      <c r="C5290">
        <v>8</v>
      </c>
      <c r="D5290" t="s">
        <v>1447</v>
      </c>
      <c r="E5290" t="s">
        <v>1888</v>
      </c>
      <c r="F5290" t="s">
        <v>1737</v>
      </c>
      <c r="K5290" t="str">
        <f>IF(ISBLANK('Q 5'!C1396),"",IF('Q 5'!C1396="&lt;please select&gt;","",'Q 5'!C1396))</f>
        <v>29 - Production of cement clinker in rotary kilns as specified in Annex I of Directive 2003/87/ EC</v>
      </c>
    </row>
    <row r="5291" spans="1:11" x14ac:dyDescent="0.3">
      <c r="A5291" t="s">
        <v>1910</v>
      </c>
      <c r="B5291" t="s">
        <v>1912</v>
      </c>
      <c r="C5291">
        <v>9</v>
      </c>
      <c r="D5291" t="s">
        <v>1447</v>
      </c>
      <c r="E5291" t="s">
        <v>1888</v>
      </c>
      <c r="F5291" t="s">
        <v>1737</v>
      </c>
      <c r="K5291" t="str">
        <f>IF(ISBLANK('Q 5'!C1397),"",IF('Q 5'!C1397="&lt;please select&gt;","",'Q 5'!C1397))</f>
        <v>30 - Production of lime or calcination of dolomite or magnesite as specified in Annex I of Directive 2003/87/ EC</v>
      </c>
    </row>
    <row r="5292" spans="1:11" x14ac:dyDescent="0.3">
      <c r="A5292" t="s">
        <v>1910</v>
      </c>
      <c r="B5292" t="s">
        <v>1912</v>
      </c>
      <c r="C5292">
        <v>10</v>
      </c>
      <c r="D5292" t="s">
        <v>1447</v>
      </c>
      <c r="E5292" t="s">
        <v>1888</v>
      </c>
      <c r="F5292" t="s">
        <v>1737</v>
      </c>
      <c r="K5292" t="str">
        <f>IF(ISBLANK('Q 5'!C1398),"",IF('Q 5'!C1398="&lt;please select&gt;","",'Q 5'!C1398))</f>
        <v>30 - Production of lime or calcination of dolomite or magnesite as specified in Annex I of Directive 2003/87/ EC</v>
      </c>
    </row>
    <row r="5293" spans="1:11" x14ac:dyDescent="0.3">
      <c r="A5293" t="s">
        <v>1910</v>
      </c>
      <c r="B5293" t="s">
        <v>1912</v>
      </c>
      <c r="C5293">
        <v>11</v>
      </c>
      <c r="D5293" t="s">
        <v>1447</v>
      </c>
      <c r="E5293" t="s">
        <v>1888</v>
      </c>
      <c r="F5293" t="s">
        <v>1737</v>
      </c>
      <c r="K5293" t="str">
        <f>IF(ISBLANK('Q 5'!C1399),"",IF('Q 5'!C1399="&lt;please select&gt;","",'Q 5'!C1399))</f>
        <v>32 - Manufacture of ceramic products as specified in Annex I of Directive 2003/87/EC</v>
      </c>
    </row>
    <row r="5294" spans="1:11" x14ac:dyDescent="0.3">
      <c r="A5294" t="s">
        <v>1910</v>
      </c>
      <c r="B5294" t="s">
        <v>1912</v>
      </c>
      <c r="C5294">
        <v>12</v>
      </c>
      <c r="D5294" t="s">
        <v>1447</v>
      </c>
      <c r="E5294" t="s">
        <v>1888</v>
      </c>
      <c r="F5294" t="s">
        <v>1737</v>
      </c>
      <c r="K5294" t="str">
        <f>IF(ISBLANK('Q 5'!C1400),"",IF('Q 5'!C1400="&lt;please select&gt;","",'Q 5'!C1400))</f>
        <v>33 - Manufacture of mineral wool insulation material using glass, rock or slag as specified in Annex I of Directive 2003/87/EC</v>
      </c>
    </row>
    <row r="5295" spans="1:11" x14ac:dyDescent="0.3">
      <c r="A5295" t="s">
        <v>1910</v>
      </c>
      <c r="B5295" t="s">
        <v>1912</v>
      </c>
      <c r="C5295">
        <v>13</v>
      </c>
      <c r="D5295" t="s">
        <v>1447</v>
      </c>
      <c r="E5295" t="s">
        <v>1888</v>
      </c>
      <c r="F5295" t="s">
        <v>1737</v>
      </c>
      <c r="K5295" t="str">
        <f>IF(ISBLANK('Q 5'!C1401),"",IF('Q 5'!C1401="&lt;please select&gt;","",'Q 5'!C1401))</f>
        <v>35 - Production of pulp as specified in Annex I of Directive 2003/87/EC</v>
      </c>
    </row>
    <row r="5296" spans="1:11" x14ac:dyDescent="0.3">
      <c r="A5296" t="s">
        <v>1910</v>
      </c>
      <c r="B5296" t="s">
        <v>1912</v>
      </c>
      <c r="C5296">
        <v>14</v>
      </c>
      <c r="D5296" t="s">
        <v>1447</v>
      </c>
      <c r="E5296" t="s">
        <v>1888</v>
      </c>
      <c r="F5296" t="s">
        <v>1737</v>
      </c>
      <c r="K5296" t="str">
        <f>IF(ISBLANK('Q 5'!C1402),"",IF('Q 5'!C1402="&lt;please select&gt;","",'Q 5'!C1402))</f>
        <v>35 - Production of pulp as specified in Annex I of Directive 2003/87/EC</v>
      </c>
    </row>
    <row r="5297" spans="1:11" x14ac:dyDescent="0.3">
      <c r="A5297" t="s">
        <v>1910</v>
      </c>
      <c r="B5297" t="s">
        <v>1912</v>
      </c>
      <c r="C5297">
        <v>15</v>
      </c>
      <c r="D5297" t="s">
        <v>1447</v>
      </c>
      <c r="E5297" t="s">
        <v>1888</v>
      </c>
      <c r="F5297" t="s">
        <v>1737</v>
      </c>
      <c r="K5297" t="str">
        <f>IF(ISBLANK('Q 5'!C1403),"",IF('Q 5'!C1403="&lt;please select&gt;","",'Q 5'!C1403))</f>
        <v xml:space="preserve">36 - Production of paper or cardboard as specified in Annex I of Directive 2003/87/EC </v>
      </c>
    </row>
    <row r="5298" spans="1:11" x14ac:dyDescent="0.3">
      <c r="A5298" t="s">
        <v>1910</v>
      </c>
      <c r="B5298" t="s">
        <v>1912</v>
      </c>
      <c r="C5298">
        <v>16</v>
      </c>
      <c r="D5298" t="s">
        <v>1447</v>
      </c>
      <c r="E5298" t="s">
        <v>1888</v>
      </c>
      <c r="F5298" t="s">
        <v>1737</v>
      </c>
      <c r="K5298" t="str">
        <f>IF(ISBLANK('Q 5'!C1404),"",IF('Q 5'!C1404="&lt;please select&gt;","",'Q 5'!C1404))</f>
        <v xml:space="preserve">36 - Production of paper or cardboard as specified in Annex I of Directive 2003/87/EC </v>
      </c>
    </row>
    <row r="5299" spans="1:11" x14ac:dyDescent="0.3">
      <c r="A5299" t="s">
        <v>1910</v>
      </c>
      <c r="B5299" t="s">
        <v>1912</v>
      </c>
      <c r="C5299">
        <v>17</v>
      </c>
      <c r="D5299" t="s">
        <v>1447</v>
      </c>
      <c r="E5299" t="s">
        <v>1888</v>
      </c>
      <c r="F5299" t="s">
        <v>1737</v>
      </c>
      <c r="K5299" t="str">
        <f>IF(ISBLANK('Q 5'!C1405),"",IF('Q 5'!C1405="&lt;please select&gt;","",'Q 5'!C1405))</f>
        <v xml:space="preserve">43 - Production of hydrogen (H2) and synthesis gas as specified in Annex I of Directive 2003/87/EC </v>
      </c>
    </row>
    <row r="5300" spans="1:11" x14ac:dyDescent="0.3">
      <c r="A5300" t="s">
        <v>1910</v>
      </c>
      <c r="B5300" t="s">
        <v>1912</v>
      </c>
      <c r="C5300">
        <v>18</v>
      </c>
      <c r="D5300" t="s">
        <v>1447</v>
      </c>
      <c r="E5300" t="s">
        <v>1888</v>
      </c>
      <c r="F5300" t="s">
        <v>1737</v>
      </c>
      <c r="K5300" t="str">
        <f>IF(ISBLANK('Q 5'!C1406),"",IF('Q 5'!C1406="&lt;please select&gt;","",'Q 5'!C1406))</f>
        <v>44 - Production of soda ash (Na2CO3) and sodium bicarbonate (NaHCO3) as specified in Annex I of Directive 2003/87/EC</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C</v>
      </c>
    </row>
    <row r="5336" spans="1:11" x14ac:dyDescent="0.3">
      <c r="A5336" t="s">
        <v>1910</v>
      </c>
      <c r="B5336" t="s">
        <v>1912</v>
      </c>
      <c r="C5336">
        <v>4</v>
      </c>
      <c r="D5336" t="s">
        <v>1447</v>
      </c>
      <c r="E5336" t="s">
        <v>1913</v>
      </c>
      <c r="F5336" t="s">
        <v>1737</v>
      </c>
      <c r="K5336" t="str">
        <f>IF(ISBLANK('Q 5'!D1392),"",IF('Q 5'!D1392="&lt;please select&gt;","",'Q 5'!D1392))</f>
        <v>Category B</v>
      </c>
    </row>
    <row r="5337" spans="1:11" x14ac:dyDescent="0.3">
      <c r="A5337" t="s">
        <v>1910</v>
      </c>
      <c r="B5337" t="s">
        <v>1912</v>
      </c>
      <c r="C5337">
        <v>5</v>
      </c>
      <c r="D5337" t="s">
        <v>1447</v>
      </c>
      <c r="E5337" t="s">
        <v>1913</v>
      </c>
      <c r="F5337" t="s">
        <v>1737</v>
      </c>
      <c r="K5337" t="str">
        <f>IF(ISBLANK('Q 5'!D1393),"",IF('Q 5'!D1393="&lt;please select&gt;","",'Q 5'!D1393))</f>
        <v>Category A</v>
      </c>
    </row>
    <row r="5338" spans="1:11" x14ac:dyDescent="0.3">
      <c r="A5338" t="s">
        <v>1910</v>
      </c>
      <c r="B5338" t="s">
        <v>1912</v>
      </c>
      <c r="C5338">
        <v>6</v>
      </c>
      <c r="D5338" t="s">
        <v>1447</v>
      </c>
      <c r="E5338" t="s">
        <v>1913</v>
      </c>
      <c r="F5338" t="s">
        <v>1737</v>
      </c>
      <c r="K5338" t="str">
        <f>IF(ISBLANK('Q 5'!D1394),"",IF('Q 5'!D1394="&lt;please select&gt;","",'Q 5'!D1394))</f>
        <v>Category B</v>
      </c>
    </row>
    <row r="5339" spans="1:11" x14ac:dyDescent="0.3">
      <c r="A5339" t="s">
        <v>1910</v>
      </c>
      <c r="B5339" t="s">
        <v>1912</v>
      </c>
      <c r="C5339">
        <v>7</v>
      </c>
      <c r="D5339" t="s">
        <v>1447</v>
      </c>
      <c r="E5339" t="s">
        <v>1913</v>
      </c>
      <c r="F5339" t="s">
        <v>1737</v>
      </c>
      <c r="K5339" t="str">
        <f>IF(ISBLANK('Q 5'!D1395),"",IF('Q 5'!D1395="&lt;please select&gt;","",'Q 5'!D1395))</f>
        <v>Category B</v>
      </c>
    </row>
    <row r="5340" spans="1:11" x14ac:dyDescent="0.3">
      <c r="A5340" t="s">
        <v>1910</v>
      </c>
      <c r="B5340" t="s">
        <v>1912</v>
      </c>
      <c r="C5340">
        <v>8</v>
      </c>
      <c r="D5340" t="s">
        <v>1447</v>
      </c>
      <c r="E5340" t="s">
        <v>1913</v>
      </c>
      <c r="F5340" t="s">
        <v>1737</v>
      </c>
      <c r="K5340" t="str">
        <f>IF(ISBLANK('Q 5'!D1396),"",IF('Q 5'!D1396="&lt;please select&gt;","",'Q 5'!D1396))</f>
        <v>Category C</v>
      </c>
    </row>
    <row r="5341" spans="1:11" x14ac:dyDescent="0.3">
      <c r="A5341" t="s">
        <v>1910</v>
      </c>
      <c r="B5341" t="s">
        <v>1912</v>
      </c>
      <c r="C5341">
        <v>9</v>
      </c>
      <c r="D5341" t="s">
        <v>1447</v>
      </c>
      <c r="E5341" t="s">
        <v>1913</v>
      </c>
      <c r="F5341" t="s">
        <v>1737</v>
      </c>
      <c r="K5341" t="str">
        <f>IF(ISBLANK('Q 5'!D1397),"",IF('Q 5'!D1397="&lt;please select&gt;","",'Q 5'!D1397))</f>
        <v>Category A</v>
      </c>
    </row>
    <row r="5342" spans="1:11" x14ac:dyDescent="0.3">
      <c r="A5342" t="s">
        <v>1910</v>
      </c>
      <c r="B5342" t="s">
        <v>1912</v>
      </c>
      <c r="C5342">
        <v>10</v>
      </c>
      <c r="D5342" t="s">
        <v>1447</v>
      </c>
      <c r="E5342" t="s">
        <v>1913</v>
      </c>
      <c r="F5342" t="s">
        <v>1737</v>
      </c>
      <c r="K5342" t="str">
        <f>IF(ISBLANK('Q 5'!D1398),"",IF('Q 5'!D1398="&lt;please select&gt;","",'Q 5'!D1398))</f>
        <v>Category B</v>
      </c>
    </row>
    <row r="5343" spans="1:11" x14ac:dyDescent="0.3">
      <c r="A5343" t="s">
        <v>1910</v>
      </c>
      <c r="B5343" t="s">
        <v>1912</v>
      </c>
      <c r="C5343">
        <v>11</v>
      </c>
      <c r="D5343" t="s">
        <v>1447</v>
      </c>
      <c r="E5343" t="s">
        <v>1913</v>
      </c>
      <c r="F5343" t="s">
        <v>1737</v>
      </c>
      <c r="K5343" t="str">
        <f>IF(ISBLANK('Q 5'!D1399),"",IF('Q 5'!D1399="&lt;please select&gt;","",'Q 5'!D1399))</f>
        <v>Category A</v>
      </c>
    </row>
    <row r="5344" spans="1:11" x14ac:dyDescent="0.3">
      <c r="A5344" t="s">
        <v>1910</v>
      </c>
      <c r="B5344" t="s">
        <v>1912</v>
      </c>
      <c r="C5344">
        <v>12</v>
      </c>
      <c r="D5344" t="s">
        <v>1447</v>
      </c>
      <c r="E5344" t="s">
        <v>1913</v>
      </c>
      <c r="F5344" t="s">
        <v>1737</v>
      </c>
      <c r="K5344" t="str">
        <f>IF(ISBLANK('Q 5'!D1400),"",IF('Q 5'!D1400="&lt;please select&gt;","",'Q 5'!D1400))</f>
        <v>Category A</v>
      </c>
    </row>
    <row r="5345" spans="1:11" x14ac:dyDescent="0.3">
      <c r="A5345" t="s">
        <v>1910</v>
      </c>
      <c r="B5345" t="s">
        <v>1912</v>
      </c>
      <c r="C5345">
        <v>13</v>
      </c>
      <c r="D5345" t="s">
        <v>1447</v>
      </c>
      <c r="E5345" t="s">
        <v>1913</v>
      </c>
      <c r="F5345" t="s">
        <v>1737</v>
      </c>
      <c r="K5345" t="str">
        <f>IF(ISBLANK('Q 5'!D1401),"",IF('Q 5'!D1401="&lt;please select&gt;","",'Q 5'!D1401))</f>
        <v>Category A</v>
      </c>
    </row>
    <row r="5346" spans="1:11" x14ac:dyDescent="0.3">
      <c r="A5346" t="s">
        <v>1910</v>
      </c>
      <c r="B5346" t="s">
        <v>1912</v>
      </c>
      <c r="C5346">
        <v>14</v>
      </c>
      <c r="D5346" t="s">
        <v>1447</v>
      </c>
      <c r="E5346" t="s">
        <v>1913</v>
      </c>
      <c r="F5346" t="s">
        <v>1737</v>
      </c>
      <c r="K5346" t="str">
        <f>IF(ISBLANK('Q 5'!D1402),"",IF('Q 5'!D1402="&lt;please select&gt;","",'Q 5'!D1402))</f>
        <v>Category B</v>
      </c>
    </row>
    <row r="5347" spans="1:11" x14ac:dyDescent="0.3">
      <c r="A5347" t="s">
        <v>1910</v>
      </c>
      <c r="B5347" t="s">
        <v>1912</v>
      </c>
      <c r="C5347">
        <v>15</v>
      </c>
      <c r="D5347" t="s">
        <v>1447</v>
      </c>
      <c r="E5347" t="s">
        <v>1913</v>
      </c>
      <c r="F5347" t="s">
        <v>1737</v>
      </c>
      <c r="K5347" t="str">
        <f>IF(ISBLANK('Q 5'!D1403),"",IF('Q 5'!D1403="&lt;please select&gt;","",'Q 5'!D1403))</f>
        <v>Category A</v>
      </c>
    </row>
    <row r="5348" spans="1:11" x14ac:dyDescent="0.3">
      <c r="A5348" t="s">
        <v>1910</v>
      </c>
      <c r="B5348" t="s">
        <v>1912</v>
      </c>
      <c r="C5348">
        <v>16</v>
      </c>
      <c r="D5348" t="s">
        <v>1447</v>
      </c>
      <c r="E5348" t="s">
        <v>1913</v>
      </c>
      <c r="F5348" t="s">
        <v>1737</v>
      </c>
      <c r="K5348" t="str">
        <f>IF(ISBLANK('Q 5'!D1404),"",IF('Q 5'!D1404="&lt;please select&gt;","",'Q 5'!D1404))</f>
        <v>Category B</v>
      </c>
    </row>
    <row r="5349" spans="1:11" x14ac:dyDescent="0.3">
      <c r="A5349" t="s">
        <v>1910</v>
      </c>
      <c r="B5349" t="s">
        <v>1912</v>
      </c>
      <c r="C5349">
        <v>17</v>
      </c>
      <c r="D5349" t="s">
        <v>1447</v>
      </c>
      <c r="E5349" t="s">
        <v>1913</v>
      </c>
      <c r="F5349" t="s">
        <v>1737</v>
      </c>
      <c r="K5349" t="str">
        <f>IF(ISBLANK('Q 5'!D1405),"",IF('Q 5'!D1405="&lt;please select&gt;","",'Q 5'!D1405))</f>
        <v>Category B</v>
      </c>
    </row>
    <row r="5350" spans="1:11" x14ac:dyDescent="0.3">
      <c r="A5350" t="s">
        <v>1910</v>
      </c>
      <c r="B5350" t="s">
        <v>1912</v>
      </c>
      <c r="C5350">
        <v>18</v>
      </c>
      <c r="D5350" t="s">
        <v>1447</v>
      </c>
      <c r="E5350" t="s">
        <v>1913</v>
      </c>
      <c r="F5350" t="s">
        <v>1737</v>
      </c>
      <c r="K5350" t="str">
        <f>IF(ISBLANK('Q 5'!D1406),"",IF('Q 5'!D1406="&lt;please select&gt;","",'Q 5'!D1406))</f>
        <v>Category C</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144</v>
      </c>
    </row>
    <row r="5384" spans="1:11" x14ac:dyDescent="0.3">
      <c r="A5384" t="s">
        <v>1910</v>
      </c>
      <c r="B5384" t="s">
        <v>1912</v>
      </c>
      <c r="C5384">
        <v>2</v>
      </c>
      <c r="D5384" t="s">
        <v>1447</v>
      </c>
      <c r="E5384" t="s">
        <v>1914</v>
      </c>
      <c r="F5384" t="s">
        <v>1748</v>
      </c>
      <c r="H5384" t="str">
        <f>IF(ISBLANK('Q 5'!E1390),"",IF('Q 5'!E1390="&lt;please select&gt;","",'Q 5'!E1390))</f>
        <v>18</v>
      </c>
    </row>
    <row r="5385" spans="1:11" x14ac:dyDescent="0.3">
      <c r="A5385" t="s">
        <v>1910</v>
      </c>
      <c r="B5385" t="s">
        <v>1912</v>
      </c>
      <c r="C5385">
        <v>3</v>
      </c>
      <c r="D5385" t="s">
        <v>1447</v>
      </c>
      <c r="E5385" t="s">
        <v>1914</v>
      </c>
      <c r="F5385" t="s">
        <v>1748</v>
      </c>
      <c r="H5385" t="str">
        <f>IF(ISBLANK('Q 5'!E1391),"",IF('Q 5'!E1391="&lt;please select&gt;","",'Q 5'!E1391))</f>
        <v>5</v>
      </c>
    </row>
    <row r="5386" spans="1:11" x14ac:dyDescent="0.3">
      <c r="A5386" t="s">
        <v>1910</v>
      </c>
      <c r="B5386" t="s">
        <v>1912</v>
      </c>
      <c r="C5386">
        <v>4</v>
      </c>
      <c r="D5386" t="s">
        <v>1447</v>
      </c>
      <c r="E5386" t="s">
        <v>1914</v>
      </c>
      <c r="F5386" t="s">
        <v>1748</v>
      </c>
      <c r="H5386" t="str">
        <f>IF(ISBLANK('Q 5'!E1392),"",IF('Q 5'!E1392="&lt;please select&gt;","",'Q 5'!E1392))</f>
        <v>1</v>
      </c>
    </row>
    <row r="5387" spans="1:11" x14ac:dyDescent="0.3">
      <c r="A5387" t="s">
        <v>1910</v>
      </c>
      <c r="B5387" t="s">
        <v>1912</v>
      </c>
      <c r="C5387">
        <v>5</v>
      </c>
      <c r="D5387" t="s">
        <v>1447</v>
      </c>
      <c r="E5387" t="s">
        <v>1914</v>
      </c>
      <c r="F5387" t="s">
        <v>1748</v>
      </c>
      <c r="H5387" t="str">
        <f>IF(ISBLANK('Q 5'!E1393),"",IF('Q 5'!E1393="&lt;please select&gt;","",'Q 5'!E1393))</f>
        <v>1</v>
      </c>
    </row>
    <row r="5388" spans="1:11" x14ac:dyDescent="0.3">
      <c r="A5388" t="s">
        <v>1910</v>
      </c>
      <c r="B5388" t="s">
        <v>1912</v>
      </c>
      <c r="C5388">
        <v>6</v>
      </c>
      <c r="D5388" t="s">
        <v>1447</v>
      </c>
      <c r="E5388" t="s">
        <v>1914</v>
      </c>
      <c r="F5388" t="s">
        <v>1748</v>
      </c>
      <c r="H5388" t="str">
        <f>IF(ISBLANK('Q 5'!E1394),"",IF('Q 5'!E1394="&lt;please select&gt;","",'Q 5'!E1394))</f>
        <v>5</v>
      </c>
    </row>
    <row r="5389" spans="1:11" x14ac:dyDescent="0.3">
      <c r="A5389" t="s">
        <v>1910</v>
      </c>
      <c r="B5389" t="s">
        <v>1912</v>
      </c>
      <c r="C5389">
        <v>7</v>
      </c>
      <c r="D5389" t="s">
        <v>1447</v>
      </c>
      <c r="E5389" t="s">
        <v>1914</v>
      </c>
      <c r="F5389" t="s">
        <v>1748</v>
      </c>
      <c r="H5389" t="str">
        <f>IF(ISBLANK('Q 5'!E1395),"",IF('Q 5'!E1395="&lt;please select&gt;","",'Q 5'!E1395))</f>
        <v>16</v>
      </c>
    </row>
    <row r="5390" spans="1:11" x14ac:dyDescent="0.3">
      <c r="A5390" t="s">
        <v>1910</v>
      </c>
      <c r="B5390" t="s">
        <v>1912</v>
      </c>
      <c r="C5390">
        <v>8</v>
      </c>
      <c r="D5390" t="s">
        <v>1447</v>
      </c>
      <c r="E5390" t="s">
        <v>1914</v>
      </c>
      <c r="F5390" t="s">
        <v>1748</v>
      </c>
      <c r="H5390" t="str">
        <f>IF(ISBLANK('Q 5'!E1396),"",IF('Q 5'!E1396="&lt;please select&gt;","",'Q 5'!E1396))</f>
        <v>7</v>
      </c>
    </row>
    <row r="5391" spans="1:11" x14ac:dyDescent="0.3">
      <c r="A5391" t="s">
        <v>1910</v>
      </c>
      <c r="B5391" t="s">
        <v>1912</v>
      </c>
      <c r="C5391">
        <v>9</v>
      </c>
      <c r="D5391" t="s">
        <v>1447</v>
      </c>
      <c r="E5391" t="s">
        <v>1914</v>
      </c>
      <c r="F5391" t="s">
        <v>1748</v>
      </c>
      <c r="H5391" t="str">
        <f>IF(ISBLANK('Q 5'!E1397),"",IF('Q 5'!E1397="&lt;please select&gt;","",'Q 5'!E1397))</f>
        <v>3</v>
      </c>
    </row>
    <row r="5392" spans="1:11" x14ac:dyDescent="0.3">
      <c r="A5392" t="s">
        <v>1910</v>
      </c>
      <c r="B5392" t="s">
        <v>1912</v>
      </c>
      <c r="C5392">
        <v>10</v>
      </c>
      <c r="D5392" t="s">
        <v>1447</v>
      </c>
      <c r="E5392" t="s">
        <v>1914</v>
      </c>
      <c r="F5392" t="s">
        <v>1748</v>
      </c>
      <c r="H5392" t="str">
        <f>IF(ISBLANK('Q 5'!E1398),"",IF('Q 5'!E1398="&lt;please select&gt;","",'Q 5'!E1398))</f>
        <v>3</v>
      </c>
    </row>
    <row r="5393" spans="1:8" x14ac:dyDescent="0.3">
      <c r="A5393" t="s">
        <v>1910</v>
      </c>
      <c r="B5393" t="s">
        <v>1912</v>
      </c>
      <c r="C5393">
        <v>11</v>
      </c>
      <c r="D5393" t="s">
        <v>1447</v>
      </c>
      <c r="E5393" t="s">
        <v>1914</v>
      </c>
      <c r="F5393" t="s">
        <v>1748</v>
      </c>
      <c r="H5393" t="str">
        <f>IF(ISBLANK('Q 5'!E1399),"",IF('Q 5'!E1399="&lt;please select&gt;","",'Q 5'!E1399))</f>
        <v>10</v>
      </c>
    </row>
    <row r="5394" spans="1:8" x14ac:dyDescent="0.3">
      <c r="A5394" t="s">
        <v>1910</v>
      </c>
      <c r="B5394" t="s">
        <v>1912</v>
      </c>
      <c r="C5394">
        <v>12</v>
      </c>
      <c r="D5394" t="s">
        <v>1447</v>
      </c>
      <c r="E5394" t="s">
        <v>1914</v>
      </c>
      <c r="F5394" t="s">
        <v>1748</v>
      </c>
      <c r="H5394" t="str">
        <f>IF(ISBLANK('Q 5'!E1400),"",IF('Q 5'!E1400="&lt;please select&gt;","",'Q 5'!E1400))</f>
        <v>1</v>
      </c>
    </row>
    <row r="5395" spans="1:8" x14ac:dyDescent="0.3">
      <c r="A5395" t="s">
        <v>1910</v>
      </c>
      <c r="B5395" t="s">
        <v>1912</v>
      </c>
      <c r="C5395">
        <v>13</v>
      </c>
      <c r="D5395" t="s">
        <v>1447</v>
      </c>
      <c r="E5395" t="s">
        <v>1914</v>
      </c>
      <c r="F5395" t="s">
        <v>1748</v>
      </c>
      <c r="H5395" t="str">
        <f>IF(ISBLANK('Q 5'!E1401),"",IF('Q 5'!E1401="&lt;please select&gt;","",'Q 5'!E1401))</f>
        <v>6</v>
      </c>
    </row>
    <row r="5396" spans="1:8" x14ac:dyDescent="0.3">
      <c r="A5396" t="s">
        <v>1910</v>
      </c>
      <c r="B5396" t="s">
        <v>1912</v>
      </c>
      <c r="C5396">
        <v>14</v>
      </c>
      <c r="D5396" t="s">
        <v>1447</v>
      </c>
      <c r="E5396" t="s">
        <v>1914</v>
      </c>
      <c r="F5396" t="s">
        <v>1748</v>
      </c>
      <c r="H5396" t="str">
        <f>IF(ISBLANK('Q 5'!E1402),"",IF('Q 5'!E1402="&lt;please select&gt;","",'Q 5'!E1402))</f>
        <v>1</v>
      </c>
    </row>
    <row r="5397" spans="1:8" x14ac:dyDescent="0.3">
      <c r="A5397" t="s">
        <v>1910</v>
      </c>
      <c r="B5397" t="s">
        <v>1912</v>
      </c>
      <c r="C5397">
        <v>15</v>
      </c>
      <c r="D5397" t="s">
        <v>1447</v>
      </c>
      <c r="E5397" t="s">
        <v>1914</v>
      </c>
      <c r="F5397" t="s">
        <v>1748</v>
      </c>
      <c r="H5397" t="str">
        <f>IF(ISBLANK('Q 5'!E1403),"",IF('Q 5'!E1403="&lt;please select&gt;","",'Q 5'!E1403))</f>
        <v>13</v>
      </c>
    </row>
    <row r="5398" spans="1:8" x14ac:dyDescent="0.3">
      <c r="A5398" t="s">
        <v>1910</v>
      </c>
      <c r="B5398" t="s">
        <v>1912</v>
      </c>
      <c r="C5398">
        <v>16</v>
      </c>
      <c r="D5398" t="s">
        <v>1447</v>
      </c>
      <c r="E5398" t="s">
        <v>1914</v>
      </c>
      <c r="F5398" t="s">
        <v>1748</v>
      </c>
      <c r="H5398" t="str">
        <f>IF(ISBLANK('Q 5'!E1404),"",IF('Q 5'!E1404="&lt;please select&gt;","",'Q 5'!E1404))</f>
        <v>2</v>
      </c>
    </row>
    <row r="5399" spans="1:8" x14ac:dyDescent="0.3">
      <c r="A5399" t="s">
        <v>1910</v>
      </c>
      <c r="B5399" t="s">
        <v>1912</v>
      </c>
      <c r="C5399">
        <v>17</v>
      </c>
      <c r="D5399" t="s">
        <v>1447</v>
      </c>
      <c r="E5399" t="s">
        <v>1914</v>
      </c>
      <c r="F5399" t="s">
        <v>1748</v>
      </c>
      <c r="H5399" t="str">
        <f>IF(ISBLANK('Q 5'!E1405),"",IF('Q 5'!E1405="&lt;please select&gt;","",'Q 5'!E1405))</f>
        <v>1</v>
      </c>
    </row>
    <row r="5400" spans="1:8" x14ac:dyDescent="0.3">
      <c r="A5400" t="s">
        <v>1910</v>
      </c>
      <c r="B5400" t="s">
        <v>1912</v>
      </c>
      <c r="C5400">
        <v>18</v>
      </c>
      <c r="D5400" t="s">
        <v>1447</v>
      </c>
      <c r="E5400" t="s">
        <v>1914</v>
      </c>
      <c r="F5400" t="s">
        <v>1748</v>
      </c>
      <c r="H5400" t="str">
        <f>IF(ISBLANK('Q 5'!E1406),"",IF('Q 5'!E1406="&lt;please select&gt;","",'Q 5'!E1406))</f>
        <v>1</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4420997.20399011</v>
      </c>
    </row>
    <row r="5434" spans="1:9" x14ac:dyDescent="0.3">
      <c r="A5434" t="s">
        <v>1910</v>
      </c>
      <c r="B5434" t="s">
        <v>1912</v>
      </c>
      <c r="C5434">
        <v>2</v>
      </c>
      <c r="D5434" t="s">
        <v>1447</v>
      </c>
      <c r="E5434" t="s">
        <v>1915</v>
      </c>
      <c r="F5434" t="s">
        <v>1806</v>
      </c>
      <c r="I5434" t="str">
        <f>IF(ISBLANK('Q 5'!F1390),"",IF('Q 5'!F1390="&lt;please select&gt;","",'Q 5'!F1390))</f>
        <v>932730.61442266</v>
      </c>
    </row>
    <row r="5435" spans="1:9" x14ac:dyDescent="0.3">
      <c r="A5435" t="s">
        <v>1910</v>
      </c>
      <c r="B5435" t="s">
        <v>1912</v>
      </c>
      <c r="C5435">
        <v>3</v>
      </c>
      <c r="D5435" t="s">
        <v>1447</v>
      </c>
      <c r="E5435" t="s">
        <v>1915</v>
      </c>
      <c r="F5435" t="s">
        <v>1806</v>
      </c>
      <c r="I5435" t="str">
        <f>IF(ISBLANK('Q 5'!F1391),"",IF('Q 5'!F1391="&lt;please select&gt;","",'Q 5'!F1391))</f>
        <v>463024.0860411</v>
      </c>
    </row>
    <row r="5436" spans="1:9" x14ac:dyDescent="0.3">
      <c r="A5436" t="s">
        <v>1910</v>
      </c>
      <c r="B5436" t="s">
        <v>1912</v>
      </c>
      <c r="C5436">
        <v>4</v>
      </c>
      <c r="D5436" t="s">
        <v>1447</v>
      </c>
      <c r="E5436" t="s">
        <v>1915</v>
      </c>
      <c r="F5436" t="s">
        <v>1806</v>
      </c>
      <c r="I5436" t="str">
        <f>IF(ISBLANK('Q 5'!F1392),"",IF('Q 5'!F1392="&lt;please select&gt;","",'Q 5'!F1392))</f>
        <v>2067.5359604</v>
      </c>
    </row>
    <row r="5437" spans="1:9" x14ac:dyDescent="0.3">
      <c r="A5437" t="s">
        <v>1910</v>
      </c>
      <c r="B5437" t="s">
        <v>1912</v>
      </c>
      <c r="C5437">
        <v>5</v>
      </c>
      <c r="D5437" t="s">
        <v>1447</v>
      </c>
      <c r="E5437" t="s">
        <v>1915</v>
      </c>
      <c r="F5437" t="s">
        <v>1806</v>
      </c>
      <c r="I5437" t="str">
        <f>IF(ISBLANK('Q 5'!F1393),"",IF('Q 5'!F1393="&lt;please select&gt;","",'Q 5'!F1393))</f>
        <v>4772.4655232</v>
      </c>
    </row>
    <row r="5438" spans="1:9" x14ac:dyDescent="0.3">
      <c r="A5438" t="s">
        <v>1910</v>
      </c>
      <c r="B5438" t="s">
        <v>1912</v>
      </c>
      <c r="C5438">
        <v>6</v>
      </c>
      <c r="D5438" t="s">
        <v>1447</v>
      </c>
      <c r="E5438" t="s">
        <v>1915</v>
      </c>
      <c r="F5438" t="s">
        <v>1806</v>
      </c>
      <c r="I5438" t="str">
        <f>IF(ISBLANK('Q 5'!F1394),"",IF('Q 5'!F1394="&lt;please select&gt;","",'Q 5'!F1394))</f>
        <v>262085.376</v>
      </c>
    </row>
    <row r="5439" spans="1:9" x14ac:dyDescent="0.3">
      <c r="A5439" t="s">
        <v>1910</v>
      </c>
      <c r="B5439" t="s">
        <v>1912</v>
      </c>
      <c r="C5439">
        <v>7</v>
      </c>
      <c r="D5439" t="s">
        <v>1447</v>
      </c>
      <c r="E5439" t="s">
        <v>1915</v>
      </c>
      <c r="F5439" t="s">
        <v>1806</v>
      </c>
      <c r="I5439" t="str">
        <f>IF(ISBLANK('Q 5'!F1395),"",IF('Q 5'!F1395="&lt;please select&gt;","",'Q 5'!F1395))</f>
        <v>430361.482665047</v>
      </c>
    </row>
    <row r="5440" spans="1:9" x14ac:dyDescent="0.3">
      <c r="A5440" t="s">
        <v>1910</v>
      </c>
      <c r="B5440" t="s">
        <v>1912</v>
      </c>
      <c r="C5440">
        <v>8</v>
      </c>
      <c r="D5440" t="s">
        <v>1447</v>
      </c>
      <c r="E5440" t="s">
        <v>1915</v>
      </c>
      <c r="F5440" t="s">
        <v>1806</v>
      </c>
      <c r="I5440" t="str">
        <f>IF(ISBLANK('Q 5'!F1396),"",IF('Q 5'!F1396="&lt;please select&gt;","",'Q 5'!F1396))</f>
        <v>431724.471954374</v>
      </c>
    </row>
    <row r="5441" spans="1:9" x14ac:dyDescent="0.3">
      <c r="A5441" t="s">
        <v>1910</v>
      </c>
      <c r="B5441" t="s">
        <v>1912</v>
      </c>
      <c r="C5441">
        <v>9</v>
      </c>
      <c r="D5441" t="s">
        <v>1447</v>
      </c>
      <c r="E5441" t="s">
        <v>1915</v>
      </c>
      <c r="F5441" t="s">
        <v>1806</v>
      </c>
      <c r="I5441" t="str">
        <f>IF(ISBLANK('Q 5'!F1397),"",IF('Q 5'!F1397="&lt;please select&gt;","",'Q 5'!F1397))</f>
        <v>59902.899982</v>
      </c>
    </row>
    <row r="5442" spans="1:9" x14ac:dyDescent="0.3">
      <c r="A5442" t="s">
        <v>1910</v>
      </c>
      <c r="B5442" t="s">
        <v>1912</v>
      </c>
      <c r="C5442">
        <v>10</v>
      </c>
      <c r="D5442" t="s">
        <v>1447</v>
      </c>
      <c r="E5442" t="s">
        <v>1915</v>
      </c>
      <c r="F5442" t="s">
        <v>1806</v>
      </c>
      <c r="I5442" t="str">
        <f>IF(ISBLANK('Q 5'!F1398),"",IF('Q 5'!F1398="&lt;please select&gt;","",'Q 5'!F1398))</f>
        <v>26229.8532471</v>
      </c>
    </row>
    <row r="5443" spans="1:9" x14ac:dyDescent="0.3">
      <c r="A5443" t="s">
        <v>1910</v>
      </c>
      <c r="B5443" t="s">
        <v>1912</v>
      </c>
      <c r="C5443">
        <v>11</v>
      </c>
      <c r="D5443" t="s">
        <v>1447</v>
      </c>
      <c r="E5443" t="s">
        <v>1915</v>
      </c>
      <c r="F5443" t="s">
        <v>1806</v>
      </c>
      <c r="I5443" t="str">
        <f>IF(ISBLANK('Q 5'!F1399),"",IF('Q 5'!F1399="&lt;please select&gt;","",'Q 5'!F1399))</f>
        <v>208044.90214809</v>
      </c>
    </row>
    <row r="5444" spans="1:9" x14ac:dyDescent="0.3">
      <c r="A5444" t="s">
        <v>1910</v>
      </c>
      <c r="B5444" t="s">
        <v>1912</v>
      </c>
      <c r="C5444">
        <v>12</v>
      </c>
      <c r="D5444" t="s">
        <v>1447</v>
      </c>
      <c r="E5444" t="s">
        <v>1915</v>
      </c>
      <c r="F5444" t="s">
        <v>1806</v>
      </c>
      <c r="I5444" t="str">
        <f>IF(ISBLANK('Q 5'!F1400),"",IF('Q 5'!F1400="&lt;please select&gt;","",'Q 5'!F1400))</f>
        <v>3.06</v>
      </c>
    </row>
    <row r="5445" spans="1:9" x14ac:dyDescent="0.3">
      <c r="A5445" t="s">
        <v>1910</v>
      </c>
      <c r="B5445" t="s">
        <v>1912</v>
      </c>
      <c r="C5445">
        <v>13</v>
      </c>
      <c r="D5445" t="s">
        <v>1447</v>
      </c>
      <c r="E5445" t="s">
        <v>1915</v>
      </c>
      <c r="F5445" t="s">
        <v>1806</v>
      </c>
      <c r="I5445" t="str">
        <f>IF(ISBLANK('Q 5'!F1401),"",IF('Q 5'!F1401="&lt;please select&gt;","",'Q 5'!F1401))</f>
        <v>3044701.8950528</v>
      </c>
    </row>
    <row r="5446" spans="1:9" x14ac:dyDescent="0.3">
      <c r="A5446" t="s">
        <v>1910</v>
      </c>
      <c r="B5446" t="s">
        <v>1912</v>
      </c>
      <c r="C5446">
        <v>14</v>
      </c>
      <c r="D5446" t="s">
        <v>1447</v>
      </c>
      <c r="E5446" t="s">
        <v>1915</v>
      </c>
      <c r="F5446" t="s">
        <v>1806</v>
      </c>
      <c r="I5446" t="str">
        <f>IF(ISBLANK('Q 5'!F1402),"",IF('Q 5'!F1402="&lt;please select&gt;","",'Q 5'!F1402))</f>
        <v>381536.6572464</v>
      </c>
    </row>
    <row r="5447" spans="1:9" x14ac:dyDescent="0.3">
      <c r="A5447" t="s">
        <v>1910</v>
      </c>
      <c r="B5447" t="s">
        <v>1912</v>
      </c>
      <c r="C5447">
        <v>15</v>
      </c>
      <c r="D5447" t="s">
        <v>1447</v>
      </c>
      <c r="E5447" t="s">
        <v>1915</v>
      </c>
      <c r="F5447" t="s">
        <v>1806</v>
      </c>
      <c r="I5447" t="str">
        <f>IF(ISBLANK('Q 5'!F1403),"",IF('Q 5'!F1403="&lt;please select&gt;","",'Q 5'!F1403))</f>
        <v>750144.61495688</v>
      </c>
    </row>
    <row r="5448" spans="1:9" x14ac:dyDescent="0.3">
      <c r="A5448" t="s">
        <v>1910</v>
      </c>
      <c r="B5448" t="s">
        <v>1912</v>
      </c>
      <c r="C5448">
        <v>16</v>
      </c>
      <c r="D5448" t="s">
        <v>1447</v>
      </c>
      <c r="E5448" t="s">
        <v>1915</v>
      </c>
      <c r="F5448" t="s">
        <v>1806</v>
      </c>
      <c r="I5448" t="str">
        <f>IF(ISBLANK('Q 5'!F1404),"",IF('Q 5'!F1404="&lt;please select&gt;","",'Q 5'!F1404))</f>
        <v>16861.721465</v>
      </c>
    </row>
    <row r="5449" spans="1:9" x14ac:dyDescent="0.3">
      <c r="A5449" t="s">
        <v>1910</v>
      </c>
      <c r="B5449" t="s">
        <v>1912</v>
      </c>
      <c r="C5449">
        <v>17</v>
      </c>
      <c r="D5449" t="s">
        <v>1447</v>
      </c>
      <c r="E5449" t="s">
        <v>1915</v>
      </c>
      <c r="F5449" t="s">
        <v>1806</v>
      </c>
      <c r="I5449" t="str">
        <f>IF(ISBLANK('Q 5'!F1405),"",IF('Q 5'!F1405="&lt;please select&gt;","",'Q 5'!F1405))</f>
        <v>7502.4203802</v>
      </c>
    </row>
    <row r="5450" spans="1:9" x14ac:dyDescent="0.3">
      <c r="A5450" t="s">
        <v>1910</v>
      </c>
      <c r="B5450" t="s">
        <v>1912</v>
      </c>
      <c r="C5450">
        <v>18</v>
      </c>
      <c r="D5450" t="s">
        <v>1447</v>
      </c>
      <c r="E5450" t="s">
        <v>1915</v>
      </c>
      <c r="F5450" t="s">
        <v>1806</v>
      </c>
      <c r="I5450" t="str">
        <f>IF(ISBLANK('Q 5'!F1406),"",IF('Q 5'!F1406="&lt;please select&gt;","",'Q 5'!F1406))</f>
        <v>2347.6641794</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16443</v>
      </c>
    </row>
    <row r="5484" spans="1:9" x14ac:dyDescent="0.3">
      <c r="A5484" t="s">
        <v>1910</v>
      </c>
      <c r="B5484" t="s">
        <v>1912</v>
      </c>
      <c r="C5484">
        <v>2</v>
      </c>
      <c r="D5484" t="s">
        <v>1447</v>
      </c>
      <c r="E5484" t="s">
        <v>1916</v>
      </c>
      <c r="F5484" t="s">
        <v>1806</v>
      </c>
      <c r="I5484" t="str">
        <f>IF(ISBLANK('Q 5'!G1390),"",IF('Q 5'!G1390="&lt;please select&gt;","",'Q 5'!G1390))</f>
        <v>820</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0</v>
      </c>
    </row>
    <row r="5487" spans="1:9" x14ac:dyDescent="0.3">
      <c r="A5487" t="s">
        <v>1910</v>
      </c>
      <c r="B5487" t="s">
        <v>1912</v>
      </c>
      <c r="C5487">
        <v>5</v>
      </c>
      <c r="D5487" t="s">
        <v>1447</v>
      </c>
      <c r="E5487" t="s">
        <v>1916</v>
      </c>
      <c r="F5487" t="s">
        <v>1806</v>
      </c>
      <c r="I5487" t="str">
        <f>IF(ISBLANK('Q 5'!G1393),"",IF('Q 5'!G1393="&lt;please select&gt;","",'Q 5'!G1393))</f>
        <v>0</v>
      </c>
    </row>
    <row r="5488" spans="1:9" x14ac:dyDescent="0.3">
      <c r="A5488" t="s">
        <v>1910</v>
      </c>
      <c r="B5488" t="s">
        <v>1912</v>
      </c>
      <c r="C5488">
        <v>6</v>
      </c>
      <c r="D5488" t="s">
        <v>1447</v>
      </c>
      <c r="E5488" t="s">
        <v>1916</v>
      </c>
      <c r="F5488" t="s">
        <v>1806</v>
      </c>
      <c r="I5488" t="str">
        <f>IF(ISBLANK('Q 5'!G1394),"",IF('Q 5'!G1394="&lt;please select&gt;","",'Q 5'!G1394))</f>
        <v>0</v>
      </c>
    </row>
    <row r="5489" spans="1:9" x14ac:dyDescent="0.3">
      <c r="A5489" t="s">
        <v>1910</v>
      </c>
      <c r="B5489" t="s">
        <v>1912</v>
      </c>
      <c r="C5489">
        <v>7</v>
      </c>
      <c r="D5489" t="s">
        <v>1447</v>
      </c>
      <c r="E5489" t="s">
        <v>1916</v>
      </c>
      <c r="F5489" t="s">
        <v>1806</v>
      </c>
      <c r="I5489" t="str">
        <f>IF(ISBLANK('Q 5'!G1395),"",IF('Q 5'!G1395="&lt;please select&gt;","",'Q 5'!G1395))</f>
        <v>9766</v>
      </c>
    </row>
    <row r="5490" spans="1:9" x14ac:dyDescent="0.3">
      <c r="A5490" t="s">
        <v>1910</v>
      </c>
      <c r="B5490" t="s">
        <v>1912</v>
      </c>
      <c r="C5490">
        <v>8</v>
      </c>
      <c r="D5490" t="s">
        <v>1447</v>
      </c>
      <c r="E5490" t="s">
        <v>1916</v>
      </c>
      <c r="F5490" t="s">
        <v>1806</v>
      </c>
      <c r="I5490" t="str">
        <f>IF(ISBLANK('Q 5'!G1396),"",IF('Q 5'!G1396="&lt;please select&gt;","",'Q 5'!G1396))</f>
        <v>0</v>
      </c>
    </row>
    <row r="5491" spans="1:9" x14ac:dyDescent="0.3">
      <c r="A5491" t="s">
        <v>1910</v>
      </c>
      <c r="B5491" t="s">
        <v>1912</v>
      </c>
      <c r="C5491">
        <v>9</v>
      </c>
      <c r="D5491" t="s">
        <v>1447</v>
      </c>
      <c r="E5491" t="s">
        <v>1916</v>
      </c>
      <c r="F5491" t="s">
        <v>1806</v>
      </c>
      <c r="I5491" t="str">
        <f>IF(ISBLANK('Q 5'!G1397),"",IF('Q 5'!G1397="&lt;please select&gt;","",'Q 5'!G1397))</f>
        <v>0</v>
      </c>
    </row>
    <row r="5492" spans="1:9" x14ac:dyDescent="0.3">
      <c r="A5492" t="s">
        <v>1910</v>
      </c>
      <c r="B5492" t="s">
        <v>1912</v>
      </c>
      <c r="C5492">
        <v>10</v>
      </c>
      <c r="D5492" t="s">
        <v>1447</v>
      </c>
      <c r="E5492" t="s">
        <v>1916</v>
      </c>
      <c r="F5492" t="s">
        <v>1806</v>
      </c>
      <c r="I5492" t="str">
        <f>IF(ISBLANK('Q 5'!G1398),"",IF('Q 5'!G1398="&lt;please select&gt;","",'Q 5'!G1398))</f>
        <v>0</v>
      </c>
    </row>
    <row r="5493" spans="1:9" x14ac:dyDescent="0.3">
      <c r="A5493" t="s">
        <v>1910</v>
      </c>
      <c r="B5493" t="s">
        <v>1912</v>
      </c>
      <c r="C5493">
        <v>11</v>
      </c>
      <c r="D5493" t="s">
        <v>1447</v>
      </c>
      <c r="E5493" t="s">
        <v>1916</v>
      </c>
      <c r="F5493" t="s">
        <v>1806</v>
      </c>
      <c r="I5493" t="str">
        <f>IF(ISBLANK('Q 5'!G1399),"",IF('Q 5'!G1399="&lt;please select&gt;","",'Q 5'!G1399))</f>
        <v>0</v>
      </c>
    </row>
    <row r="5494" spans="1:9" x14ac:dyDescent="0.3">
      <c r="A5494" t="s">
        <v>1910</v>
      </c>
      <c r="B5494" t="s">
        <v>1912</v>
      </c>
      <c r="C5494">
        <v>12</v>
      </c>
      <c r="D5494" t="s">
        <v>1447</v>
      </c>
      <c r="E5494" t="s">
        <v>1916</v>
      </c>
      <c r="F5494" t="s">
        <v>1806</v>
      </c>
      <c r="I5494" t="str">
        <f>IF(ISBLANK('Q 5'!G1400),"",IF('Q 5'!G1400="&lt;please select&gt;","",'Q 5'!G1400))</f>
        <v>0</v>
      </c>
    </row>
    <row r="5495" spans="1:9" x14ac:dyDescent="0.3">
      <c r="A5495" t="s">
        <v>1910</v>
      </c>
      <c r="B5495" t="s">
        <v>1912</v>
      </c>
      <c r="C5495">
        <v>13</v>
      </c>
      <c r="D5495" t="s">
        <v>1447</v>
      </c>
      <c r="E5495" t="s">
        <v>1916</v>
      </c>
      <c r="F5495" t="s">
        <v>1806</v>
      </c>
      <c r="I5495" t="str">
        <f>IF(ISBLANK('Q 5'!G1401),"",IF('Q 5'!G1401="&lt;please select&gt;","",'Q 5'!G1401))</f>
        <v>0</v>
      </c>
    </row>
    <row r="5496" spans="1:9" x14ac:dyDescent="0.3">
      <c r="A5496" t="s">
        <v>1910</v>
      </c>
      <c r="B5496" t="s">
        <v>1912</v>
      </c>
      <c r="C5496">
        <v>14</v>
      </c>
      <c r="D5496" t="s">
        <v>1447</v>
      </c>
      <c r="E5496" t="s">
        <v>1916</v>
      </c>
      <c r="F5496" t="s">
        <v>1806</v>
      </c>
      <c r="I5496" t="str">
        <f>IF(ISBLANK('Q 5'!G1402),"",IF('Q 5'!G1402="&lt;please select&gt;","",'Q 5'!G1402))</f>
        <v>0</v>
      </c>
    </row>
    <row r="5497" spans="1:9" x14ac:dyDescent="0.3">
      <c r="A5497" t="s">
        <v>1910</v>
      </c>
      <c r="B5497" t="s">
        <v>1912</v>
      </c>
      <c r="C5497">
        <v>15</v>
      </c>
      <c r="D5497" t="s">
        <v>1447</v>
      </c>
      <c r="E5497" t="s">
        <v>1916</v>
      </c>
      <c r="F5497" t="s">
        <v>1806</v>
      </c>
      <c r="I5497" t="str">
        <f>IF(ISBLANK('Q 5'!G1403),"",IF('Q 5'!G1403="&lt;please select&gt;","",'Q 5'!G1403))</f>
        <v>268</v>
      </c>
    </row>
    <row r="5498" spans="1:9" x14ac:dyDescent="0.3">
      <c r="A5498" t="s">
        <v>1910</v>
      </c>
      <c r="B5498" t="s">
        <v>1912</v>
      </c>
      <c r="C5498">
        <v>16</v>
      </c>
      <c r="D5498" t="s">
        <v>1447</v>
      </c>
      <c r="E5498" t="s">
        <v>1916</v>
      </c>
      <c r="F5498" t="s">
        <v>1806</v>
      </c>
      <c r="I5498" t="str">
        <f>IF(ISBLANK('Q 5'!G1404),"",IF('Q 5'!G1404="&lt;please select&gt;","",'Q 5'!G1404))</f>
        <v>0</v>
      </c>
    </row>
    <row r="5499" spans="1:9" x14ac:dyDescent="0.3">
      <c r="A5499" t="s">
        <v>1910</v>
      </c>
      <c r="B5499" t="s">
        <v>1912</v>
      </c>
      <c r="C5499">
        <v>17</v>
      </c>
      <c r="D5499" t="s">
        <v>1447</v>
      </c>
      <c r="E5499" t="s">
        <v>1916</v>
      </c>
      <c r="F5499" t="s">
        <v>1806</v>
      </c>
      <c r="I5499" t="str">
        <f>IF(ISBLANK('Q 5'!G1405),"",IF('Q 5'!G1405="&lt;please select&gt;","",'Q 5'!G1405))</f>
        <v>0</v>
      </c>
    </row>
    <row r="5500" spans="1:9" x14ac:dyDescent="0.3">
      <c r="A5500" t="s">
        <v>1910</v>
      </c>
      <c r="B5500" t="s">
        <v>1912</v>
      </c>
      <c r="C5500">
        <v>18</v>
      </c>
      <c r="D5500" t="s">
        <v>1447</v>
      </c>
      <c r="E5500" t="s">
        <v>1916</v>
      </c>
      <c r="F5500" t="s">
        <v>1806</v>
      </c>
      <c r="I5500" t="str">
        <f>IF(ISBLANK('Q 5'!G1406),"",IF('Q 5'!G1406="&lt;please select&gt;","",'Q 5'!G1406))</f>
        <v>0</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1604395.72405553</v>
      </c>
    </row>
    <row r="5534" spans="1:9" x14ac:dyDescent="0.3">
      <c r="A5534" t="s">
        <v>1910</v>
      </c>
      <c r="B5534" t="s">
        <v>1912</v>
      </c>
      <c r="C5534">
        <v>2</v>
      </c>
      <c r="D5534" t="s">
        <v>1447</v>
      </c>
      <c r="E5534" t="s">
        <v>1917</v>
      </c>
      <c r="F5534" t="s">
        <v>1806</v>
      </c>
      <c r="I5534" t="str">
        <f>IF(ISBLANK('Q 5'!H1390),"",IF('Q 5'!H1390="&lt;please select&gt;","",'Q 5'!H1390))</f>
        <v>1905758.0412877</v>
      </c>
    </row>
    <row r="5535" spans="1:9" x14ac:dyDescent="0.3">
      <c r="A5535" t="s">
        <v>1910</v>
      </c>
      <c r="B5535" t="s">
        <v>1912</v>
      </c>
      <c r="C5535">
        <v>3</v>
      </c>
      <c r="D5535" t="s">
        <v>1447</v>
      </c>
      <c r="E5535" t="s">
        <v>1917</v>
      </c>
      <c r="F5535" t="s">
        <v>1806</v>
      </c>
      <c r="I5535" t="str">
        <f>IF(ISBLANK('Q 5'!H1391),"",IF('Q 5'!H1391="&lt;please select&gt;","",'Q 5'!H1391))</f>
        <v>2928252.75792531</v>
      </c>
    </row>
    <row r="5536" spans="1:9" x14ac:dyDescent="0.3">
      <c r="A5536" t="s">
        <v>1910</v>
      </c>
      <c r="B5536" t="s">
        <v>1912</v>
      </c>
      <c r="C5536">
        <v>4</v>
      </c>
      <c r="D5536" t="s">
        <v>1447</v>
      </c>
      <c r="E5536" t="s">
        <v>1917</v>
      </c>
      <c r="F5536" t="s">
        <v>1806</v>
      </c>
      <c r="I5536" t="str">
        <f>IF(ISBLANK('Q 5'!H1392),"",IF('Q 5'!H1392="&lt;please select&gt;","",'Q 5'!H1392))</f>
        <v>54006.04890862</v>
      </c>
    </row>
    <row r="5537" spans="1:9" x14ac:dyDescent="0.3">
      <c r="A5537" t="s">
        <v>1910</v>
      </c>
      <c r="B5537" t="s">
        <v>1912</v>
      </c>
      <c r="C5537">
        <v>5</v>
      </c>
      <c r="D5537" t="s">
        <v>1447</v>
      </c>
      <c r="E5537" t="s">
        <v>1917</v>
      </c>
      <c r="F5537" t="s">
        <v>1806</v>
      </c>
      <c r="I5537" t="str">
        <f>IF(ISBLANK('Q 5'!H1393),"",IF('Q 5'!H1393="&lt;please select&gt;","",'Q 5'!H1393))</f>
        <v>35598.041365997</v>
      </c>
    </row>
    <row r="5538" spans="1:9" x14ac:dyDescent="0.3">
      <c r="A5538" t="s">
        <v>1910</v>
      </c>
      <c r="B5538" t="s">
        <v>1912</v>
      </c>
      <c r="C5538">
        <v>6</v>
      </c>
      <c r="D5538" t="s">
        <v>1447</v>
      </c>
      <c r="E5538" t="s">
        <v>1917</v>
      </c>
      <c r="F5538" t="s">
        <v>1806</v>
      </c>
      <c r="I5538" t="str">
        <f>IF(ISBLANK('Q 5'!H1394),"",IF('Q 5'!H1394="&lt;please select&gt;","",'Q 5'!H1394))</f>
        <v>608714.641848129</v>
      </c>
    </row>
    <row r="5539" spans="1:9" x14ac:dyDescent="0.3">
      <c r="A5539" t="s">
        <v>1910</v>
      </c>
      <c r="B5539" t="s">
        <v>1912</v>
      </c>
      <c r="C5539">
        <v>7</v>
      </c>
      <c r="D5539" t="s">
        <v>1447</v>
      </c>
      <c r="E5539" t="s">
        <v>1917</v>
      </c>
      <c r="F5539" t="s">
        <v>1806</v>
      </c>
      <c r="I5539" t="str">
        <f>IF(ISBLANK('Q 5'!H1395),"",IF('Q 5'!H1395="&lt;please select&gt;","",'Q 5'!H1395))</f>
        <v>4897705.31823008</v>
      </c>
    </row>
    <row r="5540" spans="1:9" x14ac:dyDescent="0.3">
      <c r="A5540" t="s">
        <v>1910</v>
      </c>
      <c r="B5540" t="s">
        <v>1912</v>
      </c>
      <c r="C5540">
        <v>8</v>
      </c>
      <c r="D5540" t="s">
        <v>1447</v>
      </c>
      <c r="E5540" t="s">
        <v>1917</v>
      </c>
      <c r="F5540" t="s">
        <v>1806</v>
      </c>
      <c r="I5540" t="str">
        <f>IF(ISBLANK('Q 5'!H1396),"",IF('Q 5'!H1396="&lt;please select&gt;","",'Q 5'!H1396))</f>
        <v>4518011.88741772</v>
      </c>
    </row>
    <row r="5541" spans="1:9" x14ac:dyDescent="0.3">
      <c r="A5541" t="s">
        <v>1910</v>
      </c>
      <c r="B5541" t="s">
        <v>1912</v>
      </c>
      <c r="C5541">
        <v>9</v>
      </c>
      <c r="D5541" t="s">
        <v>1447</v>
      </c>
      <c r="E5541" t="s">
        <v>1917</v>
      </c>
      <c r="F5541" t="s">
        <v>1806</v>
      </c>
      <c r="I5541" t="str">
        <f>IF(ISBLANK('Q 5'!H1397),"",IF('Q 5'!H1397="&lt;please select&gt;","",'Q 5'!H1397))</f>
        <v>106499.243176222</v>
      </c>
    </row>
    <row r="5542" spans="1:9" x14ac:dyDescent="0.3">
      <c r="A5542" t="s">
        <v>1910</v>
      </c>
      <c r="B5542" t="s">
        <v>1912</v>
      </c>
      <c r="C5542">
        <v>10</v>
      </c>
      <c r="D5542" t="s">
        <v>1447</v>
      </c>
      <c r="E5542" t="s">
        <v>1917</v>
      </c>
      <c r="F5542" t="s">
        <v>1806</v>
      </c>
      <c r="I5542" t="str">
        <f>IF(ISBLANK('Q 5'!H1398),"",IF('Q 5'!H1398="&lt;please select&gt;","",'Q 5'!H1398))</f>
        <v>804440.16358335</v>
      </c>
    </row>
    <row r="5543" spans="1:9" x14ac:dyDescent="0.3">
      <c r="A5543" t="s">
        <v>1910</v>
      </c>
      <c r="B5543" t="s">
        <v>1912</v>
      </c>
      <c r="C5543">
        <v>11</v>
      </c>
      <c r="D5543" t="s">
        <v>1447</v>
      </c>
      <c r="E5543" t="s">
        <v>1917</v>
      </c>
      <c r="F5543" t="s">
        <v>1806</v>
      </c>
      <c r="I5543" t="str">
        <f>IF(ISBLANK('Q 5'!H1399),"",IF('Q 5'!H1399="&lt;please select&gt;","",'Q 5'!H1399))</f>
        <v>198008.361063784</v>
      </c>
    </row>
    <row r="5544" spans="1:9" x14ac:dyDescent="0.3">
      <c r="A5544" t="s">
        <v>1910</v>
      </c>
      <c r="B5544" t="s">
        <v>1912</v>
      </c>
      <c r="C5544">
        <v>12</v>
      </c>
      <c r="D5544" t="s">
        <v>1447</v>
      </c>
      <c r="E5544" t="s">
        <v>1917</v>
      </c>
      <c r="F5544" t="s">
        <v>1806</v>
      </c>
      <c r="I5544" t="str">
        <f>IF(ISBLANK('Q 5'!H1400),"",IF('Q 5'!H1400="&lt;please select&gt;","",'Q 5'!H1400))</f>
        <v>1683.54887964</v>
      </c>
    </row>
    <row r="5545" spans="1:9" x14ac:dyDescent="0.3">
      <c r="A5545" t="s">
        <v>1910</v>
      </c>
      <c r="B5545" t="s">
        <v>1912</v>
      </c>
      <c r="C5545">
        <v>13</v>
      </c>
      <c r="D5545" t="s">
        <v>1447</v>
      </c>
      <c r="E5545" t="s">
        <v>1917</v>
      </c>
      <c r="F5545" t="s">
        <v>1806</v>
      </c>
      <c r="I5545" t="str">
        <f>IF(ISBLANK('Q 5'!H1401),"",IF('Q 5'!H1401="&lt;please select&gt;","",'Q 5'!H1401))</f>
        <v>162032.069943422</v>
      </c>
    </row>
    <row r="5546" spans="1:9" x14ac:dyDescent="0.3">
      <c r="A5546" t="s">
        <v>1910</v>
      </c>
      <c r="B5546" t="s">
        <v>1912</v>
      </c>
      <c r="C5546">
        <v>14</v>
      </c>
      <c r="D5546" t="s">
        <v>1447</v>
      </c>
      <c r="E5546" t="s">
        <v>1917</v>
      </c>
      <c r="F5546" t="s">
        <v>1806</v>
      </c>
      <c r="I5546" t="str">
        <f>IF(ISBLANK('Q 5'!H1402),"",IF('Q 5'!H1402="&lt;please select&gt;","",'Q 5'!H1402))</f>
        <v>48760.098141376</v>
      </c>
    </row>
    <row r="5547" spans="1:9" x14ac:dyDescent="0.3">
      <c r="A5547" t="s">
        <v>1910</v>
      </c>
      <c r="B5547" t="s">
        <v>1912</v>
      </c>
      <c r="C5547">
        <v>15</v>
      </c>
      <c r="D5547" t="s">
        <v>1447</v>
      </c>
      <c r="E5547" t="s">
        <v>1917</v>
      </c>
      <c r="F5547" t="s">
        <v>1806</v>
      </c>
      <c r="I5547" t="str">
        <f>IF(ISBLANK('Q 5'!H1403),"",IF('Q 5'!H1403="&lt;please select&gt;","",'Q 5'!H1403))</f>
        <v>188215.994842694</v>
      </c>
    </row>
    <row r="5548" spans="1:9" x14ac:dyDescent="0.3">
      <c r="A5548" t="s">
        <v>1910</v>
      </c>
      <c r="B5548" t="s">
        <v>1912</v>
      </c>
      <c r="C5548">
        <v>16</v>
      </c>
      <c r="D5548" t="s">
        <v>1447</v>
      </c>
      <c r="E5548" t="s">
        <v>1917</v>
      </c>
      <c r="F5548" t="s">
        <v>1806</v>
      </c>
      <c r="I5548" t="str">
        <f>IF(ISBLANK('Q 5'!H1404),"",IF('Q 5'!H1404="&lt;please select&gt;","",'Q 5'!H1404))</f>
        <v>92684.415153</v>
      </c>
    </row>
    <row r="5549" spans="1:9" x14ac:dyDescent="0.3">
      <c r="A5549" t="s">
        <v>1910</v>
      </c>
      <c r="B5549" t="s">
        <v>1912</v>
      </c>
      <c r="C5549">
        <v>17</v>
      </c>
      <c r="D5549" t="s">
        <v>1447</v>
      </c>
      <c r="E5549" t="s">
        <v>1917</v>
      </c>
      <c r="F5549" t="s">
        <v>1806</v>
      </c>
      <c r="I5549" t="str">
        <f>IF(ISBLANK('Q 5'!H1405),"",IF('Q 5'!H1405="&lt;please select&gt;","",'Q 5'!H1405))</f>
        <v>213910.3426848</v>
      </c>
    </row>
    <row r="5550" spans="1:9" x14ac:dyDescent="0.3">
      <c r="A5550" t="s">
        <v>1910</v>
      </c>
      <c r="B5550" t="s">
        <v>1912</v>
      </c>
      <c r="C5550">
        <v>18</v>
      </c>
      <c r="D5550" t="s">
        <v>1447</v>
      </c>
      <c r="E5550" t="s">
        <v>1917</v>
      </c>
      <c r="F5550" t="s">
        <v>1806</v>
      </c>
      <c r="I5550" t="str">
        <f>IF(ISBLANK('Q 5'!H1406),"",IF('Q 5'!H1406="&lt;please select&gt;","",'Q 5'!H1406))</f>
        <v>479688.2355313</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46216.2776139015</v>
      </c>
    </row>
    <row r="5584" spans="1:9" x14ac:dyDescent="0.3">
      <c r="A5584" t="s">
        <v>1910</v>
      </c>
      <c r="B5584" t="s">
        <v>1912</v>
      </c>
      <c r="C5584">
        <v>2</v>
      </c>
      <c r="D5584" t="s">
        <v>1447</v>
      </c>
      <c r="E5584" t="s">
        <v>1918</v>
      </c>
      <c r="F5584" t="s">
        <v>1806</v>
      </c>
      <c r="I5584" t="str">
        <f>IF(ISBLANK('Q 5'!I1390),"",IF('Q 5'!I1390="&lt;please select&gt;","",'Q 5'!I1390))</f>
        <v>9899.011723682</v>
      </c>
    </row>
    <row r="5585" spans="1:9" x14ac:dyDescent="0.3">
      <c r="A5585" t="s">
        <v>1910</v>
      </c>
      <c r="B5585" t="s">
        <v>1912</v>
      </c>
      <c r="C5585">
        <v>3</v>
      </c>
      <c r="D5585" t="s">
        <v>1447</v>
      </c>
      <c r="E5585" t="s">
        <v>1918</v>
      </c>
      <c r="F5585" t="s">
        <v>1806</v>
      </c>
      <c r="I5585" t="str">
        <f>IF(ISBLANK('Q 5'!I1391),"",IF('Q 5'!I1391="&lt;please select&gt;","",'Q 5'!I1391))</f>
        <v>3920.38709351</v>
      </c>
    </row>
    <row r="5586" spans="1:9" x14ac:dyDescent="0.3">
      <c r="A5586" t="s">
        <v>1910</v>
      </c>
      <c r="B5586" t="s">
        <v>1912</v>
      </c>
      <c r="C5586">
        <v>4</v>
      </c>
      <c r="D5586" t="s">
        <v>1447</v>
      </c>
      <c r="E5586" t="s">
        <v>1918</v>
      </c>
      <c r="F5586" t="s">
        <v>1806</v>
      </c>
      <c r="I5586" t="str">
        <f>IF(ISBLANK('Q 5'!I1392),"",IF('Q 5'!I1392="&lt;please select&gt;","",'Q 5'!I1392))</f>
        <v>0</v>
      </c>
    </row>
    <row r="5587" spans="1:9" x14ac:dyDescent="0.3">
      <c r="A5587" t="s">
        <v>1910</v>
      </c>
      <c r="B5587" t="s">
        <v>1912</v>
      </c>
      <c r="C5587">
        <v>5</v>
      </c>
      <c r="D5587" t="s">
        <v>1447</v>
      </c>
      <c r="E5587" t="s">
        <v>1918</v>
      </c>
      <c r="F5587" t="s">
        <v>1806</v>
      </c>
      <c r="I5587" t="str">
        <f>IF(ISBLANK('Q 5'!I1393),"",IF('Q 5'!I1393="&lt;please select&gt;","",'Q 5'!I1393))</f>
        <v>0</v>
      </c>
    </row>
    <row r="5588" spans="1:9" x14ac:dyDescent="0.3">
      <c r="A5588" t="s">
        <v>1910</v>
      </c>
      <c r="B5588" t="s">
        <v>1912</v>
      </c>
      <c r="C5588">
        <v>6</v>
      </c>
      <c r="D5588" t="s">
        <v>1447</v>
      </c>
      <c r="E5588" t="s">
        <v>1918</v>
      </c>
      <c r="F5588" t="s">
        <v>1806</v>
      </c>
      <c r="I5588" t="str">
        <f>IF(ISBLANK('Q 5'!I1394),"",IF('Q 5'!I1394="&lt;please select&gt;","",'Q 5'!I1394))</f>
        <v>0</v>
      </c>
    </row>
    <row r="5589" spans="1:9" x14ac:dyDescent="0.3">
      <c r="A5589" t="s">
        <v>1910</v>
      </c>
      <c r="B5589" t="s">
        <v>1912</v>
      </c>
      <c r="C5589">
        <v>7</v>
      </c>
      <c r="D5589" t="s">
        <v>1447</v>
      </c>
      <c r="E5589" t="s">
        <v>1918</v>
      </c>
      <c r="F5589" t="s">
        <v>1806</v>
      </c>
      <c r="I5589" t="str">
        <f>IF(ISBLANK('Q 5'!I1395),"",IF('Q 5'!I1395="&lt;please select&gt;","",'Q 5'!I1395))</f>
        <v>4567.432611639</v>
      </c>
    </row>
    <row r="5590" spans="1:9" x14ac:dyDescent="0.3">
      <c r="A5590" t="s">
        <v>1910</v>
      </c>
      <c r="B5590" t="s">
        <v>1912</v>
      </c>
      <c r="C5590">
        <v>8</v>
      </c>
      <c r="D5590" t="s">
        <v>1447</v>
      </c>
      <c r="E5590" t="s">
        <v>1918</v>
      </c>
      <c r="F5590" t="s">
        <v>1806</v>
      </c>
      <c r="I5590" t="str">
        <f>IF(ISBLANK('Q 5'!I1396),"",IF('Q 5'!I1396="&lt;please select&gt;","",'Q 5'!I1396))</f>
        <v>4644.99657410704</v>
      </c>
    </row>
    <row r="5591" spans="1:9" x14ac:dyDescent="0.3">
      <c r="A5591" t="s">
        <v>1910</v>
      </c>
      <c r="B5591" t="s">
        <v>1912</v>
      </c>
      <c r="C5591">
        <v>9</v>
      </c>
      <c r="D5591" t="s">
        <v>1447</v>
      </c>
      <c r="E5591" t="s">
        <v>1918</v>
      </c>
      <c r="F5591" t="s">
        <v>1806</v>
      </c>
      <c r="I5591" t="str">
        <f>IF(ISBLANK('Q 5'!I1397),"",IF('Q 5'!I1397="&lt;please select&gt;","",'Q 5'!I1397))</f>
        <v>619.08743264</v>
      </c>
    </row>
    <row r="5592" spans="1:9" x14ac:dyDescent="0.3">
      <c r="A5592" t="s">
        <v>1910</v>
      </c>
      <c r="B5592" t="s">
        <v>1912</v>
      </c>
      <c r="C5592">
        <v>10</v>
      </c>
      <c r="D5592" t="s">
        <v>1447</v>
      </c>
      <c r="E5592" t="s">
        <v>1918</v>
      </c>
      <c r="F5592" t="s">
        <v>1806</v>
      </c>
      <c r="I5592" t="str">
        <f>IF(ISBLANK('Q 5'!I1398),"",IF('Q 5'!I1398="&lt;please select&gt;","",'Q 5'!I1398))</f>
        <v>314.4689948</v>
      </c>
    </row>
    <row r="5593" spans="1:9" x14ac:dyDescent="0.3">
      <c r="A5593" t="s">
        <v>1910</v>
      </c>
      <c r="B5593" t="s">
        <v>1912</v>
      </c>
      <c r="C5593">
        <v>11</v>
      </c>
      <c r="D5593" t="s">
        <v>1447</v>
      </c>
      <c r="E5593" t="s">
        <v>1918</v>
      </c>
      <c r="F5593" t="s">
        <v>1806</v>
      </c>
      <c r="I5593" t="str">
        <f>IF(ISBLANK('Q 5'!I1399),"",IF('Q 5'!I1399="&lt;please select&gt;","",'Q 5'!I1399))</f>
        <v>2215.527362908</v>
      </c>
    </row>
    <row r="5594" spans="1:9" x14ac:dyDescent="0.3">
      <c r="A5594" t="s">
        <v>1910</v>
      </c>
      <c r="B5594" t="s">
        <v>1912</v>
      </c>
      <c r="C5594">
        <v>12</v>
      </c>
      <c r="D5594" t="s">
        <v>1447</v>
      </c>
      <c r="E5594" t="s">
        <v>1918</v>
      </c>
      <c r="F5594" t="s">
        <v>1806</v>
      </c>
      <c r="I5594" t="str">
        <f>IF(ISBLANK('Q 5'!I1400),"",IF('Q 5'!I1400="&lt;please select&gt;","",'Q 5'!I1400))</f>
        <v>0</v>
      </c>
    </row>
    <row r="5595" spans="1:9" x14ac:dyDescent="0.3">
      <c r="A5595" t="s">
        <v>1910</v>
      </c>
      <c r="B5595" t="s">
        <v>1912</v>
      </c>
      <c r="C5595">
        <v>13</v>
      </c>
      <c r="D5595" t="s">
        <v>1447</v>
      </c>
      <c r="E5595" t="s">
        <v>1918</v>
      </c>
      <c r="F5595" t="s">
        <v>1806</v>
      </c>
      <c r="I5595" t="str">
        <f>IF(ISBLANK('Q 5'!I1401),"",IF('Q 5'!I1401="&lt;please select&gt;","",'Q 5'!I1401))</f>
        <v>30504.977968546</v>
      </c>
    </row>
    <row r="5596" spans="1:9" x14ac:dyDescent="0.3">
      <c r="A5596" t="s">
        <v>1910</v>
      </c>
      <c r="B5596" t="s">
        <v>1912</v>
      </c>
      <c r="C5596">
        <v>14</v>
      </c>
      <c r="D5596" t="s">
        <v>1447</v>
      </c>
      <c r="E5596" t="s">
        <v>1918</v>
      </c>
      <c r="F5596" t="s">
        <v>1806</v>
      </c>
      <c r="I5596" t="str">
        <f>IF(ISBLANK('Q 5'!I1402),"",IF('Q 5'!I1402="&lt;please select&gt;","",'Q 5'!I1402))</f>
        <v>3985.464321604</v>
      </c>
    </row>
    <row r="5597" spans="1:9" x14ac:dyDescent="0.3">
      <c r="A5597" t="s">
        <v>1910</v>
      </c>
      <c r="B5597" t="s">
        <v>1912</v>
      </c>
      <c r="C5597">
        <v>15</v>
      </c>
      <c r="D5597" t="s">
        <v>1447</v>
      </c>
      <c r="E5597" t="s">
        <v>1918</v>
      </c>
      <c r="F5597" t="s">
        <v>1806</v>
      </c>
      <c r="I5597" t="str">
        <f>IF(ISBLANK('Q 5'!I1403),"",IF('Q 5'!I1403="&lt;please select&gt;","",'Q 5'!I1403))</f>
        <v>7425.053026652</v>
      </c>
    </row>
    <row r="5598" spans="1:9" x14ac:dyDescent="0.3">
      <c r="A5598" t="s">
        <v>1910</v>
      </c>
      <c r="B5598" t="s">
        <v>1912</v>
      </c>
      <c r="C5598">
        <v>16</v>
      </c>
      <c r="D5598" t="s">
        <v>1447</v>
      </c>
      <c r="E5598" t="s">
        <v>1918</v>
      </c>
      <c r="F5598" t="s">
        <v>1806</v>
      </c>
      <c r="I5598" t="str">
        <f>IF(ISBLANK('Q 5'!I1404),"",IF('Q 5'!I1404="&lt;please select&gt;","",'Q 5'!I1404))</f>
        <v>256.1457132</v>
      </c>
    </row>
    <row r="5599" spans="1:9" x14ac:dyDescent="0.3">
      <c r="A5599" t="s">
        <v>1910</v>
      </c>
      <c r="B5599" t="s">
        <v>1912</v>
      </c>
      <c r="C5599">
        <v>17</v>
      </c>
      <c r="D5599" t="s">
        <v>1447</v>
      </c>
      <c r="E5599" t="s">
        <v>1918</v>
      </c>
      <c r="F5599" t="s">
        <v>1806</v>
      </c>
      <c r="I5599" t="str">
        <f>IF(ISBLANK('Q 5'!I1405),"",IF('Q 5'!I1405="&lt;please select&gt;","",'Q 5'!I1405))</f>
        <v>132.9194844</v>
      </c>
    </row>
    <row r="5600" spans="1:9" x14ac:dyDescent="0.3">
      <c r="A5600" t="s">
        <v>1910</v>
      </c>
      <c r="B5600" t="s">
        <v>1912</v>
      </c>
      <c r="C5600">
        <v>18</v>
      </c>
      <c r="D5600" t="s">
        <v>1447</v>
      </c>
      <c r="E5600" t="s">
        <v>1918</v>
      </c>
      <c r="F5600" t="s">
        <v>1806</v>
      </c>
      <c r="I5600" t="str">
        <f>IF(ISBLANK('Q 5'!I1406),"",IF('Q 5'!I1406="&lt;please select&gt;","",'Q 5'!I1406))</f>
        <v>0</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163.060447152</v>
      </c>
    </row>
    <row r="5634" spans="1:9" x14ac:dyDescent="0.3">
      <c r="A5634" t="s">
        <v>1910</v>
      </c>
      <c r="B5634" t="s">
        <v>1912</v>
      </c>
      <c r="C5634">
        <v>2</v>
      </c>
      <c r="D5634" t="s">
        <v>1447</v>
      </c>
      <c r="E5634" t="s">
        <v>1919</v>
      </c>
      <c r="F5634" t="s">
        <v>1806</v>
      </c>
      <c r="I5634" t="str">
        <f>IF(ISBLANK('Q 5'!J1390),"",IF('Q 5'!J1390="&lt;please select&gt;","",'Q 5'!J1390))</f>
        <v>7.311099254515</v>
      </c>
    </row>
    <row r="5635" spans="1:9" x14ac:dyDescent="0.3">
      <c r="A5635" t="s">
        <v>1910</v>
      </c>
      <c r="B5635" t="s">
        <v>1912</v>
      </c>
      <c r="C5635">
        <v>3</v>
      </c>
      <c r="D5635" t="s">
        <v>1447</v>
      </c>
      <c r="E5635" t="s">
        <v>1919</v>
      </c>
      <c r="F5635" t="s">
        <v>1806</v>
      </c>
      <c r="I5635" t="str">
        <f>IF(ISBLANK('Q 5'!J1391),"",IF('Q 5'!J1391="&lt;please select&gt;","",'Q 5'!J1391))</f>
        <v>0</v>
      </c>
    </row>
    <row r="5636" spans="1:9" x14ac:dyDescent="0.3">
      <c r="A5636" t="s">
        <v>1910</v>
      </c>
      <c r="B5636" t="s">
        <v>1912</v>
      </c>
      <c r="C5636">
        <v>4</v>
      </c>
      <c r="D5636" t="s">
        <v>1447</v>
      </c>
      <c r="E5636" t="s">
        <v>1919</v>
      </c>
      <c r="F5636" t="s">
        <v>1806</v>
      </c>
      <c r="I5636" t="str">
        <f>IF(ISBLANK('Q 5'!J1392),"",IF('Q 5'!J1392="&lt;please select&gt;","",'Q 5'!J1392))</f>
        <v>0</v>
      </c>
    </row>
    <row r="5637" spans="1:9" x14ac:dyDescent="0.3">
      <c r="A5637" t="s">
        <v>1910</v>
      </c>
      <c r="B5637" t="s">
        <v>1912</v>
      </c>
      <c r="C5637">
        <v>5</v>
      </c>
      <c r="D5637" t="s">
        <v>1447</v>
      </c>
      <c r="E5637" t="s">
        <v>1919</v>
      </c>
      <c r="F5637" t="s">
        <v>1806</v>
      </c>
      <c r="I5637" t="str">
        <f>IF(ISBLANK('Q 5'!J1393),"",IF('Q 5'!J1393="&lt;please select&gt;","",'Q 5'!J1393))</f>
        <v>0</v>
      </c>
    </row>
    <row r="5638" spans="1:9" x14ac:dyDescent="0.3">
      <c r="A5638" t="s">
        <v>1910</v>
      </c>
      <c r="B5638" t="s">
        <v>1912</v>
      </c>
      <c r="C5638">
        <v>6</v>
      </c>
      <c r="D5638" t="s">
        <v>1447</v>
      </c>
      <c r="E5638" t="s">
        <v>1919</v>
      </c>
      <c r="F5638" t="s">
        <v>1806</v>
      </c>
      <c r="I5638" t="str">
        <f>IF(ISBLANK('Q 5'!J1394),"",IF('Q 5'!J1394="&lt;please select&gt;","",'Q 5'!J1394))</f>
        <v>0</v>
      </c>
    </row>
    <row r="5639" spans="1:9" x14ac:dyDescent="0.3">
      <c r="A5639" t="s">
        <v>1910</v>
      </c>
      <c r="B5639" t="s">
        <v>1912</v>
      </c>
      <c r="C5639">
        <v>7</v>
      </c>
      <c r="D5639" t="s">
        <v>1447</v>
      </c>
      <c r="E5639" t="s">
        <v>1919</v>
      </c>
      <c r="F5639" t="s">
        <v>1806</v>
      </c>
      <c r="I5639" t="str">
        <f>IF(ISBLANK('Q 5'!J1395),"",IF('Q 5'!J1395="&lt;please select&gt;","",'Q 5'!J1395))</f>
        <v>93.92562721296</v>
      </c>
    </row>
    <row r="5640" spans="1:9" x14ac:dyDescent="0.3">
      <c r="A5640" t="s">
        <v>1910</v>
      </c>
      <c r="B5640" t="s">
        <v>1912</v>
      </c>
      <c r="C5640">
        <v>8</v>
      </c>
      <c r="D5640" t="s">
        <v>1447</v>
      </c>
      <c r="E5640" t="s">
        <v>1919</v>
      </c>
      <c r="F5640" t="s">
        <v>1806</v>
      </c>
      <c r="I5640" t="str">
        <f>IF(ISBLANK('Q 5'!J1396),"",IF('Q 5'!J1396="&lt;please select&gt;","",'Q 5'!J1396))</f>
        <v>0</v>
      </c>
    </row>
    <row r="5641" spans="1:9" x14ac:dyDescent="0.3">
      <c r="A5641" t="s">
        <v>1910</v>
      </c>
      <c r="B5641" t="s">
        <v>1912</v>
      </c>
      <c r="C5641">
        <v>9</v>
      </c>
      <c r="D5641" t="s">
        <v>1447</v>
      </c>
      <c r="E5641" t="s">
        <v>1919</v>
      </c>
      <c r="F5641" t="s">
        <v>1806</v>
      </c>
      <c r="I5641" t="str">
        <f>IF(ISBLANK('Q 5'!J1397),"",IF('Q 5'!J1397="&lt;please select&gt;","",'Q 5'!J1397))</f>
        <v>0</v>
      </c>
    </row>
    <row r="5642" spans="1:9" x14ac:dyDescent="0.3">
      <c r="A5642" t="s">
        <v>1910</v>
      </c>
      <c r="B5642" t="s">
        <v>1912</v>
      </c>
      <c r="C5642">
        <v>10</v>
      </c>
      <c r="D5642" t="s">
        <v>1447</v>
      </c>
      <c r="E5642" t="s">
        <v>1919</v>
      </c>
      <c r="F5642" t="s">
        <v>1806</v>
      </c>
      <c r="I5642" t="str">
        <f>IF(ISBLANK('Q 5'!J1398),"",IF('Q 5'!J1398="&lt;please select&gt;","",'Q 5'!J1398))</f>
        <v>0</v>
      </c>
    </row>
    <row r="5643" spans="1:9" x14ac:dyDescent="0.3">
      <c r="A5643" t="s">
        <v>1910</v>
      </c>
      <c r="B5643" t="s">
        <v>1912</v>
      </c>
      <c r="C5643">
        <v>11</v>
      </c>
      <c r="D5643" t="s">
        <v>1447</v>
      </c>
      <c r="E5643" t="s">
        <v>1919</v>
      </c>
      <c r="F5643" t="s">
        <v>1806</v>
      </c>
      <c r="I5643" t="str">
        <f>IF(ISBLANK('Q 5'!J1399),"",IF('Q 5'!J1399="&lt;please select&gt;","",'Q 5'!J1399))</f>
        <v>0</v>
      </c>
    </row>
    <row r="5644" spans="1:9" x14ac:dyDescent="0.3">
      <c r="A5644" t="s">
        <v>1910</v>
      </c>
      <c r="B5644" t="s">
        <v>1912</v>
      </c>
      <c r="C5644">
        <v>12</v>
      </c>
      <c r="D5644" t="s">
        <v>1447</v>
      </c>
      <c r="E5644" t="s">
        <v>1919</v>
      </c>
      <c r="F5644" t="s">
        <v>1806</v>
      </c>
      <c r="I5644" t="str">
        <f>IF(ISBLANK('Q 5'!J1400),"",IF('Q 5'!J1400="&lt;please select&gt;","",'Q 5'!J1400))</f>
        <v>0</v>
      </c>
    </row>
    <row r="5645" spans="1:9" x14ac:dyDescent="0.3">
      <c r="A5645" t="s">
        <v>1910</v>
      </c>
      <c r="B5645" t="s">
        <v>1912</v>
      </c>
      <c r="C5645">
        <v>13</v>
      </c>
      <c r="D5645" t="s">
        <v>1447</v>
      </c>
      <c r="E5645" t="s">
        <v>1919</v>
      </c>
      <c r="F5645" t="s">
        <v>1806</v>
      </c>
      <c r="I5645" t="str">
        <f>IF(ISBLANK('Q 5'!J1401),"",IF('Q 5'!J1401="&lt;please select&gt;","",'Q 5'!J1401))</f>
        <v>0</v>
      </c>
    </row>
    <row r="5646" spans="1:9" x14ac:dyDescent="0.3">
      <c r="A5646" t="s">
        <v>1910</v>
      </c>
      <c r="B5646" t="s">
        <v>1912</v>
      </c>
      <c r="C5646">
        <v>14</v>
      </c>
      <c r="D5646" t="s">
        <v>1447</v>
      </c>
      <c r="E5646" t="s">
        <v>1919</v>
      </c>
      <c r="F5646" t="s">
        <v>1806</v>
      </c>
      <c r="I5646" t="str">
        <f>IF(ISBLANK('Q 5'!J1402),"",IF('Q 5'!J1402="&lt;please select&gt;","",'Q 5'!J1402))</f>
        <v>0</v>
      </c>
    </row>
    <row r="5647" spans="1:9" x14ac:dyDescent="0.3">
      <c r="A5647" t="s">
        <v>1910</v>
      </c>
      <c r="B5647" t="s">
        <v>1912</v>
      </c>
      <c r="C5647">
        <v>15</v>
      </c>
      <c r="D5647" t="s">
        <v>1447</v>
      </c>
      <c r="E5647" t="s">
        <v>1919</v>
      </c>
      <c r="F5647" t="s">
        <v>1806</v>
      </c>
      <c r="I5647" t="str">
        <f>IF(ISBLANK('Q 5'!J1403),"",IF('Q 5'!J1403="&lt;please select&gt;","",'Q 5'!J1403))</f>
        <v>2.39513664</v>
      </c>
    </row>
    <row r="5648" spans="1:9" x14ac:dyDescent="0.3">
      <c r="A5648" t="s">
        <v>1910</v>
      </c>
      <c r="B5648" t="s">
        <v>1912</v>
      </c>
      <c r="C5648">
        <v>16</v>
      </c>
      <c r="D5648" t="s">
        <v>1447</v>
      </c>
      <c r="E5648" t="s">
        <v>1919</v>
      </c>
      <c r="F5648" t="s">
        <v>1806</v>
      </c>
      <c r="I5648" t="str">
        <f>IF(ISBLANK('Q 5'!J1404),"",IF('Q 5'!J1404="&lt;please select&gt;","",'Q 5'!J1404))</f>
        <v>0</v>
      </c>
    </row>
    <row r="5649" spans="1:9" x14ac:dyDescent="0.3">
      <c r="A5649" t="s">
        <v>1910</v>
      </c>
      <c r="B5649" t="s">
        <v>1912</v>
      </c>
      <c r="C5649">
        <v>17</v>
      </c>
      <c r="D5649" t="s">
        <v>1447</v>
      </c>
      <c r="E5649" t="s">
        <v>1919</v>
      </c>
      <c r="F5649" t="s">
        <v>1806</v>
      </c>
      <c r="I5649" t="str">
        <f>IF(ISBLANK('Q 5'!J1405),"",IF('Q 5'!J1405="&lt;please select&gt;","",'Q 5'!J1405))</f>
        <v>0</v>
      </c>
    </row>
    <row r="5650" spans="1:9" x14ac:dyDescent="0.3">
      <c r="A5650" t="s">
        <v>1910</v>
      </c>
      <c r="B5650" t="s">
        <v>1912</v>
      </c>
      <c r="C5650">
        <v>18</v>
      </c>
      <c r="D5650" t="s">
        <v>1447</v>
      </c>
      <c r="E5650" t="s">
        <v>1919</v>
      </c>
      <c r="F5650" t="s">
        <v>1806</v>
      </c>
      <c r="I5650" t="str">
        <f>IF(ISBLANK('Q 5'!J1406),"",IF('Q 5'!J1406="&lt;please select&gt;","",'Q 5'!J1406))</f>
        <v>0</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26349.8368997693</v>
      </c>
    </row>
    <row r="5684" spans="1:9" x14ac:dyDescent="0.3">
      <c r="A5684" t="s">
        <v>1910</v>
      </c>
      <c r="B5684" t="s">
        <v>1912</v>
      </c>
      <c r="C5684">
        <v>2</v>
      </c>
      <c r="D5684" t="s">
        <v>1447</v>
      </c>
      <c r="E5684" t="s">
        <v>1920</v>
      </c>
      <c r="F5684" t="s">
        <v>1806</v>
      </c>
      <c r="I5684" t="str">
        <f>IF(ISBLANK('Q 5'!K1390),"",IF('Q 5'!K1390="&lt;please select&gt;","",'Q 5'!K1390))</f>
        <v>29346.4248604494</v>
      </c>
    </row>
    <row r="5685" spans="1:9" x14ac:dyDescent="0.3">
      <c r="A5685" t="s">
        <v>1910</v>
      </c>
      <c r="B5685" t="s">
        <v>1912</v>
      </c>
      <c r="C5685">
        <v>3</v>
      </c>
      <c r="D5685" t="s">
        <v>1447</v>
      </c>
      <c r="E5685" t="s">
        <v>1920</v>
      </c>
      <c r="F5685" t="s">
        <v>1806</v>
      </c>
      <c r="I5685" t="str">
        <f>IF(ISBLANK('Q 5'!K1391),"",IF('Q 5'!K1391="&lt;please select&gt;","",'Q 5'!K1391))</f>
        <v>38169.76661796</v>
      </c>
    </row>
    <row r="5686" spans="1:9" x14ac:dyDescent="0.3">
      <c r="A5686" t="s">
        <v>1910</v>
      </c>
      <c r="B5686" t="s">
        <v>1912</v>
      </c>
      <c r="C5686">
        <v>4</v>
      </c>
      <c r="D5686" t="s">
        <v>1447</v>
      </c>
      <c r="E5686" t="s">
        <v>1920</v>
      </c>
      <c r="F5686" t="s">
        <v>1806</v>
      </c>
      <c r="I5686" t="str">
        <f>IF(ISBLANK('Q 5'!K1392),"",IF('Q 5'!K1392="&lt;please select&gt;","",'Q 5'!K1392))</f>
        <v>408.21653035</v>
      </c>
    </row>
    <row r="5687" spans="1:9" x14ac:dyDescent="0.3">
      <c r="A5687" t="s">
        <v>1910</v>
      </c>
      <c r="B5687" t="s">
        <v>1912</v>
      </c>
      <c r="C5687">
        <v>5</v>
      </c>
      <c r="D5687" t="s">
        <v>1447</v>
      </c>
      <c r="E5687" t="s">
        <v>1920</v>
      </c>
      <c r="F5687" t="s">
        <v>1806</v>
      </c>
      <c r="I5687" t="str">
        <f>IF(ISBLANK('Q 5'!K1393),"",IF('Q 5'!K1393="&lt;please select&gt;","",'Q 5'!K1393))</f>
        <v>325.899607</v>
      </c>
    </row>
    <row r="5688" spans="1:9" x14ac:dyDescent="0.3">
      <c r="A5688" t="s">
        <v>1910</v>
      </c>
      <c r="B5688" t="s">
        <v>1912</v>
      </c>
      <c r="C5688">
        <v>6</v>
      </c>
      <c r="D5688" t="s">
        <v>1447</v>
      </c>
      <c r="E5688" t="s">
        <v>1920</v>
      </c>
      <c r="F5688" t="s">
        <v>1806</v>
      </c>
      <c r="I5688" t="str">
        <f>IF(ISBLANK('Q 5'!K1394),"",IF('Q 5'!K1394="&lt;please select&gt;","",'Q 5'!K1394))</f>
        <v>64.3589616</v>
      </c>
    </row>
    <row r="5689" spans="1:9" x14ac:dyDescent="0.3">
      <c r="A5689" t="s">
        <v>1910</v>
      </c>
      <c r="B5689" t="s">
        <v>1912</v>
      </c>
      <c r="C5689">
        <v>7</v>
      </c>
      <c r="D5689" t="s">
        <v>1447</v>
      </c>
      <c r="E5689" t="s">
        <v>1920</v>
      </c>
      <c r="F5689" t="s">
        <v>1806</v>
      </c>
      <c r="I5689" t="str">
        <f>IF(ISBLANK('Q 5'!K1395),"",IF('Q 5'!K1395="&lt;please select&gt;","",'Q 5'!K1395))</f>
        <v>18654.7624990088</v>
      </c>
    </row>
    <row r="5690" spans="1:9" x14ac:dyDescent="0.3">
      <c r="A5690" t="s">
        <v>1910</v>
      </c>
      <c r="B5690" t="s">
        <v>1912</v>
      </c>
      <c r="C5690">
        <v>8</v>
      </c>
      <c r="D5690" t="s">
        <v>1447</v>
      </c>
      <c r="E5690" t="s">
        <v>1920</v>
      </c>
      <c r="F5690" t="s">
        <v>1806</v>
      </c>
      <c r="I5690" t="str">
        <f>IF(ISBLANK('Q 5'!K1396),"",IF('Q 5'!K1396="&lt;please select&gt;","",'Q 5'!K1396))</f>
        <v>17277.4855312194</v>
      </c>
    </row>
    <row r="5691" spans="1:9" x14ac:dyDescent="0.3">
      <c r="A5691" t="s">
        <v>1910</v>
      </c>
      <c r="B5691" t="s">
        <v>1912</v>
      </c>
      <c r="C5691">
        <v>9</v>
      </c>
      <c r="D5691" t="s">
        <v>1447</v>
      </c>
      <c r="E5691" t="s">
        <v>1920</v>
      </c>
      <c r="F5691" t="s">
        <v>1806</v>
      </c>
      <c r="I5691" t="str">
        <f>IF(ISBLANK('Q 5'!K1397),"",IF('Q 5'!K1397="&lt;please select&gt;","",'Q 5'!K1397))</f>
        <v>0.73615350444</v>
      </c>
    </row>
    <row r="5692" spans="1:9" x14ac:dyDescent="0.3">
      <c r="A5692" t="s">
        <v>1910</v>
      </c>
      <c r="B5692" t="s">
        <v>1912</v>
      </c>
      <c r="C5692">
        <v>10</v>
      </c>
      <c r="D5692" t="s">
        <v>1447</v>
      </c>
      <c r="E5692" t="s">
        <v>1920</v>
      </c>
      <c r="F5692" t="s">
        <v>1806</v>
      </c>
      <c r="I5692" t="str">
        <f>IF(ISBLANK('Q 5'!K1398),"",IF('Q 5'!K1398="&lt;please select&gt;","",'Q 5'!K1398))</f>
        <v>3514.320387514</v>
      </c>
    </row>
    <row r="5693" spans="1:9" x14ac:dyDescent="0.3">
      <c r="A5693" t="s">
        <v>1910</v>
      </c>
      <c r="B5693" t="s">
        <v>1912</v>
      </c>
      <c r="C5693">
        <v>11</v>
      </c>
      <c r="D5693" t="s">
        <v>1447</v>
      </c>
      <c r="E5693" t="s">
        <v>1920</v>
      </c>
      <c r="F5693" t="s">
        <v>1806</v>
      </c>
      <c r="I5693" t="str">
        <f>IF(ISBLANK('Q 5'!K1399),"",IF('Q 5'!K1399="&lt;please select&gt;","",'Q 5'!K1399))</f>
        <v>2111.987758046</v>
      </c>
    </row>
    <row r="5694" spans="1:9" x14ac:dyDescent="0.3">
      <c r="A5694" t="s">
        <v>1910</v>
      </c>
      <c r="B5694" t="s">
        <v>1912</v>
      </c>
      <c r="C5694">
        <v>12</v>
      </c>
      <c r="D5694" t="s">
        <v>1447</v>
      </c>
      <c r="E5694" t="s">
        <v>1920</v>
      </c>
      <c r="F5694" t="s">
        <v>1806</v>
      </c>
      <c r="I5694" t="str">
        <f>IF(ISBLANK('Q 5'!K1400),"",IF('Q 5'!K1400="&lt;please select&gt;","",'Q 5'!K1400))</f>
        <v>28.6643715</v>
      </c>
    </row>
    <row r="5695" spans="1:9" x14ac:dyDescent="0.3">
      <c r="A5695" t="s">
        <v>1910</v>
      </c>
      <c r="B5695" t="s">
        <v>1912</v>
      </c>
      <c r="C5695">
        <v>13</v>
      </c>
      <c r="D5695" t="s">
        <v>1447</v>
      </c>
      <c r="E5695" t="s">
        <v>1920</v>
      </c>
      <c r="F5695" t="s">
        <v>1806</v>
      </c>
      <c r="I5695" t="str">
        <f>IF(ISBLANK('Q 5'!K1401),"",IF('Q 5'!K1401="&lt;please select&gt;","",'Q 5'!K1401))</f>
        <v>2693.12502398143</v>
      </c>
    </row>
    <row r="5696" spans="1:9" x14ac:dyDescent="0.3">
      <c r="A5696" t="s">
        <v>1910</v>
      </c>
      <c r="B5696" t="s">
        <v>1912</v>
      </c>
      <c r="C5696">
        <v>14</v>
      </c>
      <c r="D5696" t="s">
        <v>1447</v>
      </c>
      <c r="E5696" t="s">
        <v>1920</v>
      </c>
      <c r="F5696" t="s">
        <v>1806</v>
      </c>
      <c r="I5696" t="str">
        <f>IF(ISBLANK('Q 5'!K1402),"",IF('Q 5'!K1402="&lt;please select&gt;","",'Q 5'!K1402))</f>
        <v>611.9573695</v>
      </c>
    </row>
    <row r="5697" spans="1:9" x14ac:dyDescent="0.3">
      <c r="A5697" t="s">
        <v>1910</v>
      </c>
      <c r="B5697" t="s">
        <v>1912</v>
      </c>
      <c r="C5697">
        <v>15</v>
      </c>
      <c r="D5697" t="s">
        <v>1447</v>
      </c>
      <c r="E5697" t="s">
        <v>1920</v>
      </c>
      <c r="F5697" t="s">
        <v>1806</v>
      </c>
      <c r="I5697" t="str">
        <f>IF(ISBLANK('Q 5'!K1403),"",IF('Q 5'!K1403="&lt;please select&gt;","",'Q 5'!K1403))</f>
        <v>3404.52776580017</v>
      </c>
    </row>
    <row r="5698" spans="1:9" x14ac:dyDescent="0.3">
      <c r="A5698" t="s">
        <v>1910</v>
      </c>
      <c r="B5698" t="s">
        <v>1912</v>
      </c>
      <c r="C5698">
        <v>16</v>
      </c>
      <c r="D5698" t="s">
        <v>1447</v>
      </c>
      <c r="E5698" t="s">
        <v>1920</v>
      </c>
      <c r="F5698" t="s">
        <v>1806</v>
      </c>
      <c r="I5698" t="str">
        <f>IF(ISBLANK('Q 5'!K1404),"",IF('Q 5'!K1404="&lt;please select&gt;","",'Q 5'!K1404))</f>
        <v>1660.33550574</v>
      </c>
    </row>
    <row r="5699" spans="1:9" x14ac:dyDescent="0.3">
      <c r="A5699" t="s">
        <v>1910</v>
      </c>
      <c r="B5699" t="s">
        <v>1912</v>
      </c>
      <c r="C5699">
        <v>17</v>
      </c>
      <c r="D5699" t="s">
        <v>1447</v>
      </c>
      <c r="E5699" t="s">
        <v>1920</v>
      </c>
      <c r="F5699" t="s">
        <v>1806</v>
      </c>
      <c r="I5699" t="str">
        <f>IF(ISBLANK('Q 5'!K1405),"",IF('Q 5'!K1405="&lt;please select&gt;","",'Q 5'!K1405))</f>
        <v>3818.1547</v>
      </c>
    </row>
    <row r="5700" spans="1:9" x14ac:dyDescent="0.3">
      <c r="A5700" t="s">
        <v>1910</v>
      </c>
      <c r="B5700" t="s">
        <v>1912</v>
      </c>
      <c r="C5700">
        <v>18</v>
      </c>
      <c r="D5700" t="s">
        <v>1447</v>
      </c>
      <c r="E5700" t="s">
        <v>1920</v>
      </c>
      <c r="F5700" t="s">
        <v>1806</v>
      </c>
      <c r="I5700" t="str">
        <f>IF(ISBLANK('Q 5'!K1406),"",IF('Q 5'!K1406="&lt;please select&gt;","",'Q 5'!K1406))</f>
        <v>395.5337276</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148716</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3</v>
      </c>
    </row>
    <row r="5746" spans="1:9" x14ac:dyDescent="0.3">
      <c r="A5746" t="s">
        <v>1928</v>
      </c>
      <c r="B5746" t="s">
        <v>1929</v>
      </c>
      <c r="C5746">
        <v>2</v>
      </c>
      <c r="D5746" t="s">
        <v>1447</v>
      </c>
      <c r="E5746" t="s">
        <v>1930</v>
      </c>
      <c r="F5746" t="s">
        <v>1748</v>
      </c>
      <c r="H5746" s="165" t="str">
        <f>IF(ISBLANK('Q 5'!E1463),"",IF('Q 5'!E1463="&lt;please select&gt;","",'Q 5'!E1463))</f>
        <v>22</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0.04</v>
      </c>
    </row>
    <row r="5749" spans="1:9" x14ac:dyDescent="0.3">
      <c r="A5749" t="s">
        <v>1928</v>
      </c>
      <c r="B5749" t="s">
        <v>1929</v>
      </c>
      <c r="C5749">
        <v>2</v>
      </c>
      <c r="D5749" t="s">
        <v>1447</v>
      </c>
      <c r="E5749" t="s">
        <v>1931</v>
      </c>
      <c r="F5749" t="s">
        <v>1806</v>
      </c>
      <c r="I5749" s="166" t="str">
        <f>IF(ISBLANK('Q 5'!G1463),"",IF('Q 5'!G1463="&lt;please select&gt;","",'Q 5'!G1463))</f>
        <v>0.26</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2248607</v>
      </c>
    </row>
    <row r="5752" spans="1:9" x14ac:dyDescent="0.3">
      <c r="A5752" t="s">
        <v>1932</v>
      </c>
      <c r="B5752" t="s">
        <v>1933</v>
      </c>
      <c r="C5752">
        <v>2</v>
      </c>
      <c r="D5752" t="s">
        <v>1447</v>
      </c>
      <c r="E5752" t="s">
        <v>1934</v>
      </c>
      <c r="F5752" t="s">
        <v>1806</v>
      </c>
      <c r="I5752" t="str">
        <f>IF(ISBLANK('Q 5'!G1473),"",IF('Q 5'!G1473="&lt;please select&gt;","",'Q 5'!G1473))</f>
        <v>872109</v>
      </c>
    </row>
    <row r="5753" spans="1:9" x14ac:dyDescent="0.3">
      <c r="A5753" t="s">
        <v>1932</v>
      </c>
      <c r="B5753" t="s">
        <v>1933</v>
      </c>
      <c r="C5753">
        <v>3</v>
      </c>
      <c r="D5753" t="s">
        <v>1447</v>
      </c>
      <c r="E5753" t="s">
        <v>1934</v>
      </c>
      <c r="F5753" t="s">
        <v>1806</v>
      </c>
      <c r="I5753" t="str">
        <f>IF(ISBLANK('Q 5'!G1474),"",IF('Q 5'!G1474="&lt;please select&gt;","",'Q 5'!G1474))</f>
        <v>7995500</v>
      </c>
    </row>
    <row r="5754" spans="1:9" x14ac:dyDescent="0.3">
      <c r="A5754" t="s">
        <v>1932</v>
      </c>
      <c r="B5754" t="s">
        <v>1933</v>
      </c>
      <c r="C5754">
        <v>4</v>
      </c>
      <c r="D5754" t="s">
        <v>1447</v>
      </c>
      <c r="E5754" t="s">
        <v>1934</v>
      </c>
      <c r="F5754" t="s">
        <v>1806</v>
      </c>
      <c r="I5754" t="str">
        <f>IF(ISBLANK('Q 5'!G1475),"",IF('Q 5'!G1475="&lt;please select&gt;","",'Q 5'!G1475))</f>
        <v>5769202</v>
      </c>
    </row>
    <row r="5755" spans="1:9" x14ac:dyDescent="0.3">
      <c r="A5755" t="s">
        <v>1932</v>
      </c>
      <c r="B5755" t="s">
        <v>1933</v>
      </c>
      <c r="C5755">
        <v>5</v>
      </c>
      <c r="D5755" t="s">
        <v>1447</v>
      </c>
      <c r="E5755" t="s">
        <v>1934</v>
      </c>
      <c r="F5755" t="s">
        <v>1806</v>
      </c>
      <c r="I5755" t="str">
        <f>IF(ISBLANK('Q 5'!G1476),"",IF('Q 5'!G1476="&lt;please select&gt;","",'Q 5'!G1476))</f>
        <v>15345</v>
      </c>
    </row>
    <row r="5756" spans="1:9" x14ac:dyDescent="0.3">
      <c r="A5756" t="s">
        <v>1932</v>
      </c>
      <c r="B5756" t="s">
        <v>1935</v>
      </c>
      <c r="C5756">
        <v>0</v>
      </c>
      <c r="D5756" t="s">
        <v>1447</v>
      </c>
      <c r="E5756" t="s">
        <v>1935</v>
      </c>
      <c r="F5756" t="s">
        <v>1748</v>
      </c>
      <c r="H5756" s="167" t="str">
        <f>IF(ISBLANK('Q 5'!$G$1479),"",IF('Q 5'!$G$1479="&lt;please select&gt;","",'Q 5'!$G$1479))</f>
        <v>14</v>
      </c>
    </row>
    <row r="5757" spans="1:9" x14ac:dyDescent="0.3">
      <c r="A5757" t="s">
        <v>1936</v>
      </c>
      <c r="B5757" t="s">
        <v>1937</v>
      </c>
      <c r="C5757">
        <v>0</v>
      </c>
      <c r="D5757" t="s">
        <v>1447</v>
      </c>
      <c r="E5757" t="s">
        <v>1937</v>
      </c>
      <c r="F5757" t="s">
        <v>1748</v>
      </c>
      <c r="H5757" s="165" t="str">
        <f>IF(ISBLANK('Q 5'!$C$1486),"",IF('Q 5'!$C$1486="&lt;please select&gt;","",'Q 5'!$C$1486))</f>
        <v>1</v>
      </c>
    </row>
    <row r="5758" spans="1:9" x14ac:dyDescent="0.3">
      <c r="A5758" t="s">
        <v>1936</v>
      </c>
      <c r="B5758" t="s">
        <v>1938</v>
      </c>
      <c r="C5758">
        <v>0</v>
      </c>
      <c r="D5758" t="s">
        <v>1447</v>
      </c>
      <c r="E5758" t="s">
        <v>1938</v>
      </c>
      <c r="F5758" t="s">
        <v>1806</v>
      </c>
      <c r="I5758" s="165" t="str">
        <f>IF(ISBLANK('Q 5'!$E$1486),"",IF('Q 5'!$E$1486="&lt;please select&gt;","",'Q 5'!$E$1486))</f>
        <v>844</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34</v>
      </c>
    </row>
    <row r="5761" spans="1:11" x14ac:dyDescent="0.3">
      <c r="A5761" t="s">
        <v>1940</v>
      </c>
      <c r="B5761" t="s">
        <v>1941</v>
      </c>
      <c r="C5761">
        <v>2</v>
      </c>
      <c r="D5761" t="s">
        <v>1447</v>
      </c>
      <c r="E5761" t="s">
        <v>1942</v>
      </c>
      <c r="F5761" t="s">
        <v>1748</v>
      </c>
      <c r="H5761" s="165" t="str">
        <f>IF(ISBLANK('Q 5'!H1494),"",IF('Q 5'!H1494="&lt;please select&gt;","",'Q 5'!H1494))</f>
        <v>44</v>
      </c>
    </row>
    <row r="5762" spans="1:11" x14ac:dyDescent="0.3">
      <c r="A5762" t="s">
        <v>1940</v>
      </c>
      <c r="B5762" t="s">
        <v>1941</v>
      </c>
      <c r="C5762">
        <v>3</v>
      </c>
      <c r="D5762" t="s">
        <v>1447</v>
      </c>
      <c r="E5762" t="s">
        <v>1942</v>
      </c>
      <c r="F5762" t="s">
        <v>1748</v>
      </c>
      <c r="H5762" s="165" t="str">
        <f>IF(ISBLANK('Q 5'!H1495),"",IF('Q 5'!H1495="&lt;please select&gt;","",'Q 5'!H1495))</f>
        <v>25</v>
      </c>
    </row>
    <row r="5763" spans="1:11" x14ac:dyDescent="0.3">
      <c r="A5763" t="s">
        <v>1940</v>
      </c>
      <c r="B5763" t="s">
        <v>1941</v>
      </c>
      <c r="C5763">
        <v>4</v>
      </c>
      <c r="D5763" t="s">
        <v>1447</v>
      </c>
      <c r="E5763" t="s">
        <v>1942</v>
      </c>
      <c r="F5763" t="s">
        <v>1748</v>
      </c>
      <c r="H5763" s="165" t="str">
        <f>IF(ISBLANK('Q 5'!H1496),"",IF('Q 5'!H1496="&lt;please select&gt;","",'Q 5'!H1496))</f>
        <v/>
      </c>
    </row>
    <row r="5764" spans="1:11" x14ac:dyDescent="0.3">
      <c r="A5764" t="s">
        <v>1943</v>
      </c>
      <c r="B5764" t="s">
        <v>1944</v>
      </c>
      <c r="C5764">
        <v>0</v>
      </c>
      <c r="D5764" t="s">
        <v>1447</v>
      </c>
      <c r="E5764" t="s">
        <v>1944</v>
      </c>
      <c r="F5764" t="s">
        <v>1748</v>
      </c>
      <c r="H5764" s="165" t="str">
        <f>IF(ISBLANK('Q 5'!$C$1500),"",IF('Q 5'!$C$1500="&lt;please select&gt;","",'Q 5'!$C$1500))</f>
        <v>0</v>
      </c>
    </row>
    <row r="5765" spans="1:11" x14ac:dyDescent="0.3">
      <c r="A5765" t="s">
        <v>1943</v>
      </c>
      <c r="B5765" t="s">
        <v>1945</v>
      </c>
      <c r="C5765">
        <v>0</v>
      </c>
      <c r="D5765" t="s">
        <v>1447</v>
      </c>
      <c r="E5765" t="s">
        <v>1945</v>
      </c>
      <c r="F5765" t="s">
        <v>1748</v>
      </c>
      <c r="H5765" s="165" t="str">
        <f>IF(ISBLANK('Q 5'!$G$1500),"",IF('Q 5'!$G$1500="&lt;please select&gt;","",'Q 5'!$G$1500))</f>
        <v>0</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6</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1</v>
      </c>
    </row>
    <row r="5780" spans="1:11" x14ac:dyDescent="0.3">
      <c r="A5780" t="s">
        <v>1951</v>
      </c>
      <c r="B5780" t="s">
        <v>1952</v>
      </c>
      <c r="C5780">
        <v>4</v>
      </c>
      <c r="D5780" t="s">
        <v>1447</v>
      </c>
      <c r="E5780" t="s">
        <v>1953</v>
      </c>
      <c r="F5780" t="s">
        <v>1748</v>
      </c>
      <c r="H5780" s="165" t="str">
        <f>IF(ISBLANK('Q 6'!F11),"",IF('Q 6'!F11="&lt;please select&gt;","",'Q 6'!F11))</f>
        <v>0</v>
      </c>
    </row>
    <row r="5781" spans="1:11" x14ac:dyDescent="0.3">
      <c r="A5781" t="s">
        <v>1951</v>
      </c>
      <c r="B5781" t="s">
        <v>1952</v>
      </c>
      <c r="C5781">
        <v>3</v>
      </c>
      <c r="D5781" t="s">
        <v>1447</v>
      </c>
      <c r="E5781" t="s">
        <v>1954</v>
      </c>
      <c r="F5781" t="s">
        <v>1741</v>
      </c>
      <c r="G5781" t="str">
        <f>IF(ISBLANK('Q 6'!G10),"",IF('Q 6'!G10="&lt;please select&gt;","",'Q 6'!G10))</f>
        <v>ES</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2</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0</v>
      </c>
    </row>
    <row r="5786" spans="1:11" x14ac:dyDescent="0.3">
      <c r="A5786" t="s">
        <v>1951</v>
      </c>
      <c r="B5786" t="s">
        <v>1952</v>
      </c>
      <c r="C5786">
        <v>4</v>
      </c>
      <c r="D5786" t="s">
        <v>1447</v>
      </c>
      <c r="E5786" t="s">
        <v>1955</v>
      </c>
      <c r="F5786" t="s">
        <v>1748</v>
      </c>
      <c r="H5786" s="165" t="str">
        <f>IF(ISBLANK('Q 6'!H11),"",IF('Q 6'!H11="&lt;please select&gt;","",'Q 6'!H11))</f>
        <v>0</v>
      </c>
    </row>
    <row r="5787" spans="1:11" x14ac:dyDescent="0.3">
      <c r="A5787" t="s">
        <v>1951</v>
      </c>
      <c r="B5787" t="s">
        <v>1952</v>
      </c>
      <c r="C5787">
        <v>3</v>
      </c>
      <c r="D5787" t="s">
        <v>1447</v>
      </c>
      <c r="E5787" t="s">
        <v>1956</v>
      </c>
      <c r="F5787" t="s">
        <v>1741</v>
      </c>
      <c r="G5787" t="str">
        <f>IF(ISBLANK('Q 6'!I10),"",IF('Q 6'!I10="&lt;please select&gt;","",'Q 6'!I10))</f>
        <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1b - Combustion of fuels in installations, without restrictions</v>
      </c>
    </row>
    <row r="5791" spans="1:11" x14ac:dyDescent="0.3">
      <c r="A5791" t="s">
        <v>1951</v>
      </c>
      <c r="B5791" t="s">
        <v>1957</v>
      </c>
      <c r="C5791">
        <v>3</v>
      </c>
      <c r="D5791" t="s">
        <v>1447</v>
      </c>
      <c r="E5791" t="s">
        <v>1958</v>
      </c>
      <c r="F5791" t="s">
        <v>1737</v>
      </c>
      <c r="K5791" t="str">
        <f>IF(ISBLANK('Q 6'!C19),"",IF('Q 6'!C19="&lt;please select&gt;","",'Q 6'!C19))</f>
        <v>2 - Refining of mineral oil</v>
      </c>
    </row>
    <row r="5792" spans="1:11" x14ac:dyDescent="0.3">
      <c r="A5792" t="s">
        <v>1951</v>
      </c>
      <c r="B5792" t="s">
        <v>1957</v>
      </c>
      <c r="C5792">
        <v>4</v>
      </c>
      <c r="D5792" t="s">
        <v>1447</v>
      </c>
      <c r="E5792" t="s">
        <v>1958</v>
      </c>
      <c r="F5792" t="s">
        <v>1737</v>
      </c>
      <c r="K5792" t="str">
        <f>IF(ISBLANK('Q 6'!C20),"",IF('Q 6'!C20="&lt;please select&gt;","",'Q 6'!C20))</f>
        <v xml:space="preserve">3 - Production of coke </v>
      </c>
    </row>
    <row r="5793" spans="1:11" x14ac:dyDescent="0.3">
      <c r="A5793" t="s">
        <v>1951</v>
      </c>
      <c r="B5793" t="s">
        <v>1957</v>
      </c>
      <c r="C5793">
        <v>5</v>
      </c>
      <c r="D5793" t="s">
        <v>1447</v>
      </c>
      <c r="E5793" t="s">
        <v>1958</v>
      </c>
      <c r="F5793" t="s">
        <v>1737</v>
      </c>
      <c r="K5793" t="str">
        <f>IF(ISBLANK('Q 6'!C21),"",IF('Q 6'!C21="&lt;please select&gt;","",'Q 6'!C21))</f>
        <v xml:space="preserve">4 - Production of secondary aluminium </v>
      </c>
    </row>
    <row r="5794" spans="1:11" x14ac:dyDescent="0.3">
      <c r="A5794" t="s">
        <v>1951</v>
      </c>
      <c r="B5794" t="s">
        <v>1957</v>
      </c>
      <c r="C5794">
        <v>6</v>
      </c>
      <c r="D5794" t="s">
        <v>1447</v>
      </c>
      <c r="E5794" t="s">
        <v>1958</v>
      </c>
      <c r="F5794" t="s">
        <v>1737</v>
      </c>
      <c r="K5794" t="str">
        <f>IF(ISBLANK('Q 6'!C22),"",IF('Q 6'!C22="&lt;please select&gt;","",'Q 6'!C22))</f>
        <v xml:space="preserve">4 - Production or processing of ferrous metals (including ferro-alloys) </v>
      </c>
    </row>
    <row r="5795" spans="1:11" x14ac:dyDescent="0.3">
      <c r="A5795" t="s">
        <v>1951</v>
      </c>
      <c r="B5795" t="s">
        <v>1957</v>
      </c>
      <c r="C5795">
        <v>7</v>
      </c>
      <c r="D5795" t="s">
        <v>1447</v>
      </c>
      <c r="E5795" t="s">
        <v>1958</v>
      </c>
      <c r="F5795" t="s">
        <v>1737</v>
      </c>
      <c r="K5795" t="str">
        <f>IF(ISBLANK('Q 6'!C23),"",IF('Q 6'!C23="&lt;please select&gt;","",'Q 6'!C23))</f>
        <v xml:space="preserve">4 - Production or processing of non-ferrous metals, including production of alloys </v>
      </c>
    </row>
    <row r="5796" spans="1:11" x14ac:dyDescent="0.3">
      <c r="A5796" t="s">
        <v>1951</v>
      </c>
      <c r="B5796" t="s">
        <v>1957</v>
      </c>
      <c r="C5796">
        <v>8</v>
      </c>
      <c r="D5796" t="s">
        <v>1447</v>
      </c>
      <c r="E5796" t="s">
        <v>1958</v>
      </c>
      <c r="F5796" t="s">
        <v>1737</v>
      </c>
      <c r="K5796" t="str">
        <f>IF(ISBLANK('Q 6'!C24),"",IF('Q 6'!C24="&lt;please select&gt;","",'Q 6'!C24))</f>
        <v xml:space="preserve">5 - Production of primary aluminium (CO2 and PFC emissions) 6 </v>
      </c>
    </row>
    <row r="5797" spans="1:11" x14ac:dyDescent="0.3">
      <c r="A5797" t="s">
        <v>1951</v>
      </c>
      <c r="B5797" t="s">
        <v>1957</v>
      </c>
      <c r="C5797">
        <v>9</v>
      </c>
      <c r="D5797" t="s">
        <v>1447</v>
      </c>
      <c r="E5797" t="s">
        <v>1958</v>
      </c>
      <c r="F5797" t="s">
        <v>1737</v>
      </c>
      <c r="K5797" t="str">
        <f>IF(ISBLANK('Q 6'!C25),"",IF('Q 6'!C25="&lt;please select&gt;","",'Q 6'!C25))</f>
        <v xml:space="preserve">6 - Production of cement clinker </v>
      </c>
    </row>
    <row r="5798" spans="1:11" x14ac:dyDescent="0.3">
      <c r="A5798" t="s">
        <v>1951</v>
      </c>
      <c r="B5798" t="s">
        <v>1957</v>
      </c>
      <c r="C5798">
        <v>10</v>
      </c>
      <c r="D5798" t="s">
        <v>1447</v>
      </c>
      <c r="E5798" t="s">
        <v>1958</v>
      </c>
      <c r="F5798" t="s">
        <v>1737</v>
      </c>
      <c r="K5798" t="str">
        <f>IF(ISBLANK('Q 6'!C26),"",IF('Q 6'!C26="&lt;please select&gt;","",'Q 6'!C26))</f>
        <v xml:space="preserve">6 - Production of lime or calcination of dolomite or magnesite </v>
      </c>
    </row>
    <row r="5799" spans="1:11" x14ac:dyDescent="0.3">
      <c r="A5799" t="s">
        <v>1951</v>
      </c>
      <c r="B5799" t="s">
        <v>1957</v>
      </c>
      <c r="C5799">
        <v>11</v>
      </c>
      <c r="D5799" t="s">
        <v>1447</v>
      </c>
      <c r="E5799" t="s">
        <v>1958</v>
      </c>
      <c r="F5799" t="s">
        <v>1737</v>
      </c>
      <c r="K5799" t="str">
        <f>IF(ISBLANK('Q 6'!C27),"",IF('Q 6'!C27="&lt;please select&gt;","",'Q 6'!C27))</f>
        <v xml:space="preserve">6 - Manufacture of glass including glass fibre </v>
      </c>
    </row>
    <row r="5800" spans="1:11" x14ac:dyDescent="0.3">
      <c r="A5800" t="s">
        <v>1951</v>
      </c>
      <c r="B5800" t="s">
        <v>1957</v>
      </c>
      <c r="C5800">
        <v>12</v>
      </c>
      <c r="D5800" t="s">
        <v>1447</v>
      </c>
      <c r="E5800" t="s">
        <v>1958</v>
      </c>
      <c r="F5800" t="s">
        <v>1737</v>
      </c>
      <c r="K5800" t="str">
        <f>IF(ISBLANK('Q 6'!C28),"",IF('Q 6'!C28="&lt;please select&gt;","",'Q 6'!C28))</f>
        <v xml:space="preserve">6 - Manufacture of ceramic products by firing </v>
      </c>
    </row>
    <row r="5801" spans="1:11" x14ac:dyDescent="0.3">
      <c r="A5801" t="s">
        <v>1951</v>
      </c>
      <c r="B5801" t="s">
        <v>1957</v>
      </c>
      <c r="C5801">
        <v>13</v>
      </c>
      <c r="D5801" t="s">
        <v>1447</v>
      </c>
      <c r="E5801" t="s">
        <v>1958</v>
      </c>
      <c r="F5801" t="s">
        <v>1737</v>
      </c>
      <c r="K5801" t="str">
        <f>IF(ISBLANK('Q 6'!C29),"",IF('Q 6'!C29="&lt;please select&gt;","",'Q 6'!C29))</f>
        <v xml:space="preserve">6 - Manufacture of mineral wool insulation material </v>
      </c>
    </row>
    <row r="5802" spans="1:11" x14ac:dyDescent="0.3">
      <c r="A5802" t="s">
        <v>1951</v>
      </c>
      <c r="B5802" t="s">
        <v>1957</v>
      </c>
      <c r="C5802">
        <v>14</v>
      </c>
      <c r="D5802" t="s">
        <v>1447</v>
      </c>
      <c r="E5802" t="s">
        <v>1958</v>
      </c>
      <c r="F5802" t="s">
        <v>1737</v>
      </c>
      <c r="K5802" t="str">
        <f>IF(ISBLANK('Q 6'!C30),"",IF('Q 6'!C30="&lt;please select&gt;","",'Q 6'!C30))</f>
        <v>6 - Drying or calcination of gypsum or production of plaster boards and other gypsum products</v>
      </c>
    </row>
    <row r="5803" spans="1:11" x14ac:dyDescent="0.3">
      <c r="A5803" t="s">
        <v>1951</v>
      </c>
      <c r="B5803" t="s">
        <v>1957</v>
      </c>
      <c r="C5803">
        <v>15</v>
      </c>
      <c r="D5803" t="s">
        <v>1447</v>
      </c>
      <c r="E5803" t="s">
        <v>1958</v>
      </c>
      <c r="F5803" t="s">
        <v>1737</v>
      </c>
      <c r="K5803" t="str">
        <f>IF(ISBLANK('Q 6'!C31),"",IF('Q 6'!C31="&lt;please select&gt;","",'Q 6'!C31))</f>
        <v xml:space="preserve">7 - Production of pulp from timber or other fibrous materials </v>
      </c>
    </row>
    <row r="5804" spans="1:11" x14ac:dyDescent="0.3">
      <c r="A5804" t="s">
        <v>1951</v>
      </c>
      <c r="B5804" t="s">
        <v>1957</v>
      </c>
      <c r="C5804">
        <v>16</v>
      </c>
      <c r="D5804" t="s">
        <v>1447</v>
      </c>
      <c r="E5804" t="s">
        <v>1958</v>
      </c>
      <c r="F5804" t="s">
        <v>1737</v>
      </c>
      <c r="K5804" t="str">
        <f>IF(ISBLANK('Q 6'!C32),"",IF('Q 6'!C32="&lt;please select&gt;","",'Q 6'!C32))</f>
        <v>7 - Production of paper or cardboard</v>
      </c>
    </row>
    <row r="5805" spans="1:11" x14ac:dyDescent="0.3">
      <c r="A5805" t="s">
        <v>1951</v>
      </c>
      <c r="B5805" t="s">
        <v>1957</v>
      </c>
      <c r="C5805">
        <v>17</v>
      </c>
      <c r="D5805" t="s">
        <v>1447</v>
      </c>
      <c r="E5805" t="s">
        <v>1958</v>
      </c>
      <c r="F5805" t="s">
        <v>1737</v>
      </c>
      <c r="K5805" t="str">
        <f>IF(ISBLANK('Q 6'!C33),"",IF('Q 6'!C33="&lt;please select&gt;","",'Q 6'!C33))</f>
        <v xml:space="preserve">8 - Production of carbon black </v>
      </c>
    </row>
    <row r="5806" spans="1:11" x14ac:dyDescent="0.3">
      <c r="A5806" t="s">
        <v>1951</v>
      </c>
      <c r="B5806" t="s">
        <v>1957</v>
      </c>
      <c r="C5806">
        <v>18</v>
      </c>
      <c r="D5806" t="s">
        <v>1447</v>
      </c>
      <c r="E5806" t="s">
        <v>1958</v>
      </c>
      <c r="F5806" t="s">
        <v>1737</v>
      </c>
      <c r="K5806" t="str">
        <f>IF(ISBLANK('Q 6'!C34),"",IF('Q 6'!C34="&lt;please select&gt;","",'Q 6'!C34))</f>
        <v xml:space="preserve">8 - Production of bulk organic chemicals by cracking, reforming, partial or full oxidation or by similar processes </v>
      </c>
    </row>
    <row r="5807" spans="1:11" x14ac:dyDescent="0.3">
      <c r="A5807" t="s">
        <v>1951</v>
      </c>
      <c r="B5807" t="s">
        <v>1957</v>
      </c>
      <c r="C5807">
        <v>19</v>
      </c>
      <c r="D5807" t="s">
        <v>1447</v>
      </c>
      <c r="E5807" t="s">
        <v>1958</v>
      </c>
      <c r="F5807" t="s">
        <v>1737</v>
      </c>
      <c r="K5807" t="str">
        <f>IF(ISBLANK('Q 6'!C35),"",IF('Q 6'!C35="&lt;please select&gt;","",'Q 6'!C35))</f>
        <v xml:space="preserve">8 - Production of hydrogen (H2) and synthesis gas by reforming or partial oxidation </v>
      </c>
    </row>
    <row r="5808" spans="1:11" x14ac:dyDescent="0.3">
      <c r="A5808" t="s">
        <v>1951</v>
      </c>
      <c r="B5808" t="s">
        <v>1957</v>
      </c>
      <c r="C5808">
        <v>20</v>
      </c>
      <c r="D5808" t="s">
        <v>1447</v>
      </c>
      <c r="E5808" t="s">
        <v>1958</v>
      </c>
      <c r="F5808" t="s">
        <v>1737</v>
      </c>
      <c r="K5808" t="str">
        <f>IF(ISBLANK('Q 6'!C36),"",IF('Q 6'!C36="&lt;please select&gt;","",'Q 6'!C36))</f>
        <v>8 - Production of soda ash (Na2CO3) and sodium bicarbonate (NaHCO3)</v>
      </c>
    </row>
    <row r="5809" spans="1:11" x14ac:dyDescent="0.3">
      <c r="A5809" t="s">
        <v>1951</v>
      </c>
      <c r="B5809" t="s">
        <v>1957</v>
      </c>
      <c r="C5809">
        <v>21</v>
      </c>
      <c r="D5809" t="s">
        <v>1447</v>
      </c>
      <c r="E5809" t="s">
        <v>1958</v>
      </c>
      <c r="F5809" t="s">
        <v>1737</v>
      </c>
      <c r="K5809" t="str">
        <f>IF(ISBLANK('Q 6'!C37),"",IF('Q 6'!C37="&lt;please select&gt;","",'Q 6'!C37))</f>
        <v xml:space="preserve">9 - Production of nitric acid (CO2 and N2O emissions) </v>
      </c>
    </row>
    <row r="5810" spans="1:11" x14ac:dyDescent="0.3">
      <c r="A5810" t="s">
        <v>1951</v>
      </c>
      <c r="B5810" t="s">
        <v>1957</v>
      </c>
      <c r="C5810">
        <v>22</v>
      </c>
      <c r="D5810" t="s">
        <v>1447</v>
      </c>
      <c r="E5810" t="s">
        <v>1958</v>
      </c>
      <c r="F5810" t="s">
        <v>1737</v>
      </c>
      <c r="K5810" t="str">
        <f>IF(ISBLANK('Q 6'!C38),"",IF('Q 6'!C38="&lt;please select&gt;","",'Q 6'!C38))</f>
        <v>9 - Production of glyoxal and glyoxylic acid (CO2 and N2O emissions)</v>
      </c>
    </row>
    <row r="5811" spans="1:11" x14ac:dyDescent="0.3">
      <c r="A5811" t="s">
        <v>1951</v>
      </c>
      <c r="B5811" t="s">
        <v>1957</v>
      </c>
      <c r="C5811">
        <v>23</v>
      </c>
      <c r="D5811" t="s">
        <v>1447</v>
      </c>
      <c r="E5811" t="s">
        <v>1958</v>
      </c>
      <c r="F5811" t="s">
        <v>1737</v>
      </c>
      <c r="K5811" t="str">
        <f>IF(ISBLANK('Q 6'!C39),"",IF('Q 6'!C39="&lt;please select&gt;","",'Q 6'!C39))</f>
        <v xml:space="preserve">10 - Capture of greenhouse gases from installations covered by Directive 2003/87/EC for the purpose of transport and geological storage in a storage site permitted under Directive 2009/31/EC </v>
      </c>
    </row>
    <row r="5812" spans="1:11" x14ac:dyDescent="0.3">
      <c r="A5812" t="s">
        <v>1951</v>
      </c>
      <c r="B5812" t="s">
        <v>1957</v>
      </c>
      <c r="C5812">
        <v>24</v>
      </c>
      <c r="D5812" t="s">
        <v>1447</v>
      </c>
      <c r="E5812" t="s">
        <v>1958</v>
      </c>
      <c r="F5812" t="s">
        <v>1737</v>
      </c>
      <c r="K5812" t="str">
        <f>IF(ISBLANK('Q 6'!C40),"",IF('Q 6'!C40="&lt;please select&gt;","",'Q 6'!C40))</f>
        <v>10 - Transport of greenhouse gases by pipelines for geological storage in a storage site permitted under Directive 2009/31/EC</v>
      </c>
    </row>
    <row r="5813" spans="1:11" x14ac:dyDescent="0.3">
      <c r="A5813" t="s">
        <v>1951</v>
      </c>
      <c r="B5813" t="s">
        <v>1957</v>
      </c>
      <c r="C5813">
        <v>25</v>
      </c>
      <c r="D5813" t="s">
        <v>1447</v>
      </c>
      <c r="E5813" t="s">
        <v>1958</v>
      </c>
      <c r="F5813" t="s">
        <v>1737</v>
      </c>
      <c r="K5813" t="str">
        <f>IF(ISBLANK('Q 6'!C41),"",IF('Q 6'!C41="&lt;please select&gt;","",'Q 6'!C41))</f>
        <v>11 - Geological storage of greenhouse gases in a storage site permitted under Directive 2009/31/EC</v>
      </c>
    </row>
    <row r="5814" spans="1:11" x14ac:dyDescent="0.3">
      <c r="A5814" t="s">
        <v>1951</v>
      </c>
      <c r="B5814" t="s">
        <v>1957</v>
      </c>
      <c r="C5814">
        <v>26</v>
      </c>
      <c r="D5814" t="s">
        <v>1447</v>
      </c>
      <c r="E5814" t="s">
        <v>1958</v>
      </c>
      <c r="F5814" t="s">
        <v>1737</v>
      </c>
      <c r="K5814" t="str">
        <f>IF(ISBLANK('Q 6'!C42),"",IF('Q 6'!C42="&lt;please select&gt;","",'Q 6'!C42))</f>
        <v>12 - Aviation activities (emissions and tonne-kilometre data)</v>
      </c>
    </row>
    <row r="5815" spans="1:11" x14ac:dyDescent="0.3">
      <c r="A5815" t="s">
        <v>1951</v>
      </c>
      <c r="B5815" t="s">
        <v>1957</v>
      </c>
      <c r="C5815">
        <v>27</v>
      </c>
      <c r="D5815" t="s">
        <v>1447</v>
      </c>
      <c r="E5815" t="s">
        <v>1958</v>
      </c>
      <c r="F5815" t="s">
        <v>1737</v>
      </c>
      <c r="K5815" t="str">
        <f>IF(ISBLANK('Q 6'!C43),"",IF('Q 6'!C43="&lt;please select&gt;","",'Q 6'!C43))</f>
        <v>98 - Other activities pursuant to Article 10a of Directive 2003/87/EC</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6</v>
      </c>
    </row>
    <row r="5824" spans="1:11" x14ac:dyDescent="0.3">
      <c r="A5824" t="s">
        <v>1951</v>
      </c>
      <c r="B5824" t="s">
        <v>1957</v>
      </c>
      <c r="C5824">
        <v>2</v>
      </c>
      <c r="D5824" t="s">
        <v>1447</v>
      </c>
      <c r="E5824" t="s">
        <v>1959</v>
      </c>
      <c r="F5824" t="s">
        <v>1748</v>
      </c>
      <c r="H5824" s="165" t="str">
        <f>IF(ISBLANK('Q 6'!H18),"",IF('Q 6'!H18="&lt;please select&gt;","",'Q 6'!H18))</f>
        <v>6</v>
      </c>
    </row>
    <row r="5825" spans="1:8" x14ac:dyDescent="0.3">
      <c r="A5825" t="s">
        <v>1951</v>
      </c>
      <c r="B5825" t="s">
        <v>1957</v>
      </c>
      <c r="C5825">
        <v>3</v>
      </c>
      <c r="D5825" t="s">
        <v>1447</v>
      </c>
      <c r="E5825" t="s">
        <v>1959</v>
      </c>
      <c r="F5825" t="s">
        <v>1748</v>
      </c>
      <c r="H5825" s="165" t="str">
        <f>IF(ISBLANK('Q 6'!H19),"",IF('Q 6'!H19="&lt;please select&gt;","",'Q 6'!H19))</f>
        <v>2</v>
      </c>
    </row>
    <row r="5826" spans="1:8" x14ac:dyDescent="0.3">
      <c r="A5826" t="s">
        <v>1951</v>
      </c>
      <c r="B5826" t="s">
        <v>1957</v>
      </c>
      <c r="C5826">
        <v>4</v>
      </c>
      <c r="D5826" t="s">
        <v>1447</v>
      </c>
      <c r="E5826" t="s">
        <v>1959</v>
      </c>
      <c r="F5826" t="s">
        <v>1748</v>
      </c>
      <c r="H5826" s="165" t="str">
        <f>IF(ISBLANK('Q 6'!H20),"",IF('Q 6'!H20="&lt;please select&gt;","",'Q 6'!H20))</f>
        <v>2</v>
      </c>
    </row>
    <row r="5827" spans="1:8" x14ac:dyDescent="0.3">
      <c r="A5827" t="s">
        <v>1951</v>
      </c>
      <c r="B5827" t="s">
        <v>1957</v>
      </c>
      <c r="C5827">
        <v>5</v>
      </c>
      <c r="D5827" t="s">
        <v>1447</v>
      </c>
      <c r="E5827" t="s">
        <v>1959</v>
      </c>
      <c r="F5827" t="s">
        <v>1748</v>
      </c>
      <c r="H5827" s="165" t="str">
        <f>IF(ISBLANK('Q 6'!H21),"",IF('Q 6'!H21="&lt;please select&gt;","",'Q 6'!H21))</f>
        <v>2</v>
      </c>
    </row>
    <row r="5828" spans="1:8" x14ac:dyDescent="0.3">
      <c r="A5828" t="s">
        <v>1951</v>
      </c>
      <c r="B5828" t="s">
        <v>1957</v>
      </c>
      <c r="C5828">
        <v>6</v>
      </c>
      <c r="D5828" t="s">
        <v>1447</v>
      </c>
      <c r="E5828" t="s">
        <v>1959</v>
      </c>
      <c r="F5828" t="s">
        <v>1748</v>
      </c>
      <c r="H5828" s="165" t="str">
        <f>IF(ISBLANK('Q 6'!H22),"",IF('Q 6'!H22="&lt;please select&gt;","",'Q 6'!H22))</f>
        <v>2</v>
      </c>
    </row>
    <row r="5829" spans="1:8" x14ac:dyDescent="0.3">
      <c r="A5829" t="s">
        <v>1951</v>
      </c>
      <c r="B5829" t="s">
        <v>1957</v>
      </c>
      <c r="C5829">
        <v>7</v>
      </c>
      <c r="D5829" t="s">
        <v>1447</v>
      </c>
      <c r="E5829" t="s">
        <v>1959</v>
      </c>
      <c r="F5829" t="s">
        <v>1748</v>
      </c>
      <c r="H5829" s="165" t="str">
        <f>IF(ISBLANK('Q 6'!H23),"",IF('Q 6'!H23="&lt;please select&gt;","",'Q 6'!H23))</f>
        <v>2</v>
      </c>
    </row>
    <row r="5830" spans="1:8" x14ac:dyDescent="0.3">
      <c r="A5830" t="s">
        <v>1951</v>
      </c>
      <c r="B5830" t="s">
        <v>1957</v>
      </c>
      <c r="C5830">
        <v>8</v>
      </c>
      <c r="D5830" t="s">
        <v>1447</v>
      </c>
      <c r="E5830" t="s">
        <v>1959</v>
      </c>
      <c r="F5830" t="s">
        <v>1748</v>
      </c>
      <c r="H5830" s="165" t="str">
        <f>IF(ISBLANK('Q 6'!H24),"",IF('Q 6'!H24="&lt;please select&gt;","",'Q 6'!H24))</f>
        <v>1</v>
      </c>
    </row>
    <row r="5831" spans="1:8" x14ac:dyDescent="0.3">
      <c r="A5831" t="s">
        <v>1951</v>
      </c>
      <c r="B5831" t="s">
        <v>1957</v>
      </c>
      <c r="C5831">
        <v>9</v>
      </c>
      <c r="D5831" t="s">
        <v>1447</v>
      </c>
      <c r="E5831" t="s">
        <v>1959</v>
      </c>
      <c r="F5831" t="s">
        <v>1748</v>
      </c>
      <c r="H5831" s="165" t="str">
        <f>IF(ISBLANK('Q 6'!H25),"",IF('Q 6'!H25="&lt;please select&gt;","",'Q 6'!H25))</f>
        <v>5</v>
      </c>
    </row>
    <row r="5832" spans="1:8" x14ac:dyDescent="0.3">
      <c r="A5832" t="s">
        <v>1951</v>
      </c>
      <c r="B5832" t="s">
        <v>1957</v>
      </c>
      <c r="C5832">
        <v>10</v>
      </c>
      <c r="D5832" t="s">
        <v>1447</v>
      </c>
      <c r="E5832" t="s">
        <v>1959</v>
      </c>
      <c r="F5832" t="s">
        <v>1748</v>
      </c>
      <c r="H5832" s="165" t="str">
        <f>IF(ISBLANK('Q 6'!H26),"",IF('Q 6'!H26="&lt;please select&gt;","",'Q 6'!H26))</f>
        <v>5</v>
      </c>
    </row>
    <row r="5833" spans="1:8" x14ac:dyDescent="0.3">
      <c r="A5833" t="s">
        <v>1951</v>
      </c>
      <c r="B5833" t="s">
        <v>1957</v>
      </c>
      <c r="C5833">
        <v>11</v>
      </c>
      <c r="D5833" t="s">
        <v>1447</v>
      </c>
      <c r="E5833" t="s">
        <v>1959</v>
      </c>
      <c r="F5833" t="s">
        <v>1748</v>
      </c>
      <c r="H5833" s="165" t="str">
        <f>IF(ISBLANK('Q 6'!H27),"",IF('Q 6'!H27="&lt;please select&gt;","",'Q 6'!H27))</f>
        <v>5</v>
      </c>
    </row>
    <row r="5834" spans="1:8" x14ac:dyDescent="0.3">
      <c r="A5834" t="s">
        <v>1951</v>
      </c>
      <c r="B5834" t="s">
        <v>1957</v>
      </c>
      <c r="C5834">
        <v>12</v>
      </c>
      <c r="D5834" t="s">
        <v>1447</v>
      </c>
      <c r="E5834" t="s">
        <v>1959</v>
      </c>
      <c r="F5834" t="s">
        <v>1748</v>
      </c>
      <c r="H5834" s="165" t="str">
        <f>IF(ISBLANK('Q 6'!H28),"",IF('Q 6'!H28="&lt;please select&gt;","",'Q 6'!H28))</f>
        <v>5</v>
      </c>
    </row>
    <row r="5835" spans="1:8" x14ac:dyDescent="0.3">
      <c r="A5835" t="s">
        <v>1951</v>
      </c>
      <c r="B5835" t="s">
        <v>1957</v>
      </c>
      <c r="C5835">
        <v>13</v>
      </c>
      <c r="D5835" t="s">
        <v>1447</v>
      </c>
      <c r="E5835" t="s">
        <v>1959</v>
      </c>
      <c r="F5835" t="s">
        <v>1748</v>
      </c>
      <c r="H5835" s="165" t="str">
        <f>IF(ISBLANK('Q 6'!H29),"",IF('Q 6'!H29="&lt;please select&gt;","",'Q 6'!H29))</f>
        <v>5</v>
      </c>
    </row>
    <row r="5836" spans="1:8" x14ac:dyDescent="0.3">
      <c r="A5836" t="s">
        <v>1951</v>
      </c>
      <c r="B5836" t="s">
        <v>1957</v>
      </c>
      <c r="C5836">
        <v>14</v>
      </c>
      <c r="D5836" t="s">
        <v>1447</v>
      </c>
      <c r="E5836" t="s">
        <v>1959</v>
      </c>
      <c r="F5836" t="s">
        <v>1748</v>
      </c>
      <c r="H5836" s="165" t="str">
        <f>IF(ISBLANK('Q 6'!H30),"",IF('Q 6'!H30="&lt;please select&gt;","",'Q 6'!H30))</f>
        <v>5</v>
      </c>
    </row>
    <row r="5837" spans="1:8" x14ac:dyDescent="0.3">
      <c r="A5837" t="s">
        <v>1951</v>
      </c>
      <c r="B5837" t="s">
        <v>1957</v>
      </c>
      <c r="C5837">
        <v>15</v>
      </c>
      <c r="D5837" t="s">
        <v>1447</v>
      </c>
      <c r="E5837" t="s">
        <v>1959</v>
      </c>
      <c r="F5837" t="s">
        <v>1748</v>
      </c>
      <c r="H5837" s="165" t="str">
        <f>IF(ISBLANK('Q 6'!H31),"",IF('Q 6'!H31="&lt;please select&gt;","",'Q 6'!H31))</f>
        <v>4</v>
      </c>
    </row>
    <row r="5838" spans="1:8" x14ac:dyDescent="0.3">
      <c r="A5838" t="s">
        <v>1951</v>
      </c>
      <c r="B5838" t="s">
        <v>1957</v>
      </c>
      <c r="C5838">
        <v>16</v>
      </c>
      <c r="D5838" t="s">
        <v>1447</v>
      </c>
      <c r="E5838" t="s">
        <v>1959</v>
      </c>
      <c r="F5838" t="s">
        <v>1748</v>
      </c>
      <c r="H5838" s="165" t="str">
        <f>IF(ISBLANK('Q 6'!H32),"",IF('Q 6'!H32="&lt;please select&gt;","",'Q 6'!H32))</f>
        <v>4</v>
      </c>
    </row>
    <row r="5839" spans="1:8" x14ac:dyDescent="0.3">
      <c r="A5839" t="s">
        <v>1951</v>
      </c>
      <c r="B5839" t="s">
        <v>1957</v>
      </c>
      <c r="C5839">
        <v>17</v>
      </c>
      <c r="D5839" t="s">
        <v>1447</v>
      </c>
      <c r="E5839" t="s">
        <v>1959</v>
      </c>
      <c r="F5839" t="s">
        <v>1748</v>
      </c>
      <c r="H5839" s="165" t="str">
        <f>IF(ISBLANK('Q 6'!H33),"",IF('Q 6'!H33="&lt;please select&gt;","",'Q 6'!H33))</f>
        <v>4</v>
      </c>
    </row>
    <row r="5840" spans="1:8" x14ac:dyDescent="0.3">
      <c r="A5840" t="s">
        <v>1951</v>
      </c>
      <c r="B5840" t="s">
        <v>1957</v>
      </c>
      <c r="C5840">
        <v>18</v>
      </c>
      <c r="D5840" t="s">
        <v>1447</v>
      </c>
      <c r="E5840" t="s">
        <v>1959</v>
      </c>
      <c r="F5840" t="s">
        <v>1748</v>
      </c>
      <c r="H5840" s="165" t="str">
        <f>IF(ISBLANK('Q 6'!H34),"",IF('Q 6'!H34="&lt;please select&gt;","",'Q 6'!H34))</f>
        <v>4</v>
      </c>
    </row>
    <row r="5841" spans="1:8" x14ac:dyDescent="0.3">
      <c r="A5841" t="s">
        <v>1951</v>
      </c>
      <c r="B5841" t="s">
        <v>1957</v>
      </c>
      <c r="C5841">
        <v>19</v>
      </c>
      <c r="D5841" t="s">
        <v>1447</v>
      </c>
      <c r="E5841" t="s">
        <v>1959</v>
      </c>
      <c r="F5841" t="s">
        <v>1748</v>
      </c>
      <c r="H5841" s="165" t="str">
        <f>IF(ISBLANK('Q 6'!H35),"",IF('Q 6'!H35="&lt;please select&gt;","",'Q 6'!H35))</f>
        <v>4</v>
      </c>
    </row>
    <row r="5842" spans="1:8" x14ac:dyDescent="0.3">
      <c r="A5842" t="s">
        <v>1951</v>
      </c>
      <c r="B5842" t="s">
        <v>1957</v>
      </c>
      <c r="C5842">
        <v>20</v>
      </c>
      <c r="D5842" t="s">
        <v>1447</v>
      </c>
      <c r="E5842" t="s">
        <v>1959</v>
      </c>
      <c r="F5842" t="s">
        <v>1748</v>
      </c>
      <c r="H5842" s="165" t="str">
        <f>IF(ISBLANK('Q 6'!H36),"",IF('Q 6'!H36="&lt;please select&gt;","",'Q 6'!H36))</f>
        <v>4</v>
      </c>
    </row>
    <row r="5843" spans="1:8" x14ac:dyDescent="0.3">
      <c r="A5843" t="s">
        <v>1951</v>
      </c>
      <c r="B5843" t="s">
        <v>1957</v>
      </c>
      <c r="C5843">
        <v>21</v>
      </c>
      <c r="D5843" t="s">
        <v>1447</v>
      </c>
      <c r="E5843" t="s">
        <v>1959</v>
      </c>
      <c r="F5843" t="s">
        <v>1748</v>
      </c>
      <c r="H5843" s="165" t="str">
        <f>IF(ISBLANK('Q 6'!H37),"",IF('Q 6'!H37="&lt;please select&gt;","",'Q 6'!H37))</f>
        <v>2</v>
      </c>
    </row>
    <row r="5844" spans="1:8" x14ac:dyDescent="0.3">
      <c r="A5844" t="s">
        <v>1951</v>
      </c>
      <c r="B5844" t="s">
        <v>1957</v>
      </c>
      <c r="C5844">
        <v>22</v>
      </c>
      <c r="D5844" t="s">
        <v>1447</v>
      </c>
      <c r="E5844" t="s">
        <v>1959</v>
      </c>
      <c r="F5844" t="s">
        <v>1748</v>
      </c>
      <c r="H5844" s="165" t="str">
        <f>IF(ISBLANK('Q 6'!H38),"",IF('Q 6'!H38="&lt;please select&gt;","",'Q 6'!H38))</f>
        <v>2</v>
      </c>
    </row>
    <row r="5845" spans="1:8" x14ac:dyDescent="0.3">
      <c r="A5845" t="s">
        <v>1951</v>
      </c>
      <c r="B5845" t="s">
        <v>1957</v>
      </c>
      <c r="C5845">
        <v>23</v>
      </c>
      <c r="D5845" t="s">
        <v>1447</v>
      </c>
      <c r="E5845" t="s">
        <v>1959</v>
      </c>
      <c r="F5845" t="s">
        <v>1748</v>
      </c>
      <c r="H5845" s="165" t="str">
        <f>IF(ISBLANK('Q 6'!H39),"",IF('Q 6'!H39="&lt;please select&gt;","",'Q 6'!H39))</f>
        <v>1</v>
      </c>
    </row>
    <row r="5846" spans="1:8" x14ac:dyDescent="0.3">
      <c r="A5846" t="s">
        <v>1951</v>
      </c>
      <c r="B5846" t="s">
        <v>1957</v>
      </c>
      <c r="C5846">
        <v>24</v>
      </c>
      <c r="D5846" t="s">
        <v>1447</v>
      </c>
      <c r="E5846" t="s">
        <v>1959</v>
      </c>
      <c r="F5846" t="s">
        <v>1748</v>
      </c>
      <c r="H5846" s="165" t="str">
        <f>IF(ISBLANK('Q 6'!H40),"",IF('Q 6'!H40="&lt;please select&gt;","",'Q 6'!H40))</f>
        <v>1</v>
      </c>
    </row>
    <row r="5847" spans="1:8" x14ac:dyDescent="0.3">
      <c r="A5847" t="s">
        <v>1951</v>
      </c>
      <c r="B5847" t="s">
        <v>1957</v>
      </c>
      <c r="C5847">
        <v>25</v>
      </c>
      <c r="D5847" t="s">
        <v>1447</v>
      </c>
      <c r="E5847" t="s">
        <v>1959</v>
      </c>
      <c r="F5847" t="s">
        <v>1748</v>
      </c>
      <c r="H5847" s="165" t="str">
        <f>IF(ISBLANK('Q 6'!H41),"",IF('Q 6'!H41="&lt;please select&gt;","",'Q 6'!H41))</f>
        <v>1</v>
      </c>
    </row>
    <row r="5848" spans="1:8" x14ac:dyDescent="0.3">
      <c r="A5848" t="s">
        <v>1951</v>
      </c>
      <c r="B5848" t="s">
        <v>1957</v>
      </c>
      <c r="C5848">
        <v>26</v>
      </c>
      <c r="D5848" t="s">
        <v>1447</v>
      </c>
      <c r="E5848" t="s">
        <v>1959</v>
      </c>
      <c r="F5848" t="s">
        <v>1748</v>
      </c>
      <c r="H5848" s="165" t="str">
        <f>IF(ISBLANK('Q 6'!H42),"",IF('Q 6'!H42="&lt;please select&gt;","",'Q 6'!H42))</f>
        <v>2</v>
      </c>
    </row>
    <row r="5849" spans="1:8" x14ac:dyDescent="0.3">
      <c r="A5849" t="s">
        <v>1951</v>
      </c>
      <c r="B5849" t="s">
        <v>1957</v>
      </c>
      <c r="C5849">
        <v>27</v>
      </c>
      <c r="D5849" t="s">
        <v>1447</v>
      </c>
      <c r="E5849" t="s">
        <v>1959</v>
      </c>
      <c r="F5849" t="s">
        <v>1748</v>
      </c>
      <c r="H5849" s="165" t="str">
        <f>IF(ISBLANK('Q 6'!H43),"",IF('Q 6'!H43="&lt;please select&gt;","",'Q 6'!H43))</f>
        <v>6</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0</v>
      </c>
    </row>
    <row r="5858" spans="1:8" x14ac:dyDescent="0.3">
      <c r="A5858" t="s">
        <v>1951</v>
      </c>
      <c r="B5858" t="s">
        <v>1957</v>
      </c>
      <c r="C5858">
        <v>2</v>
      </c>
      <c r="D5858" t="s">
        <v>1447</v>
      </c>
      <c r="E5858" t="s">
        <v>1960</v>
      </c>
      <c r="F5858" t="s">
        <v>1748</v>
      </c>
      <c r="H5858" s="165" t="str">
        <f>IF(ISBLANK('Q 6'!I18),"",IF('Q 6'!I18="&lt;please select&gt;","",'Q 6'!I18))</f>
        <v>0</v>
      </c>
    </row>
    <row r="5859" spans="1:8" x14ac:dyDescent="0.3">
      <c r="A5859" t="s">
        <v>1951</v>
      </c>
      <c r="B5859" t="s">
        <v>1957</v>
      </c>
      <c r="C5859">
        <v>3</v>
      </c>
      <c r="D5859" t="s">
        <v>1447</v>
      </c>
      <c r="E5859" t="s">
        <v>1960</v>
      </c>
      <c r="F5859" t="s">
        <v>1748</v>
      </c>
      <c r="H5859" s="165" t="str">
        <f>IF(ISBLANK('Q 6'!I19),"",IF('Q 6'!I19="&lt;please select&gt;","",'Q 6'!I19))</f>
        <v>0</v>
      </c>
    </row>
    <row r="5860" spans="1:8" x14ac:dyDescent="0.3">
      <c r="A5860" t="s">
        <v>1951</v>
      </c>
      <c r="B5860" t="s">
        <v>1957</v>
      </c>
      <c r="C5860">
        <v>4</v>
      </c>
      <c r="D5860" t="s">
        <v>1447</v>
      </c>
      <c r="E5860" t="s">
        <v>1960</v>
      </c>
      <c r="F5860" t="s">
        <v>1748</v>
      </c>
      <c r="H5860" s="165" t="str">
        <f>IF(ISBLANK('Q 6'!I20),"",IF('Q 6'!I20="&lt;please select&gt;","",'Q 6'!I20))</f>
        <v>0</v>
      </c>
    </row>
    <row r="5861" spans="1:8" x14ac:dyDescent="0.3">
      <c r="A5861" t="s">
        <v>1951</v>
      </c>
      <c r="B5861" t="s">
        <v>1957</v>
      </c>
      <c r="C5861">
        <v>5</v>
      </c>
      <c r="D5861" t="s">
        <v>1447</v>
      </c>
      <c r="E5861" t="s">
        <v>1960</v>
      </c>
      <c r="F5861" t="s">
        <v>1748</v>
      </c>
      <c r="H5861" s="165" t="str">
        <f>IF(ISBLANK('Q 6'!I21),"",IF('Q 6'!I21="&lt;please select&gt;","",'Q 6'!I21))</f>
        <v>0</v>
      </c>
    </row>
    <row r="5862" spans="1:8" x14ac:dyDescent="0.3">
      <c r="A5862" t="s">
        <v>1951</v>
      </c>
      <c r="B5862" t="s">
        <v>1957</v>
      </c>
      <c r="C5862">
        <v>6</v>
      </c>
      <c r="D5862" t="s">
        <v>1447</v>
      </c>
      <c r="E5862" t="s">
        <v>1960</v>
      </c>
      <c r="F5862" t="s">
        <v>1748</v>
      </c>
      <c r="H5862" s="165" t="str">
        <f>IF(ISBLANK('Q 6'!I22),"",IF('Q 6'!I22="&lt;please select&gt;","",'Q 6'!I22))</f>
        <v>0</v>
      </c>
    </row>
    <row r="5863" spans="1:8" x14ac:dyDescent="0.3">
      <c r="A5863" t="s">
        <v>1951</v>
      </c>
      <c r="B5863" t="s">
        <v>1957</v>
      </c>
      <c r="C5863">
        <v>7</v>
      </c>
      <c r="D5863" t="s">
        <v>1447</v>
      </c>
      <c r="E5863" t="s">
        <v>1960</v>
      </c>
      <c r="F5863" t="s">
        <v>1748</v>
      </c>
      <c r="H5863" s="165" t="str">
        <f>IF(ISBLANK('Q 6'!I23),"",IF('Q 6'!I23="&lt;please select&gt;","",'Q 6'!I23))</f>
        <v>0</v>
      </c>
    </row>
    <row r="5864" spans="1:8" x14ac:dyDescent="0.3">
      <c r="A5864" t="s">
        <v>1951</v>
      </c>
      <c r="B5864" t="s">
        <v>1957</v>
      </c>
      <c r="C5864">
        <v>8</v>
      </c>
      <c r="D5864" t="s">
        <v>1447</v>
      </c>
      <c r="E5864" t="s">
        <v>1960</v>
      </c>
      <c r="F5864" t="s">
        <v>1748</v>
      </c>
      <c r="H5864" s="165" t="str">
        <f>IF(ISBLANK('Q 6'!I24),"",IF('Q 6'!I24="&lt;please select&gt;","",'Q 6'!I24))</f>
        <v>0</v>
      </c>
    </row>
    <row r="5865" spans="1:8" x14ac:dyDescent="0.3">
      <c r="A5865" t="s">
        <v>1951</v>
      </c>
      <c r="B5865" t="s">
        <v>1957</v>
      </c>
      <c r="C5865">
        <v>9</v>
      </c>
      <c r="D5865" t="s">
        <v>1447</v>
      </c>
      <c r="E5865" t="s">
        <v>1960</v>
      </c>
      <c r="F5865" t="s">
        <v>1748</v>
      </c>
      <c r="H5865" s="165" t="str">
        <f>IF(ISBLANK('Q 6'!I25),"",IF('Q 6'!I25="&lt;please select&gt;","",'Q 6'!I25))</f>
        <v>0</v>
      </c>
    </row>
    <row r="5866" spans="1:8" x14ac:dyDescent="0.3">
      <c r="A5866" t="s">
        <v>1951</v>
      </c>
      <c r="B5866" t="s">
        <v>1957</v>
      </c>
      <c r="C5866">
        <v>10</v>
      </c>
      <c r="D5866" t="s">
        <v>1447</v>
      </c>
      <c r="E5866" t="s">
        <v>1960</v>
      </c>
      <c r="F5866" t="s">
        <v>1748</v>
      </c>
      <c r="H5866" s="165" t="str">
        <f>IF(ISBLANK('Q 6'!I26),"",IF('Q 6'!I26="&lt;please select&gt;","",'Q 6'!I26))</f>
        <v>0</v>
      </c>
    </row>
    <row r="5867" spans="1:8" x14ac:dyDescent="0.3">
      <c r="A5867" t="s">
        <v>1951</v>
      </c>
      <c r="B5867" t="s">
        <v>1957</v>
      </c>
      <c r="C5867">
        <v>11</v>
      </c>
      <c r="D5867" t="s">
        <v>1447</v>
      </c>
      <c r="E5867" t="s">
        <v>1960</v>
      </c>
      <c r="F5867" t="s">
        <v>1748</v>
      </c>
      <c r="H5867" s="165" t="str">
        <f>IF(ISBLANK('Q 6'!I27),"",IF('Q 6'!I27="&lt;please select&gt;","",'Q 6'!I27))</f>
        <v>0</v>
      </c>
    </row>
    <row r="5868" spans="1:8" x14ac:dyDescent="0.3">
      <c r="A5868" t="s">
        <v>1951</v>
      </c>
      <c r="B5868" t="s">
        <v>1957</v>
      </c>
      <c r="C5868">
        <v>12</v>
      </c>
      <c r="D5868" t="s">
        <v>1447</v>
      </c>
      <c r="E5868" t="s">
        <v>1960</v>
      </c>
      <c r="F5868" t="s">
        <v>1748</v>
      </c>
      <c r="H5868" s="165" t="str">
        <f>IF(ISBLANK('Q 6'!I28),"",IF('Q 6'!I28="&lt;please select&gt;","",'Q 6'!I28))</f>
        <v>0</v>
      </c>
    </row>
    <row r="5869" spans="1:8" x14ac:dyDescent="0.3">
      <c r="A5869" t="s">
        <v>1951</v>
      </c>
      <c r="B5869" t="s">
        <v>1957</v>
      </c>
      <c r="C5869">
        <v>13</v>
      </c>
      <c r="D5869" t="s">
        <v>1447</v>
      </c>
      <c r="E5869" t="s">
        <v>1960</v>
      </c>
      <c r="F5869" t="s">
        <v>1748</v>
      </c>
      <c r="H5869" s="165" t="str">
        <f>IF(ISBLANK('Q 6'!I29),"",IF('Q 6'!I29="&lt;please select&gt;","",'Q 6'!I29))</f>
        <v>0</v>
      </c>
    </row>
    <row r="5870" spans="1:8" x14ac:dyDescent="0.3">
      <c r="A5870" t="s">
        <v>1951</v>
      </c>
      <c r="B5870" t="s">
        <v>1957</v>
      </c>
      <c r="C5870">
        <v>14</v>
      </c>
      <c r="D5870" t="s">
        <v>1447</v>
      </c>
      <c r="E5870" t="s">
        <v>1960</v>
      </c>
      <c r="F5870" t="s">
        <v>1748</v>
      </c>
      <c r="H5870" s="165" t="str">
        <f>IF(ISBLANK('Q 6'!I30),"",IF('Q 6'!I30="&lt;please select&gt;","",'Q 6'!I30))</f>
        <v>0</v>
      </c>
    </row>
    <row r="5871" spans="1:8" x14ac:dyDescent="0.3">
      <c r="A5871" t="s">
        <v>1951</v>
      </c>
      <c r="B5871" t="s">
        <v>1957</v>
      </c>
      <c r="C5871">
        <v>15</v>
      </c>
      <c r="D5871" t="s">
        <v>1447</v>
      </c>
      <c r="E5871" t="s">
        <v>1960</v>
      </c>
      <c r="F5871" t="s">
        <v>1748</v>
      </c>
      <c r="H5871" s="165" t="str">
        <f>IF(ISBLANK('Q 6'!I31),"",IF('Q 6'!I31="&lt;please select&gt;","",'Q 6'!I31))</f>
        <v>0</v>
      </c>
    </row>
    <row r="5872" spans="1:8" x14ac:dyDescent="0.3">
      <c r="A5872" t="s">
        <v>1951</v>
      </c>
      <c r="B5872" t="s">
        <v>1957</v>
      </c>
      <c r="C5872">
        <v>16</v>
      </c>
      <c r="D5872" t="s">
        <v>1447</v>
      </c>
      <c r="E5872" t="s">
        <v>1960</v>
      </c>
      <c r="F5872" t="s">
        <v>1748</v>
      </c>
      <c r="H5872" s="165" t="str">
        <f>IF(ISBLANK('Q 6'!I32),"",IF('Q 6'!I32="&lt;please select&gt;","",'Q 6'!I32))</f>
        <v>0</v>
      </c>
    </row>
    <row r="5873" spans="1:8" x14ac:dyDescent="0.3">
      <c r="A5873" t="s">
        <v>1951</v>
      </c>
      <c r="B5873" t="s">
        <v>1957</v>
      </c>
      <c r="C5873">
        <v>17</v>
      </c>
      <c r="D5873" t="s">
        <v>1447</v>
      </c>
      <c r="E5873" t="s">
        <v>1960</v>
      </c>
      <c r="F5873" t="s">
        <v>1748</v>
      </c>
      <c r="H5873" s="165" t="str">
        <f>IF(ISBLANK('Q 6'!I33),"",IF('Q 6'!I33="&lt;please select&gt;","",'Q 6'!I33))</f>
        <v>0</v>
      </c>
    </row>
    <row r="5874" spans="1:8" x14ac:dyDescent="0.3">
      <c r="A5874" t="s">
        <v>1951</v>
      </c>
      <c r="B5874" t="s">
        <v>1957</v>
      </c>
      <c r="C5874">
        <v>18</v>
      </c>
      <c r="D5874" t="s">
        <v>1447</v>
      </c>
      <c r="E5874" t="s">
        <v>1960</v>
      </c>
      <c r="F5874" t="s">
        <v>1748</v>
      </c>
      <c r="H5874" s="165" t="str">
        <f>IF(ISBLANK('Q 6'!I34),"",IF('Q 6'!I34="&lt;please select&gt;","",'Q 6'!I34))</f>
        <v>0</v>
      </c>
    </row>
    <row r="5875" spans="1:8" x14ac:dyDescent="0.3">
      <c r="A5875" t="s">
        <v>1951</v>
      </c>
      <c r="B5875" t="s">
        <v>1957</v>
      </c>
      <c r="C5875">
        <v>19</v>
      </c>
      <c r="D5875" t="s">
        <v>1447</v>
      </c>
      <c r="E5875" t="s">
        <v>1960</v>
      </c>
      <c r="F5875" t="s">
        <v>1748</v>
      </c>
      <c r="H5875" s="165" t="str">
        <f>IF(ISBLANK('Q 6'!I35),"",IF('Q 6'!I35="&lt;please select&gt;","",'Q 6'!I35))</f>
        <v>0</v>
      </c>
    </row>
    <row r="5876" spans="1:8" x14ac:dyDescent="0.3">
      <c r="A5876" t="s">
        <v>1951</v>
      </c>
      <c r="B5876" t="s">
        <v>1957</v>
      </c>
      <c r="C5876">
        <v>20</v>
      </c>
      <c r="D5876" t="s">
        <v>1447</v>
      </c>
      <c r="E5876" t="s">
        <v>1960</v>
      </c>
      <c r="F5876" t="s">
        <v>1748</v>
      </c>
      <c r="H5876" s="165" t="str">
        <f>IF(ISBLANK('Q 6'!I36),"",IF('Q 6'!I36="&lt;please select&gt;","",'Q 6'!I36))</f>
        <v>0</v>
      </c>
    </row>
    <row r="5877" spans="1:8" x14ac:dyDescent="0.3">
      <c r="A5877" t="s">
        <v>1951</v>
      </c>
      <c r="B5877" t="s">
        <v>1957</v>
      </c>
      <c r="C5877">
        <v>21</v>
      </c>
      <c r="D5877" t="s">
        <v>1447</v>
      </c>
      <c r="E5877" t="s">
        <v>1960</v>
      </c>
      <c r="F5877" t="s">
        <v>1748</v>
      </c>
      <c r="H5877" s="165" t="str">
        <f>IF(ISBLANK('Q 6'!I37),"",IF('Q 6'!I37="&lt;please select&gt;","",'Q 6'!I37))</f>
        <v>0</v>
      </c>
    </row>
    <row r="5878" spans="1:8" x14ac:dyDescent="0.3">
      <c r="A5878" t="s">
        <v>1951</v>
      </c>
      <c r="B5878" t="s">
        <v>1957</v>
      </c>
      <c r="C5878">
        <v>22</v>
      </c>
      <c r="D5878" t="s">
        <v>1447</v>
      </c>
      <c r="E5878" t="s">
        <v>1960</v>
      </c>
      <c r="F5878" t="s">
        <v>1748</v>
      </c>
      <c r="H5878" s="165" t="str">
        <f>IF(ISBLANK('Q 6'!I38),"",IF('Q 6'!I38="&lt;please select&gt;","",'Q 6'!I38))</f>
        <v>0</v>
      </c>
    </row>
    <row r="5879" spans="1:8" x14ac:dyDescent="0.3">
      <c r="A5879" t="s">
        <v>1951</v>
      </c>
      <c r="B5879" t="s">
        <v>1957</v>
      </c>
      <c r="C5879">
        <v>23</v>
      </c>
      <c r="D5879" t="s">
        <v>1447</v>
      </c>
      <c r="E5879" t="s">
        <v>1960</v>
      </c>
      <c r="F5879" t="s">
        <v>1748</v>
      </c>
      <c r="H5879" s="165" t="str">
        <f>IF(ISBLANK('Q 6'!I39),"",IF('Q 6'!I39="&lt;please select&gt;","",'Q 6'!I39))</f>
        <v>0</v>
      </c>
    </row>
    <row r="5880" spans="1:8" x14ac:dyDescent="0.3">
      <c r="A5880" t="s">
        <v>1951</v>
      </c>
      <c r="B5880" t="s">
        <v>1957</v>
      </c>
      <c r="C5880">
        <v>24</v>
      </c>
      <c r="D5880" t="s">
        <v>1447</v>
      </c>
      <c r="E5880" t="s">
        <v>1960</v>
      </c>
      <c r="F5880" t="s">
        <v>1748</v>
      </c>
      <c r="H5880" s="165" t="str">
        <f>IF(ISBLANK('Q 6'!I40),"",IF('Q 6'!I40="&lt;please select&gt;","",'Q 6'!I40))</f>
        <v>0</v>
      </c>
    </row>
    <row r="5881" spans="1:8" x14ac:dyDescent="0.3">
      <c r="A5881" t="s">
        <v>1951</v>
      </c>
      <c r="B5881" t="s">
        <v>1957</v>
      </c>
      <c r="C5881">
        <v>25</v>
      </c>
      <c r="D5881" t="s">
        <v>1447</v>
      </c>
      <c r="E5881" t="s">
        <v>1960</v>
      </c>
      <c r="F5881" t="s">
        <v>1748</v>
      </c>
      <c r="H5881" s="165" t="str">
        <f>IF(ISBLANK('Q 6'!I41),"",IF('Q 6'!I41="&lt;please select&gt;","",'Q 6'!I41))</f>
        <v>0</v>
      </c>
    </row>
    <row r="5882" spans="1:8" x14ac:dyDescent="0.3">
      <c r="A5882" t="s">
        <v>1951</v>
      </c>
      <c r="B5882" t="s">
        <v>1957</v>
      </c>
      <c r="C5882">
        <v>26</v>
      </c>
      <c r="D5882" t="s">
        <v>1447</v>
      </c>
      <c r="E5882" t="s">
        <v>1960</v>
      </c>
      <c r="F5882" t="s">
        <v>1748</v>
      </c>
      <c r="H5882" s="165" t="str">
        <f>IF(ISBLANK('Q 6'!I42),"",IF('Q 6'!I42="&lt;please select&gt;","",'Q 6'!I42))</f>
        <v>0</v>
      </c>
    </row>
    <row r="5883" spans="1:8" x14ac:dyDescent="0.3">
      <c r="A5883" t="s">
        <v>1951</v>
      </c>
      <c r="B5883" t="s">
        <v>1957</v>
      </c>
      <c r="C5883">
        <v>27</v>
      </c>
      <c r="D5883" t="s">
        <v>1447</v>
      </c>
      <c r="E5883" t="s">
        <v>1960</v>
      </c>
      <c r="F5883" t="s">
        <v>1748</v>
      </c>
      <c r="H5883" s="165" t="str">
        <f>IF(ISBLANK('Q 6'!I43),"",IF('Q 6'!I43="&lt;please select&gt;","",'Q 6'!I43))</f>
        <v>0</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Yes</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Yes</v>
      </c>
    </row>
    <row r="5895" spans="1:11" x14ac:dyDescent="0.3">
      <c r="A5895" t="s">
        <v>1961</v>
      </c>
      <c r="B5895" t="s">
        <v>1962</v>
      </c>
      <c r="C5895">
        <v>3</v>
      </c>
      <c r="D5895" t="s">
        <v>1447</v>
      </c>
      <c r="E5895" t="s">
        <v>1963</v>
      </c>
      <c r="F5895" t="s">
        <v>1759</v>
      </c>
      <c r="K5895" t="str">
        <f>IF(ISBLANK('Q 6'!$G$60),"",IF('Q 6'!$G$60="&lt;please select&gt;","",'Q 6'!$G$60))</f>
        <v/>
      </c>
    </row>
    <row r="5896" spans="1:11" x14ac:dyDescent="0.3">
      <c r="A5896" t="s">
        <v>1961</v>
      </c>
      <c r="B5896" t="s">
        <v>1962</v>
      </c>
      <c r="C5896">
        <v>3</v>
      </c>
      <c r="D5896" t="s">
        <v>1447</v>
      </c>
      <c r="E5896" t="s">
        <v>1964</v>
      </c>
      <c r="F5896" t="s">
        <v>1759</v>
      </c>
      <c r="K5896" t="str">
        <f>IF(ISBLANK('Q 6'!$I$60),"",IF('Q 6'!$I$60="&lt;please select&gt;","",'Q 6'!$I$60))</f>
        <v/>
      </c>
    </row>
    <row r="5897" spans="1:11" x14ac:dyDescent="0.3">
      <c r="A5897" t="s">
        <v>1961</v>
      </c>
      <c r="B5897" t="s">
        <v>1965</v>
      </c>
      <c r="C5897">
        <v>1</v>
      </c>
      <c r="D5897" t="s">
        <v>1447</v>
      </c>
      <c r="E5897" t="s">
        <v>1966</v>
      </c>
      <c r="F5897" t="s">
        <v>1748</v>
      </c>
      <c r="H5897" s="165" t="str">
        <f>IF(ISBLANK('Q 6'!$G$62),"",IF('Q 6'!$G$62="&lt;please select&gt;","",'Q 6'!$G$62))</f>
        <v/>
      </c>
    </row>
    <row r="5898" spans="1:11" x14ac:dyDescent="0.3">
      <c r="A5898" t="s">
        <v>1961</v>
      </c>
      <c r="B5898" t="s">
        <v>1965</v>
      </c>
      <c r="C5898">
        <v>1</v>
      </c>
      <c r="D5898" t="s">
        <v>1447</v>
      </c>
      <c r="E5898" t="s">
        <v>1967</v>
      </c>
      <c r="F5898" t="s">
        <v>1748</v>
      </c>
      <c r="H5898" s="165" t="str">
        <f>IF(ISBLANK('Q 6'!$H$62),"",IF('Q 6'!$H$62="&lt;please select&gt;","",'Q 6'!$H$62))</f>
        <v>1</v>
      </c>
    </row>
    <row r="5899" spans="1:11" x14ac:dyDescent="0.3">
      <c r="A5899" t="s">
        <v>1961</v>
      </c>
      <c r="B5899" t="s">
        <v>1965</v>
      </c>
      <c r="C5899">
        <v>1</v>
      </c>
      <c r="D5899" t="s">
        <v>1447</v>
      </c>
      <c r="E5899" t="s">
        <v>1968</v>
      </c>
      <c r="F5899" t="s">
        <v>1748</v>
      </c>
      <c r="H5899" s="165" t="str">
        <f>IF(ISBLANK('Q 6'!$I$62),"",IF('Q 6'!$I$62="&lt;please select&gt;","",'Q 6'!$I$62))</f>
        <v>1</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1</v>
      </c>
    </row>
    <row r="5904" spans="1:11" x14ac:dyDescent="0.3">
      <c r="A5904" t="s">
        <v>1961</v>
      </c>
      <c r="B5904" t="s">
        <v>1971</v>
      </c>
      <c r="C5904">
        <v>1</v>
      </c>
      <c r="D5904" t="s">
        <v>1447</v>
      </c>
      <c r="E5904" t="s">
        <v>1972</v>
      </c>
      <c r="F5904" t="s">
        <v>1748</v>
      </c>
      <c r="H5904" s="165" t="str">
        <f>IF(ISBLANK('Q 6'!$G$67),"",IF('Q 6'!$G$67="&lt;please select&gt;","",'Q 6'!$G$67))</f>
        <v>4</v>
      </c>
    </row>
    <row r="5905" spans="1:8" x14ac:dyDescent="0.3">
      <c r="A5905" t="s">
        <v>1961</v>
      </c>
      <c r="B5905" t="s">
        <v>1971</v>
      </c>
      <c r="C5905">
        <v>1</v>
      </c>
      <c r="D5905" t="s">
        <v>1447</v>
      </c>
      <c r="E5905" t="s">
        <v>1973</v>
      </c>
      <c r="F5905" t="s">
        <v>1748</v>
      </c>
      <c r="H5905" s="165" t="str">
        <f>IF(ISBLANK('Q 6'!$H$67),"",IF('Q 6'!$H$67="&lt;please select&gt;","",'Q 6'!$H$67))</f>
        <v>3</v>
      </c>
    </row>
    <row r="5906" spans="1:8" x14ac:dyDescent="0.3">
      <c r="A5906" t="s">
        <v>1961</v>
      </c>
      <c r="B5906" t="s">
        <v>1971</v>
      </c>
      <c r="C5906">
        <v>1</v>
      </c>
      <c r="D5906" t="s">
        <v>1447</v>
      </c>
      <c r="E5906" t="s">
        <v>1974</v>
      </c>
      <c r="F5906" t="s">
        <v>1748</v>
      </c>
      <c r="H5906" s="165" t="str">
        <f>IF(ISBLANK('Q 6'!$I$67),"",IF('Q 6'!$I$67="&lt;please select&gt;","",'Q 6'!$I$67))</f>
        <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3</v>
      </c>
    </row>
    <row r="5911" spans="1:8" x14ac:dyDescent="0.3">
      <c r="A5911" t="s">
        <v>1961</v>
      </c>
      <c r="B5911" t="s">
        <v>1971</v>
      </c>
      <c r="C5911">
        <v>3</v>
      </c>
      <c r="D5911" t="s">
        <v>1447</v>
      </c>
      <c r="E5911" t="s">
        <v>1973</v>
      </c>
      <c r="F5911" t="s">
        <v>1748</v>
      </c>
      <c r="H5911" s="165" t="str">
        <f>IF(ISBLANK('Q 6'!$H$71),"",IF('Q 6'!$H$71="&lt;please select&gt;","",'Q 6'!$H$71))</f>
        <v>3</v>
      </c>
    </row>
    <row r="5912" spans="1:8" x14ac:dyDescent="0.3">
      <c r="A5912" t="s">
        <v>1961</v>
      </c>
      <c r="B5912" t="s">
        <v>1971</v>
      </c>
      <c r="C5912">
        <v>3</v>
      </c>
      <c r="D5912" t="s">
        <v>1447</v>
      </c>
      <c r="E5912" t="s">
        <v>1974</v>
      </c>
      <c r="F5912" t="s">
        <v>1748</v>
      </c>
      <c r="H5912" s="165" t="str">
        <f>IF(ISBLANK('Q 6'!$I$71),"",IF('Q 6'!$I$71="&lt;please select&gt;","",'Q 6'!$I$71))</f>
        <v/>
      </c>
    </row>
    <row r="5913" spans="1:8" x14ac:dyDescent="0.3">
      <c r="A5913" t="s">
        <v>1975</v>
      </c>
      <c r="B5913" t="s">
        <v>1976</v>
      </c>
      <c r="C5913">
        <v>1</v>
      </c>
      <c r="D5913" t="s">
        <v>1447</v>
      </c>
      <c r="E5913" t="s">
        <v>1868</v>
      </c>
      <c r="F5913" t="s">
        <v>1741</v>
      </c>
      <c r="G5913" t="str">
        <f>IF(ISBLANK('Q 6'!C78),"",IF('Q 6'!C78="&lt;please select&gt;","",'Q 6'!C78))</f>
        <v>FR000000000000924</v>
      </c>
    </row>
    <row r="5914" spans="1:8" x14ac:dyDescent="0.3">
      <c r="A5914" t="s">
        <v>1975</v>
      </c>
      <c r="B5914" t="s">
        <v>1976</v>
      </c>
      <c r="C5914">
        <v>2</v>
      </c>
      <c r="D5914" t="s">
        <v>1447</v>
      </c>
      <c r="E5914" t="s">
        <v>1868</v>
      </c>
      <c r="F5914" t="s">
        <v>1741</v>
      </c>
      <c r="G5914" t="str">
        <f>IF(ISBLANK('Q 6'!C79),"",IF('Q 6'!C79="&lt;please select&gt;","",'Q 6'!C79))</f>
        <v>FR000000000000077</v>
      </c>
    </row>
    <row r="5915" spans="1:8" x14ac:dyDescent="0.3">
      <c r="A5915" t="s">
        <v>1975</v>
      </c>
      <c r="B5915" t="s">
        <v>1976</v>
      </c>
      <c r="C5915">
        <v>3</v>
      </c>
      <c r="D5915" t="s">
        <v>1447</v>
      </c>
      <c r="E5915" t="s">
        <v>1868</v>
      </c>
      <c r="F5915" t="s">
        <v>1741</v>
      </c>
      <c r="G5915" t="str">
        <f>IF(ISBLANK('Q 6'!C80),"",IF('Q 6'!C80="&lt;please select&gt;","",'Q 6'!C80))</f>
        <v>FR000000000000441</v>
      </c>
    </row>
    <row r="5916" spans="1:8" x14ac:dyDescent="0.3">
      <c r="A5916" t="s">
        <v>1975</v>
      </c>
      <c r="B5916" t="s">
        <v>1976</v>
      </c>
      <c r="C5916">
        <v>4</v>
      </c>
      <c r="D5916" t="s">
        <v>1447</v>
      </c>
      <c r="E5916" t="s">
        <v>1868</v>
      </c>
      <c r="F5916" t="s">
        <v>1741</v>
      </c>
      <c r="G5916" t="str">
        <f>IF(ISBLANK('Q 6'!C81),"",IF('Q 6'!C81="&lt;please select&gt;","",'Q 6'!C81))</f>
        <v>FR000000000205948</v>
      </c>
    </row>
    <row r="5917" spans="1:8" x14ac:dyDescent="0.3">
      <c r="A5917" t="s">
        <v>1975</v>
      </c>
      <c r="B5917" t="s">
        <v>1976</v>
      </c>
      <c r="C5917">
        <v>5</v>
      </c>
      <c r="D5917" t="s">
        <v>1447</v>
      </c>
      <c r="E5917" t="s">
        <v>1868</v>
      </c>
      <c r="F5917" t="s">
        <v>1741</v>
      </c>
      <c r="G5917" t="str">
        <f>IF(ISBLANK('Q 6'!C82),"",IF('Q 6'!C82="&lt;please select&gt;","",'Q 6'!C82))</f>
        <v>FR-new-03205118</v>
      </c>
    </row>
    <row r="5918" spans="1:8" x14ac:dyDescent="0.3">
      <c r="A5918" t="s">
        <v>1975</v>
      </c>
      <c r="B5918" t="s">
        <v>1976</v>
      </c>
      <c r="C5918">
        <v>6</v>
      </c>
      <c r="D5918" t="s">
        <v>1447</v>
      </c>
      <c r="E5918" t="s">
        <v>1868</v>
      </c>
      <c r="F5918" t="s">
        <v>1741</v>
      </c>
      <c r="G5918" t="str">
        <f>IF(ISBLANK('Q 6'!C83),"",IF('Q 6'!C83="&lt;please select&gt;","",'Q 6'!C83))</f>
        <v>FR000000000000040</v>
      </c>
    </row>
    <row r="5919" spans="1:8" x14ac:dyDescent="0.3">
      <c r="A5919" t="s">
        <v>1975</v>
      </c>
      <c r="B5919" t="s">
        <v>1976</v>
      </c>
      <c r="C5919">
        <v>7</v>
      </c>
      <c r="D5919" t="s">
        <v>1447</v>
      </c>
      <c r="E5919" t="s">
        <v>1868</v>
      </c>
      <c r="F5919" t="s">
        <v>1741</v>
      </c>
      <c r="G5919" t="str">
        <f>IF(ISBLANK('Q 6'!C84),"",IF('Q 6'!C84="&lt;please select&gt;","",'Q 6'!C84))</f>
        <v>FR000000000001158</v>
      </c>
    </row>
    <row r="5920" spans="1:8" x14ac:dyDescent="0.3">
      <c r="A5920" t="s">
        <v>1975</v>
      </c>
      <c r="B5920" t="s">
        <v>1976</v>
      </c>
      <c r="C5920">
        <v>8</v>
      </c>
      <c r="D5920" t="s">
        <v>1447</v>
      </c>
      <c r="E5920" t="s">
        <v>1868</v>
      </c>
      <c r="F5920" t="s">
        <v>1741</v>
      </c>
      <c r="G5920" t="str">
        <f>IF(ISBLANK('Q 6'!C85),"",IF('Q 6'!C85="&lt;please select&gt;","",'Q 6'!C85))</f>
        <v>FR000000000205769</v>
      </c>
    </row>
    <row r="5921" spans="1:7" x14ac:dyDescent="0.3">
      <c r="A5921" t="s">
        <v>1975</v>
      </c>
      <c r="B5921" t="s">
        <v>1976</v>
      </c>
      <c r="C5921">
        <v>9</v>
      </c>
      <c r="D5921" t="s">
        <v>1447</v>
      </c>
      <c r="E5921" t="s">
        <v>1868</v>
      </c>
      <c r="F5921" t="s">
        <v>1741</v>
      </c>
      <c r="G5921" t="str">
        <f>IF(ISBLANK('Q 6'!C86),"",IF('Q 6'!C86="&lt;please select&gt;","",'Q 6'!C86))</f>
        <v>FR000000000206502</v>
      </c>
    </row>
    <row r="5922" spans="1:7" x14ac:dyDescent="0.3">
      <c r="A5922" t="s">
        <v>1975</v>
      </c>
      <c r="B5922" t="s">
        <v>1976</v>
      </c>
      <c r="C5922">
        <v>10</v>
      </c>
      <c r="D5922" t="s">
        <v>1447</v>
      </c>
      <c r="E5922" t="s">
        <v>1868</v>
      </c>
      <c r="F5922" t="s">
        <v>1741</v>
      </c>
      <c r="G5922" t="str">
        <f>IF(ISBLANK('Q 6'!C87),"",IF('Q 6'!C87="&lt;please select&gt;","",'Q 6'!C87))</f>
        <v>FR000000000206503</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8073</v>
      </c>
    </row>
    <row r="5954" spans="1:9" x14ac:dyDescent="0.3">
      <c r="A5954" t="s">
        <v>1975</v>
      </c>
      <c r="B5954" t="s">
        <v>1976</v>
      </c>
      <c r="C5954">
        <v>2</v>
      </c>
      <c r="D5954" t="s">
        <v>1447</v>
      </c>
      <c r="E5954" t="s">
        <v>1977</v>
      </c>
      <c r="F5954" t="s">
        <v>1806</v>
      </c>
      <c r="I5954" s="165" t="str">
        <f>IF(ISBLANK('Q 6'!D79),"",IF('Q 6'!D79="&lt;please select&gt;","",'Q 6'!D79))</f>
        <v>597</v>
      </c>
    </row>
    <row r="5955" spans="1:9" x14ac:dyDescent="0.3">
      <c r="A5955" t="s">
        <v>1975</v>
      </c>
      <c r="B5955" t="s">
        <v>1976</v>
      </c>
      <c r="C5955">
        <v>3</v>
      </c>
      <c r="D5955" t="s">
        <v>1447</v>
      </c>
      <c r="E5955" t="s">
        <v>1977</v>
      </c>
      <c r="F5955" t="s">
        <v>1806</v>
      </c>
      <c r="I5955" s="165" t="str">
        <f>IF(ISBLANK('Q 6'!D80),"",IF('Q 6'!D80="&lt;please select&gt;","",'Q 6'!D80))</f>
        <v>35</v>
      </c>
    </row>
    <row r="5956" spans="1:9" x14ac:dyDescent="0.3">
      <c r="A5956" t="s">
        <v>1975</v>
      </c>
      <c r="B5956" t="s">
        <v>1976</v>
      </c>
      <c r="C5956">
        <v>4</v>
      </c>
      <c r="D5956" t="s">
        <v>1447</v>
      </c>
      <c r="E5956" t="s">
        <v>1977</v>
      </c>
      <c r="F5956" t="s">
        <v>1806</v>
      </c>
      <c r="I5956" s="165" t="str">
        <f>IF(ISBLANK('Q 6'!D81),"",IF('Q 6'!D81="&lt;please select&gt;","",'Q 6'!D81))</f>
        <v>750</v>
      </c>
    </row>
    <row r="5957" spans="1:9" x14ac:dyDescent="0.3">
      <c r="A5957" t="s">
        <v>1975</v>
      </c>
      <c r="B5957" t="s">
        <v>1976</v>
      </c>
      <c r="C5957">
        <v>5</v>
      </c>
      <c r="D5957" t="s">
        <v>1447</v>
      </c>
      <c r="E5957" t="s">
        <v>1977</v>
      </c>
      <c r="F5957" t="s">
        <v>1806</v>
      </c>
      <c r="I5957" s="165" t="str">
        <f>IF(ISBLANK('Q 6'!D82),"",IF('Q 6'!D82="&lt;please select&gt;","",'Q 6'!D82))</f>
        <v>1128</v>
      </c>
    </row>
    <row r="5958" spans="1:9" x14ac:dyDescent="0.3">
      <c r="A5958" t="s">
        <v>1975</v>
      </c>
      <c r="B5958" t="s">
        <v>1976</v>
      </c>
      <c r="C5958">
        <v>6</v>
      </c>
      <c r="D5958" t="s">
        <v>1447</v>
      </c>
      <c r="E5958" t="s">
        <v>1977</v>
      </c>
      <c r="F5958" t="s">
        <v>1806</v>
      </c>
      <c r="I5958" s="165" t="str">
        <f>IF(ISBLANK('Q 6'!D83),"",IF('Q 6'!D83="&lt;please select&gt;","",'Q 6'!D83))</f>
        <v>88010</v>
      </c>
    </row>
    <row r="5959" spans="1:9" x14ac:dyDescent="0.3">
      <c r="A5959" t="s">
        <v>1975</v>
      </c>
      <c r="B5959" t="s">
        <v>1976</v>
      </c>
      <c r="C5959">
        <v>7</v>
      </c>
      <c r="D5959" t="s">
        <v>1447</v>
      </c>
      <c r="E5959" t="s">
        <v>1977</v>
      </c>
      <c r="F5959" t="s">
        <v>1806</v>
      </c>
      <c r="I5959" s="165" t="str">
        <f>IF(ISBLANK('Q 6'!D84),"",IF('Q 6'!D84="&lt;please select&gt;","",'Q 6'!D84))</f>
        <v>527702</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No positive verification opinion statement was given because of limitation of scope (Article 27(1)(c) of Implementing Regulation (EU) 2018/2067)</v>
      </c>
    </row>
    <row r="5994" spans="1:11" x14ac:dyDescent="0.3">
      <c r="A5994" t="s">
        <v>1975</v>
      </c>
      <c r="B5994" t="s">
        <v>1976</v>
      </c>
      <c r="C5994">
        <v>2</v>
      </c>
      <c r="D5994" t="s">
        <v>1447</v>
      </c>
      <c r="E5994" t="s">
        <v>1978</v>
      </c>
      <c r="F5994" t="s">
        <v>1737</v>
      </c>
      <c r="K5994" t="str">
        <f>IF(ISBLANK('Q 6'!E79),"",IF('Q 6'!E79="&lt;please select&gt;","",'Q 6'!E79))</f>
        <v>No emission report submitted by the 31st of March</v>
      </c>
    </row>
    <row r="5995" spans="1:11" x14ac:dyDescent="0.3">
      <c r="A5995" t="s">
        <v>1975</v>
      </c>
      <c r="B5995" t="s">
        <v>1976</v>
      </c>
      <c r="C5995">
        <v>3</v>
      </c>
      <c r="D5995" t="s">
        <v>1447</v>
      </c>
      <c r="E5995" t="s">
        <v>1978</v>
      </c>
      <c r="F5995" t="s">
        <v>1737</v>
      </c>
      <c r="K5995" t="str">
        <f>IF(ISBLANK('Q 6'!E80),"",IF('Q 6'!E80="&lt;please select&gt;","",'Q 6'!E80))</f>
        <v>Emission report not verified in line with Regulation (EU) 2018/2067</v>
      </c>
    </row>
    <row r="5996" spans="1:11" x14ac:dyDescent="0.3">
      <c r="A5996" t="s">
        <v>1975</v>
      </c>
      <c r="B5996" t="s">
        <v>1976</v>
      </c>
      <c r="C5996">
        <v>4</v>
      </c>
      <c r="D5996" t="s">
        <v>1447</v>
      </c>
      <c r="E5996" t="s">
        <v>1978</v>
      </c>
      <c r="F5996" t="s">
        <v>1737</v>
      </c>
      <c r="K5996" t="str">
        <f>IF(ISBLANK('Q 6'!E81),"",IF('Q 6'!E81="&lt;please select&gt;","",'Q 6'!E81))</f>
        <v>No emission report submitted by the 31st of March</v>
      </c>
    </row>
    <row r="5997" spans="1:11" x14ac:dyDescent="0.3">
      <c r="A5997" t="s">
        <v>1975</v>
      </c>
      <c r="B5997" t="s">
        <v>1976</v>
      </c>
      <c r="C5997">
        <v>5</v>
      </c>
      <c r="D5997" t="s">
        <v>1447</v>
      </c>
      <c r="E5997" t="s">
        <v>1978</v>
      </c>
      <c r="F5997" t="s">
        <v>1737</v>
      </c>
      <c r="K5997" t="str">
        <f>IF(ISBLANK('Q 6'!E82),"",IF('Q 6'!E82="&lt;please select&gt;","",'Q 6'!E82))</f>
        <v>No positive verification opinion statement was given because of limitation of scope (Article 27(1)(c) of Implementing Regulation (EU) 2018/2067)</v>
      </c>
    </row>
    <row r="5998" spans="1:11" x14ac:dyDescent="0.3">
      <c r="A5998" t="s">
        <v>1975</v>
      </c>
      <c r="B5998" t="s">
        <v>1976</v>
      </c>
      <c r="C5998">
        <v>6</v>
      </c>
      <c r="D5998" t="s">
        <v>1447</v>
      </c>
      <c r="E5998" t="s">
        <v>1978</v>
      </c>
      <c r="F5998" t="s">
        <v>1737</v>
      </c>
      <c r="K5998" t="str">
        <f>IF(ISBLANK('Q 6'!E83),"",IF('Q 6'!E83="&lt;please select&gt;","",'Q 6'!E83))</f>
        <v>Emission report rejected because it was not in line with Regulation (EU) 2018/2066</v>
      </c>
    </row>
    <row r="5999" spans="1:11" x14ac:dyDescent="0.3">
      <c r="A5999" t="s">
        <v>1975</v>
      </c>
      <c r="B5999" t="s">
        <v>1976</v>
      </c>
      <c r="C5999">
        <v>7</v>
      </c>
      <c r="D5999" t="s">
        <v>1447</v>
      </c>
      <c r="E5999" t="s">
        <v>1978</v>
      </c>
      <c r="F5999" t="s">
        <v>1737</v>
      </c>
      <c r="K5999" t="str">
        <f>IF(ISBLANK('Q 6'!E84),"",IF('Q 6'!E84="&lt;please select&gt;","",'Q 6'!E84))</f>
        <v>Emission report rejected because it was not in line with Regulation (EU) 2018/2066</v>
      </c>
    </row>
    <row r="6000" spans="1:11" x14ac:dyDescent="0.3">
      <c r="A6000" t="s">
        <v>1975</v>
      </c>
      <c r="B6000" t="s">
        <v>1976</v>
      </c>
      <c r="C6000">
        <v>8</v>
      </c>
      <c r="D6000" t="s">
        <v>1447</v>
      </c>
      <c r="E6000" t="s">
        <v>1978</v>
      </c>
      <c r="F6000" t="s">
        <v>1737</v>
      </c>
      <c r="K6000" t="str">
        <f>IF(ISBLANK('Q 6'!E85),"",IF('Q 6'!E85="&lt;please select&gt;","",'Q 6'!E85))</f>
        <v>Emission report rejected because it was not in line with Regulation (EU) 2018/2066</v>
      </c>
    </row>
    <row r="6001" spans="1:11" x14ac:dyDescent="0.3">
      <c r="A6001" t="s">
        <v>1975</v>
      </c>
      <c r="B6001" t="s">
        <v>1976</v>
      </c>
      <c r="C6001">
        <v>9</v>
      </c>
      <c r="D6001" t="s">
        <v>1447</v>
      </c>
      <c r="E6001" t="s">
        <v>1978</v>
      </c>
      <c r="F6001" t="s">
        <v>1737</v>
      </c>
      <c r="K6001" t="str">
        <f>IF(ISBLANK('Q 6'!E86),"",IF('Q 6'!E86="&lt;please select&gt;","",'Q 6'!E86))</f>
        <v>No emission report submitted by the 31st of March</v>
      </c>
    </row>
    <row r="6002" spans="1:11" x14ac:dyDescent="0.3">
      <c r="A6002" t="s">
        <v>1975</v>
      </c>
      <c r="B6002" t="s">
        <v>1976</v>
      </c>
      <c r="C6002">
        <v>10</v>
      </c>
      <c r="D6002" t="s">
        <v>1447</v>
      </c>
      <c r="E6002" t="s">
        <v>1978</v>
      </c>
      <c r="F6002" t="s">
        <v>1737</v>
      </c>
      <c r="K6002" t="str">
        <f>IF(ISBLANK('Q 6'!E87),"",IF('Q 6'!E87="&lt;please select&gt;","",'Q 6'!E87))</f>
        <v>No emission report submitted by the 31st of March</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1</v>
      </c>
    </row>
    <row r="6034" spans="1:9" x14ac:dyDescent="0.3">
      <c r="A6034" t="s">
        <v>1975</v>
      </c>
      <c r="B6034" t="s">
        <v>1976</v>
      </c>
      <c r="C6034">
        <v>2</v>
      </c>
      <c r="D6034" t="s">
        <v>1447</v>
      </c>
      <c r="E6034" t="s">
        <v>1979</v>
      </c>
      <c r="F6034" t="s">
        <v>1806</v>
      </c>
      <c r="I6034" s="166" t="str">
        <f>IF(ISBLANK('Q 6'!F79),"",IF('Q 6'!F79="&lt;please select&gt;","",'Q 6'!F79))</f>
        <v>1</v>
      </c>
    </row>
    <row r="6035" spans="1:9" x14ac:dyDescent="0.3">
      <c r="A6035" t="s">
        <v>1975</v>
      </c>
      <c r="B6035" t="s">
        <v>1976</v>
      </c>
      <c r="C6035">
        <v>3</v>
      </c>
      <c r="D6035" t="s">
        <v>1447</v>
      </c>
      <c r="E6035" t="s">
        <v>1979</v>
      </c>
      <c r="F6035" t="s">
        <v>1806</v>
      </c>
      <c r="I6035" s="166" t="str">
        <f>IF(ISBLANK('Q 6'!F80),"",IF('Q 6'!F80="&lt;please select&gt;","",'Q 6'!F80))</f>
        <v>1</v>
      </c>
    </row>
    <row r="6036" spans="1:9" x14ac:dyDescent="0.3">
      <c r="A6036" t="s">
        <v>1975</v>
      </c>
      <c r="B6036" t="s">
        <v>1976</v>
      </c>
      <c r="C6036">
        <v>4</v>
      </c>
      <c r="D6036" t="s">
        <v>1447</v>
      </c>
      <c r="E6036" t="s">
        <v>1979</v>
      </c>
      <c r="F6036" t="s">
        <v>1806</v>
      </c>
      <c r="I6036" s="166" t="str">
        <f>IF(ISBLANK('Q 6'!F81),"",IF('Q 6'!F81="&lt;please select&gt;","",'Q 6'!F81))</f>
        <v>1</v>
      </c>
    </row>
    <row r="6037" spans="1:9" x14ac:dyDescent="0.3">
      <c r="A6037" t="s">
        <v>1975</v>
      </c>
      <c r="B6037" t="s">
        <v>1976</v>
      </c>
      <c r="C6037">
        <v>5</v>
      </c>
      <c r="D6037" t="s">
        <v>1447</v>
      </c>
      <c r="E6037" t="s">
        <v>1979</v>
      </c>
      <c r="F6037" t="s">
        <v>1806</v>
      </c>
      <c r="I6037" s="166" t="str">
        <f>IF(ISBLANK('Q 6'!F82),"",IF('Q 6'!F82="&lt;please select&gt;","",'Q 6'!F82))</f>
        <v>1</v>
      </c>
    </row>
    <row r="6038" spans="1:9" x14ac:dyDescent="0.3">
      <c r="A6038" t="s">
        <v>1975</v>
      </c>
      <c r="B6038" t="s">
        <v>1976</v>
      </c>
      <c r="C6038">
        <v>6</v>
      </c>
      <c r="D6038" t="s">
        <v>1447</v>
      </c>
      <c r="E6038" t="s">
        <v>1979</v>
      </c>
      <c r="F6038" t="s">
        <v>1806</v>
      </c>
      <c r="I6038" s="166" t="str">
        <f>IF(ISBLANK('Q 6'!F83),"",IF('Q 6'!F83="&lt;please select&gt;","",'Q 6'!F83))</f>
        <v>1</v>
      </c>
    </row>
    <row r="6039" spans="1:9" x14ac:dyDescent="0.3">
      <c r="A6039" t="s">
        <v>1975</v>
      </c>
      <c r="B6039" t="s">
        <v>1976</v>
      </c>
      <c r="C6039">
        <v>7</v>
      </c>
      <c r="D6039" t="s">
        <v>1447</v>
      </c>
      <c r="E6039" t="s">
        <v>1979</v>
      </c>
      <c r="F6039" t="s">
        <v>1806</v>
      </c>
      <c r="I6039" s="166" t="str">
        <f>IF(ISBLANK('Q 6'!F84),"",IF('Q 6'!F84="&lt;please select&gt;","",'Q 6'!F84))</f>
        <v>1</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Use of operator's data</v>
      </c>
    </row>
    <row r="6074" spans="1:9" x14ac:dyDescent="0.3">
      <c r="A6074" t="s">
        <v>1975</v>
      </c>
      <c r="B6074" t="s">
        <v>1976</v>
      </c>
      <c r="C6074">
        <v>2</v>
      </c>
      <c r="D6074" t="s">
        <v>1447</v>
      </c>
      <c r="E6074" t="s">
        <v>1980</v>
      </c>
      <c r="F6074" t="s">
        <v>1741</v>
      </c>
      <c r="G6074" t="str">
        <f>IF(ISBLANK('Q 6'!G79),"",IF('Q 6'!G79="&lt;please select&gt;","",'Q 6'!G79))</f>
        <v>Use of operator's data</v>
      </c>
    </row>
    <row r="6075" spans="1:9" x14ac:dyDescent="0.3">
      <c r="A6075" t="s">
        <v>1975</v>
      </c>
      <c r="B6075" t="s">
        <v>1976</v>
      </c>
      <c r="C6075">
        <v>3</v>
      </c>
      <c r="D6075" t="s">
        <v>1447</v>
      </c>
      <c r="E6075" t="s">
        <v>1980</v>
      </c>
      <c r="F6075" t="s">
        <v>1741</v>
      </c>
      <c r="G6075" t="str">
        <f>IF(ISBLANK('Q 6'!G80),"",IF('Q 6'!G80="&lt;please select&gt;","",'Q 6'!G80))</f>
        <v>Use of operator's data</v>
      </c>
    </row>
    <row r="6076" spans="1:9" x14ac:dyDescent="0.3">
      <c r="A6076" t="s">
        <v>1975</v>
      </c>
      <c r="B6076" t="s">
        <v>1976</v>
      </c>
      <c r="C6076">
        <v>4</v>
      </c>
      <c r="D6076" t="s">
        <v>1447</v>
      </c>
      <c r="E6076" t="s">
        <v>1980</v>
      </c>
      <c r="F6076" t="s">
        <v>1741</v>
      </c>
      <c r="G6076" t="str">
        <f>IF(ISBLANK('Q 6'!G81),"",IF('Q 6'!G81="&lt;please select&gt;","",'Q 6'!G81))</f>
        <v>Use of operator's data</v>
      </c>
    </row>
    <row r="6077" spans="1:9" x14ac:dyDescent="0.3">
      <c r="A6077" t="s">
        <v>1975</v>
      </c>
      <c r="B6077" t="s">
        <v>1976</v>
      </c>
      <c r="C6077">
        <v>5</v>
      </c>
      <c r="D6077" t="s">
        <v>1447</v>
      </c>
      <c r="E6077" t="s">
        <v>1980</v>
      </c>
      <c r="F6077" t="s">
        <v>1741</v>
      </c>
      <c r="G6077" t="str">
        <f>IF(ISBLANK('Q 6'!G82),"",IF('Q 6'!G82="&lt;please select&gt;","",'Q 6'!G82))</f>
        <v>Use of operator's data</v>
      </c>
    </row>
    <row r="6078" spans="1:9" x14ac:dyDescent="0.3">
      <c r="A6078" t="s">
        <v>1975</v>
      </c>
      <c r="B6078" t="s">
        <v>1976</v>
      </c>
      <c r="C6078">
        <v>6</v>
      </c>
      <c r="D6078" t="s">
        <v>1447</v>
      </c>
      <c r="E6078" t="s">
        <v>1980</v>
      </c>
      <c r="F6078" t="s">
        <v>1741</v>
      </c>
      <c r="G6078" t="str">
        <f>IF(ISBLANK('Q 6'!G83),"",IF('Q 6'!G83="&lt;please select&gt;","",'Q 6'!G83))</f>
        <v>Use of operator's data, and default factors or analysed calculation factors</v>
      </c>
    </row>
    <row r="6079" spans="1:9" x14ac:dyDescent="0.3">
      <c r="A6079" t="s">
        <v>1975</v>
      </c>
      <c r="B6079" t="s">
        <v>1976</v>
      </c>
      <c r="C6079">
        <v>7</v>
      </c>
      <c r="D6079" t="s">
        <v>1447</v>
      </c>
      <c r="E6079" t="s">
        <v>1980</v>
      </c>
      <c r="F6079" t="s">
        <v>1741</v>
      </c>
      <c r="G6079" t="str">
        <f>IF(ISBLANK('Q 6'!G84),"",IF('Q 6'!G84="&lt;please select&gt;","",'Q 6'!G84))</f>
        <v>Use of operator's data</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Other, please specify in the column on the right</v>
      </c>
    </row>
    <row r="6114" spans="1:11" x14ac:dyDescent="0.3">
      <c r="A6114" t="s">
        <v>1975</v>
      </c>
      <c r="B6114" t="s">
        <v>1976</v>
      </c>
      <c r="C6114">
        <v>2</v>
      </c>
      <c r="D6114" t="s">
        <v>1447</v>
      </c>
      <c r="E6114" t="s">
        <v>1981</v>
      </c>
      <c r="F6114" t="s">
        <v>1737</v>
      </c>
      <c r="K6114" t="str">
        <f>IF(ISBLANK('Q 6'!H79),"",IF('Q 6'!H79="&lt;please select&gt;","",'Q 6'!H79))</f>
        <v>Other, please specify in the column on the right</v>
      </c>
    </row>
    <row r="6115" spans="1:11" x14ac:dyDescent="0.3">
      <c r="A6115" t="s">
        <v>1975</v>
      </c>
      <c r="B6115" t="s">
        <v>1976</v>
      </c>
      <c r="C6115">
        <v>3</v>
      </c>
      <c r="D6115" t="s">
        <v>1447</v>
      </c>
      <c r="E6115" t="s">
        <v>1981</v>
      </c>
      <c r="F6115" t="s">
        <v>1737</v>
      </c>
      <c r="K6115" t="str">
        <f>IF(ISBLANK('Q 6'!H80),"",IF('Q 6'!H80="&lt;please select&gt;","",'Q 6'!H80))</f>
        <v>Other, please specify in the column on the right</v>
      </c>
    </row>
    <row r="6116" spans="1:11" x14ac:dyDescent="0.3">
      <c r="A6116" t="s">
        <v>1975</v>
      </c>
      <c r="B6116" t="s">
        <v>1976</v>
      </c>
      <c r="C6116">
        <v>4</v>
      </c>
      <c r="D6116" t="s">
        <v>1447</v>
      </c>
      <c r="E6116" t="s">
        <v>1981</v>
      </c>
      <c r="F6116" t="s">
        <v>1737</v>
      </c>
      <c r="K6116" t="str">
        <f>IF(ISBLANK('Q 6'!H81),"",IF('Q 6'!H81="&lt;please select&gt;","",'Q 6'!H81))</f>
        <v>Other, please specify in the column on the right</v>
      </c>
    </row>
    <row r="6117" spans="1:11" x14ac:dyDescent="0.3">
      <c r="A6117" t="s">
        <v>1975</v>
      </c>
      <c r="B6117" t="s">
        <v>1976</v>
      </c>
      <c r="C6117">
        <v>5</v>
      </c>
      <c r="D6117" t="s">
        <v>1447</v>
      </c>
      <c r="E6117" t="s">
        <v>1981</v>
      </c>
      <c r="F6117" t="s">
        <v>1737</v>
      </c>
      <c r="K6117" t="str">
        <f>IF(ISBLANK('Q 6'!H82),"",IF('Q 6'!H82="&lt;please select&gt;","",'Q 6'!H82))</f>
        <v>Other, please specify in the column on the right</v>
      </c>
    </row>
    <row r="6118" spans="1:11" x14ac:dyDescent="0.3">
      <c r="A6118" t="s">
        <v>1975</v>
      </c>
      <c r="B6118" t="s">
        <v>1976</v>
      </c>
      <c r="C6118">
        <v>6</v>
      </c>
      <c r="D6118" t="s">
        <v>1447</v>
      </c>
      <c r="E6118" t="s">
        <v>1981</v>
      </c>
      <c r="F6118" t="s">
        <v>1737</v>
      </c>
      <c r="K6118" t="str">
        <f>IF(ISBLANK('Q 6'!H83),"",IF('Q 6'!H83="&lt;please select&gt;","",'Q 6'!H83))</f>
        <v>Other, please specify in the column on the right</v>
      </c>
    </row>
    <row r="6119" spans="1:11" x14ac:dyDescent="0.3">
      <c r="A6119" t="s">
        <v>1975</v>
      </c>
      <c r="B6119" t="s">
        <v>1976</v>
      </c>
      <c r="C6119">
        <v>7</v>
      </c>
      <c r="D6119" t="s">
        <v>1447</v>
      </c>
      <c r="E6119" t="s">
        <v>1981</v>
      </c>
      <c r="F6119" t="s">
        <v>1737</v>
      </c>
      <c r="K6119" t="str">
        <f>IF(ISBLANK('Q 6'!H84),"",IF('Q 6'!H84="&lt;please select&gt;","",'Q 6'!H84))</f>
        <v>Other, please specify in the column on the right</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Formal notice</v>
      </c>
    </row>
    <row r="6154" spans="1:11" x14ac:dyDescent="0.3">
      <c r="A6154" t="s">
        <v>1975</v>
      </c>
      <c r="B6154" t="s">
        <v>1976</v>
      </c>
      <c r="C6154">
        <v>2</v>
      </c>
      <c r="D6154" t="s">
        <v>1447</v>
      </c>
      <c r="E6154" t="s">
        <v>1982</v>
      </c>
      <c r="F6154" t="s">
        <v>1741</v>
      </c>
      <c r="G6154" t="str">
        <f>IF(ISBLANK('Q 6'!I79),"",IF('Q 6'!I79="&lt;please select&gt;","",'Q 6'!I79))</f>
        <v>Formal notice</v>
      </c>
    </row>
    <row r="6155" spans="1:11" x14ac:dyDescent="0.3">
      <c r="A6155" t="s">
        <v>1975</v>
      </c>
      <c r="B6155" t="s">
        <v>1976</v>
      </c>
      <c r="C6155">
        <v>3</v>
      </c>
      <c r="D6155" t="s">
        <v>1447</v>
      </c>
      <c r="E6155" t="s">
        <v>1982</v>
      </c>
      <c r="F6155" t="s">
        <v>1741</v>
      </c>
      <c r="G6155" t="str">
        <f>IF(ISBLANK('Q 6'!I80),"",IF('Q 6'!I80="&lt;please select&gt;","",'Q 6'!I80))</f>
        <v>Formal notice</v>
      </c>
    </row>
    <row r="6156" spans="1:11" x14ac:dyDescent="0.3">
      <c r="A6156" t="s">
        <v>1975</v>
      </c>
      <c r="B6156" t="s">
        <v>1976</v>
      </c>
      <c r="C6156">
        <v>4</v>
      </c>
      <c r="D6156" t="s">
        <v>1447</v>
      </c>
      <c r="E6156" t="s">
        <v>1982</v>
      </c>
      <c r="F6156" t="s">
        <v>1741</v>
      </c>
      <c r="G6156" t="str">
        <f>IF(ISBLANK('Q 6'!I81),"",IF('Q 6'!I81="&lt;please select&gt;","",'Q 6'!I81))</f>
        <v>Formal notice</v>
      </c>
    </row>
    <row r="6157" spans="1:11" x14ac:dyDescent="0.3">
      <c r="A6157" t="s">
        <v>1975</v>
      </c>
      <c r="B6157" t="s">
        <v>1976</v>
      </c>
      <c r="C6157">
        <v>5</v>
      </c>
      <c r="D6157" t="s">
        <v>1447</v>
      </c>
      <c r="E6157" t="s">
        <v>1982</v>
      </c>
      <c r="F6157" t="s">
        <v>1741</v>
      </c>
      <c r="G6157" t="str">
        <f>IF(ISBLANK('Q 6'!I82),"",IF('Q 6'!I82="&lt;please select&gt;","",'Q 6'!I82))</f>
        <v>Formal notice</v>
      </c>
    </row>
    <row r="6158" spans="1:11" x14ac:dyDescent="0.3">
      <c r="A6158" t="s">
        <v>1975</v>
      </c>
      <c r="B6158" t="s">
        <v>1976</v>
      </c>
      <c r="C6158">
        <v>6</v>
      </c>
      <c r="D6158" t="s">
        <v>1447</v>
      </c>
      <c r="E6158" t="s">
        <v>1982</v>
      </c>
      <c r="F6158" t="s">
        <v>1741</v>
      </c>
      <c r="G6158" t="str">
        <f>IF(ISBLANK('Q 6'!I83),"",IF('Q 6'!I83="&lt;please select&gt;","",'Q 6'!I83))</f>
        <v>Formal notice</v>
      </c>
    </row>
    <row r="6159" spans="1:11" x14ac:dyDescent="0.3">
      <c r="A6159" t="s">
        <v>1975</v>
      </c>
      <c r="B6159" t="s">
        <v>1976</v>
      </c>
      <c r="C6159">
        <v>7</v>
      </c>
      <c r="D6159" t="s">
        <v>1447</v>
      </c>
      <c r="E6159" t="s">
        <v>1982</v>
      </c>
      <c r="F6159" t="s">
        <v>1741</v>
      </c>
      <c r="G6159" t="str">
        <f>IF(ISBLANK('Q 6'!I84),"",IF('Q 6'!I84="&lt;please select&gt;","",'Q 6'!I84))</f>
        <v>Formal notice</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4</v>
      </c>
    </row>
    <row r="6194" spans="1:11" x14ac:dyDescent="0.3">
      <c r="A6194" t="s">
        <v>1975</v>
      </c>
      <c r="B6194" t="s">
        <v>1983</v>
      </c>
      <c r="C6194">
        <v>2</v>
      </c>
      <c r="D6194" t="s">
        <v>1447</v>
      </c>
      <c r="E6194" t="s">
        <v>1984</v>
      </c>
      <c r="F6194" t="s">
        <v>1748</v>
      </c>
      <c r="H6194" s="165" t="str">
        <f>IF(ISBLANK('Q 6'!H126),"",IF('Q 6'!H126="&lt;please select&gt;","",'Q 6'!H126))</f>
        <v>0</v>
      </c>
    </row>
    <row r="6195" spans="1:11" x14ac:dyDescent="0.3">
      <c r="A6195" t="s">
        <v>1975</v>
      </c>
      <c r="B6195" t="s">
        <v>1983</v>
      </c>
      <c r="C6195">
        <v>3</v>
      </c>
      <c r="D6195" t="s">
        <v>1447</v>
      </c>
      <c r="E6195" t="s">
        <v>1984</v>
      </c>
      <c r="F6195" t="s">
        <v>1748</v>
      </c>
      <c r="H6195" s="165" t="str">
        <f>IF(ISBLANK('Q 6'!H127),"",IF('Q 6'!H127="&lt;please select&gt;","",'Q 6'!H127))</f>
        <v>3</v>
      </c>
    </row>
    <row r="6196" spans="1:11" x14ac:dyDescent="0.3">
      <c r="A6196" t="s">
        <v>1975</v>
      </c>
      <c r="B6196" t="s">
        <v>1983</v>
      </c>
      <c r="C6196">
        <v>4</v>
      </c>
      <c r="D6196" t="s">
        <v>1447</v>
      </c>
      <c r="E6196" t="s">
        <v>1984</v>
      </c>
      <c r="F6196" t="s">
        <v>1748</v>
      </c>
      <c r="H6196" s="165" t="str">
        <f>IF(ISBLANK('Q 6'!H128),"",IF('Q 6'!H128="&lt;please select&gt;","",'Q 6'!H128))</f>
        <v>2</v>
      </c>
    </row>
    <row r="6197" spans="1:11" x14ac:dyDescent="0.3">
      <c r="A6197" t="s">
        <v>1985</v>
      </c>
      <c r="B6197" t="s">
        <v>1986</v>
      </c>
      <c r="C6197">
        <v>0</v>
      </c>
      <c r="D6197" t="s">
        <v>1447</v>
      </c>
      <c r="E6197" t="s">
        <v>1986</v>
      </c>
      <c r="F6197" t="s">
        <v>1759</v>
      </c>
      <c r="K6197" t="str">
        <f>IF(ISBLANK('Q 6'!$I$130),"",IF('Q 6'!$I$130="&lt;please select&gt;","",'Q 6'!$I$130))</f>
        <v>Yes</v>
      </c>
    </row>
    <row r="6198" spans="1:11" x14ac:dyDescent="0.3">
      <c r="A6198" t="s">
        <v>1985</v>
      </c>
      <c r="B6198" t="s">
        <v>1987</v>
      </c>
      <c r="C6198">
        <v>1</v>
      </c>
      <c r="D6198" t="s">
        <v>1447</v>
      </c>
      <c r="E6198" t="s">
        <v>1988</v>
      </c>
      <c r="F6198" t="s">
        <v>1737</v>
      </c>
      <c r="K6198" t="str">
        <f>IF(ISBLANK('Q 6'!C133),"",IF('Q 6'!C133="&lt;please select&gt;","",'Q 6'!C133))</f>
        <v>20 - Combustion of fuels as specified in Annex I of Directive 2003/87/EC</v>
      </c>
    </row>
    <row r="6199" spans="1:11" x14ac:dyDescent="0.3">
      <c r="A6199" t="s">
        <v>1985</v>
      </c>
      <c r="B6199" t="s">
        <v>1987</v>
      </c>
      <c r="C6199">
        <v>2</v>
      </c>
      <c r="D6199" t="s">
        <v>1447</v>
      </c>
      <c r="E6199" t="s">
        <v>1988</v>
      </c>
      <c r="F6199" t="s">
        <v>1737</v>
      </c>
      <c r="K6199" t="str">
        <f>IF(ISBLANK('Q 6'!C134),"",IF('Q 6'!C134="&lt;please select&gt;","",'Q 6'!C134))</f>
        <v>33 - Manufacture of mineral wool insulation material using glass, rock or slag as specified in Annex I of Directive 2003/87/EC</v>
      </c>
    </row>
    <row r="6200" spans="1:11" x14ac:dyDescent="0.3">
      <c r="A6200" t="s">
        <v>1985</v>
      </c>
      <c r="B6200" t="s">
        <v>1987</v>
      </c>
      <c r="C6200">
        <v>3</v>
      </c>
      <c r="D6200" t="s">
        <v>1447</v>
      </c>
      <c r="E6200" t="s">
        <v>1988</v>
      </c>
      <c r="F6200" t="s">
        <v>1737</v>
      </c>
      <c r="K6200" t="str">
        <f>IF(ISBLANK('Q 6'!C135),"",IF('Q 6'!C135="&lt;please select&gt;","",'Q 6'!C135))</f>
        <v>35 - Production of pulp as specified in Annex I of Directive 2003/87/EC</v>
      </c>
    </row>
    <row r="6201" spans="1:11" x14ac:dyDescent="0.3">
      <c r="A6201" t="s">
        <v>1985</v>
      </c>
      <c r="B6201" t="s">
        <v>1987</v>
      </c>
      <c r="C6201">
        <v>4</v>
      </c>
      <c r="D6201" t="s">
        <v>1447</v>
      </c>
      <c r="E6201" t="s">
        <v>1988</v>
      </c>
      <c r="F6201" t="s">
        <v>1737</v>
      </c>
      <c r="K6201" t="str">
        <f>IF(ISBLANK('Q 6'!C136),"",IF('Q 6'!C136="&lt;please select&gt;","",'Q 6'!C136))</f>
        <v>31 - Manufacture of glass as specified in Annex I of Directive 2003/87/EC</v>
      </c>
    </row>
    <row r="6202" spans="1:11" x14ac:dyDescent="0.3">
      <c r="A6202" t="s">
        <v>1985</v>
      </c>
      <c r="B6202" t="s">
        <v>1987</v>
      </c>
      <c r="C6202">
        <v>5</v>
      </c>
      <c r="D6202" t="s">
        <v>1447</v>
      </c>
      <c r="E6202" t="s">
        <v>1988</v>
      </c>
      <c r="F6202" t="s">
        <v>1737</v>
      </c>
      <c r="K6202" t="str">
        <f>IF(ISBLANK('Q 6'!C137),"",IF('Q 6'!C137="&lt;please select&gt;","",'Q 6'!C137))</f>
        <v xml:space="preserve">36 - Production of paper or cardboard as specified in Annex I of Directive 2003/87/EC </v>
      </c>
    </row>
    <row r="6203" spans="1:11" x14ac:dyDescent="0.3">
      <c r="A6203" t="s">
        <v>1985</v>
      </c>
      <c r="B6203" t="s">
        <v>1987</v>
      </c>
      <c r="C6203">
        <v>6</v>
      </c>
      <c r="D6203" t="s">
        <v>1447</v>
      </c>
      <c r="E6203" t="s">
        <v>1988</v>
      </c>
      <c r="F6203" t="s">
        <v>1737</v>
      </c>
      <c r="K6203" t="str">
        <f>IF(ISBLANK('Q 6'!C138),"",IF('Q 6'!C138="&lt;please select&gt;","",'Q 6'!C138))</f>
        <v>34 - Drying or calcination of gypsum or production of plaster boards and other gypsum products, as specified in Annex I of Directive 2003/87/EC</v>
      </c>
    </row>
    <row r="6204" spans="1:11" x14ac:dyDescent="0.3">
      <c r="A6204" t="s">
        <v>1985</v>
      </c>
      <c r="B6204" t="s">
        <v>1987</v>
      </c>
      <c r="C6204">
        <v>7</v>
      </c>
      <c r="D6204" t="s">
        <v>1447</v>
      </c>
      <c r="E6204" t="s">
        <v>1988</v>
      </c>
      <c r="F6204" t="s">
        <v>1737</v>
      </c>
      <c r="K6204" t="str">
        <f>IF(ISBLANK('Q 6'!C139),"",IF('Q 6'!C139="&lt;please select&gt;","",'Q 6'!C139))</f>
        <v>32 - Manufacture of ceramic products as specified in Annex I of Directive 2003/87/EC</v>
      </c>
    </row>
    <row r="6205" spans="1:11" x14ac:dyDescent="0.3">
      <c r="A6205" t="s">
        <v>1985</v>
      </c>
      <c r="B6205" t="s">
        <v>1987</v>
      </c>
      <c r="C6205">
        <v>8</v>
      </c>
      <c r="D6205" t="s">
        <v>1447</v>
      </c>
      <c r="E6205" t="s">
        <v>1988</v>
      </c>
      <c r="F6205" t="s">
        <v>1737</v>
      </c>
      <c r="K6205" t="str">
        <f>IF(ISBLANK('Q 6'!C140),"",IF('Q 6'!C140="&lt;please select&gt;","",'Q 6'!C140))</f>
        <v>30 - Production of lime or calcination of dolomite or magnesite as specified in Annex I of Directive 2003/87/ EC</v>
      </c>
    </row>
    <row r="6206" spans="1:11" x14ac:dyDescent="0.3">
      <c r="A6206" t="s">
        <v>1985</v>
      </c>
      <c r="B6206" t="s">
        <v>1987</v>
      </c>
      <c r="C6206">
        <v>9</v>
      </c>
      <c r="D6206" t="s">
        <v>1447</v>
      </c>
      <c r="E6206" t="s">
        <v>1988</v>
      </c>
      <c r="F6206" t="s">
        <v>1737</v>
      </c>
      <c r="K6206" t="str">
        <f>IF(ISBLANK('Q 6'!C141),"",IF('Q 6'!C141="&lt;please select&gt;","",'Q 6'!C141))</f>
        <v xml:space="preserve">42 - Production of bulk organic chemicals as specified in Annex I of Directive 2003/87/EC </v>
      </c>
    </row>
    <row r="6207" spans="1:11" x14ac:dyDescent="0.3">
      <c r="A6207" t="s">
        <v>1985</v>
      </c>
      <c r="B6207" t="s">
        <v>1987</v>
      </c>
      <c r="C6207">
        <v>10</v>
      </c>
      <c r="D6207" t="s">
        <v>1447</v>
      </c>
      <c r="E6207" t="s">
        <v>1988</v>
      </c>
      <c r="F6207" t="s">
        <v>1737</v>
      </c>
      <c r="K6207" t="str">
        <f>IF(ISBLANK('Q 6'!C142),"",IF('Q 6'!C142="&lt;please select&gt;","",'Q 6'!C142))</f>
        <v xml:space="preserve">38 - Production of nitric acid </v>
      </c>
    </row>
    <row r="6208" spans="1:11" x14ac:dyDescent="0.3">
      <c r="A6208" t="s">
        <v>1985</v>
      </c>
      <c r="B6208" t="s">
        <v>1987</v>
      </c>
      <c r="C6208">
        <v>11</v>
      </c>
      <c r="D6208" t="s">
        <v>1447</v>
      </c>
      <c r="E6208" t="s">
        <v>1988</v>
      </c>
      <c r="F6208" t="s">
        <v>1737</v>
      </c>
      <c r="K6208" t="str">
        <f>IF(ISBLANK('Q 6'!C143),"",IF('Q 6'!C143="&lt;please select&gt;","",'Q 6'!C143))</f>
        <v>24 - Production of pig iron or steel as specified in Annex I of Directive 2003/87/EC</v>
      </c>
    </row>
    <row r="6209" spans="1:11" x14ac:dyDescent="0.3">
      <c r="A6209" t="s">
        <v>1985</v>
      </c>
      <c r="B6209" t="s">
        <v>1987</v>
      </c>
      <c r="C6209">
        <v>12</v>
      </c>
      <c r="D6209" t="s">
        <v>1447</v>
      </c>
      <c r="E6209" t="s">
        <v>1988</v>
      </c>
      <c r="F6209" t="s">
        <v>1737</v>
      </c>
      <c r="K6209" t="str">
        <f>IF(ISBLANK('Q 6'!C144),"",IF('Q 6'!C144="&lt;please select&gt;","",'Q 6'!C144))</f>
        <v>21 - Refining of mineral oil</v>
      </c>
    </row>
    <row r="6210" spans="1:11" x14ac:dyDescent="0.3">
      <c r="A6210" t="s">
        <v>1985</v>
      </c>
      <c r="B6210" t="s">
        <v>1987</v>
      </c>
      <c r="C6210">
        <v>13</v>
      </c>
      <c r="D6210" t="s">
        <v>1447</v>
      </c>
      <c r="E6210" t="s">
        <v>1988</v>
      </c>
      <c r="F6210" t="s">
        <v>1737</v>
      </c>
      <c r="K6210" t="str">
        <f>IF(ISBLANK('Q 6'!C145),"",IF('Q 6'!C145="&lt;please select&gt;","",'Q 6'!C145))</f>
        <v>29 - Production of cement clinker in rotary kilns as specified in Annex I of Directive 2003/87/ EC</v>
      </c>
    </row>
    <row r="6211" spans="1:11" x14ac:dyDescent="0.3">
      <c r="A6211" t="s">
        <v>1985</v>
      </c>
      <c r="B6211" t="s">
        <v>1987</v>
      </c>
      <c r="C6211">
        <v>14</v>
      </c>
      <c r="D6211" t="s">
        <v>1447</v>
      </c>
      <c r="E6211" t="s">
        <v>1988</v>
      </c>
      <c r="F6211" t="s">
        <v>1737</v>
      </c>
      <c r="K6211" t="str">
        <f>IF(ISBLANK('Q 6'!C146),"",IF('Q 6'!C146="&lt;please select&gt;","",'Q 6'!C146))</f>
        <v xml:space="preserve">41 - Production of ammonia </v>
      </c>
    </row>
    <row r="6212" spans="1:11" x14ac:dyDescent="0.3">
      <c r="A6212" t="s">
        <v>1985</v>
      </c>
      <c r="B6212" t="s">
        <v>1987</v>
      </c>
      <c r="C6212">
        <v>15</v>
      </c>
      <c r="D6212" t="s">
        <v>1447</v>
      </c>
      <c r="E6212" t="s">
        <v>1988</v>
      </c>
      <c r="F6212" t="s">
        <v>1737</v>
      </c>
      <c r="K6212" t="str">
        <f>IF(ISBLANK('Q 6'!C147),"",IF('Q 6'!C147="&lt;please select&gt;","",'Q 6'!C147))</f>
        <v xml:space="preserve">43 - Production of hydrogen (H2) and synthesis gas as specified in Annex I of Directive 2003/87/EC </v>
      </c>
    </row>
    <row r="6213" spans="1:11" x14ac:dyDescent="0.3">
      <c r="A6213" t="s">
        <v>1985</v>
      </c>
      <c r="B6213" t="s">
        <v>1987</v>
      </c>
      <c r="C6213">
        <v>16</v>
      </c>
      <c r="D6213" t="s">
        <v>1447</v>
      </c>
      <c r="E6213" t="s">
        <v>1988</v>
      </c>
      <c r="F6213" t="s">
        <v>1737</v>
      </c>
      <c r="K6213" t="str">
        <f>IF(ISBLANK('Q 6'!C148),"",IF('Q 6'!C148="&lt;please select&gt;","",'Q 6'!C148))</f>
        <v>26 - Production of primary aluminium</v>
      </c>
    </row>
    <row r="6214" spans="1:11" x14ac:dyDescent="0.3">
      <c r="A6214" t="s">
        <v>1985</v>
      </c>
      <c r="B6214" t="s">
        <v>1987</v>
      </c>
      <c r="C6214">
        <v>17</v>
      </c>
      <c r="D6214" t="s">
        <v>1447</v>
      </c>
      <c r="E6214" t="s">
        <v>1988</v>
      </c>
      <c r="F6214" t="s">
        <v>1737</v>
      </c>
      <c r="K6214" t="str">
        <f>IF(ISBLANK('Q 6'!C149),"",IF('Q 6'!C149="&lt;please select&gt;","",'Q 6'!C149))</f>
        <v>23 - Metal ore (including sulphide ore) roasting or sintering, including pelletisation</v>
      </c>
    </row>
    <row r="6215" spans="1:11" x14ac:dyDescent="0.3">
      <c r="A6215" t="s">
        <v>1985</v>
      </c>
      <c r="B6215" t="s">
        <v>1987</v>
      </c>
      <c r="C6215">
        <v>18</v>
      </c>
      <c r="D6215" t="s">
        <v>1447</v>
      </c>
      <c r="E6215" t="s">
        <v>1988</v>
      </c>
      <c r="F6215" t="s">
        <v>1737</v>
      </c>
      <c r="K6215" t="str">
        <f>IF(ISBLANK('Q 6'!C150),"",IF('Q 6'!C150="&lt;please select&gt;","",'Q 6'!C150))</f>
        <v xml:space="preserve">39 - Production of adipic acid </v>
      </c>
    </row>
    <row r="6216" spans="1:11" x14ac:dyDescent="0.3">
      <c r="A6216" t="s">
        <v>1985</v>
      </c>
      <c r="B6216" t="s">
        <v>1987</v>
      </c>
      <c r="C6216">
        <v>19</v>
      </c>
      <c r="D6216" t="s">
        <v>1447</v>
      </c>
      <c r="E6216" t="s">
        <v>1988</v>
      </c>
      <c r="F6216" t="s">
        <v>1737</v>
      </c>
      <c r="K6216" t="str">
        <f>IF(ISBLANK('Q 6'!C151),"",IF('Q 6'!C151="&lt;please select&gt;","",'Q 6'!C151))</f>
        <v xml:space="preserve">40 - Production of glyoxal and glyoxylic acid </v>
      </c>
    </row>
    <row r="6217" spans="1:11" x14ac:dyDescent="0.3">
      <c r="A6217" t="s">
        <v>1985</v>
      </c>
      <c r="B6217" t="s">
        <v>1987</v>
      </c>
      <c r="C6217">
        <v>20</v>
      </c>
      <c r="D6217" t="s">
        <v>1447</v>
      </c>
      <c r="E6217" t="s">
        <v>1988</v>
      </c>
      <c r="F6217" t="s">
        <v>1737</v>
      </c>
      <c r="K6217" t="str">
        <f>IF(ISBLANK('Q 6'!C152),"",IF('Q 6'!C152="&lt;please select&gt;","",'Q 6'!C152))</f>
        <v>44 - Production of soda ash (Na2CO3) and sodium bicarbonate (NaHCO3) as specified in Annex I of Directive 2003/87/EC</v>
      </c>
    </row>
    <row r="6218" spans="1:11" x14ac:dyDescent="0.3">
      <c r="A6218" t="s">
        <v>1985</v>
      </c>
      <c r="B6218" t="s">
        <v>1987</v>
      </c>
      <c r="C6218">
        <v>21</v>
      </c>
      <c r="D6218" t="s">
        <v>1447</v>
      </c>
      <c r="E6218" t="s">
        <v>1988</v>
      </c>
      <c r="F6218" t="s">
        <v>1737</v>
      </c>
      <c r="K6218" t="str">
        <f>IF(ISBLANK('Q 6'!C153),"",IF('Q 6'!C153="&lt;please select&gt;","",'Q 6'!C153))</f>
        <v xml:space="preserve">22 - Production of coke </v>
      </c>
    </row>
    <row r="6219" spans="1:11" x14ac:dyDescent="0.3">
      <c r="A6219" t="s">
        <v>1985</v>
      </c>
      <c r="B6219" t="s">
        <v>1987</v>
      </c>
      <c r="C6219">
        <v>22</v>
      </c>
      <c r="D6219" t="s">
        <v>1447</v>
      </c>
      <c r="E6219" t="s">
        <v>1988</v>
      </c>
      <c r="F6219" t="s">
        <v>1737</v>
      </c>
      <c r="K6219" t="str">
        <f>IF(ISBLANK('Q 6'!C154),"",IF('Q 6'!C154="&lt;please select&gt;","",'Q 6'!C154))</f>
        <v>20 - Combustion of fuels as specified in Annex I of Directive 2003/87/EC</v>
      </c>
    </row>
    <row r="6220" spans="1:11" x14ac:dyDescent="0.3">
      <c r="A6220" t="s">
        <v>1985</v>
      </c>
      <c r="B6220" t="s">
        <v>1987</v>
      </c>
      <c r="C6220">
        <v>23</v>
      </c>
      <c r="D6220" t="s">
        <v>1447</v>
      </c>
      <c r="E6220" t="s">
        <v>1988</v>
      </c>
      <c r="F6220" t="s">
        <v>1737</v>
      </c>
      <c r="K6220" t="str">
        <f>IF(ISBLANK('Q 6'!C155),"",IF('Q 6'!C155="&lt;please select&gt;","",'Q 6'!C155))</f>
        <v>33 - Manufacture of mineral wool insulation material using glass, rock or slag as specified in Annex I of Directive 2003/87/EC</v>
      </c>
    </row>
    <row r="6221" spans="1:11" x14ac:dyDescent="0.3">
      <c r="A6221" t="s">
        <v>1985</v>
      </c>
      <c r="B6221" t="s">
        <v>1987</v>
      </c>
      <c r="C6221">
        <v>24</v>
      </c>
      <c r="D6221" t="s">
        <v>1447</v>
      </c>
      <c r="E6221" t="s">
        <v>1988</v>
      </c>
      <c r="F6221" t="s">
        <v>1737</v>
      </c>
      <c r="K6221" t="str">
        <f>IF(ISBLANK('Q 6'!C156),"",IF('Q 6'!C156="&lt;please select&gt;","",'Q 6'!C156))</f>
        <v>35 - Production of pulp as specified in Annex I of Directive 2003/87/EC</v>
      </c>
    </row>
    <row r="6222" spans="1:11" x14ac:dyDescent="0.3">
      <c r="A6222" t="s">
        <v>1985</v>
      </c>
      <c r="B6222" t="s">
        <v>1987</v>
      </c>
      <c r="C6222">
        <v>25</v>
      </c>
      <c r="D6222" t="s">
        <v>1447</v>
      </c>
      <c r="E6222" t="s">
        <v>1988</v>
      </c>
      <c r="F6222" t="s">
        <v>1737</v>
      </c>
      <c r="K6222" t="str">
        <f>IF(ISBLANK('Q 6'!C157),"",IF('Q 6'!C157="&lt;please select&gt;","",'Q 6'!C157))</f>
        <v>31 - Manufacture of glass as specified in Annex I of Directive 2003/87/EC</v>
      </c>
    </row>
    <row r="6223" spans="1:11" x14ac:dyDescent="0.3">
      <c r="A6223" t="s">
        <v>1985</v>
      </c>
      <c r="B6223" t="s">
        <v>1987</v>
      </c>
      <c r="C6223">
        <v>26</v>
      </c>
      <c r="D6223" t="s">
        <v>1447</v>
      </c>
      <c r="E6223" t="s">
        <v>1988</v>
      </c>
      <c r="F6223" t="s">
        <v>1737</v>
      </c>
      <c r="K6223" t="str">
        <f>IF(ISBLANK('Q 6'!C158),"",IF('Q 6'!C158="&lt;please select&gt;","",'Q 6'!C158))</f>
        <v xml:space="preserve">36 - Production of paper or cardboard as specified in Annex I of Directive 2003/87/EC </v>
      </c>
    </row>
    <row r="6224" spans="1:11" x14ac:dyDescent="0.3">
      <c r="A6224" t="s">
        <v>1985</v>
      </c>
      <c r="B6224" t="s">
        <v>1987</v>
      </c>
      <c r="C6224">
        <v>27</v>
      </c>
      <c r="D6224" t="s">
        <v>1447</v>
      </c>
      <c r="E6224" t="s">
        <v>1988</v>
      </c>
      <c r="F6224" t="s">
        <v>1737</v>
      </c>
      <c r="K6224" t="str">
        <f>IF(ISBLANK('Q 6'!C159),"",IF('Q 6'!C159="&lt;please select&gt;","",'Q 6'!C159))</f>
        <v>34 - Drying or calcination of gypsum or production of plaster boards and other gypsum products, as specified in Annex I of Directive 2003/87/EC</v>
      </c>
    </row>
    <row r="6225" spans="1:11" x14ac:dyDescent="0.3">
      <c r="A6225" t="s">
        <v>1985</v>
      </c>
      <c r="B6225" t="s">
        <v>1987</v>
      </c>
      <c r="C6225">
        <v>28</v>
      </c>
      <c r="D6225" t="s">
        <v>1447</v>
      </c>
      <c r="E6225" t="s">
        <v>1988</v>
      </c>
      <c r="F6225" t="s">
        <v>1737</v>
      </c>
      <c r="K6225" t="str">
        <f>IF(ISBLANK('Q 6'!C160),"",IF('Q 6'!C160="&lt;please select&gt;","",'Q 6'!C160))</f>
        <v>32 - Manufacture of ceramic products as specified in Annex I of Directive 2003/87/EC</v>
      </c>
    </row>
    <row r="6226" spans="1:11" x14ac:dyDescent="0.3">
      <c r="A6226" t="s">
        <v>1985</v>
      </c>
      <c r="B6226" t="s">
        <v>1987</v>
      </c>
      <c r="C6226">
        <v>29</v>
      </c>
      <c r="D6226" t="s">
        <v>1447</v>
      </c>
      <c r="E6226" t="s">
        <v>1988</v>
      </c>
      <c r="F6226" t="s">
        <v>1737</v>
      </c>
      <c r="K6226" t="str">
        <f>IF(ISBLANK('Q 6'!C161),"",IF('Q 6'!C161="&lt;please select&gt;","",'Q 6'!C161))</f>
        <v>30 - Production of lime or calcination of dolomite or magnesite as specified in Annex I of Directive 2003/87/ EC</v>
      </c>
    </row>
    <row r="6227" spans="1:11" x14ac:dyDescent="0.3">
      <c r="A6227" t="s">
        <v>1985</v>
      </c>
      <c r="B6227" t="s">
        <v>1987</v>
      </c>
      <c r="C6227">
        <v>30</v>
      </c>
      <c r="D6227" t="s">
        <v>1447</v>
      </c>
      <c r="E6227" t="s">
        <v>1988</v>
      </c>
      <c r="F6227" t="s">
        <v>1737</v>
      </c>
      <c r="K6227" t="str">
        <f>IF(ISBLANK('Q 6'!C162),"",IF('Q 6'!C162="&lt;please select&gt;","",'Q 6'!C162))</f>
        <v xml:space="preserve">42 - Production of bulk organic chemicals as specified in Annex I of Directive 2003/87/EC </v>
      </c>
    </row>
    <row r="6228" spans="1:11" x14ac:dyDescent="0.3">
      <c r="A6228" t="s">
        <v>1985</v>
      </c>
      <c r="B6228" t="s">
        <v>1987</v>
      </c>
      <c r="C6228">
        <v>31</v>
      </c>
      <c r="D6228" t="s">
        <v>1447</v>
      </c>
      <c r="E6228" t="s">
        <v>1988</v>
      </c>
      <c r="F6228" t="s">
        <v>1737</v>
      </c>
      <c r="K6228" t="str">
        <f>IF(ISBLANK('Q 6'!C163),"",IF('Q 6'!C163="&lt;please select&gt;","",'Q 6'!C163))</f>
        <v xml:space="preserve">38 - Production of nitric acid </v>
      </c>
    </row>
    <row r="6229" spans="1:11" x14ac:dyDescent="0.3">
      <c r="A6229" t="s">
        <v>1985</v>
      </c>
      <c r="B6229" t="s">
        <v>1987</v>
      </c>
      <c r="C6229">
        <v>32</v>
      </c>
      <c r="D6229" t="s">
        <v>1447</v>
      </c>
      <c r="E6229" t="s">
        <v>1988</v>
      </c>
      <c r="F6229" t="s">
        <v>1737</v>
      </c>
      <c r="K6229" t="str">
        <f>IF(ISBLANK('Q 6'!C164),"",IF('Q 6'!C164="&lt;please select&gt;","",'Q 6'!C164))</f>
        <v>24 - Production of pig iron or steel as specified in Annex I of Directive 2003/87/EC</v>
      </c>
    </row>
    <row r="6230" spans="1:11" x14ac:dyDescent="0.3">
      <c r="A6230" t="s">
        <v>1985</v>
      </c>
      <c r="B6230" t="s">
        <v>1987</v>
      </c>
      <c r="C6230">
        <v>33</v>
      </c>
      <c r="D6230" t="s">
        <v>1447</v>
      </c>
      <c r="E6230" t="s">
        <v>1988</v>
      </c>
      <c r="F6230" t="s">
        <v>1737</v>
      </c>
      <c r="K6230" t="str">
        <f>IF(ISBLANK('Q 6'!C165),"",IF('Q 6'!C165="&lt;please select&gt;","",'Q 6'!C165))</f>
        <v>29 - Production of cement clinker in rotary kilns as specified in Annex I of Directive 2003/87/ EC</v>
      </c>
    </row>
    <row r="6231" spans="1:11" x14ac:dyDescent="0.3">
      <c r="A6231" t="s">
        <v>1985</v>
      </c>
      <c r="B6231" t="s">
        <v>1987</v>
      </c>
      <c r="C6231">
        <v>34</v>
      </c>
      <c r="D6231" t="s">
        <v>1447</v>
      </c>
      <c r="E6231" t="s">
        <v>1988</v>
      </c>
      <c r="F6231" t="s">
        <v>1737</v>
      </c>
      <c r="K6231" t="str">
        <f>IF(ISBLANK('Q 6'!C166),"",IF('Q 6'!C166="&lt;please select&gt;","",'Q 6'!C166))</f>
        <v xml:space="preserve">43 - Production of hydrogen (H2) and synthesis gas as specified in Annex I of Directive 2003/87/EC </v>
      </c>
    </row>
    <row r="6232" spans="1:11" x14ac:dyDescent="0.3">
      <c r="A6232" t="s">
        <v>1985</v>
      </c>
      <c r="B6232" t="s">
        <v>1987</v>
      </c>
      <c r="C6232">
        <v>35</v>
      </c>
      <c r="D6232" t="s">
        <v>1447</v>
      </c>
      <c r="E6232" t="s">
        <v>1988</v>
      </c>
      <c r="F6232" t="s">
        <v>1737</v>
      </c>
      <c r="K6232" t="str">
        <f>IF(ISBLANK('Q 6'!C167),"",IF('Q 6'!C167="&lt;please select&gt;","",'Q 6'!C167))</f>
        <v>23 - Metal ore (including sulphide ore) roasting or sintering, including pelletisation</v>
      </c>
    </row>
    <row r="6233" spans="1:11" x14ac:dyDescent="0.3">
      <c r="A6233" t="s">
        <v>1985</v>
      </c>
      <c r="B6233" t="s">
        <v>1987</v>
      </c>
      <c r="C6233">
        <v>36</v>
      </c>
      <c r="D6233" t="s">
        <v>1447</v>
      </c>
      <c r="E6233" t="s">
        <v>1988</v>
      </c>
      <c r="F6233" t="s">
        <v>1737</v>
      </c>
      <c r="K6233" t="str">
        <f>IF(ISBLANK('Q 6'!C168),"",IF('Q 6'!C168="&lt;please select&gt;","",'Q 6'!C168))</f>
        <v xml:space="preserve">39 - Production of adipic acid </v>
      </c>
    </row>
    <row r="6234" spans="1:11" x14ac:dyDescent="0.3">
      <c r="A6234" t="s">
        <v>1985</v>
      </c>
      <c r="B6234" t="s">
        <v>1987</v>
      </c>
      <c r="C6234">
        <v>37</v>
      </c>
      <c r="D6234" t="s">
        <v>1447</v>
      </c>
      <c r="E6234" t="s">
        <v>1988</v>
      </c>
      <c r="F6234" t="s">
        <v>1737</v>
      </c>
      <c r="K6234" t="str">
        <f>IF(ISBLANK('Q 6'!C169),"",IF('Q 6'!C169="&lt;please select&gt;","",'Q 6'!C169))</f>
        <v xml:space="preserve">22 - Production of coke </v>
      </c>
    </row>
    <row r="6235" spans="1:11" x14ac:dyDescent="0.3">
      <c r="A6235" t="s">
        <v>1985</v>
      </c>
      <c r="B6235" t="s">
        <v>1987</v>
      </c>
      <c r="C6235">
        <v>38</v>
      </c>
      <c r="D6235" t="s">
        <v>1447</v>
      </c>
      <c r="E6235" t="s">
        <v>1988</v>
      </c>
      <c r="F6235" t="s">
        <v>1737</v>
      </c>
      <c r="K6235" t="str">
        <f>IF(ISBLANK('Q 6'!C170),"",IF('Q 6'!C170="&lt;please select&gt;","",'Q 6'!C170))</f>
        <v>20 - Combustion of fuels as specified in Annex I of Directive 2003/87/EC</v>
      </c>
    </row>
    <row r="6236" spans="1:11" x14ac:dyDescent="0.3">
      <c r="A6236" t="s">
        <v>1985</v>
      </c>
      <c r="B6236" t="s">
        <v>1987</v>
      </c>
      <c r="C6236">
        <v>39</v>
      </c>
      <c r="D6236" t="s">
        <v>1447</v>
      </c>
      <c r="E6236" t="s">
        <v>1988</v>
      </c>
      <c r="F6236" t="s">
        <v>1737</v>
      </c>
      <c r="K6236" t="str">
        <f>IF(ISBLANK('Q 6'!C171),"",IF('Q 6'!C171="&lt;please select&gt;","",'Q 6'!C171))</f>
        <v>33 - Manufacture of mineral wool insulation material using glass, rock or slag as specified in Annex I of Directive 2003/87/EC</v>
      </c>
    </row>
    <row r="6237" spans="1:11" x14ac:dyDescent="0.3">
      <c r="A6237" t="s">
        <v>1985</v>
      </c>
      <c r="B6237" t="s">
        <v>1987</v>
      </c>
      <c r="C6237">
        <v>40</v>
      </c>
      <c r="D6237" t="s">
        <v>1447</v>
      </c>
      <c r="E6237" t="s">
        <v>1988</v>
      </c>
      <c r="F6237" t="s">
        <v>1737</v>
      </c>
      <c r="K6237" t="str">
        <f>IF(ISBLANK('Q 6'!C172),"",IF('Q 6'!C172="&lt;please select&gt;","",'Q 6'!C172))</f>
        <v>35 - Production of pulp as specified in Annex I of Directive 2003/87/EC</v>
      </c>
    </row>
    <row r="6238" spans="1:11" x14ac:dyDescent="0.3">
      <c r="A6238" t="s">
        <v>1985</v>
      </c>
      <c r="B6238" t="s">
        <v>1987</v>
      </c>
      <c r="C6238">
        <v>41</v>
      </c>
      <c r="D6238" t="s">
        <v>1447</v>
      </c>
      <c r="E6238" t="s">
        <v>1988</v>
      </c>
      <c r="F6238" t="s">
        <v>1737</v>
      </c>
      <c r="K6238" t="str">
        <f>IF(ISBLANK('Q 6'!C173),"",IF('Q 6'!C173="&lt;please select&gt;","",'Q 6'!C173))</f>
        <v>31 - Manufacture of glass as specified in Annex I of Directive 2003/87/EC</v>
      </c>
    </row>
    <row r="6239" spans="1:11" x14ac:dyDescent="0.3">
      <c r="A6239" t="s">
        <v>1985</v>
      </c>
      <c r="B6239" t="s">
        <v>1987</v>
      </c>
      <c r="C6239">
        <v>42</v>
      </c>
      <c r="D6239" t="s">
        <v>1447</v>
      </c>
      <c r="E6239" t="s">
        <v>1988</v>
      </c>
      <c r="F6239" t="s">
        <v>1737</v>
      </c>
      <c r="K6239" t="str">
        <f>IF(ISBLANK('Q 6'!C174),"",IF('Q 6'!C174="&lt;please select&gt;","",'Q 6'!C174))</f>
        <v xml:space="preserve">36 - Production of paper or cardboard as specified in Annex I of Directive 2003/87/EC </v>
      </c>
    </row>
    <row r="6240" spans="1:11" x14ac:dyDescent="0.3">
      <c r="A6240" t="s">
        <v>1985</v>
      </c>
      <c r="B6240" t="s">
        <v>1987</v>
      </c>
      <c r="C6240">
        <v>43</v>
      </c>
      <c r="D6240" t="s">
        <v>1447</v>
      </c>
      <c r="E6240" t="s">
        <v>1988</v>
      </c>
      <c r="F6240" t="s">
        <v>1737</v>
      </c>
      <c r="K6240" t="str">
        <f>IF(ISBLANK('Q 6'!C175),"",IF('Q 6'!C175="&lt;please select&gt;","",'Q 6'!C175))</f>
        <v>34 - Drying or calcination of gypsum or production of plaster boards and other gypsum products, as specified in Annex I of Directive 2003/87/EC</v>
      </c>
    </row>
    <row r="6241" spans="1:11" x14ac:dyDescent="0.3">
      <c r="A6241" t="s">
        <v>1985</v>
      </c>
      <c r="B6241" t="s">
        <v>1987</v>
      </c>
      <c r="C6241">
        <v>44</v>
      </c>
      <c r="D6241" t="s">
        <v>1447</v>
      </c>
      <c r="E6241" t="s">
        <v>1988</v>
      </c>
      <c r="F6241" t="s">
        <v>1737</v>
      </c>
      <c r="K6241" t="str">
        <f>IF(ISBLANK('Q 6'!C176),"",IF('Q 6'!C176="&lt;please select&gt;","",'Q 6'!C176))</f>
        <v>27 - Production of secondary aluminium as specific in Annex I of Directive 2003/87/EC</v>
      </c>
    </row>
    <row r="6242" spans="1:11" x14ac:dyDescent="0.3">
      <c r="A6242" t="s">
        <v>1985</v>
      </c>
      <c r="B6242" t="s">
        <v>1987</v>
      </c>
      <c r="C6242">
        <v>45</v>
      </c>
      <c r="D6242" t="s">
        <v>1447</v>
      </c>
      <c r="E6242" t="s">
        <v>1988</v>
      </c>
      <c r="F6242" t="s">
        <v>1737</v>
      </c>
      <c r="K6242" t="str">
        <f>IF(ISBLANK('Q 6'!C177),"",IF('Q 6'!C177="&lt;please select&gt;","",'Q 6'!C177))</f>
        <v>32 - Manufacture of ceramic products as specified in Annex I of Directive 2003/87/EC</v>
      </c>
    </row>
    <row r="6243" spans="1:11" x14ac:dyDescent="0.3">
      <c r="A6243" t="s">
        <v>1985</v>
      </c>
      <c r="B6243" t="s">
        <v>1987</v>
      </c>
      <c r="C6243">
        <v>46</v>
      </c>
      <c r="D6243" t="s">
        <v>1447</v>
      </c>
      <c r="E6243" t="s">
        <v>1988</v>
      </c>
      <c r="F6243" t="s">
        <v>1737</v>
      </c>
      <c r="K6243" t="str">
        <f>IF(ISBLANK('Q 6'!C178),"",IF('Q 6'!C178="&lt;please select&gt;","",'Q 6'!C178))</f>
        <v>30 - Production of lime or calcination of dolomite or magnesite as specified in Annex I of Directive 2003/87/ EC</v>
      </c>
    </row>
    <row r="6244" spans="1:11" x14ac:dyDescent="0.3">
      <c r="A6244" t="s">
        <v>1985</v>
      </c>
      <c r="B6244" t="s">
        <v>1987</v>
      </c>
      <c r="C6244">
        <v>47</v>
      </c>
      <c r="D6244" t="s">
        <v>1447</v>
      </c>
      <c r="E6244" t="s">
        <v>1988</v>
      </c>
      <c r="F6244" t="s">
        <v>1737</v>
      </c>
      <c r="K6244" t="str">
        <f>IF(ISBLANK('Q 6'!C179),"",IF('Q 6'!C179="&lt;please select&gt;","",'Q 6'!C179))</f>
        <v xml:space="preserve">42 - Production of bulk organic chemicals as specified in Annex I of Directive 2003/87/EC </v>
      </c>
    </row>
    <row r="6245" spans="1:11" x14ac:dyDescent="0.3">
      <c r="A6245" t="s">
        <v>1985</v>
      </c>
      <c r="B6245" t="s">
        <v>1987</v>
      </c>
      <c r="C6245">
        <v>48</v>
      </c>
      <c r="D6245" t="s">
        <v>1447</v>
      </c>
      <c r="E6245" t="s">
        <v>1988</v>
      </c>
      <c r="F6245" t="s">
        <v>1737</v>
      </c>
      <c r="K6245" t="str">
        <f>IF(ISBLANK('Q 6'!C180),"",IF('Q 6'!C180="&lt;please select&gt;","",'Q 6'!C180))</f>
        <v xml:space="preserve">38 - Production of nitric acid </v>
      </c>
    </row>
    <row r="6246" spans="1:11" x14ac:dyDescent="0.3">
      <c r="A6246" t="s">
        <v>1985</v>
      </c>
      <c r="B6246" t="s">
        <v>1987</v>
      </c>
      <c r="C6246">
        <v>49</v>
      </c>
      <c r="D6246" t="s">
        <v>1447</v>
      </c>
      <c r="E6246" t="s">
        <v>1988</v>
      </c>
      <c r="F6246" t="s">
        <v>1737</v>
      </c>
      <c r="K6246" t="str">
        <f>IF(ISBLANK('Q 6'!C181),"",IF('Q 6'!C181="&lt;please select&gt;","",'Q 6'!C181))</f>
        <v>24 - Production of pig iron or steel as specified in Annex I of Directive 2003/87/EC</v>
      </c>
    </row>
    <row r="6247" spans="1:11" x14ac:dyDescent="0.3">
      <c r="A6247" t="s">
        <v>1985</v>
      </c>
      <c r="B6247" t="s">
        <v>1987</v>
      </c>
      <c r="C6247">
        <v>50</v>
      </c>
      <c r="D6247" t="s">
        <v>1447</v>
      </c>
      <c r="E6247" t="s">
        <v>1988</v>
      </c>
      <c r="F6247" t="s">
        <v>1737</v>
      </c>
      <c r="K6247" t="str">
        <f>IF(ISBLANK('Q 6'!C182),"",IF('Q 6'!C182="&lt;please select&gt;","",'Q 6'!C182))</f>
        <v>21 - Refining of mineral oil</v>
      </c>
    </row>
    <row r="6248" spans="1:11" x14ac:dyDescent="0.3">
      <c r="A6248" t="s">
        <v>1985</v>
      </c>
      <c r="B6248" t="s">
        <v>1987</v>
      </c>
      <c r="C6248">
        <v>51</v>
      </c>
      <c r="D6248" t="s">
        <v>1447</v>
      </c>
      <c r="E6248" t="s">
        <v>1988</v>
      </c>
      <c r="F6248" t="s">
        <v>1737</v>
      </c>
      <c r="K6248" t="str">
        <f>IF(ISBLANK('Q 6'!C183),"",IF('Q 6'!C183="&lt;please select&gt;","",'Q 6'!C183))</f>
        <v>29 - Production of cement clinker in rotary kilns as specified in Annex I of Directive 2003/87/ EC</v>
      </c>
    </row>
    <row r="6249" spans="1:11" x14ac:dyDescent="0.3">
      <c r="A6249" t="s">
        <v>1985</v>
      </c>
      <c r="B6249" t="s">
        <v>1987</v>
      </c>
      <c r="C6249">
        <v>52</v>
      </c>
      <c r="D6249" t="s">
        <v>1447</v>
      </c>
      <c r="E6249" t="s">
        <v>1988</v>
      </c>
      <c r="F6249" t="s">
        <v>1737</v>
      </c>
      <c r="K6249" t="str">
        <f>IF(ISBLANK('Q 6'!C184),"",IF('Q 6'!C184="&lt;please select&gt;","",'Q 6'!C184))</f>
        <v xml:space="preserve">41 - Production of ammonia </v>
      </c>
    </row>
    <row r="6250" spans="1:11" x14ac:dyDescent="0.3">
      <c r="A6250" t="s">
        <v>1985</v>
      </c>
      <c r="B6250" t="s">
        <v>1987</v>
      </c>
      <c r="C6250">
        <v>53</v>
      </c>
      <c r="D6250" t="s">
        <v>1447</v>
      </c>
      <c r="E6250" t="s">
        <v>1988</v>
      </c>
      <c r="F6250" t="s">
        <v>1737</v>
      </c>
      <c r="K6250" t="str">
        <f>IF(ISBLANK('Q 6'!C185),"",IF('Q 6'!C185="&lt;please select&gt;","",'Q 6'!C185))</f>
        <v xml:space="preserve">43 - Production of hydrogen (H2) and synthesis gas as specified in Annex I of Directive 2003/87/EC </v>
      </c>
    </row>
    <row r="6251" spans="1:11" x14ac:dyDescent="0.3">
      <c r="A6251" t="s">
        <v>1985</v>
      </c>
      <c r="B6251" t="s">
        <v>1987</v>
      </c>
      <c r="C6251">
        <v>54</v>
      </c>
      <c r="D6251" t="s">
        <v>1447</v>
      </c>
      <c r="E6251" t="s">
        <v>1988</v>
      </c>
      <c r="F6251" t="s">
        <v>1737</v>
      </c>
      <c r="K6251" t="str">
        <f>IF(ISBLANK('Q 6'!C186),"",IF('Q 6'!C186="&lt;please select&gt;","",'Q 6'!C186))</f>
        <v>23 - Metal ore (including sulphide ore) roasting or sintering, including pelletisation</v>
      </c>
    </row>
    <row r="6252" spans="1:11" x14ac:dyDescent="0.3">
      <c r="A6252" t="s">
        <v>1985</v>
      </c>
      <c r="B6252" t="s">
        <v>1987</v>
      </c>
      <c r="C6252">
        <v>55</v>
      </c>
      <c r="D6252" t="s">
        <v>1447</v>
      </c>
      <c r="E6252" t="s">
        <v>1988</v>
      </c>
      <c r="F6252" t="s">
        <v>1737</v>
      </c>
      <c r="K6252" t="str">
        <f>IF(ISBLANK('Q 6'!C187),"",IF('Q 6'!C187="&lt;please select&gt;","",'Q 6'!C187))</f>
        <v xml:space="preserve">39 - Production of adipic acid </v>
      </c>
    </row>
    <row r="6253" spans="1:11" x14ac:dyDescent="0.3">
      <c r="A6253" t="s">
        <v>1985</v>
      </c>
      <c r="B6253" t="s">
        <v>1987</v>
      </c>
      <c r="C6253">
        <v>56</v>
      </c>
      <c r="D6253" t="s">
        <v>1447</v>
      </c>
      <c r="E6253" t="s">
        <v>1988</v>
      </c>
      <c r="F6253" t="s">
        <v>1737</v>
      </c>
      <c r="K6253" t="str">
        <f>IF(ISBLANK('Q 6'!C188),"",IF('Q 6'!C188="&lt;please select&gt;","",'Q 6'!C188))</f>
        <v>44 - Production of soda ash (Na2CO3) and sodium bicarbonate (NaHCO3) as specified in Annex I of Directive 2003/87/EC</v>
      </c>
    </row>
    <row r="6254" spans="1:11" x14ac:dyDescent="0.3">
      <c r="A6254" t="s">
        <v>1985</v>
      </c>
      <c r="B6254" t="s">
        <v>1987</v>
      </c>
      <c r="C6254">
        <v>57</v>
      </c>
      <c r="D6254" t="s">
        <v>1447</v>
      </c>
      <c r="E6254" t="s">
        <v>1988</v>
      </c>
      <c r="F6254" t="s">
        <v>1737</v>
      </c>
      <c r="K6254" t="str">
        <f>IF(ISBLANK('Q 6'!C189),"",IF('Q 6'!C189="&lt;please select&gt;","",'Q 6'!C189))</f>
        <v xml:space="preserve">22 - Production of coke </v>
      </c>
    </row>
    <row r="6255" spans="1:11" x14ac:dyDescent="0.3">
      <c r="A6255" t="s">
        <v>1985</v>
      </c>
      <c r="B6255" t="s">
        <v>1987</v>
      </c>
      <c r="C6255">
        <v>58</v>
      </c>
      <c r="D6255" t="s">
        <v>1447</v>
      </c>
      <c r="E6255" t="s">
        <v>1988</v>
      </c>
      <c r="F6255" t="s">
        <v>1737</v>
      </c>
      <c r="K6255" t="str">
        <f>IF(ISBLANK('Q 6'!C190),"",IF('Q 6'!C190="&lt;please select&gt;","",'Q 6'!C190))</f>
        <v>20 - Combustion of fuels as specified in Annex I of Directive 2003/87/EC</v>
      </c>
    </row>
    <row r="6256" spans="1:11" x14ac:dyDescent="0.3">
      <c r="A6256" t="s">
        <v>1985</v>
      </c>
      <c r="B6256" t="s">
        <v>1987</v>
      </c>
      <c r="C6256">
        <v>59</v>
      </c>
      <c r="D6256" t="s">
        <v>1447</v>
      </c>
      <c r="E6256" t="s">
        <v>1988</v>
      </c>
      <c r="F6256" t="s">
        <v>1737</v>
      </c>
      <c r="K6256" t="str">
        <f>IF(ISBLANK('Q 6'!C191),"",IF('Q 6'!C191="&lt;please select&gt;","",'Q 6'!C191))</f>
        <v>33 - Manufacture of mineral wool insulation material using glass, rock or slag as specified in Annex I of Directive 2003/87/EC</v>
      </c>
    </row>
    <row r="6257" spans="1:11" x14ac:dyDescent="0.3">
      <c r="A6257" t="s">
        <v>1985</v>
      </c>
      <c r="B6257" t="s">
        <v>1987</v>
      </c>
      <c r="C6257">
        <v>60</v>
      </c>
      <c r="D6257" t="s">
        <v>1447</v>
      </c>
      <c r="E6257" t="s">
        <v>1988</v>
      </c>
      <c r="F6257" t="s">
        <v>1737</v>
      </c>
      <c r="K6257" t="str">
        <f>IF(ISBLANK('Q 6'!C192),"",IF('Q 6'!C192="&lt;please select&gt;","",'Q 6'!C192))</f>
        <v>35 - Production of pulp as specified in Annex I of Directive 2003/87/EC</v>
      </c>
    </row>
    <row r="6258" spans="1:11" x14ac:dyDescent="0.3">
      <c r="A6258" t="s">
        <v>1985</v>
      </c>
      <c r="B6258" t="s">
        <v>1987</v>
      </c>
      <c r="C6258">
        <v>61</v>
      </c>
      <c r="D6258" t="s">
        <v>1447</v>
      </c>
      <c r="E6258" t="s">
        <v>1988</v>
      </c>
      <c r="F6258" t="s">
        <v>1737</v>
      </c>
      <c r="K6258" t="str">
        <f>IF(ISBLANK('Q 6'!C193),"",IF('Q 6'!C193="&lt;please select&gt;","",'Q 6'!C193))</f>
        <v>31 - Manufacture of glass as specified in Annex I of Directive 2003/87/EC</v>
      </c>
    </row>
    <row r="6259" spans="1:11" x14ac:dyDescent="0.3">
      <c r="A6259" t="s">
        <v>1985</v>
      </c>
      <c r="B6259" t="s">
        <v>1987</v>
      </c>
      <c r="C6259">
        <v>62</v>
      </c>
      <c r="D6259" t="s">
        <v>1447</v>
      </c>
      <c r="E6259" t="s">
        <v>1988</v>
      </c>
      <c r="F6259" t="s">
        <v>1737</v>
      </c>
      <c r="K6259" t="str">
        <f>IF(ISBLANK('Q 6'!C194),"",IF('Q 6'!C194="&lt;please select&gt;","",'Q 6'!C194))</f>
        <v xml:space="preserve">36 - Production of paper or cardboard as specified in Annex I of Directive 2003/87/EC </v>
      </c>
    </row>
    <row r="6260" spans="1:11" x14ac:dyDescent="0.3">
      <c r="A6260" t="s">
        <v>1985</v>
      </c>
      <c r="B6260" t="s">
        <v>1987</v>
      </c>
      <c r="C6260">
        <v>63</v>
      </c>
      <c r="D6260" t="s">
        <v>1447</v>
      </c>
      <c r="E6260" t="s">
        <v>1988</v>
      </c>
      <c r="F6260" t="s">
        <v>1737</v>
      </c>
      <c r="K6260" t="str">
        <f>IF(ISBLANK('Q 6'!C195),"",IF('Q 6'!C195="&lt;please select&gt;","",'Q 6'!C195))</f>
        <v>34 - Drying or calcination of gypsum or production of plaster boards and other gypsum products, as specified in Annex I of Directive 2003/87/EC</v>
      </c>
    </row>
    <row r="6261" spans="1:11" x14ac:dyDescent="0.3">
      <c r="A6261" t="s">
        <v>1985</v>
      </c>
      <c r="B6261" t="s">
        <v>1987</v>
      </c>
      <c r="C6261">
        <v>64</v>
      </c>
      <c r="D6261" t="s">
        <v>1447</v>
      </c>
      <c r="E6261" t="s">
        <v>1988</v>
      </c>
      <c r="F6261" t="s">
        <v>1737</v>
      </c>
      <c r="K6261" t="str">
        <f>IF(ISBLANK('Q 6'!C196),"",IF('Q 6'!C196="&lt;please select&gt;","",'Q 6'!C196))</f>
        <v>27 - Production of secondary aluminium as specific in Annex I of Directive 2003/87/EC</v>
      </c>
    </row>
    <row r="6262" spans="1:11" x14ac:dyDescent="0.3">
      <c r="A6262" t="s">
        <v>1985</v>
      </c>
      <c r="B6262" t="s">
        <v>1987</v>
      </c>
      <c r="C6262">
        <v>65</v>
      </c>
      <c r="D6262" t="s">
        <v>1447</v>
      </c>
      <c r="E6262" t="s">
        <v>1988</v>
      </c>
      <c r="F6262" t="s">
        <v>1737</v>
      </c>
      <c r="K6262" t="str">
        <f>IF(ISBLANK('Q 6'!C197),"",IF('Q 6'!C197="&lt;please select&gt;","",'Q 6'!C197))</f>
        <v>32 - Manufacture of ceramic products as specified in Annex I of Directive 2003/87/EC</v>
      </c>
    </row>
    <row r="6263" spans="1:11" x14ac:dyDescent="0.3">
      <c r="A6263" t="s">
        <v>1985</v>
      </c>
      <c r="B6263" t="s">
        <v>1987</v>
      </c>
      <c r="C6263">
        <v>66</v>
      </c>
      <c r="D6263" t="s">
        <v>1447</v>
      </c>
      <c r="E6263" t="s">
        <v>1988</v>
      </c>
      <c r="F6263" t="s">
        <v>1737</v>
      </c>
      <c r="K6263" t="str">
        <f>IF(ISBLANK('Q 6'!C198),"",IF('Q 6'!C198="&lt;please select&gt;","",'Q 6'!C198))</f>
        <v>30 - Production of lime or calcination of dolomite or magnesite as specified in Annex I of Directive 2003/87/ EC</v>
      </c>
    </row>
    <row r="6264" spans="1:11" x14ac:dyDescent="0.3">
      <c r="A6264" t="s">
        <v>1985</v>
      </c>
      <c r="B6264" t="s">
        <v>1987</v>
      </c>
      <c r="C6264">
        <v>67</v>
      </c>
      <c r="D6264" t="s">
        <v>1447</v>
      </c>
      <c r="E6264" t="s">
        <v>1988</v>
      </c>
      <c r="F6264" t="s">
        <v>1737</v>
      </c>
      <c r="K6264" t="str">
        <f>IF(ISBLANK('Q 6'!C199),"",IF('Q 6'!C199="&lt;please select&gt;","",'Q 6'!C199))</f>
        <v xml:space="preserve">42 - Production of bulk organic chemicals as specified in Annex I of Directive 2003/87/EC </v>
      </c>
    </row>
    <row r="6265" spans="1:11" x14ac:dyDescent="0.3">
      <c r="A6265" t="s">
        <v>1985</v>
      </c>
      <c r="B6265" t="s">
        <v>1987</v>
      </c>
      <c r="C6265">
        <v>68</v>
      </c>
      <c r="D6265" t="s">
        <v>1447</v>
      </c>
      <c r="E6265" t="s">
        <v>1988</v>
      </c>
      <c r="F6265" t="s">
        <v>1737</v>
      </c>
      <c r="K6265" t="str">
        <f>IF(ISBLANK('Q 6'!C200),"",IF('Q 6'!C200="&lt;please select&gt;","",'Q 6'!C200))</f>
        <v xml:space="preserve">38 - Production of nitric acid </v>
      </c>
    </row>
    <row r="6266" spans="1:11" x14ac:dyDescent="0.3">
      <c r="A6266" t="s">
        <v>1985</v>
      </c>
      <c r="B6266" t="s">
        <v>1987</v>
      </c>
      <c r="C6266">
        <v>69</v>
      </c>
      <c r="D6266" t="s">
        <v>1447</v>
      </c>
      <c r="E6266" t="s">
        <v>1988</v>
      </c>
      <c r="F6266" t="s">
        <v>1737</v>
      </c>
      <c r="K6266" t="str">
        <f>IF(ISBLANK('Q 6'!C201),"",IF('Q 6'!C201="&lt;please select&gt;","",'Q 6'!C201))</f>
        <v>24 - Production of pig iron or steel as specified in Annex I of Directive 2003/87/EC</v>
      </c>
    </row>
    <row r="6267" spans="1:11" x14ac:dyDescent="0.3">
      <c r="A6267" t="s">
        <v>1985</v>
      </c>
      <c r="B6267" t="s">
        <v>1987</v>
      </c>
      <c r="C6267">
        <v>70</v>
      </c>
      <c r="D6267" t="s">
        <v>1447</v>
      </c>
      <c r="E6267" t="s">
        <v>1988</v>
      </c>
      <c r="F6267" t="s">
        <v>1737</v>
      </c>
      <c r="K6267" t="str">
        <f>IF(ISBLANK('Q 6'!C202),"",IF('Q 6'!C202="&lt;please select&gt;","",'Q 6'!C202))</f>
        <v>21 - Refining of mineral oil</v>
      </c>
    </row>
    <row r="6268" spans="1:11" x14ac:dyDescent="0.3">
      <c r="A6268" t="s">
        <v>1985</v>
      </c>
      <c r="B6268" t="s">
        <v>1987</v>
      </c>
      <c r="C6268">
        <v>71</v>
      </c>
      <c r="D6268" t="s">
        <v>1447</v>
      </c>
      <c r="E6268" t="s">
        <v>1988</v>
      </c>
      <c r="F6268" t="s">
        <v>1737</v>
      </c>
      <c r="K6268" t="str">
        <f>IF(ISBLANK('Q 6'!C203),"",IF('Q 6'!C203="&lt;please select&gt;","",'Q 6'!C203))</f>
        <v>29 - Production of cement clinker in rotary kilns as specified in Annex I of Directive 2003/87/ EC</v>
      </c>
    </row>
    <row r="6269" spans="1:11" x14ac:dyDescent="0.3">
      <c r="A6269" t="s">
        <v>1985</v>
      </c>
      <c r="B6269" t="s">
        <v>1987</v>
      </c>
      <c r="C6269">
        <v>72</v>
      </c>
      <c r="D6269" t="s">
        <v>1447</v>
      </c>
      <c r="E6269" t="s">
        <v>1988</v>
      </c>
      <c r="F6269" t="s">
        <v>1737</v>
      </c>
      <c r="K6269" t="str">
        <f>IF(ISBLANK('Q 6'!C204),"",IF('Q 6'!C204="&lt;please select&gt;","",'Q 6'!C204))</f>
        <v xml:space="preserve">41 - Production of ammonia </v>
      </c>
    </row>
    <row r="6270" spans="1:11" x14ac:dyDescent="0.3">
      <c r="A6270" t="s">
        <v>1985</v>
      </c>
      <c r="B6270" t="s">
        <v>1987</v>
      </c>
      <c r="C6270">
        <v>73</v>
      </c>
      <c r="D6270" t="s">
        <v>1447</v>
      </c>
      <c r="E6270" t="s">
        <v>1988</v>
      </c>
      <c r="F6270" t="s">
        <v>1737</v>
      </c>
      <c r="K6270" t="str">
        <f>IF(ISBLANK('Q 6'!C205),"",IF('Q 6'!C205="&lt;please select&gt;","",'Q 6'!C205))</f>
        <v xml:space="preserve">43 - Production of hydrogen (H2) and synthesis gas as specified in Annex I of Directive 2003/87/EC </v>
      </c>
    </row>
    <row r="6271" spans="1:11" x14ac:dyDescent="0.3">
      <c r="A6271" t="s">
        <v>1985</v>
      </c>
      <c r="B6271" t="s">
        <v>1987</v>
      </c>
      <c r="C6271">
        <v>74</v>
      </c>
      <c r="D6271" t="s">
        <v>1447</v>
      </c>
      <c r="E6271" t="s">
        <v>1988</v>
      </c>
      <c r="F6271" t="s">
        <v>1737</v>
      </c>
      <c r="K6271" t="str">
        <f>IF(ISBLANK('Q 6'!C206),"",IF('Q 6'!C206="&lt;please select&gt;","",'Q 6'!C206))</f>
        <v>23 - Metal ore (including sulphide ore) roasting or sintering, including pelletisation</v>
      </c>
    </row>
    <row r="6272" spans="1:11" x14ac:dyDescent="0.3">
      <c r="A6272" t="s">
        <v>1985</v>
      </c>
      <c r="B6272" t="s">
        <v>1987</v>
      </c>
      <c r="C6272">
        <v>75</v>
      </c>
      <c r="D6272" t="s">
        <v>1447</v>
      </c>
      <c r="E6272" t="s">
        <v>1988</v>
      </c>
      <c r="F6272" t="s">
        <v>1737</v>
      </c>
      <c r="K6272" t="str">
        <f>IF(ISBLANK('Q 6'!C207),"",IF('Q 6'!C207="&lt;please select&gt;","",'Q 6'!C207))</f>
        <v xml:space="preserve">39 - Production of adipic acid </v>
      </c>
    </row>
    <row r="6273" spans="1:11" x14ac:dyDescent="0.3">
      <c r="A6273" t="s">
        <v>1985</v>
      </c>
      <c r="B6273" t="s">
        <v>1987</v>
      </c>
      <c r="C6273">
        <v>76</v>
      </c>
      <c r="D6273" t="s">
        <v>1447</v>
      </c>
      <c r="E6273" t="s">
        <v>1988</v>
      </c>
      <c r="F6273" t="s">
        <v>1737</v>
      </c>
      <c r="K6273" t="str">
        <f>IF(ISBLANK('Q 6'!C208),"",IF('Q 6'!C208="&lt;please select&gt;","",'Q 6'!C208))</f>
        <v xml:space="preserve">40 - Production of glyoxal and glyoxylic acid </v>
      </c>
    </row>
    <row r="6274" spans="1:11" x14ac:dyDescent="0.3">
      <c r="A6274" t="s">
        <v>1985</v>
      </c>
      <c r="B6274" t="s">
        <v>1987</v>
      </c>
      <c r="C6274">
        <v>77</v>
      </c>
      <c r="D6274" t="s">
        <v>1447</v>
      </c>
      <c r="E6274" t="s">
        <v>1988</v>
      </c>
      <c r="F6274" t="s">
        <v>1737</v>
      </c>
      <c r="K6274" t="str">
        <f>IF(ISBLANK('Q 6'!C209),"",IF('Q 6'!C209="&lt;please select&gt;","",'Q 6'!C209))</f>
        <v>44 - Production of soda ash (Na2CO3) and sodium bicarbonate (NaHCO3) as specified in Annex I of Directive 2003/87/EC</v>
      </c>
    </row>
    <row r="6275" spans="1:11" x14ac:dyDescent="0.3">
      <c r="A6275" t="s">
        <v>1985</v>
      </c>
      <c r="B6275" t="s">
        <v>1987</v>
      </c>
      <c r="C6275">
        <v>78</v>
      </c>
      <c r="D6275" t="s">
        <v>1447</v>
      </c>
      <c r="E6275" t="s">
        <v>1988</v>
      </c>
      <c r="F6275" t="s">
        <v>1737</v>
      </c>
      <c r="K6275" t="str">
        <f>IF(ISBLANK('Q 6'!C210),"",IF('Q 6'!C210="&lt;please select&gt;","",'Q 6'!C210))</f>
        <v xml:space="preserve">22 - Production of coke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Non-compliance with Implementing Regulation (EU) 2018/2066</v>
      </c>
    </row>
    <row r="6289" spans="1:11" x14ac:dyDescent="0.3">
      <c r="A6289" t="s">
        <v>1985</v>
      </c>
      <c r="B6289" t="s">
        <v>1987</v>
      </c>
      <c r="C6289">
        <v>2</v>
      </c>
      <c r="D6289" t="s">
        <v>1447</v>
      </c>
      <c r="E6289" t="s">
        <v>1989</v>
      </c>
      <c r="F6289" t="s">
        <v>1737</v>
      </c>
      <c r="K6289" t="str">
        <f>IF(ISBLANK('Q 6'!E134),"",IF('Q 6'!E134="&lt;please select&gt;","",'Q 6'!E134))</f>
        <v>Non-compliance with Implementing Regulation (EU) 2018/2066</v>
      </c>
    </row>
    <row r="6290" spans="1:11" x14ac:dyDescent="0.3">
      <c r="A6290" t="s">
        <v>1985</v>
      </c>
      <c r="B6290" t="s">
        <v>1987</v>
      </c>
      <c r="C6290">
        <v>3</v>
      </c>
      <c r="D6290" t="s">
        <v>1447</v>
      </c>
      <c r="E6290" t="s">
        <v>1989</v>
      </c>
      <c r="F6290" t="s">
        <v>1737</v>
      </c>
      <c r="K6290" t="str">
        <f>IF(ISBLANK('Q 6'!E135),"",IF('Q 6'!E135="&lt;please select&gt;","",'Q 6'!E135))</f>
        <v>Non-compliance with Implementing Regulation (EU) 2018/2066</v>
      </c>
    </row>
    <row r="6291" spans="1:11" x14ac:dyDescent="0.3">
      <c r="A6291" t="s">
        <v>1985</v>
      </c>
      <c r="B6291" t="s">
        <v>1987</v>
      </c>
      <c r="C6291">
        <v>4</v>
      </c>
      <c r="D6291" t="s">
        <v>1447</v>
      </c>
      <c r="E6291" t="s">
        <v>1989</v>
      </c>
      <c r="F6291" t="s">
        <v>1737</v>
      </c>
      <c r="K6291" t="str">
        <f>IF(ISBLANK('Q 6'!E136),"",IF('Q 6'!E136="&lt;please select&gt;","",'Q 6'!E136))</f>
        <v>Non-compliance with Implementing Regulation (EU) 2018/2066</v>
      </c>
    </row>
    <row r="6292" spans="1:11" x14ac:dyDescent="0.3">
      <c r="A6292" t="s">
        <v>1985</v>
      </c>
      <c r="B6292" t="s">
        <v>1987</v>
      </c>
      <c r="C6292">
        <v>5</v>
      </c>
      <c r="D6292" t="s">
        <v>1447</v>
      </c>
      <c r="E6292" t="s">
        <v>1989</v>
      </c>
      <c r="F6292" t="s">
        <v>1737</v>
      </c>
      <c r="K6292" t="str">
        <f>IF(ISBLANK('Q 6'!E137),"",IF('Q 6'!E137="&lt;please select&gt;","",'Q 6'!E137))</f>
        <v>Non-compliance with Implementing Regulation (EU) 2018/2066</v>
      </c>
    </row>
    <row r="6293" spans="1:11" x14ac:dyDescent="0.3">
      <c r="A6293" t="s">
        <v>1985</v>
      </c>
      <c r="B6293" t="s">
        <v>1987</v>
      </c>
      <c r="C6293">
        <v>6</v>
      </c>
      <c r="D6293" t="s">
        <v>1447</v>
      </c>
      <c r="E6293" t="s">
        <v>1989</v>
      </c>
      <c r="F6293" t="s">
        <v>1737</v>
      </c>
      <c r="K6293" t="str">
        <f>IF(ISBLANK('Q 6'!E138),"",IF('Q 6'!E138="&lt;please select&gt;","",'Q 6'!E138))</f>
        <v>Non-compliance with Implementing Regulation (EU) 2018/2066</v>
      </c>
    </row>
    <row r="6294" spans="1:11" x14ac:dyDescent="0.3">
      <c r="A6294" t="s">
        <v>1985</v>
      </c>
      <c r="B6294" t="s">
        <v>1987</v>
      </c>
      <c r="C6294">
        <v>7</v>
      </c>
      <c r="D6294" t="s">
        <v>1447</v>
      </c>
      <c r="E6294" t="s">
        <v>1989</v>
      </c>
      <c r="F6294" t="s">
        <v>1737</v>
      </c>
      <c r="K6294" t="str">
        <f>IF(ISBLANK('Q 6'!E139),"",IF('Q 6'!E139="&lt;please select&gt;","",'Q 6'!E139))</f>
        <v>Non-compliance with Implementing Regulation (EU) 2018/2066</v>
      </c>
    </row>
    <row r="6295" spans="1:11" x14ac:dyDescent="0.3">
      <c r="A6295" t="s">
        <v>1985</v>
      </c>
      <c r="B6295" t="s">
        <v>1987</v>
      </c>
      <c r="C6295">
        <v>8</v>
      </c>
      <c r="D6295" t="s">
        <v>1447</v>
      </c>
      <c r="E6295" t="s">
        <v>1989</v>
      </c>
      <c r="F6295" t="s">
        <v>1737</v>
      </c>
      <c r="K6295" t="str">
        <f>IF(ISBLANK('Q 6'!E140),"",IF('Q 6'!E140="&lt;please select&gt;","",'Q 6'!E140))</f>
        <v>Non-compliance with Implementing Regulation (EU) 2018/2066</v>
      </c>
    </row>
    <row r="6296" spans="1:11" x14ac:dyDescent="0.3">
      <c r="A6296" t="s">
        <v>1985</v>
      </c>
      <c r="B6296" t="s">
        <v>1987</v>
      </c>
      <c r="C6296">
        <v>9</v>
      </c>
      <c r="D6296" t="s">
        <v>1447</v>
      </c>
      <c r="E6296" t="s">
        <v>1989</v>
      </c>
      <c r="F6296" t="s">
        <v>1737</v>
      </c>
      <c r="K6296" t="str">
        <f>IF(ISBLANK('Q 6'!E141),"",IF('Q 6'!E141="&lt;please select&gt;","",'Q 6'!E141))</f>
        <v>Non-compliance with Implementing Regulation (EU) 2018/2066</v>
      </c>
    </row>
    <row r="6297" spans="1:11" x14ac:dyDescent="0.3">
      <c r="A6297" t="s">
        <v>1985</v>
      </c>
      <c r="B6297" t="s">
        <v>1987</v>
      </c>
      <c r="C6297">
        <v>10</v>
      </c>
      <c r="D6297" t="s">
        <v>1447</v>
      </c>
      <c r="E6297" t="s">
        <v>1989</v>
      </c>
      <c r="F6297" t="s">
        <v>1737</v>
      </c>
      <c r="K6297" t="str">
        <f>IF(ISBLANK('Q 6'!E142),"",IF('Q 6'!E142="&lt;please select&gt;","",'Q 6'!E142))</f>
        <v>Non-compliance with Implementing Regulation (EU) 2018/2066</v>
      </c>
    </row>
    <row r="6298" spans="1:11" x14ac:dyDescent="0.3">
      <c r="A6298" t="s">
        <v>1985</v>
      </c>
      <c r="B6298" t="s">
        <v>1987</v>
      </c>
      <c r="C6298">
        <v>11</v>
      </c>
      <c r="D6298" t="s">
        <v>1447</v>
      </c>
      <c r="E6298" t="s">
        <v>1989</v>
      </c>
      <c r="F6298" t="s">
        <v>1737</v>
      </c>
      <c r="K6298" t="str">
        <f>IF(ISBLANK('Q 6'!E143),"",IF('Q 6'!E143="&lt;please select&gt;","",'Q 6'!E143))</f>
        <v>Non-compliance with Implementing Regulation (EU) 2018/2066</v>
      </c>
    </row>
    <row r="6299" spans="1:11" x14ac:dyDescent="0.3">
      <c r="A6299" t="s">
        <v>1985</v>
      </c>
      <c r="B6299" t="s">
        <v>1987</v>
      </c>
      <c r="C6299">
        <v>12</v>
      </c>
      <c r="D6299" t="s">
        <v>1447</v>
      </c>
      <c r="E6299" t="s">
        <v>1989</v>
      </c>
      <c r="F6299" t="s">
        <v>1737</v>
      </c>
      <c r="K6299" t="str">
        <f>IF(ISBLANK('Q 6'!E144),"",IF('Q 6'!E144="&lt;please select&gt;","",'Q 6'!E144))</f>
        <v>Non-compliance with Implementing Regulation (EU) 2018/2066</v>
      </c>
    </row>
    <row r="6300" spans="1:11" x14ac:dyDescent="0.3">
      <c r="A6300" t="s">
        <v>1985</v>
      </c>
      <c r="B6300" t="s">
        <v>1987</v>
      </c>
      <c r="C6300">
        <v>13</v>
      </c>
      <c r="D6300" t="s">
        <v>1447</v>
      </c>
      <c r="E6300" t="s">
        <v>1989</v>
      </c>
      <c r="F6300" t="s">
        <v>1737</v>
      </c>
      <c r="K6300" t="str">
        <f>IF(ISBLANK('Q 6'!E145),"",IF('Q 6'!E145="&lt;please select&gt;","",'Q 6'!E145))</f>
        <v>Non-compliance with Implementing Regulation (EU) 2018/2066</v>
      </c>
    </row>
    <row r="6301" spans="1:11" x14ac:dyDescent="0.3">
      <c r="A6301" t="s">
        <v>1985</v>
      </c>
      <c r="B6301" t="s">
        <v>1987</v>
      </c>
      <c r="C6301">
        <v>14</v>
      </c>
      <c r="D6301" t="s">
        <v>1447</v>
      </c>
      <c r="E6301" t="s">
        <v>1989</v>
      </c>
      <c r="F6301" t="s">
        <v>1737</v>
      </c>
      <c r="K6301" t="str">
        <f>IF(ISBLANK('Q 6'!E146),"",IF('Q 6'!E146="&lt;please select&gt;","",'Q 6'!E146))</f>
        <v>Non-compliance with Implementing Regulation (EU) 2018/2066</v>
      </c>
    </row>
    <row r="6302" spans="1:11" x14ac:dyDescent="0.3">
      <c r="A6302" t="s">
        <v>1985</v>
      </c>
      <c r="B6302" t="s">
        <v>1987</v>
      </c>
      <c r="C6302">
        <v>15</v>
      </c>
      <c r="D6302" t="s">
        <v>1447</v>
      </c>
      <c r="E6302" t="s">
        <v>1989</v>
      </c>
      <c r="F6302" t="s">
        <v>1737</v>
      </c>
      <c r="K6302" t="str">
        <f>IF(ISBLANK('Q 6'!E147),"",IF('Q 6'!E147="&lt;please select&gt;","",'Q 6'!E147))</f>
        <v>Non-compliance with Implementing Regulation (EU) 2018/2066</v>
      </c>
    </row>
    <row r="6303" spans="1:11" x14ac:dyDescent="0.3">
      <c r="A6303" t="s">
        <v>1985</v>
      </c>
      <c r="B6303" t="s">
        <v>1987</v>
      </c>
      <c r="C6303">
        <v>16</v>
      </c>
      <c r="D6303" t="s">
        <v>1447</v>
      </c>
      <c r="E6303" t="s">
        <v>1989</v>
      </c>
      <c r="F6303" t="s">
        <v>1737</v>
      </c>
      <c r="K6303" t="str">
        <f>IF(ISBLANK('Q 6'!E148),"",IF('Q 6'!E148="&lt;please select&gt;","",'Q 6'!E148))</f>
        <v>Non-compliance with Implementing Regulation (EU) 2018/2066</v>
      </c>
    </row>
    <row r="6304" spans="1:11" x14ac:dyDescent="0.3">
      <c r="A6304" t="s">
        <v>1985</v>
      </c>
      <c r="B6304" t="s">
        <v>1987</v>
      </c>
      <c r="C6304">
        <v>17</v>
      </c>
      <c r="D6304" t="s">
        <v>1447</v>
      </c>
      <c r="E6304" t="s">
        <v>1989</v>
      </c>
      <c r="F6304" t="s">
        <v>1737</v>
      </c>
      <c r="K6304" t="str">
        <f>IF(ISBLANK('Q 6'!E149),"",IF('Q 6'!E149="&lt;please select&gt;","",'Q 6'!E149))</f>
        <v>Non-compliance with Implementing Regulation (EU) 2018/2066</v>
      </c>
    </row>
    <row r="6305" spans="1:11" x14ac:dyDescent="0.3">
      <c r="A6305" t="s">
        <v>1985</v>
      </c>
      <c r="B6305" t="s">
        <v>1987</v>
      </c>
      <c r="C6305">
        <v>18</v>
      </c>
      <c r="D6305" t="s">
        <v>1447</v>
      </c>
      <c r="E6305" t="s">
        <v>1989</v>
      </c>
      <c r="F6305" t="s">
        <v>1737</v>
      </c>
      <c r="K6305" t="str">
        <f>IF(ISBLANK('Q 6'!E150),"",IF('Q 6'!E150="&lt;please select&gt;","",'Q 6'!E150))</f>
        <v>Non-compliance with Implementing Regulation (EU) 2018/2066</v>
      </c>
    </row>
    <row r="6306" spans="1:11" x14ac:dyDescent="0.3">
      <c r="A6306" t="s">
        <v>1985</v>
      </c>
      <c r="B6306" t="s">
        <v>1987</v>
      </c>
      <c r="C6306">
        <v>19</v>
      </c>
      <c r="D6306" t="s">
        <v>1447</v>
      </c>
      <c r="E6306" t="s">
        <v>1989</v>
      </c>
      <c r="F6306" t="s">
        <v>1737</v>
      </c>
      <c r="K6306" t="str">
        <f>IF(ISBLANK('Q 6'!E151),"",IF('Q 6'!E151="&lt;please select&gt;","",'Q 6'!E151))</f>
        <v>Non-compliance with Implementing Regulation (EU) 2018/2066</v>
      </c>
    </row>
    <row r="6307" spans="1:11" x14ac:dyDescent="0.3">
      <c r="A6307" t="s">
        <v>1985</v>
      </c>
      <c r="B6307" t="s">
        <v>1987</v>
      </c>
      <c r="C6307">
        <v>20</v>
      </c>
      <c r="D6307" t="s">
        <v>1447</v>
      </c>
      <c r="E6307" t="s">
        <v>1989</v>
      </c>
      <c r="F6307" t="s">
        <v>1737</v>
      </c>
      <c r="K6307" t="str">
        <f>IF(ISBLANK('Q 6'!E152),"",IF('Q 6'!E152="&lt;please select&gt;","",'Q 6'!E152))</f>
        <v>Non-compliance with Implementing Regulation (EU) 2018/2066</v>
      </c>
    </row>
    <row r="6308" spans="1:11" x14ac:dyDescent="0.3">
      <c r="A6308" t="s">
        <v>1985</v>
      </c>
      <c r="B6308" t="s">
        <v>1987</v>
      </c>
      <c r="C6308">
        <v>21</v>
      </c>
      <c r="D6308" t="s">
        <v>1447</v>
      </c>
      <c r="E6308" t="s">
        <v>1989</v>
      </c>
      <c r="F6308" t="s">
        <v>1737</v>
      </c>
      <c r="K6308" t="str">
        <f>IF(ISBLANK('Q 6'!E153),"",IF('Q 6'!E153="&lt;please select&gt;","",'Q 6'!E153))</f>
        <v>Non-compliance with Implementing Regulation (EU) 2018/2066</v>
      </c>
    </row>
    <row r="6309" spans="1:11" x14ac:dyDescent="0.3">
      <c r="A6309" t="s">
        <v>1985</v>
      </c>
      <c r="B6309" t="s">
        <v>1987</v>
      </c>
      <c r="C6309">
        <v>22</v>
      </c>
      <c r="D6309" t="s">
        <v>1447</v>
      </c>
      <c r="E6309" t="s">
        <v>1989</v>
      </c>
      <c r="F6309" t="s">
        <v>1737</v>
      </c>
      <c r="K6309" t="str">
        <f>IF(ISBLANK('Q 6'!E154),"",IF('Q 6'!E154="&lt;please select&gt;","",'Q 6'!E154))</f>
        <v>Non-material misstatements</v>
      </c>
    </row>
    <row r="6310" spans="1:11" x14ac:dyDescent="0.3">
      <c r="A6310" t="s">
        <v>1985</v>
      </c>
      <c r="B6310" t="s">
        <v>1987</v>
      </c>
      <c r="C6310">
        <v>23</v>
      </c>
      <c r="D6310" t="s">
        <v>1447</v>
      </c>
      <c r="E6310" t="s">
        <v>1989</v>
      </c>
      <c r="F6310" t="s">
        <v>1737</v>
      </c>
      <c r="K6310" t="str">
        <f>IF(ISBLANK('Q 6'!E155),"",IF('Q 6'!E155="&lt;please select&gt;","",'Q 6'!E155))</f>
        <v>Non-material misstatements</v>
      </c>
    </row>
    <row r="6311" spans="1:11" x14ac:dyDescent="0.3">
      <c r="A6311" t="s">
        <v>1985</v>
      </c>
      <c r="B6311" t="s">
        <v>1987</v>
      </c>
      <c r="C6311">
        <v>24</v>
      </c>
      <c r="D6311" t="s">
        <v>1447</v>
      </c>
      <c r="E6311" t="s">
        <v>1989</v>
      </c>
      <c r="F6311" t="s">
        <v>1737</v>
      </c>
      <c r="K6311" t="str">
        <f>IF(ISBLANK('Q 6'!E156),"",IF('Q 6'!E156="&lt;please select&gt;","",'Q 6'!E156))</f>
        <v>Non-material misstatements</v>
      </c>
    </row>
    <row r="6312" spans="1:11" x14ac:dyDescent="0.3">
      <c r="A6312" t="s">
        <v>1985</v>
      </c>
      <c r="B6312" t="s">
        <v>1987</v>
      </c>
      <c r="C6312">
        <v>25</v>
      </c>
      <c r="D6312" t="s">
        <v>1447</v>
      </c>
      <c r="E6312" t="s">
        <v>1989</v>
      </c>
      <c r="F6312" t="s">
        <v>1737</v>
      </c>
      <c r="K6312" t="str">
        <f>IF(ISBLANK('Q 6'!E157),"",IF('Q 6'!E157="&lt;please select&gt;","",'Q 6'!E157))</f>
        <v>Non-material misstatements</v>
      </c>
    </row>
    <row r="6313" spans="1:11" x14ac:dyDescent="0.3">
      <c r="A6313" t="s">
        <v>1985</v>
      </c>
      <c r="B6313" t="s">
        <v>1987</v>
      </c>
      <c r="C6313">
        <v>26</v>
      </c>
      <c r="D6313" t="s">
        <v>1447</v>
      </c>
      <c r="E6313" t="s">
        <v>1989</v>
      </c>
      <c r="F6313" t="s">
        <v>1737</v>
      </c>
      <c r="K6313" t="str">
        <f>IF(ISBLANK('Q 6'!E158),"",IF('Q 6'!E158="&lt;please select&gt;","",'Q 6'!E158))</f>
        <v>Non-material misstatements</v>
      </c>
    </row>
    <row r="6314" spans="1:11" x14ac:dyDescent="0.3">
      <c r="A6314" t="s">
        <v>1985</v>
      </c>
      <c r="B6314" t="s">
        <v>1987</v>
      </c>
      <c r="C6314">
        <v>27</v>
      </c>
      <c r="D6314" t="s">
        <v>1447</v>
      </c>
      <c r="E6314" t="s">
        <v>1989</v>
      </c>
      <c r="F6314" t="s">
        <v>1737</v>
      </c>
      <c r="K6314" t="str">
        <f>IF(ISBLANK('Q 6'!E159),"",IF('Q 6'!E159="&lt;please select&gt;","",'Q 6'!E159))</f>
        <v>Non-material misstatements</v>
      </c>
    </row>
    <row r="6315" spans="1:11" x14ac:dyDescent="0.3">
      <c r="A6315" t="s">
        <v>1985</v>
      </c>
      <c r="B6315" t="s">
        <v>1987</v>
      </c>
      <c r="C6315">
        <v>28</v>
      </c>
      <c r="D6315" t="s">
        <v>1447</v>
      </c>
      <c r="E6315" t="s">
        <v>1989</v>
      </c>
      <c r="F6315" t="s">
        <v>1737</v>
      </c>
      <c r="K6315" t="str">
        <f>IF(ISBLANK('Q 6'!E160),"",IF('Q 6'!E160="&lt;please select&gt;","",'Q 6'!E160))</f>
        <v>Non-material misstatements</v>
      </c>
    </row>
    <row r="6316" spans="1:11" x14ac:dyDescent="0.3">
      <c r="A6316" t="s">
        <v>1985</v>
      </c>
      <c r="B6316" t="s">
        <v>1987</v>
      </c>
      <c r="C6316">
        <v>29</v>
      </c>
      <c r="D6316" t="s">
        <v>1447</v>
      </c>
      <c r="E6316" t="s">
        <v>1989</v>
      </c>
      <c r="F6316" t="s">
        <v>1737</v>
      </c>
      <c r="K6316" t="str">
        <f>IF(ISBLANK('Q 6'!E161),"",IF('Q 6'!E161="&lt;please select&gt;","",'Q 6'!E161))</f>
        <v>Non-material misstatements</v>
      </c>
    </row>
    <row r="6317" spans="1:11" x14ac:dyDescent="0.3">
      <c r="A6317" t="s">
        <v>1985</v>
      </c>
      <c r="B6317" t="s">
        <v>1987</v>
      </c>
      <c r="C6317">
        <v>30</v>
      </c>
      <c r="D6317" t="s">
        <v>1447</v>
      </c>
      <c r="E6317" t="s">
        <v>1989</v>
      </c>
      <c r="F6317" t="s">
        <v>1737</v>
      </c>
      <c r="K6317" t="str">
        <f>IF(ISBLANK('Q 6'!E162),"",IF('Q 6'!E162="&lt;please select&gt;","",'Q 6'!E162))</f>
        <v>Non-material misstatements</v>
      </c>
    </row>
    <row r="6318" spans="1:11" x14ac:dyDescent="0.3">
      <c r="A6318" t="s">
        <v>1985</v>
      </c>
      <c r="B6318" t="s">
        <v>1987</v>
      </c>
      <c r="C6318">
        <v>31</v>
      </c>
      <c r="D6318" t="s">
        <v>1447</v>
      </c>
      <c r="E6318" t="s">
        <v>1989</v>
      </c>
      <c r="F6318" t="s">
        <v>1737</v>
      </c>
      <c r="K6318" t="str">
        <f>IF(ISBLANK('Q 6'!E163),"",IF('Q 6'!E163="&lt;please select&gt;","",'Q 6'!E163))</f>
        <v>Non-material misstatements</v>
      </c>
    </row>
    <row r="6319" spans="1:11" x14ac:dyDescent="0.3">
      <c r="A6319" t="s">
        <v>1985</v>
      </c>
      <c r="B6319" t="s">
        <v>1987</v>
      </c>
      <c r="C6319">
        <v>32</v>
      </c>
      <c r="D6319" t="s">
        <v>1447</v>
      </c>
      <c r="E6319" t="s">
        <v>1989</v>
      </c>
      <c r="F6319" t="s">
        <v>1737</v>
      </c>
      <c r="K6319" t="str">
        <f>IF(ISBLANK('Q 6'!E164),"",IF('Q 6'!E164="&lt;please select&gt;","",'Q 6'!E164))</f>
        <v>Non-material misstatements</v>
      </c>
    </row>
    <row r="6320" spans="1:11" x14ac:dyDescent="0.3">
      <c r="A6320" t="s">
        <v>1985</v>
      </c>
      <c r="B6320" t="s">
        <v>1987</v>
      </c>
      <c r="C6320">
        <v>33</v>
      </c>
      <c r="D6320" t="s">
        <v>1447</v>
      </c>
      <c r="E6320" t="s">
        <v>1989</v>
      </c>
      <c r="F6320" t="s">
        <v>1737</v>
      </c>
      <c r="K6320" t="str">
        <f>IF(ISBLANK('Q 6'!E165),"",IF('Q 6'!E165="&lt;please select&gt;","",'Q 6'!E165))</f>
        <v>Non-material misstatements</v>
      </c>
    </row>
    <row r="6321" spans="1:11" x14ac:dyDescent="0.3">
      <c r="A6321" t="s">
        <v>1985</v>
      </c>
      <c r="B6321" t="s">
        <v>1987</v>
      </c>
      <c r="C6321">
        <v>34</v>
      </c>
      <c r="D6321" t="s">
        <v>1447</v>
      </c>
      <c r="E6321" t="s">
        <v>1989</v>
      </c>
      <c r="F6321" t="s">
        <v>1737</v>
      </c>
      <c r="K6321" t="str">
        <f>IF(ISBLANK('Q 6'!E166),"",IF('Q 6'!E166="&lt;please select&gt;","",'Q 6'!E166))</f>
        <v>Non-material misstatements</v>
      </c>
    </row>
    <row r="6322" spans="1:11" x14ac:dyDescent="0.3">
      <c r="A6322" t="s">
        <v>1985</v>
      </c>
      <c r="B6322" t="s">
        <v>1987</v>
      </c>
      <c r="C6322">
        <v>35</v>
      </c>
      <c r="D6322" t="s">
        <v>1447</v>
      </c>
      <c r="E6322" t="s">
        <v>1989</v>
      </c>
      <c r="F6322" t="s">
        <v>1737</v>
      </c>
      <c r="K6322" t="str">
        <f>IF(ISBLANK('Q 6'!E167),"",IF('Q 6'!E167="&lt;please select&gt;","",'Q 6'!E167))</f>
        <v>Non-material misstatements</v>
      </c>
    </row>
    <row r="6323" spans="1:11" x14ac:dyDescent="0.3">
      <c r="A6323" t="s">
        <v>1985</v>
      </c>
      <c r="B6323" t="s">
        <v>1987</v>
      </c>
      <c r="C6323">
        <v>36</v>
      </c>
      <c r="D6323" t="s">
        <v>1447</v>
      </c>
      <c r="E6323" t="s">
        <v>1989</v>
      </c>
      <c r="F6323" t="s">
        <v>1737</v>
      </c>
      <c r="K6323" t="str">
        <f>IF(ISBLANK('Q 6'!E168),"",IF('Q 6'!E168="&lt;please select&gt;","",'Q 6'!E168))</f>
        <v>Non-material misstatements</v>
      </c>
    </row>
    <row r="6324" spans="1:11" x14ac:dyDescent="0.3">
      <c r="A6324" t="s">
        <v>1985</v>
      </c>
      <c r="B6324" t="s">
        <v>1987</v>
      </c>
      <c r="C6324">
        <v>37</v>
      </c>
      <c r="D6324" t="s">
        <v>1447</v>
      </c>
      <c r="E6324" t="s">
        <v>1989</v>
      </c>
      <c r="F6324" t="s">
        <v>1737</v>
      </c>
      <c r="K6324" t="str">
        <f>IF(ISBLANK('Q 6'!E169),"",IF('Q 6'!E169="&lt;please select&gt;","",'Q 6'!E169))</f>
        <v>Non-material misstatements</v>
      </c>
    </row>
    <row r="6325" spans="1:11" x14ac:dyDescent="0.3">
      <c r="A6325" t="s">
        <v>1985</v>
      </c>
      <c r="B6325" t="s">
        <v>1987</v>
      </c>
      <c r="C6325">
        <v>38</v>
      </c>
      <c r="D6325" t="s">
        <v>1447</v>
      </c>
      <c r="E6325" t="s">
        <v>1989</v>
      </c>
      <c r="F6325" t="s">
        <v>1737</v>
      </c>
      <c r="K6325" t="str">
        <f>IF(ISBLANK('Q 6'!E170),"",IF('Q 6'!E170="&lt;please select&gt;","",'Q 6'!E170))</f>
        <v>Non-conformities not leading to a negative verification opinion statement</v>
      </c>
    </row>
    <row r="6326" spans="1:11" x14ac:dyDescent="0.3">
      <c r="A6326" t="s">
        <v>1985</v>
      </c>
      <c r="B6326" t="s">
        <v>1987</v>
      </c>
      <c r="C6326">
        <v>39</v>
      </c>
      <c r="D6326" t="s">
        <v>1447</v>
      </c>
      <c r="E6326" t="s">
        <v>1989</v>
      </c>
      <c r="F6326" t="s">
        <v>1737</v>
      </c>
      <c r="K6326" t="str">
        <f>IF(ISBLANK('Q 6'!E171),"",IF('Q 6'!E171="&lt;please select&gt;","",'Q 6'!E171))</f>
        <v>Non-conformities not leading to a negative verification opinion statement</v>
      </c>
    </row>
    <row r="6327" spans="1:11" x14ac:dyDescent="0.3">
      <c r="A6327" t="s">
        <v>1985</v>
      </c>
      <c r="B6327" t="s">
        <v>1987</v>
      </c>
      <c r="C6327">
        <v>40</v>
      </c>
      <c r="D6327" t="s">
        <v>1447</v>
      </c>
      <c r="E6327" t="s">
        <v>1989</v>
      </c>
      <c r="F6327" t="s">
        <v>1737</v>
      </c>
      <c r="K6327" t="str">
        <f>IF(ISBLANK('Q 6'!E172),"",IF('Q 6'!E172="&lt;please select&gt;","",'Q 6'!E172))</f>
        <v>Non-conformities not leading to a negative verification opinion statement</v>
      </c>
    </row>
    <row r="6328" spans="1:11" x14ac:dyDescent="0.3">
      <c r="A6328" t="s">
        <v>1985</v>
      </c>
      <c r="B6328" t="s">
        <v>1987</v>
      </c>
      <c r="C6328">
        <v>41</v>
      </c>
      <c r="D6328" t="s">
        <v>1447</v>
      </c>
      <c r="E6328" t="s">
        <v>1989</v>
      </c>
      <c r="F6328" t="s">
        <v>1737</v>
      </c>
      <c r="K6328" t="str">
        <f>IF(ISBLANK('Q 6'!E173),"",IF('Q 6'!E173="&lt;please select&gt;","",'Q 6'!E173))</f>
        <v>Non-conformities not leading to a negative verification opinion statement</v>
      </c>
    </row>
    <row r="6329" spans="1:11" x14ac:dyDescent="0.3">
      <c r="A6329" t="s">
        <v>1985</v>
      </c>
      <c r="B6329" t="s">
        <v>1987</v>
      </c>
      <c r="C6329">
        <v>42</v>
      </c>
      <c r="D6329" t="s">
        <v>1447</v>
      </c>
      <c r="E6329" t="s">
        <v>1989</v>
      </c>
      <c r="F6329" t="s">
        <v>1737</v>
      </c>
      <c r="K6329" t="str">
        <f>IF(ISBLANK('Q 6'!E174),"",IF('Q 6'!E174="&lt;please select&gt;","",'Q 6'!E174))</f>
        <v>Non-conformities not leading to a negative verification opinion statement</v>
      </c>
    </row>
    <row r="6330" spans="1:11" x14ac:dyDescent="0.3">
      <c r="A6330" t="s">
        <v>1985</v>
      </c>
      <c r="B6330" t="s">
        <v>1987</v>
      </c>
      <c r="C6330">
        <v>43</v>
      </c>
      <c r="D6330" t="s">
        <v>1447</v>
      </c>
      <c r="E6330" t="s">
        <v>1989</v>
      </c>
      <c r="F6330" t="s">
        <v>1737</v>
      </c>
      <c r="K6330" t="str">
        <f>IF(ISBLANK('Q 6'!E175),"",IF('Q 6'!E175="&lt;please select&gt;","",'Q 6'!E175))</f>
        <v>Non-conformities not leading to a negative verification opinion statement</v>
      </c>
    </row>
    <row r="6331" spans="1:11" x14ac:dyDescent="0.3">
      <c r="A6331" t="s">
        <v>1985</v>
      </c>
      <c r="B6331" t="s">
        <v>1987</v>
      </c>
      <c r="C6331">
        <v>44</v>
      </c>
      <c r="D6331" t="s">
        <v>1447</v>
      </c>
      <c r="E6331" t="s">
        <v>1989</v>
      </c>
      <c r="F6331" t="s">
        <v>1737</v>
      </c>
      <c r="K6331" t="str">
        <f>IF(ISBLANK('Q 6'!E176),"",IF('Q 6'!E176="&lt;please select&gt;","",'Q 6'!E176))</f>
        <v>Non-conformities not leading to a negative verification opinion statement</v>
      </c>
    </row>
    <row r="6332" spans="1:11" x14ac:dyDescent="0.3">
      <c r="A6332" t="s">
        <v>1985</v>
      </c>
      <c r="B6332" t="s">
        <v>1987</v>
      </c>
      <c r="C6332">
        <v>45</v>
      </c>
      <c r="D6332" t="s">
        <v>1447</v>
      </c>
      <c r="E6332" t="s">
        <v>1989</v>
      </c>
      <c r="F6332" t="s">
        <v>1737</v>
      </c>
      <c r="K6332" t="str">
        <f>IF(ISBLANK('Q 6'!E177),"",IF('Q 6'!E177="&lt;please select&gt;","",'Q 6'!E177))</f>
        <v>Non-conformities not leading to a negative verification opinion statement</v>
      </c>
    </row>
    <row r="6333" spans="1:11" x14ac:dyDescent="0.3">
      <c r="A6333" t="s">
        <v>1985</v>
      </c>
      <c r="B6333" t="s">
        <v>1987</v>
      </c>
      <c r="C6333">
        <v>46</v>
      </c>
      <c r="D6333" t="s">
        <v>1447</v>
      </c>
      <c r="E6333" t="s">
        <v>1989</v>
      </c>
      <c r="F6333" t="s">
        <v>1737</v>
      </c>
      <c r="K6333" t="str">
        <f>IF(ISBLANK('Q 6'!E178),"",IF('Q 6'!E178="&lt;please select&gt;","",'Q 6'!E178))</f>
        <v>Non-conformities not leading to a negative verification opinion statement</v>
      </c>
    </row>
    <row r="6334" spans="1:11" x14ac:dyDescent="0.3">
      <c r="A6334" t="s">
        <v>1985</v>
      </c>
      <c r="B6334" t="s">
        <v>1987</v>
      </c>
      <c r="C6334">
        <v>47</v>
      </c>
      <c r="D6334" t="s">
        <v>1447</v>
      </c>
      <c r="E6334" t="s">
        <v>1989</v>
      </c>
      <c r="F6334" t="s">
        <v>1737</v>
      </c>
      <c r="K6334" t="str">
        <f>IF(ISBLANK('Q 6'!E179),"",IF('Q 6'!E179="&lt;please select&gt;","",'Q 6'!E179))</f>
        <v>Non-conformities not leading to a negative verification opinion statement</v>
      </c>
    </row>
    <row r="6335" spans="1:11" x14ac:dyDescent="0.3">
      <c r="A6335" t="s">
        <v>1985</v>
      </c>
      <c r="B6335" t="s">
        <v>1987</v>
      </c>
      <c r="C6335">
        <v>48</v>
      </c>
      <c r="D6335" t="s">
        <v>1447</v>
      </c>
      <c r="E6335" t="s">
        <v>1989</v>
      </c>
      <c r="F6335" t="s">
        <v>1737</v>
      </c>
      <c r="K6335" t="str">
        <f>IF(ISBLANK('Q 6'!E180),"",IF('Q 6'!E180="&lt;please select&gt;","",'Q 6'!E180))</f>
        <v>Non-conformities not leading to a negative verification opinion statement</v>
      </c>
    </row>
    <row r="6336" spans="1:11" x14ac:dyDescent="0.3">
      <c r="A6336" t="s">
        <v>1985</v>
      </c>
      <c r="B6336" t="s">
        <v>1987</v>
      </c>
      <c r="C6336">
        <v>49</v>
      </c>
      <c r="D6336" t="s">
        <v>1447</v>
      </c>
      <c r="E6336" t="s">
        <v>1989</v>
      </c>
      <c r="F6336" t="s">
        <v>1737</v>
      </c>
      <c r="K6336" t="str">
        <f>IF(ISBLANK('Q 6'!E181),"",IF('Q 6'!E181="&lt;please select&gt;","",'Q 6'!E181))</f>
        <v>Non-conformities not leading to a negative verification opinion statement</v>
      </c>
    </row>
    <row r="6337" spans="1:11" x14ac:dyDescent="0.3">
      <c r="A6337" t="s">
        <v>1985</v>
      </c>
      <c r="B6337" t="s">
        <v>1987</v>
      </c>
      <c r="C6337">
        <v>50</v>
      </c>
      <c r="D6337" t="s">
        <v>1447</v>
      </c>
      <c r="E6337" t="s">
        <v>1989</v>
      </c>
      <c r="F6337" t="s">
        <v>1737</v>
      </c>
      <c r="K6337" t="str">
        <f>IF(ISBLANK('Q 6'!E182),"",IF('Q 6'!E182="&lt;please select&gt;","",'Q 6'!E182))</f>
        <v>Non-conformities not leading to a negative verification opinion statement</v>
      </c>
    </row>
    <row r="6338" spans="1:11" x14ac:dyDescent="0.3">
      <c r="A6338" t="s">
        <v>1985</v>
      </c>
      <c r="B6338" t="s">
        <v>1987</v>
      </c>
      <c r="C6338">
        <v>51</v>
      </c>
      <c r="D6338" t="s">
        <v>1447</v>
      </c>
      <c r="E6338" t="s">
        <v>1989</v>
      </c>
      <c r="F6338" t="s">
        <v>1737</v>
      </c>
      <c r="K6338" t="str">
        <f>IF(ISBLANK('Q 6'!E183),"",IF('Q 6'!E183="&lt;please select&gt;","",'Q 6'!E183))</f>
        <v>Non-conformities not leading to a negative verification opinion statement</v>
      </c>
    </row>
    <row r="6339" spans="1:11" x14ac:dyDescent="0.3">
      <c r="A6339" t="s">
        <v>1985</v>
      </c>
      <c r="B6339" t="s">
        <v>1987</v>
      </c>
      <c r="C6339">
        <v>52</v>
      </c>
      <c r="D6339" t="s">
        <v>1447</v>
      </c>
      <c r="E6339" t="s">
        <v>1989</v>
      </c>
      <c r="F6339" t="s">
        <v>1737</v>
      </c>
      <c r="K6339" t="str">
        <f>IF(ISBLANK('Q 6'!E184),"",IF('Q 6'!E184="&lt;please select&gt;","",'Q 6'!E184))</f>
        <v>Non-conformities not leading to a negative verification opinion statement</v>
      </c>
    </row>
    <row r="6340" spans="1:11" x14ac:dyDescent="0.3">
      <c r="A6340" t="s">
        <v>1985</v>
      </c>
      <c r="B6340" t="s">
        <v>1987</v>
      </c>
      <c r="C6340">
        <v>53</v>
      </c>
      <c r="D6340" t="s">
        <v>1447</v>
      </c>
      <c r="E6340" t="s">
        <v>1989</v>
      </c>
      <c r="F6340" t="s">
        <v>1737</v>
      </c>
      <c r="K6340" t="str">
        <f>IF(ISBLANK('Q 6'!E185),"",IF('Q 6'!E185="&lt;please select&gt;","",'Q 6'!E185))</f>
        <v>Non-conformities not leading to a negative verification opinion statement</v>
      </c>
    </row>
    <row r="6341" spans="1:11" x14ac:dyDescent="0.3">
      <c r="A6341" t="s">
        <v>1985</v>
      </c>
      <c r="B6341" t="s">
        <v>1987</v>
      </c>
      <c r="C6341">
        <v>54</v>
      </c>
      <c r="D6341" t="s">
        <v>1447</v>
      </c>
      <c r="E6341" t="s">
        <v>1989</v>
      </c>
      <c r="F6341" t="s">
        <v>1737</v>
      </c>
      <c r="K6341" t="str">
        <f>IF(ISBLANK('Q 6'!E186),"",IF('Q 6'!E186="&lt;please select&gt;","",'Q 6'!E186))</f>
        <v>Non-conformities not leading to a negative verification opinion statement</v>
      </c>
    </row>
    <row r="6342" spans="1:11" x14ac:dyDescent="0.3">
      <c r="A6342" t="s">
        <v>1985</v>
      </c>
      <c r="B6342" t="s">
        <v>1987</v>
      </c>
      <c r="C6342">
        <v>55</v>
      </c>
      <c r="D6342" t="s">
        <v>1447</v>
      </c>
      <c r="E6342" t="s">
        <v>1989</v>
      </c>
      <c r="F6342" t="s">
        <v>1737</v>
      </c>
      <c r="K6342" t="str">
        <f>IF(ISBLANK('Q 6'!E187),"",IF('Q 6'!E187="&lt;please select&gt;","",'Q 6'!E187))</f>
        <v>Non-conformities not leading to a negative verification opinion statement</v>
      </c>
    </row>
    <row r="6343" spans="1:11" x14ac:dyDescent="0.3">
      <c r="A6343" t="s">
        <v>1985</v>
      </c>
      <c r="B6343" t="s">
        <v>1987</v>
      </c>
      <c r="C6343">
        <v>56</v>
      </c>
      <c r="D6343" t="s">
        <v>1447</v>
      </c>
      <c r="E6343" t="s">
        <v>1989</v>
      </c>
      <c r="F6343" t="s">
        <v>1737</v>
      </c>
      <c r="K6343" t="str">
        <f>IF(ISBLANK('Q 6'!E188),"",IF('Q 6'!E188="&lt;please select&gt;","",'Q 6'!E188))</f>
        <v>Non-conformities not leading to a negative verification opinion statement</v>
      </c>
    </row>
    <row r="6344" spans="1:11" x14ac:dyDescent="0.3">
      <c r="A6344" t="s">
        <v>1985</v>
      </c>
      <c r="B6344" t="s">
        <v>1987</v>
      </c>
      <c r="C6344">
        <v>57</v>
      </c>
      <c r="D6344" t="s">
        <v>1447</v>
      </c>
      <c r="E6344" t="s">
        <v>1989</v>
      </c>
      <c r="F6344" t="s">
        <v>1737</v>
      </c>
      <c r="K6344" t="str">
        <f>IF(ISBLANK('Q 6'!E189),"",IF('Q 6'!E189="&lt;please select&gt;","",'Q 6'!E189))</f>
        <v>Non-conformities not leading to a negative verification opinion statement</v>
      </c>
    </row>
    <row r="6345" spans="1:11" x14ac:dyDescent="0.3">
      <c r="A6345" t="s">
        <v>1985</v>
      </c>
      <c r="B6345" t="s">
        <v>1987</v>
      </c>
      <c r="C6345">
        <v>58</v>
      </c>
      <c r="D6345" t="s">
        <v>1447</v>
      </c>
      <c r="E6345" t="s">
        <v>1989</v>
      </c>
      <c r="F6345" t="s">
        <v>1737</v>
      </c>
      <c r="K6345" t="str">
        <f>IF(ISBLANK('Q 6'!E190),"",IF('Q 6'!E190="&lt;please select&gt;","",'Q 6'!E190))</f>
        <v>Recommendations for improvement</v>
      </c>
    </row>
    <row r="6346" spans="1:11" x14ac:dyDescent="0.3">
      <c r="A6346" t="s">
        <v>1985</v>
      </c>
      <c r="B6346" t="s">
        <v>1987</v>
      </c>
      <c r="C6346">
        <v>59</v>
      </c>
      <c r="D6346" t="s">
        <v>1447</v>
      </c>
      <c r="E6346" t="s">
        <v>1989</v>
      </c>
      <c r="F6346" t="s">
        <v>1737</v>
      </c>
      <c r="K6346" t="str">
        <f>IF(ISBLANK('Q 6'!E191),"",IF('Q 6'!E191="&lt;please select&gt;","",'Q 6'!E191))</f>
        <v>Recommendations for improvement</v>
      </c>
    </row>
    <row r="6347" spans="1:11" x14ac:dyDescent="0.3">
      <c r="A6347" t="s">
        <v>1985</v>
      </c>
      <c r="B6347" t="s">
        <v>1987</v>
      </c>
      <c r="C6347">
        <v>60</v>
      </c>
      <c r="D6347" t="s">
        <v>1447</v>
      </c>
      <c r="E6347" t="s">
        <v>1989</v>
      </c>
      <c r="F6347" t="s">
        <v>1737</v>
      </c>
      <c r="K6347" t="str">
        <f>IF(ISBLANK('Q 6'!E192),"",IF('Q 6'!E192="&lt;please select&gt;","",'Q 6'!E192))</f>
        <v>Recommendations for improvement</v>
      </c>
    </row>
    <row r="6348" spans="1:11" x14ac:dyDescent="0.3">
      <c r="A6348" t="s">
        <v>1991</v>
      </c>
      <c r="B6348" t="s">
        <v>1987</v>
      </c>
      <c r="C6348">
        <v>61</v>
      </c>
      <c r="D6348" t="s">
        <v>1447</v>
      </c>
      <c r="E6348" t="s">
        <v>1989</v>
      </c>
      <c r="F6348" t="s">
        <v>1737</v>
      </c>
      <c r="K6348" t="str">
        <f>IF(ISBLANK('Q 6'!E193),"",IF('Q 6'!E193="&lt;please select&gt;","",'Q 6'!E193))</f>
        <v>Recommendations for improvement</v>
      </c>
    </row>
    <row r="6349" spans="1:11" x14ac:dyDescent="0.3">
      <c r="A6349" t="s">
        <v>2001</v>
      </c>
      <c r="B6349" t="s">
        <v>1987</v>
      </c>
      <c r="C6349">
        <v>62</v>
      </c>
      <c r="D6349" t="s">
        <v>1447</v>
      </c>
      <c r="E6349" t="s">
        <v>1989</v>
      </c>
      <c r="F6349" t="s">
        <v>1737</v>
      </c>
      <c r="K6349" t="str">
        <f>IF(ISBLANK('Q 6'!E194),"",IF('Q 6'!E194="&lt;please select&gt;","",'Q 6'!E194))</f>
        <v>Recommendations for improvement</v>
      </c>
    </row>
    <row r="6350" spans="1:11" x14ac:dyDescent="0.3">
      <c r="A6350" t="s">
        <v>2007</v>
      </c>
      <c r="B6350" t="s">
        <v>1987</v>
      </c>
      <c r="C6350">
        <v>63</v>
      </c>
      <c r="D6350" t="s">
        <v>1447</v>
      </c>
      <c r="E6350" t="s">
        <v>1989</v>
      </c>
      <c r="F6350" t="s">
        <v>1737</v>
      </c>
      <c r="K6350" t="str">
        <f>IF(ISBLANK('Q 6'!E195),"",IF('Q 6'!E195="&lt;please select&gt;","",'Q 6'!E195))</f>
        <v>Recommendations for improvement</v>
      </c>
    </row>
    <row r="6351" spans="1:11" x14ac:dyDescent="0.3">
      <c r="A6351" t="s">
        <v>2014</v>
      </c>
      <c r="B6351" t="s">
        <v>1987</v>
      </c>
      <c r="C6351">
        <v>64</v>
      </c>
      <c r="D6351" t="s">
        <v>1447</v>
      </c>
      <c r="E6351" t="s">
        <v>1989</v>
      </c>
      <c r="F6351" t="s">
        <v>1737</v>
      </c>
      <c r="K6351" t="str">
        <f>IF(ISBLANK('Q 6'!E196),"",IF('Q 6'!E196="&lt;please select&gt;","",'Q 6'!E196))</f>
        <v>Recommendations for improvement</v>
      </c>
    </row>
    <row r="6352" spans="1:11" x14ac:dyDescent="0.3">
      <c r="A6352" t="s">
        <v>2021</v>
      </c>
      <c r="B6352" t="s">
        <v>1987</v>
      </c>
      <c r="C6352">
        <v>65</v>
      </c>
      <c r="D6352" t="s">
        <v>1447</v>
      </c>
      <c r="E6352" t="s">
        <v>1989</v>
      </c>
      <c r="F6352" t="s">
        <v>1737</v>
      </c>
      <c r="K6352" t="str">
        <f>IF(ISBLANK('Q 6'!E197),"",IF('Q 6'!E197="&lt;please select&gt;","",'Q 6'!E197))</f>
        <v>Recommendations for improvement</v>
      </c>
    </row>
    <row r="6353" spans="1:11" x14ac:dyDescent="0.3">
      <c r="A6353" t="s">
        <v>2026</v>
      </c>
      <c r="B6353" t="s">
        <v>1987</v>
      </c>
      <c r="C6353">
        <v>66</v>
      </c>
      <c r="D6353" t="s">
        <v>1447</v>
      </c>
      <c r="E6353" t="s">
        <v>1989</v>
      </c>
      <c r="F6353" t="s">
        <v>1737</v>
      </c>
      <c r="K6353" t="str">
        <f>IF(ISBLANK('Q 6'!E198),"",IF('Q 6'!E198="&lt;please select&gt;","",'Q 6'!E198))</f>
        <v>Recommendations for improvement</v>
      </c>
    </row>
    <row r="6354" spans="1:11" x14ac:dyDescent="0.3">
      <c r="A6354" t="s">
        <v>2034</v>
      </c>
      <c r="B6354" t="s">
        <v>1987</v>
      </c>
      <c r="C6354">
        <v>67</v>
      </c>
      <c r="D6354" t="s">
        <v>1447</v>
      </c>
      <c r="E6354" t="s">
        <v>1989</v>
      </c>
      <c r="F6354" t="s">
        <v>1737</v>
      </c>
      <c r="K6354" t="str">
        <f>IF(ISBLANK('Q 6'!E199),"",IF('Q 6'!E199="&lt;please select&gt;","",'Q 6'!E199))</f>
        <v>Recommendations for improvement</v>
      </c>
    </row>
    <row r="6355" spans="1:11" x14ac:dyDescent="0.3">
      <c r="A6355" t="s">
        <v>2037</v>
      </c>
      <c r="B6355" t="s">
        <v>1987</v>
      </c>
      <c r="C6355">
        <v>68</v>
      </c>
      <c r="D6355" t="s">
        <v>1447</v>
      </c>
      <c r="E6355" t="s">
        <v>1989</v>
      </c>
      <c r="F6355" t="s">
        <v>1737</v>
      </c>
      <c r="K6355" t="str">
        <f>IF(ISBLANK('Q 6'!E200),"",IF('Q 6'!E200="&lt;please select&gt;","",'Q 6'!E200))</f>
        <v>Recommendations for improvement</v>
      </c>
    </row>
    <row r="6356" spans="1:11" x14ac:dyDescent="0.3">
      <c r="A6356" t="s">
        <v>2230</v>
      </c>
      <c r="B6356" t="s">
        <v>1987</v>
      </c>
      <c r="C6356">
        <v>69</v>
      </c>
      <c r="D6356" t="s">
        <v>1447</v>
      </c>
      <c r="E6356" t="s">
        <v>1989</v>
      </c>
      <c r="F6356" t="s">
        <v>1737</v>
      </c>
      <c r="K6356" t="str">
        <f>IF(ISBLANK('Q 6'!E201),"",IF('Q 6'!E201="&lt;please select&gt;","",'Q 6'!E201))</f>
        <v>Recommendations for improvement</v>
      </c>
    </row>
    <row r="6357" spans="1:11" x14ac:dyDescent="0.3">
      <c r="A6357" t="s">
        <v>2231</v>
      </c>
      <c r="B6357" t="s">
        <v>1987</v>
      </c>
      <c r="C6357">
        <v>70</v>
      </c>
      <c r="D6357" t="s">
        <v>1447</v>
      </c>
      <c r="E6357" t="s">
        <v>1989</v>
      </c>
      <c r="F6357" t="s">
        <v>1737</v>
      </c>
      <c r="K6357" t="str">
        <f>IF(ISBLANK('Q 6'!E202),"",IF('Q 6'!E202="&lt;please select&gt;","",'Q 6'!E202))</f>
        <v>Recommendations for improvement</v>
      </c>
    </row>
    <row r="6358" spans="1:11" x14ac:dyDescent="0.3">
      <c r="A6358" t="s">
        <v>2232</v>
      </c>
      <c r="B6358" t="s">
        <v>1987</v>
      </c>
      <c r="C6358">
        <v>71</v>
      </c>
      <c r="D6358" t="s">
        <v>1447</v>
      </c>
      <c r="E6358" t="s">
        <v>1989</v>
      </c>
      <c r="F6358" t="s">
        <v>1737</v>
      </c>
      <c r="K6358" t="str">
        <f>IF(ISBLANK('Q 6'!E203),"",IF('Q 6'!E203="&lt;please select&gt;","",'Q 6'!E203))</f>
        <v>Recommendations for improvement</v>
      </c>
    </row>
    <row r="6359" spans="1:11" x14ac:dyDescent="0.3">
      <c r="A6359" t="s">
        <v>2233</v>
      </c>
      <c r="B6359" t="s">
        <v>1987</v>
      </c>
      <c r="C6359">
        <v>72</v>
      </c>
      <c r="D6359" t="s">
        <v>1447</v>
      </c>
      <c r="E6359" t="s">
        <v>1989</v>
      </c>
      <c r="F6359" t="s">
        <v>1737</v>
      </c>
      <c r="K6359" t="str">
        <f>IF(ISBLANK('Q 6'!E204),"",IF('Q 6'!E204="&lt;please select&gt;","",'Q 6'!E204))</f>
        <v>Recommendations for improvement</v>
      </c>
    </row>
    <row r="6360" spans="1:11" x14ac:dyDescent="0.3">
      <c r="A6360" t="s">
        <v>2234</v>
      </c>
      <c r="B6360" t="s">
        <v>1987</v>
      </c>
      <c r="C6360">
        <v>73</v>
      </c>
      <c r="D6360" t="s">
        <v>1447</v>
      </c>
      <c r="E6360" t="s">
        <v>1989</v>
      </c>
      <c r="F6360" t="s">
        <v>1737</v>
      </c>
      <c r="K6360" t="str">
        <f>IF(ISBLANK('Q 6'!E205),"",IF('Q 6'!E205="&lt;please select&gt;","",'Q 6'!E205))</f>
        <v>Recommendations for improvement</v>
      </c>
    </row>
    <row r="6361" spans="1:11" x14ac:dyDescent="0.3">
      <c r="A6361" t="s">
        <v>2235</v>
      </c>
      <c r="B6361" t="s">
        <v>1987</v>
      </c>
      <c r="C6361">
        <v>74</v>
      </c>
      <c r="D6361" t="s">
        <v>1447</v>
      </c>
      <c r="E6361" t="s">
        <v>1989</v>
      </c>
      <c r="F6361" t="s">
        <v>1737</v>
      </c>
      <c r="K6361" t="str">
        <f>IF(ISBLANK('Q 6'!E206),"",IF('Q 6'!E206="&lt;please select&gt;","",'Q 6'!E206))</f>
        <v>Recommendations for improvement</v>
      </c>
    </row>
    <row r="6362" spans="1:11" x14ac:dyDescent="0.3">
      <c r="A6362" t="s">
        <v>2236</v>
      </c>
      <c r="B6362" t="s">
        <v>1987</v>
      </c>
      <c r="C6362">
        <v>75</v>
      </c>
      <c r="D6362" t="s">
        <v>1447</v>
      </c>
      <c r="E6362" t="s">
        <v>1989</v>
      </c>
      <c r="F6362" t="s">
        <v>1737</v>
      </c>
      <c r="K6362" t="str">
        <f>IF(ISBLANK('Q 6'!E207),"",IF('Q 6'!E207="&lt;please select&gt;","",'Q 6'!E207))</f>
        <v>Recommendations for improvement</v>
      </c>
    </row>
    <row r="6363" spans="1:11" x14ac:dyDescent="0.3">
      <c r="A6363" t="s">
        <v>2237</v>
      </c>
      <c r="B6363" t="s">
        <v>1987</v>
      </c>
      <c r="C6363">
        <v>76</v>
      </c>
      <c r="D6363" t="s">
        <v>1447</v>
      </c>
      <c r="E6363" t="s">
        <v>1989</v>
      </c>
      <c r="F6363" t="s">
        <v>1737</v>
      </c>
      <c r="K6363" t="str">
        <f>IF(ISBLANK('Q 6'!E208),"",IF('Q 6'!E208="&lt;please select&gt;","",'Q 6'!E208))</f>
        <v>Recommendations for improvement</v>
      </c>
    </row>
    <row r="6364" spans="1:11" x14ac:dyDescent="0.3">
      <c r="A6364" t="s">
        <v>2238</v>
      </c>
      <c r="B6364" t="s">
        <v>1987</v>
      </c>
      <c r="C6364">
        <v>77</v>
      </c>
      <c r="D6364" t="s">
        <v>1447</v>
      </c>
      <c r="E6364" t="s">
        <v>1989</v>
      </c>
      <c r="F6364" t="s">
        <v>1737</v>
      </c>
      <c r="K6364" t="str">
        <f>IF(ISBLANK('Q 6'!E209),"",IF('Q 6'!E209="&lt;please select&gt;","",'Q 6'!E209))</f>
        <v>Recommendations for improvement</v>
      </c>
    </row>
    <row r="6365" spans="1:11" x14ac:dyDescent="0.3">
      <c r="A6365" t="s">
        <v>2239</v>
      </c>
      <c r="B6365" t="s">
        <v>1987</v>
      </c>
      <c r="C6365">
        <v>78</v>
      </c>
      <c r="D6365" t="s">
        <v>1447</v>
      </c>
      <c r="E6365" t="s">
        <v>1989</v>
      </c>
      <c r="F6365" t="s">
        <v>1737</v>
      </c>
      <c r="K6365" t="str">
        <f>IF(ISBLANK('Q 6'!E210),"",IF('Q 6'!E210="&lt;please select&gt;","",'Q 6'!E210))</f>
        <v>Recommendations for improvement</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430</v>
      </c>
    </row>
    <row r="6379" spans="1:11" x14ac:dyDescent="0.3">
      <c r="A6379" t="s">
        <v>1985</v>
      </c>
      <c r="B6379" t="s">
        <v>1987</v>
      </c>
      <c r="C6379">
        <v>2</v>
      </c>
      <c r="D6379" t="s">
        <v>1447</v>
      </c>
      <c r="E6379" t="s">
        <v>1798</v>
      </c>
      <c r="F6379" t="s">
        <v>1748</v>
      </c>
      <c r="H6379" s="165" t="str">
        <f>IF(ISBLANK('Q 6'!G134),"",IF('Q 6'!G134="&lt;please select&gt;","",'Q 6'!G134))</f>
        <v>7</v>
      </c>
    </row>
    <row r="6380" spans="1:11" x14ac:dyDescent="0.3">
      <c r="A6380" t="s">
        <v>1985</v>
      </c>
      <c r="B6380" t="s">
        <v>1987</v>
      </c>
      <c r="C6380">
        <v>3</v>
      </c>
      <c r="D6380" t="s">
        <v>1447</v>
      </c>
      <c r="E6380" t="s">
        <v>1798</v>
      </c>
      <c r="F6380" t="s">
        <v>1748</v>
      </c>
      <c r="H6380" s="165" t="str">
        <f>IF(ISBLANK('Q 6'!G135),"",IF('Q 6'!G135="&lt;please select&gt;","",'Q 6'!G135))</f>
        <v>20</v>
      </c>
    </row>
    <row r="6381" spans="1:11" x14ac:dyDescent="0.3">
      <c r="A6381" t="s">
        <v>1985</v>
      </c>
      <c r="B6381" t="s">
        <v>1987</v>
      </c>
      <c r="C6381">
        <v>4</v>
      </c>
      <c r="D6381" t="s">
        <v>1447</v>
      </c>
      <c r="E6381" t="s">
        <v>1798</v>
      </c>
      <c r="F6381" t="s">
        <v>1748</v>
      </c>
      <c r="H6381" s="165" t="str">
        <f>IF(ISBLANK('Q 6'!G136),"",IF('Q 6'!G136="&lt;please select&gt;","",'Q 6'!G136))</f>
        <v>25</v>
      </c>
    </row>
    <row r="6382" spans="1:11" x14ac:dyDescent="0.3">
      <c r="A6382" t="s">
        <v>1985</v>
      </c>
      <c r="B6382" t="s">
        <v>1987</v>
      </c>
      <c r="C6382">
        <v>5</v>
      </c>
      <c r="D6382" t="s">
        <v>1447</v>
      </c>
      <c r="E6382" t="s">
        <v>1798</v>
      </c>
      <c r="F6382" t="s">
        <v>1748</v>
      </c>
      <c r="H6382" s="165" t="str">
        <f>IF(ISBLANK('Q 6'!G137),"",IF('Q 6'!G137="&lt;please select&gt;","",'Q 6'!G137))</f>
        <v>49</v>
      </c>
    </row>
    <row r="6383" spans="1:11" x14ac:dyDescent="0.3">
      <c r="A6383" t="s">
        <v>1985</v>
      </c>
      <c r="B6383" t="s">
        <v>1987</v>
      </c>
      <c r="C6383">
        <v>6</v>
      </c>
      <c r="D6383" t="s">
        <v>1447</v>
      </c>
      <c r="E6383" t="s">
        <v>1798</v>
      </c>
      <c r="F6383" t="s">
        <v>1748</v>
      </c>
      <c r="H6383" s="165" t="str">
        <f>IF(ISBLANK('Q 6'!G138),"",IF('Q 6'!G138="&lt;please select&gt;","",'Q 6'!G138))</f>
        <v>9</v>
      </c>
    </row>
    <row r="6384" spans="1:11" x14ac:dyDescent="0.3">
      <c r="A6384" t="s">
        <v>1985</v>
      </c>
      <c r="B6384" t="s">
        <v>1987</v>
      </c>
      <c r="C6384">
        <v>7</v>
      </c>
      <c r="D6384" t="s">
        <v>1447</v>
      </c>
      <c r="E6384" t="s">
        <v>1798</v>
      </c>
      <c r="F6384" t="s">
        <v>1748</v>
      </c>
      <c r="H6384" s="165" t="str">
        <f>IF(ISBLANK('Q 6'!G139),"",IF('Q 6'!G139="&lt;please select&gt;","",'Q 6'!G139))</f>
        <v>42</v>
      </c>
    </row>
    <row r="6385" spans="1:8" x14ac:dyDescent="0.3">
      <c r="A6385" t="s">
        <v>1985</v>
      </c>
      <c r="B6385" t="s">
        <v>1987</v>
      </c>
      <c r="C6385">
        <v>8</v>
      </c>
      <c r="D6385" t="s">
        <v>1447</v>
      </c>
      <c r="E6385" t="s">
        <v>1798</v>
      </c>
      <c r="F6385" t="s">
        <v>1748</v>
      </c>
      <c r="H6385" s="165" t="str">
        <f>IF(ISBLANK('Q 6'!G140),"",IF('Q 6'!G140="&lt;please select&gt;","",'Q 6'!G140))</f>
        <v>13</v>
      </c>
    </row>
    <row r="6386" spans="1:8" x14ac:dyDescent="0.3">
      <c r="A6386" t="s">
        <v>1985</v>
      </c>
      <c r="B6386" t="s">
        <v>1987</v>
      </c>
      <c r="C6386">
        <v>9</v>
      </c>
      <c r="D6386" t="s">
        <v>1447</v>
      </c>
      <c r="E6386" t="s">
        <v>1798</v>
      </c>
      <c r="F6386" t="s">
        <v>1748</v>
      </c>
      <c r="H6386" s="165" t="str">
        <f>IF(ISBLANK('Q 6'!G141),"",IF('Q 6'!G141="&lt;please select&gt;","",'Q 6'!G141))</f>
        <v>24</v>
      </c>
    </row>
    <row r="6387" spans="1:8" x14ac:dyDescent="0.3">
      <c r="A6387" t="s">
        <v>1985</v>
      </c>
      <c r="B6387" t="s">
        <v>1987</v>
      </c>
      <c r="C6387">
        <v>10</v>
      </c>
      <c r="D6387" t="s">
        <v>1447</v>
      </c>
      <c r="E6387" t="s">
        <v>1798</v>
      </c>
      <c r="F6387" t="s">
        <v>1748</v>
      </c>
      <c r="H6387" s="165" t="str">
        <f>IF(ISBLANK('Q 6'!G142),"",IF('Q 6'!G142="&lt;please select&gt;","",'Q 6'!G142))</f>
        <v>4</v>
      </c>
    </row>
    <row r="6388" spans="1:8" x14ac:dyDescent="0.3">
      <c r="A6388" t="s">
        <v>1985</v>
      </c>
      <c r="B6388" t="s">
        <v>1987</v>
      </c>
      <c r="C6388">
        <v>11</v>
      </c>
      <c r="D6388" t="s">
        <v>1447</v>
      </c>
      <c r="E6388" t="s">
        <v>1798</v>
      </c>
      <c r="F6388" t="s">
        <v>1748</v>
      </c>
      <c r="H6388" s="165" t="str">
        <f>IF(ISBLANK('Q 6'!G143),"",IF('Q 6'!G143="&lt;please select&gt;","",'Q 6'!G143))</f>
        <v>16</v>
      </c>
    </row>
    <row r="6389" spans="1:8" x14ac:dyDescent="0.3">
      <c r="A6389" t="s">
        <v>1985</v>
      </c>
      <c r="B6389" t="s">
        <v>1987</v>
      </c>
      <c r="C6389">
        <v>12</v>
      </c>
      <c r="D6389" t="s">
        <v>1447</v>
      </c>
      <c r="E6389" t="s">
        <v>1798</v>
      </c>
      <c r="F6389" t="s">
        <v>1748</v>
      </c>
      <c r="H6389" s="165" t="str">
        <f>IF(ISBLANK('Q 6'!G144),"",IF('Q 6'!G144="&lt;please select&gt;","",'Q 6'!G144))</f>
        <v>9</v>
      </c>
    </row>
    <row r="6390" spans="1:8" x14ac:dyDescent="0.3">
      <c r="A6390" t="s">
        <v>1985</v>
      </c>
      <c r="B6390" t="s">
        <v>1987</v>
      </c>
      <c r="C6390">
        <v>13</v>
      </c>
      <c r="D6390" t="s">
        <v>1447</v>
      </c>
      <c r="E6390" t="s">
        <v>1798</v>
      </c>
      <c r="F6390" t="s">
        <v>1748</v>
      </c>
      <c r="H6390" s="165" t="str">
        <f>IF(ISBLANK('Q 6'!G145),"",IF('Q 6'!G145="&lt;please select&gt;","",'Q 6'!G145))</f>
        <v>11</v>
      </c>
    </row>
    <row r="6391" spans="1:8" x14ac:dyDescent="0.3">
      <c r="A6391" t="s">
        <v>1985</v>
      </c>
      <c r="B6391" t="s">
        <v>1987</v>
      </c>
      <c r="C6391">
        <v>14</v>
      </c>
      <c r="D6391" t="s">
        <v>1447</v>
      </c>
      <c r="E6391" t="s">
        <v>1798</v>
      </c>
      <c r="F6391" t="s">
        <v>1748</v>
      </c>
      <c r="H6391" s="165" t="str">
        <f>IF(ISBLANK('Q 6'!G146),"",IF('Q 6'!G146="&lt;please select&gt;","",'Q 6'!G146))</f>
        <v>6</v>
      </c>
    </row>
    <row r="6392" spans="1:8" x14ac:dyDescent="0.3">
      <c r="A6392" t="s">
        <v>1985</v>
      </c>
      <c r="B6392" t="s">
        <v>1987</v>
      </c>
      <c r="C6392">
        <v>15</v>
      </c>
      <c r="D6392" t="s">
        <v>1447</v>
      </c>
      <c r="E6392" t="s">
        <v>1798</v>
      </c>
      <c r="F6392" t="s">
        <v>1748</v>
      </c>
      <c r="H6392" s="165" t="str">
        <f>IF(ISBLANK('Q 6'!G147),"",IF('Q 6'!G147="&lt;please select&gt;","",'Q 6'!G147))</f>
        <v>4</v>
      </c>
    </row>
    <row r="6393" spans="1:8" x14ac:dyDescent="0.3">
      <c r="A6393" t="s">
        <v>1985</v>
      </c>
      <c r="B6393" t="s">
        <v>1987</v>
      </c>
      <c r="C6393">
        <v>16</v>
      </c>
      <c r="D6393" t="s">
        <v>1447</v>
      </c>
      <c r="E6393" t="s">
        <v>1798</v>
      </c>
      <c r="F6393" t="s">
        <v>1748</v>
      </c>
      <c r="H6393" s="165" t="str">
        <f>IF(ISBLANK('Q 6'!G148),"",IF('Q 6'!G148="&lt;please select&gt;","",'Q 6'!G148))</f>
        <v>1</v>
      </c>
    </row>
    <row r="6394" spans="1:8" x14ac:dyDescent="0.3">
      <c r="A6394" t="s">
        <v>1985</v>
      </c>
      <c r="B6394" t="s">
        <v>1987</v>
      </c>
      <c r="C6394">
        <v>17</v>
      </c>
      <c r="D6394" t="s">
        <v>1447</v>
      </c>
      <c r="E6394" t="s">
        <v>1798</v>
      </c>
      <c r="F6394" t="s">
        <v>1748</v>
      </c>
      <c r="H6394" s="165" t="str">
        <f>IF(ISBLANK('Q 6'!G149),"",IF('Q 6'!G149="&lt;please select&gt;","",'Q 6'!G149))</f>
        <v>2</v>
      </c>
    </row>
    <row r="6395" spans="1:8" x14ac:dyDescent="0.3">
      <c r="A6395" t="s">
        <v>1985</v>
      </c>
      <c r="B6395" t="s">
        <v>1987</v>
      </c>
      <c r="C6395">
        <v>18</v>
      </c>
      <c r="D6395" t="s">
        <v>1447</v>
      </c>
      <c r="E6395" t="s">
        <v>1798</v>
      </c>
      <c r="F6395" t="s">
        <v>1748</v>
      </c>
      <c r="H6395" s="165" t="str">
        <f>IF(ISBLANK('Q 6'!G150),"",IF('Q 6'!G150="&lt;please select&gt;","",'Q 6'!G150))</f>
        <v>1</v>
      </c>
    </row>
    <row r="6396" spans="1:8" x14ac:dyDescent="0.3">
      <c r="A6396" t="s">
        <v>1985</v>
      </c>
      <c r="B6396" t="s">
        <v>1987</v>
      </c>
      <c r="C6396">
        <v>19</v>
      </c>
      <c r="D6396" t="s">
        <v>1447</v>
      </c>
      <c r="E6396" t="s">
        <v>1798</v>
      </c>
      <c r="F6396" t="s">
        <v>1748</v>
      </c>
      <c r="H6396" s="165" t="str">
        <f>IF(ISBLANK('Q 6'!G151),"",IF('Q 6'!G151="&lt;please select&gt;","",'Q 6'!G151))</f>
        <v>1</v>
      </c>
    </row>
    <row r="6397" spans="1:8" x14ac:dyDescent="0.3">
      <c r="A6397" t="s">
        <v>1985</v>
      </c>
      <c r="B6397" t="s">
        <v>1987</v>
      </c>
      <c r="C6397">
        <v>20</v>
      </c>
      <c r="D6397" t="s">
        <v>1447</v>
      </c>
      <c r="E6397" t="s">
        <v>1798</v>
      </c>
      <c r="F6397" t="s">
        <v>1748</v>
      </c>
      <c r="H6397" s="165" t="str">
        <f>IF(ISBLANK('Q 6'!G152),"",IF('Q 6'!G152="&lt;please select&gt;","",'Q 6'!G152))</f>
        <v>2</v>
      </c>
    </row>
    <row r="6398" spans="1:8" x14ac:dyDescent="0.3">
      <c r="A6398" t="s">
        <v>1985</v>
      </c>
      <c r="B6398" t="s">
        <v>1987</v>
      </c>
      <c r="C6398">
        <v>21</v>
      </c>
      <c r="D6398" t="s">
        <v>1447</v>
      </c>
      <c r="E6398" t="s">
        <v>1798</v>
      </c>
      <c r="F6398" t="s">
        <v>1748</v>
      </c>
      <c r="H6398" s="165" t="str">
        <f>IF(ISBLANK('Q 6'!G153),"",IF('Q 6'!G153="&lt;please select&gt;","",'Q 6'!G153))</f>
        <v>2</v>
      </c>
    </row>
    <row r="6399" spans="1:8" x14ac:dyDescent="0.3">
      <c r="A6399" t="s">
        <v>1985</v>
      </c>
      <c r="B6399" t="s">
        <v>1987</v>
      </c>
      <c r="C6399">
        <v>22</v>
      </c>
      <c r="D6399" t="s">
        <v>1447</v>
      </c>
      <c r="E6399" t="s">
        <v>1798</v>
      </c>
      <c r="F6399" t="s">
        <v>1748</v>
      </c>
      <c r="H6399" s="165" t="str">
        <f>IF(ISBLANK('Q 6'!G154),"",IF('Q 6'!G154="&lt;please select&gt;","",'Q 6'!G154))</f>
        <v>161</v>
      </c>
    </row>
    <row r="6400" spans="1:8" x14ac:dyDescent="0.3">
      <c r="A6400" t="s">
        <v>1985</v>
      </c>
      <c r="B6400" t="s">
        <v>1987</v>
      </c>
      <c r="C6400">
        <v>23</v>
      </c>
      <c r="D6400" t="s">
        <v>1447</v>
      </c>
      <c r="E6400" t="s">
        <v>1798</v>
      </c>
      <c r="F6400" t="s">
        <v>1748</v>
      </c>
      <c r="H6400" s="165" t="str">
        <f>IF(ISBLANK('Q 6'!G155),"",IF('Q 6'!G155="&lt;please select&gt;","",'Q 6'!G155))</f>
        <v>4</v>
      </c>
    </row>
    <row r="6401" spans="1:8" x14ac:dyDescent="0.3">
      <c r="A6401" t="s">
        <v>1985</v>
      </c>
      <c r="B6401" t="s">
        <v>1987</v>
      </c>
      <c r="C6401">
        <v>24</v>
      </c>
      <c r="D6401" t="s">
        <v>1447</v>
      </c>
      <c r="E6401" t="s">
        <v>1798</v>
      </c>
      <c r="F6401" t="s">
        <v>1748</v>
      </c>
      <c r="H6401" s="165" t="str">
        <f>IF(ISBLANK('Q 6'!G156),"",IF('Q 6'!G156="&lt;please select&gt;","",'Q 6'!G156))</f>
        <v>5</v>
      </c>
    </row>
    <row r="6402" spans="1:8" x14ac:dyDescent="0.3">
      <c r="A6402" t="s">
        <v>1985</v>
      </c>
      <c r="B6402" t="s">
        <v>1987</v>
      </c>
      <c r="C6402">
        <v>25</v>
      </c>
      <c r="D6402" t="s">
        <v>1447</v>
      </c>
      <c r="E6402" t="s">
        <v>1798</v>
      </c>
      <c r="F6402" t="s">
        <v>1748</v>
      </c>
      <c r="H6402" s="165" t="str">
        <f>IF(ISBLANK('Q 6'!G157),"",IF('Q 6'!G157="&lt;please select&gt;","",'Q 6'!G157))</f>
        <v>18</v>
      </c>
    </row>
    <row r="6403" spans="1:8" x14ac:dyDescent="0.3">
      <c r="A6403" t="s">
        <v>1985</v>
      </c>
      <c r="B6403" t="s">
        <v>1987</v>
      </c>
      <c r="C6403">
        <v>26</v>
      </c>
      <c r="D6403" t="s">
        <v>1447</v>
      </c>
      <c r="E6403" t="s">
        <v>1798</v>
      </c>
      <c r="F6403" t="s">
        <v>1748</v>
      </c>
      <c r="H6403" s="165" t="str">
        <f>IF(ISBLANK('Q 6'!G158),"",IF('Q 6'!G158="&lt;please select&gt;","",'Q 6'!G158))</f>
        <v>17</v>
      </c>
    </row>
    <row r="6404" spans="1:8" x14ac:dyDescent="0.3">
      <c r="A6404" t="s">
        <v>1985</v>
      </c>
      <c r="B6404" t="s">
        <v>1987</v>
      </c>
      <c r="C6404">
        <v>27</v>
      </c>
      <c r="D6404" t="s">
        <v>1447</v>
      </c>
      <c r="E6404" t="s">
        <v>1798</v>
      </c>
      <c r="F6404" t="s">
        <v>1748</v>
      </c>
      <c r="H6404" s="165" t="str">
        <f>IF(ISBLANK('Q 6'!G159),"",IF('Q 6'!G159="&lt;please select&gt;","",'Q 6'!G159))</f>
        <v>4</v>
      </c>
    </row>
    <row r="6405" spans="1:8" x14ac:dyDescent="0.3">
      <c r="A6405" t="s">
        <v>1985</v>
      </c>
      <c r="B6405" t="s">
        <v>1987</v>
      </c>
      <c r="C6405">
        <v>28</v>
      </c>
      <c r="D6405" t="s">
        <v>1447</v>
      </c>
      <c r="E6405" t="s">
        <v>1798</v>
      </c>
      <c r="F6405" t="s">
        <v>1748</v>
      </c>
      <c r="H6405" s="165" t="str">
        <f>IF(ISBLANK('Q 6'!G160),"",IF('Q 6'!G160="&lt;please select&gt;","",'Q 6'!G160))</f>
        <v>2</v>
      </c>
    </row>
    <row r="6406" spans="1:8" x14ac:dyDescent="0.3">
      <c r="A6406" t="s">
        <v>1985</v>
      </c>
      <c r="B6406" t="s">
        <v>1987</v>
      </c>
      <c r="C6406">
        <v>29</v>
      </c>
      <c r="D6406" t="s">
        <v>1447</v>
      </c>
      <c r="E6406" t="s">
        <v>1798</v>
      </c>
      <c r="F6406" t="s">
        <v>1748</v>
      </c>
      <c r="H6406" s="165" t="str">
        <f>IF(ISBLANK('Q 6'!G161),"",IF('Q 6'!G161="&lt;please select&gt;","",'Q 6'!G161))</f>
        <v>8</v>
      </c>
    </row>
    <row r="6407" spans="1:8" x14ac:dyDescent="0.3">
      <c r="A6407" t="s">
        <v>1985</v>
      </c>
      <c r="B6407" t="s">
        <v>1987</v>
      </c>
      <c r="C6407">
        <v>30</v>
      </c>
      <c r="D6407" t="s">
        <v>1447</v>
      </c>
      <c r="E6407" t="s">
        <v>1798</v>
      </c>
      <c r="F6407" t="s">
        <v>1748</v>
      </c>
      <c r="H6407" s="165" t="str">
        <f>IF(ISBLANK('Q 6'!G162),"",IF('Q 6'!G162="&lt;please select&gt;","",'Q 6'!G162))</f>
        <v>11</v>
      </c>
    </row>
    <row r="6408" spans="1:8" x14ac:dyDescent="0.3">
      <c r="A6408" t="s">
        <v>1985</v>
      </c>
      <c r="B6408" t="s">
        <v>1987</v>
      </c>
      <c r="C6408">
        <v>31</v>
      </c>
      <c r="D6408" t="s">
        <v>1447</v>
      </c>
      <c r="E6408" t="s">
        <v>1798</v>
      </c>
      <c r="F6408" t="s">
        <v>1748</v>
      </c>
      <c r="H6408" s="165" t="str">
        <f>IF(ISBLANK('Q 6'!G163),"",IF('Q 6'!G163="&lt;please select&gt;","",'Q 6'!G163))</f>
        <v>1</v>
      </c>
    </row>
    <row r="6409" spans="1:8" x14ac:dyDescent="0.3">
      <c r="A6409" t="s">
        <v>1985</v>
      </c>
      <c r="B6409" t="s">
        <v>1987</v>
      </c>
      <c r="C6409">
        <v>32</v>
      </c>
      <c r="D6409" t="s">
        <v>1447</v>
      </c>
      <c r="E6409" t="s">
        <v>1798</v>
      </c>
      <c r="F6409" t="s">
        <v>1748</v>
      </c>
      <c r="H6409" s="165" t="str">
        <f>IF(ISBLANK('Q 6'!G164),"",IF('Q 6'!G164="&lt;please select&gt;","",'Q 6'!G164))</f>
        <v>11</v>
      </c>
    </row>
    <row r="6410" spans="1:8" x14ac:dyDescent="0.3">
      <c r="A6410" t="s">
        <v>1985</v>
      </c>
      <c r="B6410" t="s">
        <v>1987</v>
      </c>
      <c r="C6410">
        <v>33</v>
      </c>
      <c r="D6410" t="s">
        <v>1447</v>
      </c>
      <c r="E6410" t="s">
        <v>1798</v>
      </c>
      <c r="F6410" t="s">
        <v>1748</v>
      </c>
      <c r="H6410" s="165" t="str">
        <f>IF(ISBLANK('Q 6'!G165),"",IF('Q 6'!G165="&lt;please select&gt;","",'Q 6'!G165))</f>
        <v>12</v>
      </c>
    </row>
    <row r="6411" spans="1:8" x14ac:dyDescent="0.3">
      <c r="A6411" t="s">
        <v>1985</v>
      </c>
      <c r="B6411" t="s">
        <v>1987</v>
      </c>
      <c r="C6411">
        <v>34</v>
      </c>
      <c r="D6411" t="s">
        <v>1447</v>
      </c>
      <c r="E6411" t="s">
        <v>1798</v>
      </c>
      <c r="F6411" t="s">
        <v>1748</v>
      </c>
      <c r="H6411" s="165" t="str">
        <f>IF(ISBLANK('Q 6'!G166),"",IF('Q 6'!G166="&lt;please select&gt;","",'Q 6'!G166))</f>
        <v>1</v>
      </c>
    </row>
    <row r="6412" spans="1:8" x14ac:dyDescent="0.3">
      <c r="A6412" t="s">
        <v>1985</v>
      </c>
      <c r="B6412" t="s">
        <v>1987</v>
      </c>
      <c r="C6412">
        <v>35</v>
      </c>
      <c r="D6412" t="s">
        <v>1447</v>
      </c>
      <c r="E6412" t="s">
        <v>1798</v>
      </c>
      <c r="F6412" t="s">
        <v>1748</v>
      </c>
      <c r="H6412" s="165" t="str">
        <f>IF(ISBLANK('Q 6'!G167),"",IF('Q 6'!G167="&lt;please select&gt;","",'Q 6'!G167))</f>
        <v>3</v>
      </c>
    </row>
    <row r="6413" spans="1:8" x14ac:dyDescent="0.3">
      <c r="A6413" t="s">
        <v>1985</v>
      </c>
      <c r="B6413" t="s">
        <v>1987</v>
      </c>
      <c r="C6413">
        <v>36</v>
      </c>
      <c r="D6413" t="s">
        <v>1447</v>
      </c>
      <c r="E6413" t="s">
        <v>1798</v>
      </c>
      <c r="F6413" t="s">
        <v>1748</v>
      </c>
      <c r="H6413" s="165" t="str">
        <f>IF(ISBLANK('Q 6'!G168),"",IF('Q 6'!G168="&lt;please select&gt;","",'Q 6'!G168))</f>
        <v>1</v>
      </c>
    </row>
    <row r="6414" spans="1:8" x14ac:dyDescent="0.3">
      <c r="A6414" t="s">
        <v>1985</v>
      </c>
      <c r="B6414" t="s">
        <v>1987</v>
      </c>
      <c r="C6414">
        <v>37</v>
      </c>
      <c r="D6414" t="s">
        <v>1447</v>
      </c>
      <c r="E6414" t="s">
        <v>1798</v>
      </c>
      <c r="F6414" t="s">
        <v>1748</v>
      </c>
      <c r="H6414" s="165" t="str">
        <f>IF(ISBLANK('Q 6'!G169),"",IF('Q 6'!G169="&lt;please select&gt;","",'Q 6'!G169))</f>
        <v>2</v>
      </c>
    </row>
    <row r="6415" spans="1:8" x14ac:dyDescent="0.3">
      <c r="A6415" t="s">
        <v>1985</v>
      </c>
      <c r="B6415" t="s">
        <v>1987</v>
      </c>
      <c r="C6415">
        <v>38</v>
      </c>
      <c r="D6415" t="s">
        <v>1447</v>
      </c>
      <c r="E6415" t="s">
        <v>1798</v>
      </c>
      <c r="F6415" t="s">
        <v>1748</v>
      </c>
      <c r="H6415" s="165" t="str">
        <f>IF(ISBLANK('Q 6'!G170),"",IF('Q 6'!G170="&lt;please select&gt;","",'Q 6'!G170))</f>
        <v>326</v>
      </c>
    </row>
    <row r="6416" spans="1:8" x14ac:dyDescent="0.3">
      <c r="A6416" t="s">
        <v>1985</v>
      </c>
      <c r="B6416" t="s">
        <v>1987</v>
      </c>
      <c r="C6416">
        <v>39</v>
      </c>
      <c r="D6416" t="s">
        <v>1447</v>
      </c>
      <c r="E6416" t="s">
        <v>1798</v>
      </c>
      <c r="F6416" t="s">
        <v>1748</v>
      </c>
      <c r="H6416" s="165" t="str">
        <f>IF(ISBLANK('Q 6'!G171),"",IF('Q 6'!G171="&lt;please select&gt;","",'Q 6'!G171))</f>
        <v>3</v>
      </c>
    </row>
    <row r="6417" spans="1:8" x14ac:dyDescent="0.3">
      <c r="A6417" t="s">
        <v>1985</v>
      </c>
      <c r="B6417" t="s">
        <v>1987</v>
      </c>
      <c r="C6417">
        <v>40</v>
      </c>
      <c r="D6417" t="s">
        <v>1447</v>
      </c>
      <c r="E6417" t="s">
        <v>1798</v>
      </c>
      <c r="F6417" t="s">
        <v>1748</v>
      </c>
      <c r="H6417" s="165" t="str">
        <f>IF(ISBLANK('Q 6'!G172),"",IF('Q 6'!G172="&lt;please select&gt;","",'Q 6'!G172))</f>
        <v>18</v>
      </c>
    </row>
    <row r="6418" spans="1:8" x14ac:dyDescent="0.3">
      <c r="A6418" t="s">
        <v>1985</v>
      </c>
      <c r="B6418" t="s">
        <v>1987</v>
      </c>
      <c r="C6418">
        <v>41</v>
      </c>
      <c r="D6418" t="s">
        <v>1447</v>
      </c>
      <c r="E6418" t="s">
        <v>1798</v>
      </c>
      <c r="F6418" t="s">
        <v>1748</v>
      </c>
      <c r="H6418" s="165" t="str">
        <f>IF(ISBLANK('Q 6'!G173),"",IF('Q 6'!G173="&lt;please select&gt;","",'Q 6'!G173))</f>
        <v>21</v>
      </c>
    </row>
    <row r="6419" spans="1:8" x14ac:dyDescent="0.3">
      <c r="A6419" t="s">
        <v>1985</v>
      </c>
      <c r="B6419" t="s">
        <v>1987</v>
      </c>
      <c r="C6419">
        <v>42</v>
      </c>
      <c r="D6419" t="s">
        <v>1447</v>
      </c>
      <c r="E6419" t="s">
        <v>1798</v>
      </c>
      <c r="F6419" t="s">
        <v>1748</v>
      </c>
      <c r="H6419" s="165" t="str">
        <f>IF(ISBLANK('Q 6'!G174),"",IF('Q 6'!G174="&lt;please select&gt;","",'Q 6'!G174))</f>
        <v>33</v>
      </c>
    </row>
    <row r="6420" spans="1:8" x14ac:dyDescent="0.3">
      <c r="A6420" t="s">
        <v>1985</v>
      </c>
      <c r="B6420" t="s">
        <v>1987</v>
      </c>
      <c r="C6420">
        <v>43</v>
      </c>
      <c r="D6420" t="s">
        <v>1447</v>
      </c>
      <c r="E6420" t="s">
        <v>1798</v>
      </c>
      <c r="F6420" t="s">
        <v>1748</v>
      </c>
      <c r="H6420" s="165" t="str">
        <f>IF(ISBLANK('Q 6'!G175),"",IF('Q 6'!G175="&lt;please select&gt;","",'Q 6'!G175))</f>
        <v>7</v>
      </c>
    </row>
    <row r="6421" spans="1:8" x14ac:dyDescent="0.3">
      <c r="A6421" t="s">
        <v>1985</v>
      </c>
      <c r="B6421" t="s">
        <v>1987</v>
      </c>
      <c r="C6421">
        <v>44</v>
      </c>
      <c r="D6421" t="s">
        <v>1447</v>
      </c>
      <c r="E6421" t="s">
        <v>1798</v>
      </c>
      <c r="F6421" t="s">
        <v>1748</v>
      </c>
      <c r="H6421" s="165" t="str">
        <f>IF(ISBLANK('Q 6'!G176),"",IF('Q 6'!G176="&lt;please select&gt;","",'Q 6'!G176))</f>
        <v>1</v>
      </c>
    </row>
    <row r="6422" spans="1:8" x14ac:dyDescent="0.3">
      <c r="A6422" t="s">
        <v>1985</v>
      </c>
      <c r="B6422" t="s">
        <v>1987</v>
      </c>
      <c r="C6422">
        <v>45</v>
      </c>
      <c r="D6422" t="s">
        <v>1447</v>
      </c>
      <c r="E6422" t="s">
        <v>1798</v>
      </c>
      <c r="F6422" t="s">
        <v>1748</v>
      </c>
      <c r="H6422" s="165" t="str">
        <f>IF(ISBLANK('Q 6'!G177),"",IF('Q 6'!G177="&lt;please select&gt;","",'Q 6'!G177))</f>
        <v>11</v>
      </c>
    </row>
    <row r="6423" spans="1:8" x14ac:dyDescent="0.3">
      <c r="A6423" t="s">
        <v>1985</v>
      </c>
      <c r="B6423" t="s">
        <v>1987</v>
      </c>
      <c r="C6423">
        <v>46</v>
      </c>
      <c r="D6423" t="s">
        <v>1447</v>
      </c>
      <c r="E6423" t="s">
        <v>1798</v>
      </c>
      <c r="F6423" t="s">
        <v>1748</v>
      </c>
      <c r="H6423" s="165" t="str">
        <f>IF(ISBLANK('Q 6'!G178),"",IF('Q 6'!G178="&lt;please select&gt;","",'Q 6'!G178))</f>
        <v>15</v>
      </c>
    </row>
    <row r="6424" spans="1:8" x14ac:dyDescent="0.3">
      <c r="A6424" t="s">
        <v>1985</v>
      </c>
      <c r="B6424" t="s">
        <v>1987</v>
      </c>
      <c r="C6424">
        <v>47</v>
      </c>
      <c r="D6424" t="s">
        <v>1447</v>
      </c>
      <c r="E6424" t="s">
        <v>1798</v>
      </c>
      <c r="F6424" t="s">
        <v>1748</v>
      </c>
      <c r="H6424" s="165" t="str">
        <f>IF(ISBLANK('Q 6'!G179),"",IF('Q 6'!G179="&lt;please select&gt;","",'Q 6'!G179))</f>
        <v>19</v>
      </c>
    </row>
    <row r="6425" spans="1:8" x14ac:dyDescent="0.3">
      <c r="A6425" t="s">
        <v>1985</v>
      </c>
      <c r="B6425" t="s">
        <v>1987</v>
      </c>
      <c r="C6425">
        <v>48</v>
      </c>
      <c r="D6425" t="s">
        <v>1447</v>
      </c>
      <c r="E6425" t="s">
        <v>1798</v>
      </c>
      <c r="F6425" t="s">
        <v>1748</v>
      </c>
      <c r="H6425" s="165" t="str">
        <f>IF(ISBLANK('Q 6'!G180),"",IF('Q 6'!G180="&lt;please select&gt;","",'Q 6'!G180))</f>
        <v>1</v>
      </c>
    </row>
    <row r="6426" spans="1:8" x14ac:dyDescent="0.3">
      <c r="A6426" t="s">
        <v>1985</v>
      </c>
      <c r="B6426" t="s">
        <v>1987</v>
      </c>
      <c r="C6426">
        <v>49</v>
      </c>
      <c r="D6426" t="s">
        <v>1447</v>
      </c>
      <c r="E6426" t="s">
        <v>1798</v>
      </c>
      <c r="F6426" t="s">
        <v>1748</v>
      </c>
      <c r="H6426" s="165" t="str">
        <f>IF(ISBLANK('Q 6'!G181),"",IF('Q 6'!G181="&lt;please select&gt;","",'Q 6'!G181))</f>
        <v>10</v>
      </c>
    </row>
    <row r="6427" spans="1:8" x14ac:dyDescent="0.3">
      <c r="A6427" t="s">
        <v>1985</v>
      </c>
      <c r="B6427" t="s">
        <v>1987</v>
      </c>
      <c r="C6427">
        <v>50</v>
      </c>
      <c r="D6427" t="s">
        <v>1447</v>
      </c>
      <c r="E6427" t="s">
        <v>1798</v>
      </c>
      <c r="F6427" t="s">
        <v>1748</v>
      </c>
      <c r="H6427" s="165" t="str">
        <f>IF(ISBLANK('Q 6'!G182),"",IF('Q 6'!G182="&lt;please select&gt;","",'Q 6'!G182))</f>
        <v>7</v>
      </c>
    </row>
    <row r="6428" spans="1:8" x14ac:dyDescent="0.3">
      <c r="A6428" t="s">
        <v>1985</v>
      </c>
      <c r="B6428" t="s">
        <v>1987</v>
      </c>
      <c r="C6428">
        <v>51</v>
      </c>
      <c r="D6428" t="s">
        <v>1447</v>
      </c>
      <c r="E6428" t="s">
        <v>1798</v>
      </c>
      <c r="F6428" t="s">
        <v>1748</v>
      </c>
      <c r="H6428" s="165" t="str">
        <f>IF(ISBLANK('Q 6'!G183),"",IF('Q 6'!G183="&lt;please select&gt;","",'Q 6'!G183))</f>
        <v>17</v>
      </c>
    </row>
    <row r="6429" spans="1:8" x14ac:dyDescent="0.3">
      <c r="A6429" t="s">
        <v>1985</v>
      </c>
      <c r="B6429" t="s">
        <v>1987</v>
      </c>
      <c r="C6429">
        <v>52</v>
      </c>
      <c r="D6429" t="s">
        <v>1447</v>
      </c>
      <c r="E6429" t="s">
        <v>1798</v>
      </c>
      <c r="F6429" t="s">
        <v>1748</v>
      </c>
      <c r="H6429" s="165" t="str">
        <f>IF(ISBLANK('Q 6'!G184),"",IF('Q 6'!G184="&lt;please select&gt;","",'Q 6'!G184))</f>
        <v>1</v>
      </c>
    </row>
    <row r="6430" spans="1:8" x14ac:dyDescent="0.3">
      <c r="A6430" t="s">
        <v>1985</v>
      </c>
      <c r="B6430" t="s">
        <v>1987</v>
      </c>
      <c r="C6430">
        <v>53</v>
      </c>
      <c r="D6430" t="s">
        <v>1447</v>
      </c>
      <c r="E6430" t="s">
        <v>1798</v>
      </c>
      <c r="F6430" t="s">
        <v>1748</v>
      </c>
      <c r="H6430" s="165" t="str">
        <f>IF(ISBLANK('Q 6'!G185),"",IF('Q 6'!G185="&lt;please select&gt;","",'Q 6'!G185))</f>
        <v>2</v>
      </c>
    </row>
    <row r="6431" spans="1:8" x14ac:dyDescent="0.3">
      <c r="A6431" t="s">
        <v>1985</v>
      </c>
      <c r="B6431" t="s">
        <v>1987</v>
      </c>
      <c r="C6431">
        <v>54</v>
      </c>
      <c r="D6431" t="s">
        <v>1447</v>
      </c>
      <c r="E6431" t="s">
        <v>1798</v>
      </c>
      <c r="F6431" t="s">
        <v>1748</v>
      </c>
      <c r="H6431" s="165" t="str">
        <f>IF(ISBLANK('Q 6'!G186),"",IF('Q 6'!G186="&lt;please select&gt;","",'Q 6'!G186))</f>
        <v>3</v>
      </c>
    </row>
    <row r="6432" spans="1:8" x14ac:dyDescent="0.3">
      <c r="A6432" t="s">
        <v>1985</v>
      </c>
      <c r="B6432" t="s">
        <v>1987</v>
      </c>
      <c r="C6432">
        <v>55</v>
      </c>
      <c r="D6432" t="s">
        <v>1447</v>
      </c>
      <c r="E6432" t="s">
        <v>1798</v>
      </c>
      <c r="F6432" t="s">
        <v>1748</v>
      </c>
      <c r="H6432" s="165" t="str">
        <f>IF(ISBLANK('Q 6'!G187),"",IF('Q 6'!G187="&lt;please select&gt;","",'Q 6'!G187))</f>
        <v>1</v>
      </c>
    </row>
    <row r="6433" spans="1:8" x14ac:dyDescent="0.3">
      <c r="A6433" t="s">
        <v>1985</v>
      </c>
      <c r="B6433" t="s">
        <v>1987</v>
      </c>
      <c r="C6433">
        <v>56</v>
      </c>
      <c r="D6433" t="s">
        <v>1447</v>
      </c>
      <c r="E6433" t="s">
        <v>1798</v>
      </c>
      <c r="F6433" t="s">
        <v>1748</v>
      </c>
      <c r="H6433" s="165" t="str">
        <f>IF(ISBLANK('Q 6'!G188),"",IF('Q 6'!G188="&lt;please select&gt;","",'Q 6'!G188))</f>
        <v>1</v>
      </c>
    </row>
    <row r="6434" spans="1:8" x14ac:dyDescent="0.3">
      <c r="A6434" t="s">
        <v>1985</v>
      </c>
      <c r="B6434" t="s">
        <v>1987</v>
      </c>
      <c r="C6434">
        <v>57</v>
      </c>
      <c r="D6434" t="s">
        <v>1447</v>
      </c>
      <c r="E6434" t="s">
        <v>1798</v>
      </c>
      <c r="F6434" t="s">
        <v>1748</v>
      </c>
      <c r="H6434" s="165" t="str">
        <f>IF(ISBLANK('Q 6'!G189),"",IF('Q 6'!G189="&lt;please select&gt;","",'Q 6'!G189))</f>
        <v>2</v>
      </c>
    </row>
    <row r="6435" spans="1:8" x14ac:dyDescent="0.3">
      <c r="A6435" t="s">
        <v>1985</v>
      </c>
      <c r="B6435" t="s">
        <v>1987</v>
      </c>
      <c r="C6435">
        <v>58</v>
      </c>
      <c r="D6435" t="s">
        <v>1447</v>
      </c>
      <c r="E6435" t="s">
        <v>1798</v>
      </c>
      <c r="F6435" t="s">
        <v>1748</v>
      </c>
      <c r="H6435" s="165" t="str">
        <f>IF(ISBLANK('Q 6'!G190),"",IF('Q 6'!G190="&lt;please select&gt;","",'Q 6'!G190))</f>
        <v>364</v>
      </c>
    </row>
    <row r="6436" spans="1:8" x14ac:dyDescent="0.3">
      <c r="A6436" t="s">
        <v>1985</v>
      </c>
      <c r="B6436" t="s">
        <v>1987</v>
      </c>
      <c r="C6436">
        <v>59</v>
      </c>
      <c r="D6436" t="s">
        <v>1447</v>
      </c>
      <c r="E6436" t="s">
        <v>1798</v>
      </c>
      <c r="F6436" t="s">
        <v>1748</v>
      </c>
      <c r="H6436" s="165" t="str">
        <f>IF(ISBLANK('Q 6'!G191),"",IF('Q 6'!G191="&lt;please select&gt;","",'Q 6'!G191))</f>
        <v>4</v>
      </c>
    </row>
    <row r="6437" spans="1:8" x14ac:dyDescent="0.3">
      <c r="A6437" t="s">
        <v>1985</v>
      </c>
      <c r="B6437" t="s">
        <v>1987</v>
      </c>
      <c r="C6437">
        <v>60</v>
      </c>
      <c r="D6437" t="s">
        <v>1447</v>
      </c>
      <c r="E6437" t="s">
        <v>1798</v>
      </c>
      <c r="F6437" t="s">
        <v>1748</v>
      </c>
      <c r="H6437" s="165" t="str">
        <f>IF(ISBLANK('Q 6'!G192),"",IF('Q 6'!G192="&lt;please select&gt;","",'Q 6'!G192))</f>
        <v>19</v>
      </c>
    </row>
    <row r="6438" spans="1:8" x14ac:dyDescent="0.3">
      <c r="A6438" t="s">
        <v>1985</v>
      </c>
      <c r="B6438" t="s">
        <v>1987</v>
      </c>
      <c r="C6438">
        <v>61</v>
      </c>
      <c r="D6438" t="s">
        <v>1447</v>
      </c>
      <c r="E6438" t="s">
        <v>1798</v>
      </c>
      <c r="F6438" t="s">
        <v>1748</v>
      </c>
      <c r="H6438" s="165" t="str">
        <f>IF(ISBLANK('Q 6'!G193),"",IF('Q 6'!G193="&lt;please select&gt;","",'Q 6'!G193))</f>
        <v>19</v>
      </c>
    </row>
    <row r="6439" spans="1:8" x14ac:dyDescent="0.3">
      <c r="A6439" t="s">
        <v>1985</v>
      </c>
      <c r="B6439" t="s">
        <v>1987</v>
      </c>
      <c r="C6439">
        <v>62</v>
      </c>
      <c r="D6439" t="s">
        <v>1447</v>
      </c>
      <c r="E6439" t="s">
        <v>1798</v>
      </c>
      <c r="F6439" t="s">
        <v>1748</v>
      </c>
      <c r="H6439" s="165" t="str">
        <f>IF(ISBLANK('Q 6'!G194),"",IF('Q 6'!G194="&lt;please select&gt;","",'Q 6'!G194))</f>
        <v>53</v>
      </c>
    </row>
    <row r="6440" spans="1:8" x14ac:dyDescent="0.3">
      <c r="A6440" t="s">
        <v>1985</v>
      </c>
      <c r="B6440" t="s">
        <v>1987</v>
      </c>
      <c r="C6440">
        <v>63</v>
      </c>
      <c r="D6440" t="s">
        <v>1447</v>
      </c>
      <c r="E6440" t="s">
        <v>1798</v>
      </c>
      <c r="F6440" t="s">
        <v>1748</v>
      </c>
      <c r="H6440" s="165" t="str">
        <f>IF(ISBLANK('Q 6'!G195),"",IF('Q 6'!G195="&lt;please select&gt;","",'Q 6'!G195))</f>
        <v>6</v>
      </c>
    </row>
    <row r="6441" spans="1:8" x14ac:dyDescent="0.3">
      <c r="A6441" t="s">
        <v>1985</v>
      </c>
      <c r="B6441" t="s">
        <v>1987</v>
      </c>
      <c r="C6441">
        <v>64</v>
      </c>
      <c r="D6441" t="s">
        <v>1447</v>
      </c>
      <c r="E6441" t="s">
        <v>1798</v>
      </c>
      <c r="F6441" t="s">
        <v>1748</v>
      </c>
      <c r="H6441" s="165" t="str">
        <f>IF(ISBLANK('Q 6'!G196),"",IF('Q 6'!G196="&lt;please select&gt;","",'Q 6'!G196))</f>
        <v>1</v>
      </c>
    </row>
    <row r="6442" spans="1:8" x14ac:dyDescent="0.3">
      <c r="A6442" t="s">
        <v>1985</v>
      </c>
      <c r="B6442" t="s">
        <v>1987</v>
      </c>
      <c r="C6442">
        <v>65</v>
      </c>
      <c r="D6442" t="s">
        <v>1447</v>
      </c>
      <c r="E6442" t="s">
        <v>1798</v>
      </c>
      <c r="F6442" t="s">
        <v>1748</v>
      </c>
      <c r="H6442" s="165" t="str">
        <f>IF(ISBLANK('Q 6'!G197),"",IF('Q 6'!G197="&lt;please select&gt;","",'Q 6'!G197))</f>
        <v>24</v>
      </c>
    </row>
    <row r="6443" spans="1:8" x14ac:dyDescent="0.3">
      <c r="A6443" t="s">
        <v>1985</v>
      </c>
      <c r="B6443" t="s">
        <v>1987</v>
      </c>
      <c r="C6443">
        <v>66</v>
      </c>
      <c r="D6443" t="s">
        <v>1447</v>
      </c>
      <c r="E6443" t="s">
        <v>1798</v>
      </c>
      <c r="F6443" t="s">
        <v>1748</v>
      </c>
      <c r="H6443" s="165" t="str">
        <f>IF(ISBLANK('Q 6'!G198),"",IF('Q 6'!G198="&lt;please select&gt;","",'Q 6'!G198))</f>
        <v>19</v>
      </c>
    </row>
    <row r="6444" spans="1:8" x14ac:dyDescent="0.3">
      <c r="A6444" t="s">
        <v>1985</v>
      </c>
      <c r="B6444" t="s">
        <v>1987</v>
      </c>
      <c r="C6444">
        <v>67</v>
      </c>
      <c r="D6444" t="s">
        <v>1447</v>
      </c>
      <c r="E6444" t="s">
        <v>1798</v>
      </c>
      <c r="F6444" t="s">
        <v>1748</v>
      </c>
      <c r="H6444" s="165" t="str">
        <f>IF(ISBLANK('Q 6'!G199),"",IF('Q 6'!G199="&lt;please select&gt;","",'Q 6'!G199))</f>
        <v>23</v>
      </c>
    </row>
    <row r="6445" spans="1:8" x14ac:dyDescent="0.3">
      <c r="A6445" t="s">
        <v>1985</v>
      </c>
      <c r="B6445" t="s">
        <v>1987</v>
      </c>
      <c r="C6445">
        <v>68</v>
      </c>
      <c r="D6445" t="s">
        <v>1447</v>
      </c>
      <c r="E6445" t="s">
        <v>1798</v>
      </c>
      <c r="F6445" t="s">
        <v>1748</v>
      </c>
      <c r="H6445" s="165" t="str">
        <f>IF(ISBLANK('Q 6'!G200),"",IF('Q 6'!G200="&lt;please select&gt;","",'Q 6'!G200))</f>
        <v>4</v>
      </c>
    </row>
    <row r="6446" spans="1:8" x14ac:dyDescent="0.3">
      <c r="A6446" t="s">
        <v>1985</v>
      </c>
      <c r="B6446" t="s">
        <v>1987</v>
      </c>
      <c r="C6446">
        <v>69</v>
      </c>
      <c r="D6446" t="s">
        <v>1447</v>
      </c>
      <c r="E6446" t="s">
        <v>1798</v>
      </c>
      <c r="F6446" t="s">
        <v>1748</v>
      </c>
      <c r="H6446" s="165" t="str">
        <f>IF(ISBLANK('Q 6'!G201),"",IF('Q 6'!G201="&lt;please select&gt;","",'Q 6'!G201))</f>
        <v>15</v>
      </c>
    </row>
    <row r="6447" spans="1:8" x14ac:dyDescent="0.3">
      <c r="A6447" t="s">
        <v>1985</v>
      </c>
      <c r="B6447" t="s">
        <v>1987</v>
      </c>
      <c r="C6447">
        <v>70</v>
      </c>
      <c r="D6447" t="s">
        <v>1447</v>
      </c>
      <c r="E6447" t="s">
        <v>1798</v>
      </c>
      <c r="F6447" t="s">
        <v>1748</v>
      </c>
      <c r="H6447" s="165" t="str">
        <f>IF(ISBLANK('Q 6'!G202),"",IF('Q 6'!G202="&lt;please select&gt;","",'Q 6'!G202))</f>
        <v>6</v>
      </c>
    </row>
    <row r="6448" spans="1:8" x14ac:dyDescent="0.3">
      <c r="A6448" t="s">
        <v>1985</v>
      </c>
      <c r="B6448" t="s">
        <v>1987</v>
      </c>
      <c r="C6448">
        <v>71</v>
      </c>
      <c r="D6448" t="s">
        <v>1447</v>
      </c>
      <c r="E6448" t="s">
        <v>1798</v>
      </c>
      <c r="F6448" t="s">
        <v>1748</v>
      </c>
      <c r="H6448" s="165" t="str">
        <f>IF(ISBLANK('Q 6'!G203),"",IF('Q 6'!G203="&lt;please select&gt;","",'Q 6'!G203))</f>
        <v>11</v>
      </c>
    </row>
    <row r="6449" spans="1:8" x14ac:dyDescent="0.3">
      <c r="A6449" t="s">
        <v>1985</v>
      </c>
      <c r="B6449" t="s">
        <v>1987</v>
      </c>
      <c r="C6449">
        <v>72</v>
      </c>
      <c r="D6449" t="s">
        <v>1447</v>
      </c>
      <c r="E6449" t="s">
        <v>1798</v>
      </c>
      <c r="F6449" t="s">
        <v>1748</v>
      </c>
      <c r="H6449" s="165" t="str">
        <f>IF(ISBLANK('Q 6'!G204),"",IF('Q 6'!G204="&lt;please select&gt;","",'Q 6'!G204))</f>
        <v>2</v>
      </c>
    </row>
    <row r="6450" spans="1:8" x14ac:dyDescent="0.3">
      <c r="A6450" t="s">
        <v>1985</v>
      </c>
      <c r="B6450" t="s">
        <v>1987</v>
      </c>
      <c r="C6450">
        <v>73</v>
      </c>
      <c r="D6450" t="s">
        <v>1447</v>
      </c>
      <c r="E6450" t="s">
        <v>1798</v>
      </c>
      <c r="F6450" t="s">
        <v>1748</v>
      </c>
      <c r="H6450" s="165" t="str">
        <f>IF(ISBLANK('Q 6'!G205),"",IF('Q 6'!G205="&lt;please select&gt;","",'Q 6'!G205))</f>
        <v>2</v>
      </c>
    </row>
    <row r="6451" spans="1:8" x14ac:dyDescent="0.3">
      <c r="A6451" t="s">
        <v>1985</v>
      </c>
      <c r="B6451" t="s">
        <v>1987</v>
      </c>
      <c r="C6451">
        <v>74</v>
      </c>
      <c r="D6451" t="s">
        <v>1447</v>
      </c>
      <c r="E6451" t="s">
        <v>1798</v>
      </c>
      <c r="F6451" t="s">
        <v>1748</v>
      </c>
      <c r="H6451" s="165" t="str">
        <f>IF(ISBLANK('Q 6'!G206),"",IF('Q 6'!G206="&lt;please select&gt;","",'Q 6'!G206))</f>
        <v>2</v>
      </c>
    </row>
    <row r="6452" spans="1:8" x14ac:dyDescent="0.3">
      <c r="A6452" t="s">
        <v>1985</v>
      </c>
      <c r="B6452" t="s">
        <v>1987</v>
      </c>
      <c r="C6452">
        <v>75</v>
      </c>
      <c r="D6452" t="s">
        <v>1447</v>
      </c>
      <c r="E6452" t="s">
        <v>1798</v>
      </c>
      <c r="F6452" t="s">
        <v>1748</v>
      </c>
      <c r="H6452" s="165" t="str">
        <f>IF(ISBLANK('Q 6'!G207),"",IF('Q 6'!G207="&lt;please select&gt;","",'Q 6'!G207))</f>
        <v>1</v>
      </c>
    </row>
    <row r="6453" spans="1:8" x14ac:dyDescent="0.3">
      <c r="A6453" t="s">
        <v>1985</v>
      </c>
      <c r="B6453" t="s">
        <v>1987</v>
      </c>
      <c r="C6453">
        <v>76</v>
      </c>
      <c r="D6453" t="s">
        <v>1447</v>
      </c>
      <c r="E6453" t="s">
        <v>1798</v>
      </c>
      <c r="F6453" t="s">
        <v>1748</v>
      </c>
      <c r="H6453" s="165" t="str">
        <f>IF(ISBLANK('Q 6'!G208),"",IF('Q 6'!G208="&lt;please select&gt;","",'Q 6'!G208))</f>
        <v>1</v>
      </c>
    </row>
    <row r="6454" spans="1:8" x14ac:dyDescent="0.3">
      <c r="A6454" t="s">
        <v>1985</v>
      </c>
      <c r="B6454" t="s">
        <v>1987</v>
      </c>
      <c r="C6454">
        <v>77</v>
      </c>
      <c r="D6454" t="s">
        <v>1447</v>
      </c>
      <c r="E6454" t="s">
        <v>1798</v>
      </c>
      <c r="F6454" t="s">
        <v>1748</v>
      </c>
      <c r="H6454" s="165" t="str">
        <f>IF(ISBLANK('Q 6'!G209),"",IF('Q 6'!G209="&lt;please select&gt;","",'Q 6'!G209))</f>
        <v>1</v>
      </c>
    </row>
    <row r="6455" spans="1:8" x14ac:dyDescent="0.3">
      <c r="A6455" t="s">
        <v>1985</v>
      </c>
      <c r="B6455" t="s">
        <v>1987</v>
      </c>
      <c r="C6455">
        <v>78</v>
      </c>
      <c r="D6455" t="s">
        <v>1447</v>
      </c>
      <c r="E6455" t="s">
        <v>1798</v>
      </c>
      <c r="F6455" t="s">
        <v>1748</v>
      </c>
      <c r="H6455" s="165" t="str">
        <f>IF(ISBLANK('Q 6'!G210),"",IF('Q 6'!G210="&lt;please select&gt;","",'Q 6'!G210))</f>
        <v>1</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430</v>
      </c>
    </row>
    <row r="6469" spans="1:8" x14ac:dyDescent="0.3">
      <c r="A6469" t="s">
        <v>1985</v>
      </c>
      <c r="B6469" t="s">
        <v>1987</v>
      </c>
      <c r="C6469">
        <v>2</v>
      </c>
      <c r="D6469" t="s">
        <v>1447</v>
      </c>
      <c r="E6469" t="s">
        <v>1972</v>
      </c>
      <c r="F6469" t="s">
        <v>1748</v>
      </c>
      <c r="H6469" s="165" t="str">
        <f>IF(ISBLANK('Q 6'!H134),"",IF('Q 6'!H134="&lt;please select&gt;","",'Q 6'!H134))</f>
        <v>7</v>
      </c>
    </row>
    <row r="6470" spans="1:8" x14ac:dyDescent="0.3">
      <c r="A6470" t="s">
        <v>1985</v>
      </c>
      <c r="B6470" t="s">
        <v>1987</v>
      </c>
      <c r="C6470">
        <v>3</v>
      </c>
      <c r="D6470" t="s">
        <v>1447</v>
      </c>
      <c r="E6470" t="s">
        <v>1972</v>
      </c>
      <c r="F6470" t="s">
        <v>1748</v>
      </c>
      <c r="H6470" s="165" t="str">
        <f>IF(ISBLANK('Q 6'!H135),"",IF('Q 6'!H135="&lt;please select&gt;","",'Q 6'!H135))</f>
        <v>20</v>
      </c>
    </row>
    <row r="6471" spans="1:8" x14ac:dyDescent="0.3">
      <c r="A6471" t="s">
        <v>1985</v>
      </c>
      <c r="B6471" t="s">
        <v>1987</v>
      </c>
      <c r="C6471">
        <v>4</v>
      </c>
      <c r="D6471" t="s">
        <v>1447</v>
      </c>
      <c r="E6471" t="s">
        <v>1972</v>
      </c>
      <c r="F6471" t="s">
        <v>1748</v>
      </c>
      <c r="H6471" s="165" t="str">
        <f>IF(ISBLANK('Q 6'!H136),"",IF('Q 6'!H136="&lt;please select&gt;","",'Q 6'!H136))</f>
        <v>25</v>
      </c>
    </row>
    <row r="6472" spans="1:8" x14ac:dyDescent="0.3">
      <c r="A6472" t="s">
        <v>1985</v>
      </c>
      <c r="B6472" t="s">
        <v>1987</v>
      </c>
      <c r="C6472">
        <v>5</v>
      </c>
      <c r="D6472" t="s">
        <v>1447</v>
      </c>
      <c r="E6472" t="s">
        <v>1972</v>
      </c>
      <c r="F6472" t="s">
        <v>1748</v>
      </c>
      <c r="H6472" s="165" t="str">
        <f>IF(ISBLANK('Q 6'!H137),"",IF('Q 6'!H137="&lt;please select&gt;","",'Q 6'!H137))</f>
        <v>49</v>
      </c>
    </row>
    <row r="6473" spans="1:8" x14ac:dyDescent="0.3">
      <c r="A6473" t="s">
        <v>1985</v>
      </c>
      <c r="B6473" t="s">
        <v>1987</v>
      </c>
      <c r="C6473">
        <v>6</v>
      </c>
      <c r="D6473" t="s">
        <v>1447</v>
      </c>
      <c r="E6473" t="s">
        <v>1972</v>
      </c>
      <c r="F6473" t="s">
        <v>1748</v>
      </c>
      <c r="H6473" s="165" t="str">
        <f>IF(ISBLANK('Q 6'!H138),"",IF('Q 6'!H138="&lt;please select&gt;","",'Q 6'!H138))</f>
        <v>9</v>
      </c>
    </row>
    <row r="6474" spans="1:8" x14ac:dyDescent="0.3">
      <c r="A6474" t="s">
        <v>1985</v>
      </c>
      <c r="B6474" t="s">
        <v>1987</v>
      </c>
      <c r="C6474">
        <v>7</v>
      </c>
      <c r="D6474" t="s">
        <v>1447</v>
      </c>
      <c r="E6474" t="s">
        <v>1972</v>
      </c>
      <c r="F6474" t="s">
        <v>1748</v>
      </c>
      <c r="H6474" s="165" t="str">
        <f>IF(ISBLANK('Q 6'!H139),"",IF('Q 6'!H139="&lt;please select&gt;","",'Q 6'!H139))</f>
        <v>42</v>
      </c>
    </row>
    <row r="6475" spans="1:8" x14ac:dyDescent="0.3">
      <c r="A6475" t="s">
        <v>1985</v>
      </c>
      <c r="B6475" t="s">
        <v>1987</v>
      </c>
      <c r="C6475">
        <v>8</v>
      </c>
      <c r="D6475" t="s">
        <v>1447</v>
      </c>
      <c r="E6475" t="s">
        <v>1972</v>
      </c>
      <c r="F6475" t="s">
        <v>1748</v>
      </c>
      <c r="H6475" s="165" t="str">
        <f>IF(ISBLANK('Q 6'!H140),"",IF('Q 6'!H140="&lt;please select&gt;","",'Q 6'!H140))</f>
        <v>13</v>
      </c>
    </row>
    <row r="6476" spans="1:8" x14ac:dyDescent="0.3">
      <c r="A6476" t="s">
        <v>1985</v>
      </c>
      <c r="B6476" t="s">
        <v>1987</v>
      </c>
      <c r="C6476">
        <v>9</v>
      </c>
      <c r="D6476" t="s">
        <v>1447</v>
      </c>
      <c r="E6476" t="s">
        <v>1972</v>
      </c>
      <c r="F6476" t="s">
        <v>1748</v>
      </c>
      <c r="H6476" s="165" t="str">
        <f>IF(ISBLANK('Q 6'!H141),"",IF('Q 6'!H141="&lt;please select&gt;","",'Q 6'!H141))</f>
        <v>24</v>
      </c>
    </row>
    <row r="6477" spans="1:8" x14ac:dyDescent="0.3">
      <c r="A6477" t="s">
        <v>1985</v>
      </c>
      <c r="B6477" t="s">
        <v>1987</v>
      </c>
      <c r="C6477">
        <v>10</v>
      </c>
      <c r="D6477" t="s">
        <v>1447</v>
      </c>
      <c r="E6477" t="s">
        <v>1972</v>
      </c>
      <c r="F6477" t="s">
        <v>1748</v>
      </c>
      <c r="H6477" s="165" t="str">
        <f>IF(ISBLANK('Q 6'!H142),"",IF('Q 6'!H142="&lt;please select&gt;","",'Q 6'!H142))</f>
        <v>4</v>
      </c>
    </row>
    <row r="6478" spans="1:8" x14ac:dyDescent="0.3">
      <c r="A6478" t="s">
        <v>1985</v>
      </c>
      <c r="B6478" t="s">
        <v>1987</v>
      </c>
      <c r="C6478">
        <v>11</v>
      </c>
      <c r="D6478" t="s">
        <v>1447</v>
      </c>
      <c r="E6478" t="s">
        <v>1972</v>
      </c>
      <c r="F6478" t="s">
        <v>1748</v>
      </c>
      <c r="H6478" s="165" t="str">
        <f>IF(ISBLANK('Q 6'!H143),"",IF('Q 6'!H143="&lt;please select&gt;","",'Q 6'!H143))</f>
        <v>16</v>
      </c>
    </row>
    <row r="6479" spans="1:8" x14ac:dyDescent="0.3">
      <c r="A6479" t="s">
        <v>1985</v>
      </c>
      <c r="B6479" t="s">
        <v>1987</v>
      </c>
      <c r="C6479">
        <v>12</v>
      </c>
      <c r="D6479" t="s">
        <v>1447</v>
      </c>
      <c r="E6479" t="s">
        <v>1972</v>
      </c>
      <c r="F6479" t="s">
        <v>1748</v>
      </c>
      <c r="H6479" s="165" t="str">
        <f>IF(ISBLANK('Q 6'!H144),"",IF('Q 6'!H144="&lt;please select&gt;","",'Q 6'!H144))</f>
        <v>9</v>
      </c>
    </row>
    <row r="6480" spans="1:8" x14ac:dyDescent="0.3">
      <c r="A6480" t="s">
        <v>1985</v>
      </c>
      <c r="B6480" t="s">
        <v>1987</v>
      </c>
      <c r="C6480">
        <v>13</v>
      </c>
      <c r="D6480" t="s">
        <v>1447</v>
      </c>
      <c r="E6480" t="s">
        <v>1972</v>
      </c>
      <c r="F6480" t="s">
        <v>1748</v>
      </c>
      <c r="H6480" s="165" t="str">
        <f>IF(ISBLANK('Q 6'!H145),"",IF('Q 6'!H145="&lt;please select&gt;","",'Q 6'!H145))</f>
        <v>11</v>
      </c>
    </row>
    <row r="6481" spans="1:8" x14ac:dyDescent="0.3">
      <c r="A6481" t="s">
        <v>1985</v>
      </c>
      <c r="B6481" t="s">
        <v>1987</v>
      </c>
      <c r="C6481">
        <v>14</v>
      </c>
      <c r="D6481" t="s">
        <v>1447</v>
      </c>
      <c r="E6481" t="s">
        <v>1972</v>
      </c>
      <c r="F6481" t="s">
        <v>1748</v>
      </c>
      <c r="H6481" s="165" t="str">
        <f>IF(ISBLANK('Q 6'!H146),"",IF('Q 6'!H146="&lt;please select&gt;","",'Q 6'!H146))</f>
        <v>6</v>
      </c>
    </row>
    <row r="6482" spans="1:8" x14ac:dyDescent="0.3">
      <c r="A6482" t="s">
        <v>1985</v>
      </c>
      <c r="B6482" t="s">
        <v>1987</v>
      </c>
      <c r="C6482">
        <v>15</v>
      </c>
      <c r="D6482" t="s">
        <v>1447</v>
      </c>
      <c r="E6482" t="s">
        <v>1972</v>
      </c>
      <c r="F6482" t="s">
        <v>1748</v>
      </c>
      <c r="H6482" s="165" t="str">
        <f>IF(ISBLANK('Q 6'!H147),"",IF('Q 6'!H147="&lt;please select&gt;","",'Q 6'!H147))</f>
        <v>4</v>
      </c>
    </row>
    <row r="6483" spans="1:8" x14ac:dyDescent="0.3">
      <c r="A6483" t="s">
        <v>1985</v>
      </c>
      <c r="B6483" t="s">
        <v>1987</v>
      </c>
      <c r="C6483">
        <v>16</v>
      </c>
      <c r="D6483" t="s">
        <v>1447</v>
      </c>
      <c r="E6483" t="s">
        <v>1972</v>
      </c>
      <c r="F6483" t="s">
        <v>1748</v>
      </c>
      <c r="H6483" s="165" t="str">
        <f>IF(ISBLANK('Q 6'!H148),"",IF('Q 6'!H148="&lt;please select&gt;","",'Q 6'!H148))</f>
        <v>1</v>
      </c>
    </row>
    <row r="6484" spans="1:8" x14ac:dyDescent="0.3">
      <c r="A6484" t="s">
        <v>1985</v>
      </c>
      <c r="B6484" t="s">
        <v>1987</v>
      </c>
      <c r="C6484">
        <v>17</v>
      </c>
      <c r="D6484" t="s">
        <v>1447</v>
      </c>
      <c r="E6484" t="s">
        <v>1972</v>
      </c>
      <c r="F6484" t="s">
        <v>1748</v>
      </c>
      <c r="H6484" s="165" t="str">
        <f>IF(ISBLANK('Q 6'!H149),"",IF('Q 6'!H149="&lt;please select&gt;","",'Q 6'!H149))</f>
        <v>2</v>
      </c>
    </row>
    <row r="6485" spans="1:8" x14ac:dyDescent="0.3">
      <c r="A6485" t="s">
        <v>1985</v>
      </c>
      <c r="B6485" t="s">
        <v>1987</v>
      </c>
      <c r="C6485">
        <v>18</v>
      </c>
      <c r="D6485" t="s">
        <v>1447</v>
      </c>
      <c r="E6485" t="s">
        <v>1972</v>
      </c>
      <c r="F6485" t="s">
        <v>1748</v>
      </c>
      <c r="H6485" s="165" t="str">
        <f>IF(ISBLANK('Q 6'!H150),"",IF('Q 6'!H150="&lt;please select&gt;","",'Q 6'!H150))</f>
        <v>1</v>
      </c>
    </row>
    <row r="6486" spans="1:8" x14ac:dyDescent="0.3">
      <c r="A6486" t="s">
        <v>1985</v>
      </c>
      <c r="B6486" t="s">
        <v>1987</v>
      </c>
      <c r="C6486">
        <v>19</v>
      </c>
      <c r="D6486" t="s">
        <v>1447</v>
      </c>
      <c r="E6486" t="s">
        <v>1972</v>
      </c>
      <c r="F6486" t="s">
        <v>1748</v>
      </c>
      <c r="H6486" s="165" t="str">
        <f>IF(ISBLANK('Q 6'!H151),"",IF('Q 6'!H151="&lt;please select&gt;","",'Q 6'!H151))</f>
        <v>1</v>
      </c>
    </row>
    <row r="6487" spans="1:8" x14ac:dyDescent="0.3">
      <c r="A6487" t="s">
        <v>1985</v>
      </c>
      <c r="B6487" t="s">
        <v>1987</v>
      </c>
      <c r="C6487">
        <v>20</v>
      </c>
      <c r="D6487" t="s">
        <v>1447</v>
      </c>
      <c r="E6487" t="s">
        <v>1972</v>
      </c>
      <c r="F6487" t="s">
        <v>1748</v>
      </c>
      <c r="H6487" s="165" t="str">
        <f>IF(ISBLANK('Q 6'!H152),"",IF('Q 6'!H152="&lt;please select&gt;","",'Q 6'!H152))</f>
        <v>2</v>
      </c>
    </row>
    <row r="6488" spans="1:8" x14ac:dyDescent="0.3">
      <c r="A6488" t="s">
        <v>1985</v>
      </c>
      <c r="B6488" t="s">
        <v>1987</v>
      </c>
      <c r="C6488">
        <v>21</v>
      </c>
      <c r="D6488" t="s">
        <v>1447</v>
      </c>
      <c r="E6488" t="s">
        <v>1972</v>
      </c>
      <c r="F6488" t="s">
        <v>1748</v>
      </c>
      <c r="H6488" s="165" t="str">
        <f>IF(ISBLANK('Q 6'!H153),"",IF('Q 6'!H153="&lt;please select&gt;","",'Q 6'!H153))</f>
        <v>2</v>
      </c>
    </row>
    <row r="6489" spans="1:8" x14ac:dyDescent="0.3">
      <c r="A6489" t="s">
        <v>1985</v>
      </c>
      <c r="B6489" t="s">
        <v>1987</v>
      </c>
      <c r="C6489">
        <v>22</v>
      </c>
      <c r="D6489" t="s">
        <v>1447</v>
      </c>
      <c r="E6489" t="s">
        <v>1972</v>
      </c>
      <c r="F6489" t="s">
        <v>1748</v>
      </c>
      <c r="H6489" s="165" t="str">
        <f>IF(ISBLANK('Q 6'!H154),"",IF('Q 6'!H154="&lt;please select&gt;","",'Q 6'!H154))</f>
        <v>161</v>
      </c>
    </row>
    <row r="6490" spans="1:8" x14ac:dyDescent="0.3">
      <c r="A6490" t="s">
        <v>1985</v>
      </c>
      <c r="B6490" t="s">
        <v>1987</v>
      </c>
      <c r="C6490">
        <v>23</v>
      </c>
      <c r="D6490" t="s">
        <v>1447</v>
      </c>
      <c r="E6490" t="s">
        <v>1972</v>
      </c>
      <c r="F6490" t="s">
        <v>1748</v>
      </c>
      <c r="H6490" s="165" t="str">
        <f>IF(ISBLANK('Q 6'!H155),"",IF('Q 6'!H155="&lt;please select&gt;","",'Q 6'!H155))</f>
        <v>4</v>
      </c>
    </row>
    <row r="6491" spans="1:8" x14ac:dyDescent="0.3">
      <c r="A6491" t="s">
        <v>1985</v>
      </c>
      <c r="B6491" t="s">
        <v>1987</v>
      </c>
      <c r="C6491">
        <v>24</v>
      </c>
      <c r="D6491" t="s">
        <v>1447</v>
      </c>
      <c r="E6491" t="s">
        <v>1972</v>
      </c>
      <c r="F6491" t="s">
        <v>1748</v>
      </c>
      <c r="H6491" s="165" t="str">
        <f>IF(ISBLANK('Q 6'!H156),"",IF('Q 6'!H156="&lt;please select&gt;","",'Q 6'!H156))</f>
        <v>5</v>
      </c>
    </row>
    <row r="6492" spans="1:8" x14ac:dyDescent="0.3">
      <c r="A6492" t="s">
        <v>1985</v>
      </c>
      <c r="B6492" t="s">
        <v>1987</v>
      </c>
      <c r="C6492">
        <v>25</v>
      </c>
      <c r="D6492" t="s">
        <v>1447</v>
      </c>
      <c r="E6492" t="s">
        <v>1972</v>
      </c>
      <c r="F6492" t="s">
        <v>1748</v>
      </c>
      <c r="H6492" s="165" t="str">
        <f>IF(ISBLANK('Q 6'!H157),"",IF('Q 6'!H157="&lt;please select&gt;","",'Q 6'!H157))</f>
        <v>18</v>
      </c>
    </row>
    <row r="6493" spans="1:8" x14ac:dyDescent="0.3">
      <c r="A6493" t="s">
        <v>1985</v>
      </c>
      <c r="B6493" t="s">
        <v>1987</v>
      </c>
      <c r="C6493">
        <v>26</v>
      </c>
      <c r="D6493" t="s">
        <v>1447</v>
      </c>
      <c r="E6493" t="s">
        <v>1972</v>
      </c>
      <c r="F6493" t="s">
        <v>1748</v>
      </c>
      <c r="H6493" s="165" t="str">
        <f>IF(ISBLANK('Q 6'!H158),"",IF('Q 6'!H158="&lt;please select&gt;","",'Q 6'!H158))</f>
        <v>17</v>
      </c>
    </row>
    <row r="6494" spans="1:8" x14ac:dyDescent="0.3">
      <c r="A6494" t="s">
        <v>1985</v>
      </c>
      <c r="B6494" t="s">
        <v>1987</v>
      </c>
      <c r="C6494">
        <v>27</v>
      </c>
      <c r="D6494" t="s">
        <v>1447</v>
      </c>
      <c r="E6494" t="s">
        <v>1972</v>
      </c>
      <c r="F6494" t="s">
        <v>1748</v>
      </c>
      <c r="H6494" s="165" t="str">
        <f>IF(ISBLANK('Q 6'!H159),"",IF('Q 6'!H159="&lt;please select&gt;","",'Q 6'!H159))</f>
        <v>4</v>
      </c>
    </row>
    <row r="6495" spans="1:8" x14ac:dyDescent="0.3">
      <c r="A6495" t="s">
        <v>1985</v>
      </c>
      <c r="B6495" t="s">
        <v>1987</v>
      </c>
      <c r="C6495">
        <v>28</v>
      </c>
      <c r="D6495" t="s">
        <v>1447</v>
      </c>
      <c r="E6495" t="s">
        <v>1972</v>
      </c>
      <c r="F6495" t="s">
        <v>1748</v>
      </c>
      <c r="H6495" s="165" t="str">
        <f>IF(ISBLANK('Q 6'!H160),"",IF('Q 6'!H160="&lt;please select&gt;","",'Q 6'!H160))</f>
        <v>2</v>
      </c>
    </row>
    <row r="6496" spans="1:8" x14ac:dyDescent="0.3">
      <c r="A6496" t="s">
        <v>1985</v>
      </c>
      <c r="B6496" t="s">
        <v>1987</v>
      </c>
      <c r="C6496">
        <v>29</v>
      </c>
      <c r="D6496" t="s">
        <v>1447</v>
      </c>
      <c r="E6496" t="s">
        <v>1972</v>
      </c>
      <c r="F6496" t="s">
        <v>1748</v>
      </c>
      <c r="H6496" s="165" t="str">
        <f>IF(ISBLANK('Q 6'!H161),"",IF('Q 6'!H161="&lt;please select&gt;","",'Q 6'!H161))</f>
        <v>8</v>
      </c>
    </row>
    <row r="6497" spans="1:8" x14ac:dyDescent="0.3">
      <c r="A6497" t="s">
        <v>1985</v>
      </c>
      <c r="B6497" t="s">
        <v>1987</v>
      </c>
      <c r="C6497">
        <v>30</v>
      </c>
      <c r="D6497" t="s">
        <v>1447</v>
      </c>
      <c r="E6497" t="s">
        <v>1972</v>
      </c>
      <c r="F6497" t="s">
        <v>1748</v>
      </c>
      <c r="H6497" s="165" t="str">
        <f>IF(ISBLANK('Q 6'!H162),"",IF('Q 6'!H162="&lt;please select&gt;","",'Q 6'!H162))</f>
        <v>11</v>
      </c>
    </row>
    <row r="6498" spans="1:8" x14ac:dyDescent="0.3">
      <c r="A6498" t="s">
        <v>1985</v>
      </c>
      <c r="B6498" t="s">
        <v>1987</v>
      </c>
      <c r="C6498">
        <v>31</v>
      </c>
      <c r="D6498" t="s">
        <v>1447</v>
      </c>
      <c r="E6498" t="s">
        <v>1972</v>
      </c>
      <c r="F6498" t="s">
        <v>1748</v>
      </c>
      <c r="H6498" s="165" t="str">
        <f>IF(ISBLANK('Q 6'!H163),"",IF('Q 6'!H163="&lt;please select&gt;","",'Q 6'!H163))</f>
        <v>1</v>
      </c>
    </row>
    <row r="6499" spans="1:8" x14ac:dyDescent="0.3">
      <c r="A6499" t="s">
        <v>1985</v>
      </c>
      <c r="B6499" t="s">
        <v>1987</v>
      </c>
      <c r="C6499">
        <v>32</v>
      </c>
      <c r="D6499" t="s">
        <v>1447</v>
      </c>
      <c r="E6499" t="s">
        <v>1972</v>
      </c>
      <c r="F6499" t="s">
        <v>1748</v>
      </c>
      <c r="H6499" s="165" t="str">
        <f>IF(ISBLANK('Q 6'!H164),"",IF('Q 6'!H164="&lt;please select&gt;","",'Q 6'!H164))</f>
        <v>11</v>
      </c>
    </row>
    <row r="6500" spans="1:8" x14ac:dyDescent="0.3">
      <c r="A6500" t="s">
        <v>1985</v>
      </c>
      <c r="B6500" t="s">
        <v>1987</v>
      </c>
      <c r="C6500">
        <v>33</v>
      </c>
      <c r="D6500" t="s">
        <v>1447</v>
      </c>
      <c r="E6500" t="s">
        <v>1972</v>
      </c>
      <c r="F6500" t="s">
        <v>1748</v>
      </c>
      <c r="H6500" s="165" t="str">
        <f>IF(ISBLANK('Q 6'!H165),"",IF('Q 6'!H165="&lt;please select&gt;","",'Q 6'!H165))</f>
        <v>12</v>
      </c>
    </row>
    <row r="6501" spans="1:8" x14ac:dyDescent="0.3">
      <c r="A6501" t="s">
        <v>1985</v>
      </c>
      <c r="B6501" t="s">
        <v>1987</v>
      </c>
      <c r="C6501">
        <v>34</v>
      </c>
      <c r="D6501" t="s">
        <v>1447</v>
      </c>
      <c r="E6501" t="s">
        <v>1972</v>
      </c>
      <c r="F6501" t="s">
        <v>1748</v>
      </c>
      <c r="H6501" s="165" t="str">
        <f>IF(ISBLANK('Q 6'!H166),"",IF('Q 6'!H166="&lt;please select&gt;","",'Q 6'!H166))</f>
        <v>1</v>
      </c>
    </row>
    <row r="6502" spans="1:8" x14ac:dyDescent="0.3">
      <c r="A6502" t="s">
        <v>1985</v>
      </c>
      <c r="B6502" t="s">
        <v>1987</v>
      </c>
      <c r="C6502">
        <v>35</v>
      </c>
      <c r="D6502" t="s">
        <v>1447</v>
      </c>
      <c r="E6502" t="s">
        <v>1972</v>
      </c>
      <c r="F6502" t="s">
        <v>1748</v>
      </c>
      <c r="H6502" s="165" t="str">
        <f>IF(ISBLANK('Q 6'!H167),"",IF('Q 6'!H167="&lt;please select&gt;","",'Q 6'!H167))</f>
        <v>3</v>
      </c>
    </row>
    <row r="6503" spans="1:8" x14ac:dyDescent="0.3">
      <c r="A6503" t="s">
        <v>1985</v>
      </c>
      <c r="B6503" t="s">
        <v>1987</v>
      </c>
      <c r="C6503">
        <v>36</v>
      </c>
      <c r="D6503" t="s">
        <v>1447</v>
      </c>
      <c r="E6503" t="s">
        <v>1972</v>
      </c>
      <c r="F6503" t="s">
        <v>1748</v>
      </c>
      <c r="H6503" s="165" t="str">
        <f>IF(ISBLANK('Q 6'!H168),"",IF('Q 6'!H168="&lt;please select&gt;","",'Q 6'!H168))</f>
        <v>1</v>
      </c>
    </row>
    <row r="6504" spans="1:8" x14ac:dyDescent="0.3">
      <c r="A6504" t="s">
        <v>1985</v>
      </c>
      <c r="B6504" t="s">
        <v>1987</v>
      </c>
      <c r="C6504">
        <v>37</v>
      </c>
      <c r="D6504" t="s">
        <v>1447</v>
      </c>
      <c r="E6504" t="s">
        <v>1972</v>
      </c>
      <c r="F6504" t="s">
        <v>1748</v>
      </c>
      <c r="H6504" s="165" t="str">
        <f>IF(ISBLANK('Q 6'!H169),"",IF('Q 6'!H169="&lt;please select&gt;","",'Q 6'!H169))</f>
        <v>2</v>
      </c>
    </row>
    <row r="6505" spans="1:8" x14ac:dyDescent="0.3">
      <c r="A6505" t="s">
        <v>1985</v>
      </c>
      <c r="B6505" t="s">
        <v>1987</v>
      </c>
      <c r="C6505">
        <v>38</v>
      </c>
      <c r="D6505" t="s">
        <v>1447</v>
      </c>
      <c r="E6505" t="s">
        <v>1972</v>
      </c>
      <c r="F6505" t="s">
        <v>1748</v>
      </c>
      <c r="H6505" s="165" t="str">
        <f>IF(ISBLANK('Q 6'!H170),"",IF('Q 6'!H170="&lt;please select&gt;","",'Q 6'!H170))</f>
        <v>326</v>
      </c>
    </row>
    <row r="6506" spans="1:8" x14ac:dyDescent="0.3">
      <c r="A6506" t="s">
        <v>1985</v>
      </c>
      <c r="B6506" t="s">
        <v>1987</v>
      </c>
      <c r="C6506">
        <v>39</v>
      </c>
      <c r="D6506" t="s">
        <v>1447</v>
      </c>
      <c r="E6506" t="s">
        <v>1972</v>
      </c>
      <c r="F6506" t="s">
        <v>1748</v>
      </c>
      <c r="H6506" s="165" t="str">
        <f>IF(ISBLANK('Q 6'!H171),"",IF('Q 6'!H171="&lt;please select&gt;","",'Q 6'!H171))</f>
        <v>3</v>
      </c>
    </row>
    <row r="6507" spans="1:8" x14ac:dyDescent="0.3">
      <c r="A6507" t="s">
        <v>1985</v>
      </c>
      <c r="B6507" t="s">
        <v>1987</v>
      </c>
      <c r="C6507">
        <v>40</v>
      </c>
      <c r="D6507" t="s">
        <v>1447</v>
      </c>
      <c r="E6507" t="s">
        <v>1972</v>
      </c>
      <c r="F6507" t="s">
        <v>1748</v>
      </c>
      <c r="H6507" s="165" t="str">
        <f>IF(ISBLANK('Q 6'!H172),"",IF('Q 6'!H172="&lt;please select&gt;","",'Q 6'!H172))</f>
        <v>18</v>
      </c>
    </row>
    <row r="6508" spans="1:8" x14ac:dyDescent="0.3">
      <c r="A6508" t="s">
        <v>1985</v>
      </c>
      <c r="B6508" t="s">
        <v>1987</v>
      </c>
      <c r="C6508">
        <v>41</v>
      </c>
      <c r="D6508" t="s">
        <v>1447</v>
      </c>
      <c r="E6508" t="s">
        <v>1972</v>
      </c>
      <c r="F6508" t="s">
        <v>1748</v>
      </c>
      <c r="H6508" s="165" t="str">
        <f>IF(ISBLANK('Q 6'!H173),"",IF('Q 6'!H173="&lt;please select&gt;","",'Q 6'!H173))</f>
        <v>21</v>
      </c>
    </row>
    <row r="6509" spans="1:8" x14ac:dyDescent="0.3">
      <c r="A6509" t="s">
        <v>1985</v>
      </c>
      <c r="B6509" t="s">
        <v>1987</v>
      </c>
      <c r="C6509">
        <v>42</v>
      </c>
      <c r="D6509" t="s">
        <v>1447</v>
      </c>
      <c r="E6509" t="s">
        <v>1972</v>
      </c>
      <c r="F6509" t="s">
        <v>1748</v>
      </c>
      <c r="H6509" s="165" t="str">
        <f>IF(ISBLANK('Q 6'!H174),"",IF('Q 6'!H174="&lt;please select&gt;","",'Q 6'!H174))</f>
        <v>33</v>
      </c>
    </row>
    <row r="6510" spans="1:8" x14ac:dyDescent="0.3">
      <c r="A6510" t="s">
        <v>1985</v>
      </c>
      <c r="B6510" t="s">
        <v>1987</v>
      </c>
      <c r="C6510">
        <v>43</v>
      </c>
      <c r="D6510" t="s">
        <v>1447</v>
      </c>
      <c r="E6510" t="s">
        <v>1972</v>
      </c>
      <c r="F6510" t="s">
        <v>1748</v>
      </c>
      <c r="H6510" s="165" t="str">
        <f>IF(ISBLANK('Q 6'!H175),"",IF('Q 6'!H175="&lt;please select&gt;","",'Q 6'!H175))</f>
        <v>7</v>
      </c>
    </row>
    <row r="6511" spans="1:8" x14ac:dyDescent="0.3">
      <c r="A6511" t="s">
        <v>1985</v>
      </c>
      <c r="B6511" t="s">
        <v>1987</v>
      </c>
      <c r="C6511">
        <v>44</v>
      </c>
      <c r="D6511" t="s">
        <v>1447</v>
      </c>
      <c r="E6511" t="s">
        <v>1972</v>
      </c>
      <c r="F6511" t="s">
        <v>1748</v>
      </c>
      <c r="H6511" s="165" t="str">
        <f>IF(ISBLANK('Q 6'!H176),"",IF('Q 6'!H176="&lt;please select&gt;","",'Q 6'!H176))</f>
        <v>1</v>
      </c>
    </row>
    <row r="6512" spans="1:8" x14ac:dyDescent="0.3">
      <c r="A6512" t="s">
        <v>1985</v>
      </c>
      <c r="B6512" t="s">
        <v>1987</v>
      </c>
      <c r="C6512">
        <v>45</v>
      </c>
      <c r="D6512" t="s">
        <v>1447</v>
      </c>
      <c r="E6512" t="s">
        <v>1972</v>
      </c>
      <c r="F6512" t="s">
        <v>1748</v>
      </c>
      <c r="H6512" s="165" t="str">
        <f>IF(ISBLANK('Q 6'!H177),"",IF('Q 6'!H177="&lt;please select&gt;","",'Q 6'!H177))</f>
        <v>11</v>
      </c>
    </row>
    <row r="6513" spans="1:8" x14ac:dyDescent="0.3">
      <c r="A6513" t="s">
        <v>1985</v>
      </c>
      <c r="B6513" t="s">
        <v>1987</v>
      </c>
      <c r="C6513">
        <v>46</v>
      </c>
      <c r="D6513" t="s">
        <v>1447</v>
      </c>
      <c r="E6513" t="s">
        <v>1972</v>
      </c>
      <c r="F6513" t="s">
        <v>1748</v>
      </c>
      <c r="H6513" s="165" t="str">
        <f>IF(ISBLANK('Q 6'!H178),"",IF('Q 6'!H178="&lt;please select&gt;","",'Q 6'!H178))</f>
        <v>15</v>
      </c>
    </row>
    <row r="6514" spans="1:8" x14ac:dyDescent="0.3">
      <c r="A6514" t="s">
        <v>1985</v>
      </c>
      <c r="B6514" t="s">
        <v>1987</v>
      </c>
      <c r="C6514">
        <v>47</v>
      </c>
      <c r="D6514" t="s">
        <v>1447</v>
      </c>
      <c r="E6514" t="s">
        <v>1972</v>
      </c>
      <c r="F6514" t="s">
        <v>1748</v>
      </c>
      <c r="H6514" s="165" t="str">
        <f>IF(ISBLANK('Q 6'!H179),"",IF('Q 6'!H179="&lt;please select&gt;","",'Q 6'!H179))</f>
        <v>19</v>
      </c>
    </row>
    <row r="6515" spans="1:8" x14ac:dyDescent="0.3">
      <c r="A6515" t="s">
        <v>1985</v>
      </c>
      <c r="B6515" t="s">
        <v>1987</v>
      </c>
      <c r="C6515">
        <v>48</v>
      </c>
      <c r="D6515" t="s">
        <v>1447</v>
      </c>
      <c r="E6515" t="s">
        <v>1972</v>
      </c>
      <c r="F6515" t="s">
        <v>1748</v>
      </c>
      <c r="H6515" s="165" t="str">
        <f>IF(ISBLANK('Q 6'!H180),"",IF('Q 6'!H180="&lt;please select&gt;","",'Q 6'!H180))</f>
        <v>1</v>
      </c>
    </row>
    <row r="6516" spans="1:8" x14ac:dyDescent="0.3">
      <c r="A6516" t="s">
        <v>1985</v>
      </c>
      <c r="B6516" t="s">
        <v>1987</v>
      </c>
      <c r="C6516">
        <v>49</v>
      </c>
      <c r="D6516" t="s">
        <v>1447</v>
      </c>
      <c r="E6516" t="s">
        <v>1972</v>
      </c>
      <c r="F6516" t="s">
        <v>1748</v>
      </c>
      <c r="H6516" s="165" t="str">
        <f>IF(ISBLANK('Q 6'!H181),"",IF('Q 6'!H181="&lt;please select&gt;","",'Q 6'!H181))</f>
        <v>10</v>
      </c>
    </row>
    <row r="6517" spans="1:8" x14ac:dyDescent="0.3">
      <c r="A6517" t="s">
        <v>1985</v>
      </c>
      <c r="B6517" t="s">
        <v>1987</v>
      </c>
      <c r="C6517">
        <v>50</v>
      </c>
      <c r="D6517" t="s">
        <v>1447</v>
      </c>
      <c r="E6517" t="s">
        <v>1972</v>
      </c>
      <c r="F6517" t="s">
        <v>1748</v>
      </c>
      <c r="H6517" s="165" t="str">
        <f>IF(ISBLANK('Q 6'!H182),"",IF('Q 6'!H182="&lt;please select&gt;","",'Q 6'!H182))</f>
        <v>7</v>
      </c>
    </row>
    <row r="6518" spans="1:8" x14ac:dyDescent="0.3">
      <c r="A6518" t="s">
        <v>1985</v>
      </c>
      <c r="B6518" t="s">
        <v>1987</v>
      </c>
      <c r="C6518">
        <v>51</v>
      </c>
      <c r="D6518" t="s">
        <v>1447</v>
      </c>
      <c r="E6518" t="s">
        <v>1972</v>
      </c>
      <c r="F6518" t="s">
        <v>1748</v>
      </c>
      <c r="H6518" s="165" t="str">
        <f>IF(ISBLANK('Q 6'!H183),"",IF('Q 6'!H183="&lt;please select&gt;","",'Q 6'!H183))</f>
        <v>17</v>
      </c>
    </row>
    <row r="6519" spans="1:8" x14ac:dyDescent="0.3">
      <c r="A6519" t="s">
        <v>1985</v>
      </c>
      <c r="B6519" t="s">
        <v>1987</v>
      </c>
      <c r="C6519">
        <v>52</v>
      </c>
      <c r="D6519" t="s">
        <v>1447</v>
      </c>
      <c r="E6519" t="s">
        <v>1972</v>
      </c>
      <c r="F6519" t="s">
        <v>1748</v>
      </c>
      <c r="H6519" s="165" t="str">
        <f>IF(ISBLANK('Q 6'!H184),"",IF('Q 6'!H184="&lt;please select&gt;","",'Q 6'!H184))</f>
        <v>1</v>
      </c>
    </row>
    <row r="6520" spans="1:8" x14ac:dyDescent="0.3">
      <c r="A6520" t="s">
        <v>1985</v>
      </c>
      <c r="B6520" t="s">
        <v>1987</v>
      </c>
      <c r="C6520">
        <v>53</v>
      </c>
      <c r="D6520" t="s">
        <v>1447</v>
      </c>
      <c r="E6520" t="s">
        <v>1972</v>
      </c>
      <c r="F6520" t="s">
        <v>1748</v>
      </c>
      <c r="H6520" s="165" t="str">
        <f>IF(ISBLANK('Q 6'!H185),"",IF('Q 6'!H185="&lt;please select&gt;","",'Q 6'!H185))</f>
        <v>2</v>
      </c>
    </row>
    <row r="6521" spans="1:8" x14ac:dyDescent="0.3">
      <c r="A6521" t="s">
        <v>1985</v>
      </c>
      <c r="B6521" t="s">
        <v>1987</v>
      </c>
      <c r="C6521">
        <v>54</v>
      </c>
      <c r="D6521" t="s">
        <v>1447</v>
      </c>
      <c r="E6521" t="s">
        <v>1972</v>
      </c>
      <c r="F6521" t="s">
        <v>1748</v>
      </c>
      <c r="H6521" s="165" t="str">
        <f>IF(ISBLANK('Q 6'!H186),"",IF('Q 6'!H186="&lt;please select&gt;","",'Q 6'!H186))</f>
        <v>3</v>
      </c>
    </row>
    <row r="6522" spans="1:8" x14ac:dyDescent="0.3">
      <c r="A6522" t="s">
        <v>1985</v>
      </c>
      <c r="B6522" t="s">
        <v>1987</v>
      </c>
      <c r="C6522">
        <v>55</v>
      </c>
      <c r="D6522" t="s">
        <v>1447</v>
      </c>
      <c r="E6522" t="s">
        <v>1972</v>
      </c>
      <c r="F6522" t="s">
        <v>1748</v>
      </c>
      <c r="H6522" s="165" t="str">
        <f>IF(ISBLANK('Q 6'!H187),"",IF('Q 6'!H187="&lt;please select&gt;","",'Q 6'!H187))</f>
        <v>1</v>
      </c>
    </row>
    <row r="6523" spans="1:8" x14ac:dyDescent="0.3">
      <c r="A6523" t="s">
        <v>1985</v>
      </c>
      <c r="B6523" t="s">
        <v>1987</v>
      </c>
      <c r="C6523">
        <v>56</v>
      </c>
      <c r="D6523" t="s">
        <v>1447</v>
      </c>
      <c r="E6523" t="s">
        <v>1972</v>
      </c>
      <c r="F6523" t="s">
        <v>1748</v>
      </c>
      <c r="H6523" s="165" t="str">
        <f>IF(ISBLANK('Q 6'!H188),"",IF('Q 6'!H188="&lt;please select&gt;","",'Q 6'!H188))</f>
        <v>1</v>
      </c>
    </row>
    <row r="6524" spans="1:8" x14ac:dyDescent="0.3">
      <c r="A6524" t="s">
        <v>1985</v>
      </c>
      <c r="B6524" t="s">
        <v>1987</v>
      </c>
      <c r="C6524">
        <v>57</v>
      </c>
      <c r="D6524" t="s">
        <v>1447</v>
      </c>
      <c r="E6524" t="s">
        <v>1972</v>
      </c>
      <c r="F6524" t="s">
        <v>1748</v>
      </c>
      <c r="H6524" s="165" t="str">
        <f>IF(ISBLANK('Q 6'!H189),"",IF('Q 6'!H189="&lt;please select&gt;","",'Q 6'!H189))</f>
        <v>2</v>
      </c>
    </row>
    <row r="6525" spans="1:8" x14ac:dyDescent="0.3">
      <c r="A6525" t="s">
        <v>1985</v>
      </c>
      <c r="B6525" t="s">
        <v>1987</v>
      </c>
      <c r="C6525">
        <v>58</v>
      </c>
      <c r="D6525" t="s">
        <v>1447</v>
      </c>
      <c r="E6525" t="s">
        <v>1972</v>
      </c>
      <c r="F6525" t="s">
        <v>1748</v>
      </c>
      <c r="H6525" s="165" t="str">
        <f>IF(ISBLANK('Q 6'!H190),"",IF('Q 6'!H190="&lt;please select&gt;","",'Q 6'!H190))</f>
        <v>364</v>
      </c>
    </row>
    <row r="6526" spans="1:8" x14ac:dyDescent="0.3">
      <c r="A6526" t="s">
        <v>1985</v>
      </c>
      <c r="B6526" t="s">
        <v>1987</v>
      </c>
      <c r="C6526">
        <v>59</v>
      </c>
      <c r="D6526" t="s">
        <v>1447</v>
      </c>
      <c r="E6526" t="s">
        <v>1972</v>
      </c>
      <c r="F6526" t="s">
        <v>1748</v>
      </c>
      <c r="H6526" s="165" t="str">
        <f>IF(ISBLANK('Q 6'!H191),"",IF('Q 6'!H191="&lt;please select&gt;","",'Q 6'!H191))</f>
        <v>4</v>
      </c>
    </row>
    <row r="6527" spans="1:8" x14ac:dyDescent="0.3">
      <c r="A6527" t="s">
        <v>1985</v>
      </c>
      <c r="B6527" t="s">
        <v>1987</v>
      </c>
      <c r="C6527">
        <v>60</v>
      </c>
      <c r="D6527" t="s">
        <v>1447</v>
      </c>
      <c r="E6527" t="s">
        <v>1972</v>
      </c>
      <c r="F6527" t="s">
        <v>1748</v>
      </c>
      <c r="H6527" s="165" t="str">
        <f>IF(ISBLANK('Q 6'!H192),"",IF('Q 6'!H192="&lt;please select&gt;","",'Q 6'!H192))</f>
        <v>19</v>
      </c>
    </row>
    <row r="6528" spans="1:8" x14ac:dyDescent="0.3">
      <c r="A6528" t="s">
        <v>1985</v>
      </c>
      <c r="B6528" t="s">
        <v>1987</v>
      </c>
      <c r="C6528">
        <v>61</v>
      </c>
      <c r="D6528" t="s">
        <v>1447</v>
      </c>
      <c r="E6528" t="s">
        <v>1972</v>
      </c>
      <c r="F6528" t="s">
        <v>1748</v>
      </c>
      <c r="H6528" s="165" t="str">
        <f>IF(ISBLANK('Q 6'!H193),"",IF('Q 6'!H193="&lt;please select&gt;","",'Q 6'!H193))</f>
        <v>19</v>
      </c>
    </row>
    <row r="6529" spans="1:8" x14ac:dyDescent="0.3">
      <c r="A6529" t="s">
        <v>1985</v>
      </c>
      <c r="B6529" t="s">
        <v>1987</v>
      </c>
      <c r="C6529">
        <v>62</v>
      </c>
      <c r="D6529" t="s">
        <v>1447</v>
      </c>
      <c r="E6529" t="s">
        <v>1972</v>
      </c>
      <c r="F6529" t="s">
        <v>1748</v>
      </c>
      <c r="H6529" s="165" t="str">
        <f>IF(ISBLANK('Q 6'!H194),"",IF('Q 6'!H194="&lt;please select&gt;","",'Q 6'!H194))</f>
        <v>53</v>
      </c>
    </row>
    <row r="6530" spans="1:8" x14ac:dyDescent="0.3">
      <c r="A6530" t="s">
        <v>1985</v>
      </c>
      <c r="B6530" t="s">
        <v>1987</v>
      </c>
      <c r="C6530">
        <v>63</v>
      </c>
      <c r="D6530" t="s">
        <v>1447</v>
      </c>
      <c r="E6530" t="s">
        <v>1972</v>
      </c>
      <c r="F6530" t="s">
        <v>1748</v>
      </c>
      <c r="H6530" s="165" t="str">
        <f>IF(ISBLANK('Q 6'!H195),"",IF('Q 6'!H195="&lt;please select&gt;","",'Q 6'!H195))</f>
        <v>6</v>
      </c>
    </row>
    <row r="6531" spans="1:8" x14ac:dyDescent="0.3">
      <c r="A6531" t="s">
        <v>1985</v>
      </c>
      <c r="B6531" t="s">
        <v>1987</v>
      </c>
      <c r="C6531">
        <v>64</v>
      </c>
      <c r="D6531" t="s">
        <v>1447</v>
      </c>
      <c r="E6531" t="s">
        <v>1972</v>
      </c>
      <c r="F6531" t="s">
        <v>1748</v>
      </c>
      <c r="H6531" s="165" t="str">
        <f>IF(ISBLANK('Q 6'!H196),"",IF('Q 6'!H196="&lt;please select&gt;","",'Q 6'!H196))</f>
        <v>1</v>
      </c>
    </row>
    <row r="6532" spans="1:8" x14ac:dyDescent="0.3">
      <c r="A6532" t="s">
        <v>1985</v>
      </c>
      <c r="B6532" t="s">
        <v>1987</v>
      </c>
      <c r="C6532">
        <v>65</v>
      </c>
      <c r="D6532" t="s">
        <v>1447</v>
      </c>
      <c r="E6532" t="s">
        <v>1972</v>
      </c>
      <c r="F6532" t="s">
        <v>1748</v>
      </c>
      <c r="H6532" s="165" t="str">
        <f>IF(ISBLANK('Q 6'!H197),"",IF('Q 6'!H197="&lt;please select&gt;","",'Q 6'!H197))</f>
        <v>24</v>
      </c>
    </row>
    <row r="6533" spans="1:8" x14ac:dyDescent="0.3">
      <c r="A6533" t="s">
        <v>1985</v>
      </c>
      <c r="B6533" t="s">
        <v>1987</v>
      </c>
      <c r="C6533">
        <v>66</v>
      </c>
      <c r="D6533" t="s">
        <v>1447</v>
      </c>
      <c r="E6533" t="s">
        <v>1972</v>
      </c>
      <c r="F6533" t="s">
        <v>1748</v>
      </c>
      <c r="H6533" s="165" t="str">
        <f>IF(ISBLANK('Q 6'!H198),"",IF('Q 6'!H198="&lt;please select&gt;","",'Q 6'!H198))</f>
        <v>19</v>
      </c>
    </row>
    <row r="6534" spans="1:8" x14ac:dyDescent="0.3">
      <c r="A6534" t="s">
        <v>1985</v>
      </c>
      <c r="B6534" t="s">
        <v>1987</v>
      </c>
      <c r="C6534">
        <v>67</v>
      </c>
      <c r="D6534" t="s">
        <v>1447</v>
      </c>
      <c r="E6534" t="s">
        <v>1972</v>
      </c>
      <c r="F6534" t="s">
        <v>1748</v>
      </c>
      <c r="H6534" s="165" t="str">
        <f>IF(ISBLANK('Q 6'!H199),"",IF('Q 6'!H199="&lt;please select&gt;","",'Q 6'!H199))</f>
        <v>23</v>
      </c>
    </row>
    <row r="6535" spans="1:8" x14ac:dyDescent="0.3">
      <c r="A6535" t="s">
        <v>1985</v>
      </c>
      <c r="B6535" t="s">
        <v>1987</v>
      </c>
      <c r="C6535">
        <v>68</v>
      </c>
      <c r="D6535" t="s">
        <v>1447</v>
      </c>
      <c r="E6535" t="s">
        <v>1972</v>
      </c>
      <c r="F6535" t="s">
        <v>1748</v>
      </c>
      <c r="H6535" s="165" t="str">
        <f>IF(ISBLANK('Q 6'!H200),"",IF('Q 6'!H200="&lt;please select&gt;","",'Q 6'!H200))</f>
        <v>4</v>
      </c>
    </row>
    <row r="6536" spans="1:8" x14ac:dyDescent="0.3">
      <c r="A6536" t="s">
        <v>1985</v>
      </c>
      <c r="B6536" t="s">
        <v>1987</v>
      </c>
      <c r="C6536">
        <v>69</v>
      </c>
      <c r="D6536" t="s">
        <v>1447</v>
      </c>
      <c r="E6536" t="s">
        <v>1972</v>
      </c>
      <c r="F6536" t="s">
        <v>1748</v>
      </c>
      <c r="H6536" s="165" t="str">
        <f>IF(ISBLANK('Q 6'!H201),"",IF('Q 6'!H201="&lt;please select&gt;","",'Q 6'!H201))</f>
        <v>15</v>
      </c>
    </row>
    <row r="6537" spans="1:8" x14ac:dyDescent="0.3">
      <c r="A6537" t="s">
        <v>1985</v>
      </c>
      <c r="B6537" t="s">
        <v>1987</v>
      </c>
      <c r="C6537">
        <v>70</v>
      </c>
      <c r="D6537" t="s">
        <v>1447</v>
      </c>
      <c r="E6537" t="s">
        <v>1972</v>
      </c>
      <c r="F6537" t="s">
        <v>1748</v>
      </c>
      <c r="H6537" s="165" t="str">
        <f>IF(ISBLANK('Q 6'!H202),"",IF('Q 6'!H202="&lt;please select&gt;","",'Q 6'!H202))</f>
        <v>6</v>
      </c>
    </row>
    <row r="6538" spans="1:8" x14ac:dyDescent="0.3">
      <c r="A6538" t="s">
        <v>1985</v>
      </c>
      <c r="B6538" t="s">
        <v>1987</v>
      </c>
      <c r="C6538">
        <v>71</v>
      </c>
      <c r="D6538" t="s">
        <v>1447</v>
      </c>
      <c r="E6538" t="s">
        <v>1972</v>
      </c>
      <c r="F6538" t="s">
        <v>1748</v>
      </c>
      <c r="H6538" s="165" t="str">
        <f>IF(ISBLANK('Q 6'!H203),"",IF('Q 6'!H203="&lt;please select&gt;","",'Q 6'!H203))</f>
        <v>11</v>
      </c>
    </row>
    <row r="6539" spans="1:8" x14ac:dyDescent="0.3">
      <c r="A6539" t="s">
        <v>1985</v>
      </c>
      <c r="B6539" t="s">
        <v>1987</v>
      </c>
      <c r="C6539">
        <v>72</v>
      </c>
      <c r="D6539" t="s">
        <v>1447</v>
      </c>
      <c r="E6539" t="s">
        <v>1972</v>
      </c>
      <c r="F6539" t="s">
        <v>1748</v>
      </c>
      <c r="H6539" s="165" t="str">
        <f>IF(ISBLANK('Q 6'!H204),"",IF('Q 6'!H204="&lt;please select&gt;","",'Q 6'!H204))</f>
        <v>2</v>
      </c>
    </row>
    <row r="6540" spans="1:8" x14ac:dyDescent="0.3">
      <c r="A6540" t="s">
        <v>1985</v>
      </c>
      <c r="B6540" t="s">
        <v>1987</v>
      </c>
      <c r="C6540">
        <v>73</v>
      </c>
      <c r="D6540" t="s">
        <v>1447</v>
      </c>
      <c r="E6540" t="s">
        <v>1972</v>
      </c>
      <c r="F6540" t="s">
        <v>1748</v>
      </c>
      <c r="H6540" s="165" t="str">
        <f>IF(ISBLANK('Q 6'!H205),"",IF('Q 6'!H205="&lt;please select&gt;","",'Q 6'!H205))</f>
        <v>2</v>
      </c>
    </row>
    <row r="6541" spans="1:8" x14ac:dyDescent="0.3">
      <c r="A6541" t="s">
        <v>1985</v>
      </c>
      <c r="B6541" t="s">
        <v>1987</v>
      </c>
      <c r="C6541">
        <v>74</v>
      </c>
      <c r="D6541" t="s">
        <v>1447</v>
      </c>
      <c r="E6541" t="s">
        <v>1972</v>
      </c>
      <c r="F6541" t="s">
        <v>1748</v>
      </c>
      <c r="H6541" s="165" t="str">
        <f>IF(ISBLANK('Q 6'!H206),"",IF('Q 6'!H206="&lt;please select&gt;","",'Q 6'!H206))</f>
        <v>2</v>
      </c>
    </row>
    <row r="6542" spans="1:8" x14ac:dyDescent="0.3">
      <c r="A6542" t="s">
        <v>1985</v>
      </c>
      <c r="B6542" t="s">
        <v>1987</v>
      </c>
      <c r="C6542">
        <v>75</v>
      </c>
      <c r="D6542" t="s">
        <v>1447</v>
      </c>
      <c r="E6542" t="s">
        <v>1972</v>
      </c>
      <c r="F6542" t="s">
        <v>1748</v>
      </c>
      <c r="H6542" s="165" t="str">
        <f>IF(ISBLANK('Q 6'!H207),"",IF('Q 6'!H207="&lt;please select&gt;","",'Q 6'!H207))</f>
        <v>1</v>
      </c>
    </row>
    <row r="6543" spans="1:8" x14ac:dyDescent="0.3">
      <c r="A6543" t="s">
        <v>1985</v>
      </c>
      <c r="B6543" t="s">
        <v>1987</v>
      </c>
      <c r="C6543">
        <v>76</v>
      </c>
      <c r="D6543" t="s">
        <v>1447</v>
      </c>
      <c r="E6543" t="s">
        <v>1972</v>
      </c>
      <c r="F6543" t="s">
        <v>1748</v>
      </c>
      <c r="H6543" s="165" t="str">
        <f>IF(ISBLANK('Q 6'!H208),"",IF('Q 6'!H208="&lt;please select&gt;","",'Q 6'!H208))</f>
        <v>1</v>
      </c>
    </row>
    <row r="6544" spans="1:8" x14ac:dyDescent="0.3">
      <c r="A6544" t="s">
        <v>1985</v>
      </c>
      <c r="B6544" t="s">
        <v>1987</v>
      </c>
      <c r="C6544">
        <v>77</v>
      </c>
      <c r="D6544" t="s">
        <v>1447</v>
      </c>
      <c r="E6544" t="s">
        <v>1972</v>
      </c>
      <c r="F6544" t="s">
        <v>1748</v>
      </c>
      <c r="H6544" s="165" t="str">
        <f>IF(ISBLANK('Q 6'!H209),"",IF('Q 6'!H209="&lt;please select&gt;","",'Q 6'!H209))</f>
        <v>1</v>
      </c>
    </row>
    <row r="6545" spans="1:9" x14ac:dyDescent="0.3">
      <c r="A6545" t="s">
        <v>1985</v>
      </c>
      <c r="B6545" t="s">
        <v>1987</v>
      </c>
      <c r="C6545">
        <v>78</v>
      </c>
      <c r="D6545" t="s">
        <v>1447</v>
      </c>
      <c r="E6545" t="s">
        <v>1972</v>
      </c>
      <c r="F6545" t="s">
        <v>1748</v>
      </c>
      <c r="H6545" s="165" t="str">
        <f>IF(ISBLANK('Q 6'!H210),"",IF('Q 6'!H210="&lt;please select&gt;","",'Q 6'!H210))</f>
        <v>1</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0</v>
      </c>
    </row>
    <row r="6559" spans="1:9" x14ac:dyDescent="0.3">
      <c r="A6559" t="s">
        <v>1985</v>
      </c>
      <c r="B6559" t="s">
        <v>1987</v>
      </c>
      <c r="C6559">
        <v>2</v>
      </c>
      <c r="D6559" t="s">
        <v>1447</v>
      </c>
      <c r="E6559" t="s">
        <v>1990</v>
      </c>
      <c r="F6559" t="s">
        <v>1806</v>
      </c>
      <c r="I6559" s="166" t="str">
        <f>IF(ISBLANK('Q 6'!I134),"",IF('Q 6'!I134="&lt;please select&gt;","",'Q 6'!I134))</f>
        <v>0</v>
      </c>
    </row>
    <row r="6560" spans="1:9" x14ac:dyDescent="0.3">
      <c r="A6560" t="s">
        <v>1985</v>
      </c>
      <c r="B6560" t="s">
        <v>1987</v>
      </c>
      <c r="C6560">
        <v>3</v>
      </c>
      <c r="D6560" t="s">
        <v>1447</v>
      </c>
      <c r="E6560" t="s">
        <v>1990</v>
      </c>
      <c r="F6560" t="s">
        <v>1806</v>
      </c>
      <c r="I6560" s="166" t="str">
        <f>IF(ISBLANK('Q 6'!I135),"",IF('Q 6'!I135="&lt;please select&gt;","",'Q 6'!I135))</f>
        <v>0</v>
      </c>
    </row>
    <row r="6561" spans="1:9" x14ac:dyDescent="0.3">
      <c r="A6561" t="s">
        <v>1985</v>
      </c>
      <c r="B6561" t="s">
        <v>1987</v>
      </c>
      <c r="C6561">
        <v>4</v>
      </c>
      <c r="D6561" t="s">
        <v>1447</v>
      </c>
      <c r="E6561" t="s">
        <v>1990</v>
      </c>
      <c r="F6561" t="s">
        <v>1806</v>
      </c>
      <c r="I6561" s="166" t="str">
        <f>IF(ISBLANK('Q 6'!I136),"",IF('Q 6'!I136="&lt;please select&gt;","",'Q 6'!I136))</f>
        <v>0</v>
      </c>
    </row>
    <row r="6562" spans="1:9" x14ac:dyDescent="0.3">
      <c r="A6562" t="s">
        <v>1985</v>
      </c>
      <c r="B6562" t="s">
        <v>1987</v>
      </c>
      <c r="C6562">
        <v>5</v>
      </c>
      <c r="D6562" t="s">
        <v>1447</v>
      </c>
      <c r="E6562" t="s">
        <v>1990</v>
      </c>
      <c r="F6562" t="s">
        <v>1806</v>
      </c>
      <c r="I6562" s="166" t="str">
        <f>IF(ISBLANK('Q 6'!I137),"",IF('Q 6'!I137="&lt;please select&gt;","",'Q 6'!I137))</f>
        <v>0</v>
      </c>
    </row>
    <row r="6563" spans="1:9" x14ac:dyDescent="0.3">
      <c r="A6563" t="s">
        <v>1985</v>
      </c>
      <c r="B6563" t="s">
        <v>1987</v>
      </c>
      <c r="C6563">
        <v>6</v>
      </c>
      <c r="D6563" t="s">
        <v>1447</v>
      </c>
      <c r="E6563" t="s">
        <v>1990</v>
      </c>
      <c r="F6563" t="s">
        <v>1806</v>
      </c>
      <c r="I6563" s="166" t="str">
        <f>IF(ISBLANK('Q 6'!I138),"",IF('Q 6'!I138="&lt;please select&gt;","",'Q 6'!I138))</f>
        <v>0</v>
      </c>
    </row>
    <row r="6564" spans="1:9" x14ac:dyDescent="0.3">
      <c r="A6564" t="s">
        <v>1985</v>
      </c>
      <c r="B6564" t="s">
        <v>1987</v>
      </c>
      <c r="C6564">
        <v>7</v>
      </c>
      <c r="D6564" t="s">
        <v>1447</v>
      </c>
      <c r="E6564" t="s">
        <v>1990</v>
      </c>
      <c r="F6564" t="s">
        <v>1806</v>
      </c>
      <c r="I6564" s="166" t="str">
        <f>IF(ISBLANK('Q 6'!I139),"",IF('Q 6'!I139="&lt;please select&gt;","",'Q 6'!I139))</f>
        <v>0</v>
      </c>
    </row>
    <row r="6565" spans="1:9" x14ac:dyDescent="0.3">
      <c r="A6565" t="s">
        <v>1985</v>
      </c>
      <c r="B6565" t="s">
        <v>1987</v>
      </c>
      <c r="C6565">
        <v>8</v>
      </c>
      <c r="D6565" t="s">
        <v>1447</v>
      </c>
      <c r="E6565" t="s">
        <v>1990</v>
      </c>
      <c r="F6565" t="s">
        <v>1806</v>
      </c>
      <c r="I6565" s="166" t="str">
        <f>IF(ISBLANK('Q 6'!I140),"",IF('Q 6'!I140="&lt;please select&gt;","",'Q 6'!I140))</f>
        <v>0</v>
      </c>
    </row>
    <row r="6566" spans="1:9" x14ac:dyDescent="0.3">
      <c r="A6566" t="s">
        <v>1985</v>
      </c>
      <c r="B6566" t="s">
        <v>1987</v>
      </c>
      <c r="C6566">
        <v>9</v>
      </c>
      <c r="D6566" t="s">
        <v>1447</v>
      </c>
      <c r="E6566" t="s">
        <v>1990</v>
      </c>
      <c r="F6566" t="s">
        <v>1806</v>
      </c>
      <c r="I6566" s="166" t="str">
        <f>IF(ISBLANK('Q 6'!I141),"",IF('Q 6'!I141="&lt;please select&gt;","",'Q 6'!I141))</f>
        <v>0</v>
      </c>
    </row>
    <row r="6567" spans="1:9" x14ac:dyDescent="0.3">
      <c r="A6567" t="s">
        <v>1985</v>
      </c>
      <c r="B6567" t="s">
        <v>1987</v>
      </c>
      <c r="C6567">
        <v>10</v>
      </c>
      <c r="D6567" t="s">
        <v>1447</v>
      </c>
      <c r="E6567" t="s">
        <v>1990</v>
      </c>
      <c r="F6567" t="s">
        <v>1806</v>
      </c>
      <c r="I6567" s="166" t="str">
        <f>IF(ISBLANK('Q 6'!I142),"",IF('Q 6'!I142="&lt;please select&gt;","",'Q 6'!I142))</f>
        <v>0</v>
      </c>
    </row>
    <row r="6568" spans="1:9" x14ac:dyDescent="0.3">
      <c r="A6568" t="s">
        <v>1985</v>
      </c>
      <c r="B6568" t="s">
        <v>1987</v>
      </c>
      <c r="C6568">
        <v>11</v>
      </c>
      <c r="D6568" t="s">
        <v>1447</v>
      </c>
      <c r="E6568" t="s">
        <v>1990</v>
      </c>
      <c r="F6568" t="s">
        <v>1806</v>
      </c>
      <c r="I6568" s="166" t="str">
        <f>IF(ISBLANK('Q 6'!I143),"",IF('Q 6'!I143="&lt;please select&gt;","",'Q 6'!I143))</f>
        <v>0</v>
      </c>
    </row>
    <row r="6569" spans="1:9" x14ac:dyDescent="0.3">
      <c r="A6569" t="s">
        <v>1985</v>
      </c>
      <c r="B6569" t="s">
        <v>1987</v>
      </c>
      <c r="C6569">
        <v>12</v>
      </c>
      <c r="D6569" t="s">
        <v>1447</v>
      </c>
      <c r="E6569" t="s">
        <v>1990</v>
      </c>
      <c r="F6569" t="s">
        <v>1806</v>
      </c>
      <c r="I6569" s="166" t="str">
        <f>IF(ISBLANK('Q 6'!I144),"",IF('Q 6'!I144="&lt;please select&gt;","",'Q 6'!I144))</f>
        <v>0</v>
      </c>
    </row>
    <row r="6570" spans="1:9" x14ac:dyDescent="0.3">
      <c r="A6570" t="s">
        <v>1985</v>
      </c>
      <c r="B6570" t="s">
        <v>1987</v>
      </c>
      <c r="C6570">
        <v>13</v>
      </c>
      <c r="D6570" t="s">
        <v>1447</v>
      </c>
      <c r="E6570" t="s">
        <v>1990</v>
      </c>
      <c r="F6570" t="s">
        <v>1806</v>
      </c>
      <c r="I6570" s="166" t="str">
        <f>IF(ISBLANK('Q 6'!I145),"",IF('Q 6'!I145="&lt;please select&gt;","",'Q 6'!I145))</f>
        <v>0</v>
      </c>
    </row>
    <row r="6571" spans="1:9" x14ac:dyDescent="0.3">
      <c r="A6571" t="s">
        <v>1985</v>
      </c>
      <c r="B6571" t="s">
        <v>1987</v>
      </c>
      <c r="C6571">
        <v>14</v>
      </c>
      <c r="D6571" t="s">
        <v>1447</v>
      </c>
      <c r="E6571" t="s">
        <v>1990</v>
      </c>
      <c r="F6571" t="s">
        <v>1806</v>
      </c>
      <c r="I6571" s="166" t="str">
        <f>IF(ISBLANK('Q 6'!I146),"",IF('Q 6'!I146="&lt;please select&gt;","",'Q 6'!I146))</f>
        <v>0</v>
      </c>
    </row>
    <row r="6572" spans="1:9" x14ac:dyDescent="0.3">
      <c r="A6572" t="s">
        <v>1985</v>
      </c>
      <c r="B6572" t="s">
        <v>1987</v>
      </c>
      <c r="C6572">
        <v>15</v>
      </c>
      <c r="D6572" t="s">
        <v>1447</v>
      </c>
      <c r="E6572" t="s">
        <v>1990</v>
      </c>
      <c r="F6572" t="s">
        <v>1806</v>
      </c>
      <c r="I6572" s="166" t="str">
        <f>IF(ISBLANK('Q 6'!I147),"",IF('Q 6'!I147="&lt;please select&gt;","",'Q 6'!I147))</f>
        <v>0</v>
      </c>
    </row>
    <row r="6573" spans="1:9" x14ac:dyDescent="0.3">
      <c r="A6573" t="s">
        <v>1985</v>
      </c>
      <c r="B6573" t="s">
        <v>1987</v>
      </c>
      <c r="C6573">
        <v>16</v>
      </c>
      <c r="D6573" t="s">
        <v>1447</v>
      </c>
      <c r="E6573" t="s">
        <v>1990</v>
      </c>
      <c r="F6573" t="s">
        <v>1806</v>
      </c>
      <c r="I6573" s="166" t="str">
        <f>IF(ISBLANK('Q 6'!I148),"",IF('Q 6'!I148="&lt;please select&gt;","",'Q 6'!I148))</f>
        <v>0</v>
      </c>
    </row>
    <row r="6574" spans="1:9" x14ac:dyDescent="0.3">
      <c r="A6574" t="s">
        <v>1985</v>
      </c>
      <c r="B6574" t="s">
        <v>1987</v>
      </c>
      <c r="C6574">
        <v>17</v>
      </c>
      <c r="D6574" t="s">
        <v>1447</v>
      </c>
      <c r="E6574" t="s">
        <v>1990</v>
      </c>
      <c r="F6574" t="s">
        <v>1806</v>
      </c>
      <c r="I6574" s="166" t="str">
        <f>IF(ISBLANK('Q 6'!I149),"",IF('Q 6'!I149="&lt;please select&gt;","",'Q 6'!I149))</f>
        <v>0</v>
      </c>
    </row>
    <row r="6575" spans="1:9" x14ac:dyDescent="0.3">
      <c r="A6575" t="s">
        <v>1985</v>
      </c>
      <c r="B6575" t="s">
        <v>1987</v>
      </c>
      <c r="C6575">
        <v>18</v>
      </c>
      <c r="D6575" t="s">
        <v>1447</v>
      </c>
      <c r="E6575" t="s">
        <v>1990</v>
      </c>
      <c r="F6575" t="s">
        <v>1806</v>
      </c>
      <c r="I6575" s="166" t="str">
        <f>IF(ISBLANK('Q 6'!I150),"",IF('Q 6'!I150="&lt;please select&gt;","",'Q 6'!I150))</f>
        <v>0</v>
      </c>
    </row>
    <row r="6576" spans="1:9" x14ac:dyDescent="0.3">
      <c r="A6576" t="s">
        <v>1985</v>
      </c>
      <c r="B6576" t="s">
        <v>1987</v>
      </c>
      <c r="C6576">
        <v>19</v>
      </c>
      <c r="D6576" t="s">
        <v>1447</v>
      </c>
      <c r="E6576" t="s">
        <v>1990</v>
      </c>
      <c r="F6576" t="s">
        <v>1806</v>
      </c>
      <c r="I6576" s="166" t="str">
        <f>IF(ISBLANK('Q 6'!I151),"",IF('Q 6'!I151="&lt;please select&gt;","",'Q 6'!I151))</f>
        <v>0</v>
      </c>
    </row>
    <row r="6577" spans="1:9" x14ac:dyDescent="0.3">
      <c r="A6577" t="s">
        <v>1985</v>
      </c>
      <c r="B6577" t="s">
        <v>1987</v>
      </c>
      <c r="C6577">
        <v>20</v>
      </c>
      <c r="D6577" t="s">
        <v>1447</v>
      </c>
      <c r="E6577" t="s">
        <v>1990</v>
      </c>
      <c r="F6577" t="s">
        <v>1806</v>
      </c>
      <c r="I6577" s="166" t="str">
        <f>IF(ISBLANK('Q 6'!I152),"",IF('Q 6'!I152="&lt;please select&gt;","",'Q 6'!I152))</f>
        <v>0</v>
      </c>
    </row>
    <row r="6578" spans="1:9" x14ac:dyDescent="0.3">
      <c r="A6578" t="s">
        <v>1985</v>
      </c>
      <c r="B6578" t="s">
        <v>1987</v>
      </c>
      <c r="C6578">
        <v>21</v>
      </c>
      <c r="D6578" t="s">
        <v>1447</v>
      </c>
      <c r="E6578" t="s">
        <v>1990</v>
      </c>
      <c r="F6578" t="s">
        <v>1806</v>
      </c>
      <c r="I6578" s="166" t="str">
        <f>IF(ISBLANK('Q 6'!I153),"",IF('Q 6'!I153="&lt;please select&gt;","",'Q 6'!I153))</f>
        <v>0</v>
      </c>
    </row>
    <row r="6579" spans="1:9" x14ac:dyDescent="0.3">
      <c r="A6579" t="s">
        <v>1985</v>
      </c>
      <c r="B6579" t="s">
        <v>1987</v>
      </c>
      <c r="C6579">
        <v>22</v>
      </c>
      <c r="D6579" t="s">
        <v>1447</v>
      </c>
      <c r="E6579" t="s">
        <v>1990</v>
      </c>
      <c r="F6579" t="s">
        <v>1806</v>
      </c>
      <c r="I6579" s="166" t="str">
        <f>IF(ISBLANK('Q 6'!I154),"",IF('Q 6'!I154="&lt;please select&gt;","",'Q 6'!I154))</f>
        <v>0</v>
      </c>
    </row>
    <row r="6580" spans="1:9" x14ac:dyDescent="0.3">
      <c r="A6580" t="s">
        <v>1985</v>
      </c>
      <c r="B6580" t="s">
        <v>1987</v>
      </c>
      <c r="C6580">
        <v>23</v>
      </c>
      <c r="D6580" t="s">
        <v>1447</v>
      </c>
      <c r="E6580" t="s">
        <v>1990</v>
      </c>
      <c r="F6580" t="s">
        <v>1806</v>
      </c>
      <c r="I6580" s="166" t="str">
        <f>IF(ISBLANK('Q 6'!I155),"",IF('Q 6'!I155="&lt;please select&gt;","",'Q 6'!I155))</f>
        <v>0</v>
      </c>
    </row>
    <row r="6581" spans="1:9" x14ac:dyDescent="0.3">
      <c r="A6581" t="s">
        <v>1985</v>
      </c>
      <c r="B6581" t="s">
        <v>1987</v>
      </c>
      <c r="C6581">
        <v>24</v>
      </c>
      <c r="D6581" t="s">
        <v>1447</v>
      </c>
      <c r="E6581" t="s">
        <v>1990</v>
      </c>
      <c r="F6581" t="s">
        <v>1806</v>
      </c>
      <c r="I6581" s="166" t="str">
        <f>IF(ISBLANK('Q 6'!I156),"",IF('Q 6'!I156="&lt;please select&gt;","",'Q 6'!I156))</f>
        <v>0</v>
      </c>
    </row>
    <row r="6582" spans="1:9" x14ac:dyDescent="0.3">
      <c r="A6582" t="s">
        <v>1985</v>
      </c>
      <c r="B6582" t="s">
        <v>1987</v>
      </c>
      <c r="C6582">
        <v>25</v>
      </c>
      <c r="D6582" t="s">
        <v>1447</v>
      </c>
      <c r="E6582" t="s">
        <v>1990</v>
      </c>
      <c r="F6582" t="s">
        <v>1806</v>
      </c>
      <c r="I6582" s="166" t="str">
        <f>IF(ISBLANK('Q 6'!I157),"",IF('Q 6'!I157="&lt;please select&gt;","",'Q 6'!I157))</f>
        <v>0</v>
      </c>
    </row>
    <row r="6583" spans="1:9" x14ac:dyDescent="0.3">
      <c r="A6583" t="s">
        <v>1985</v>
      </c>
      <c r="B6583" t="s">
        <v>1987</v>
      </c>
      <c r="C6583">
        <v>26</v>
      </c>
      <c r="D6583" t="s">
        <v>1447</v>
      </c>
      <c r="E6583" t="s">
        <v>1990</v>
      </c>
      <c r="F6583" t="s">
        <v>1806</v>
      </c>
      <c r="I6583" s="166" t="str">
        <f>IF(ISBLANK('Q 6'!I158),"",IF('Q 6'!I158="&lt;please select&gt;","",'Q 6'!I158))</f>
        <v>0</v>
      </c>
    </row>
    <row r="6584" spans="1:9" x14ac:dyDescent="0.3">
      <c r="A6584" t="s">
        <v>1985</v>
      </c>
      <c r="B6584" t="s">
        <v>1987</v>
      </c>
      <c r="C6584">
        <v>27</v>
      </c>
      <c r="D6584" t="s">
        <v>1447</v>
      </c>
      <c r="E6584" t="s">
        <v>1990</v>
      </c>
      <c r="F6584" t="s">
        <v>1806</v>
      </c>
      <c r="I6584" s="166" t="str">
        <f>IF(ISBLANK('Q 6'!I159),"",IF('Q 6'!I159="&lt;please select&gt;","",'Q 6'!I159))</f>
        <v>0</v>
      </c>
    </row>
    <row r="6585" spans="1:9" x14ac:dyDescent="0.3">
      <c r="A6585" t="s">
        <v>1985</v>
      </c>
      <c r="B6585" t="s">
        <v>1987</v>
      </c>
      <c r="C6585">
        <v>28</v>
      </c>
      <c r="D6585" t="s">
        <v>1447</v>
      </c>
      <c r="E6585" t="s">
        <v>1990</v>
      </c>
      <c r="F6585" t="s">
        <v>1806</v>
      </c>
      <c r="I6585" s="166" t="str">
        <f>IF(ISBLANK('Q 6'!I160),"",IF('Q 6'!I160="&lt;please select&gt;","",'Q 6'!I160))</f>
        <v>0</v>
      </c>
    </row>
    <row r="6586" spans="1:9" x14ac:dyDescent="0.3">
      <c r="A6586" t="s">
        <v>1985</v>
      </c>
      <c r="B6586" t="s">
        <v>1987</v>
      </c>
      <c r="C6586">
        <v>29</v>
      </c>
      <c r="D6586" t="s">
        <v>1447</v>
      </c>
      <c r="E6586" t="s">
        <v>1990</v>
      </c>
      <c r="F6586" t="s">
        <v>1806</v>
      </c>
      <c r="I6586" s="166" t="str">
        <f>IF(ISBLANK('Q 6'!I161),"",IF('Q 6'!I161="&lt;please select&gt;","",'Q 6'!I161))</f>
        <v>0</v>
      </c>
    </row>
    <row r="6587" spans="1:9" x14ac:dyDescent="0.3">
      <c r="A6587" t="s">
        <v>1985</v>
      </c>
      <c r="B6587" t="s">
        <v>1987</v>
      </c>
      <c r="C6587">
        <v>30</v>
      </c>
      <c r="D6587" t="s">
        <v>1447</v>
      </c>
      <c r="E6587" t="s">
        <v>1990</v>
      </c>
      <c r="F6587" t="s">
        <v>1806</v>
      </c>
      <c r="I6587" s="166" t="str">
        <f>IF(ISBLANK('Q 6'!I162),"",IF('Q 6'!I162="&lt;please select&gt;","",'Q 6'!I162))</f>
        <v>0</v>
      </c>
    </row>
    <row r="6588" spans="1:9" x14ac:dyDescent="0.3">
      <c r="A6588" t="s">
        <v>1985</v>
      </c>
      <c r="B6588" t="s">
        <v>1987</v>
      </c>
      <c r="C6588">
        <v>31</v>
      </c>
      <c r="D6588" t="s">
        <v>1447</v>
      </c>
      <c r="E6588" t="s">
        <v>1990</v>
      </c>
      <c r="F6588" t="s">
        <v>1806</v>
      </c>
      <c r="I6588" s="166" t="str">
        <f>IF(ISBLANK('Q 6'!I163),"",IF('Q 6'!I163="&lt;please select&gt;","",'Q 6'!I163))</f>
        <v>0</v>
      </c>
    </row>
    <row r="6589" spans="1:9" x14ac:dyDescent="0.3">
      <c r="A6589" t="s">
        <v>1985</v>
      </c>
      <c r="B6589" t="s">
        <v>1987</v>
      </c>
      <c r="C6589">
        <v>32</v>
      </c>
      <c r="D6589" t="s">
        <v>1447</v>
      </c>
      <c r="E6589" t="s">
        <v>1990</v>
      </c>
      <c r="F6589" t="s">
        <v>1806</v>
      </c>
      <c r="I6589" s="166" t="str">
        <f>IF(ISBLANK('Q 6'!I164),"",IF('Q 6'!I164="&lt;please select&gt;","",'Q 6'!I164))</f>
        <v>0</v>
      </c>
    </row>
    <row r="6590" spans="1:9" x14ac:dyDescent="0.3">
      <c r="A6590" t="s">
        <v>1985</v>
      </c>
      <c r="B6590" t="s">
        <v>1987</v>
      </c>
      <c r="C6590">
        <v>33</v>
      </c>
      <c r="D6590" t="s">
        <v>1447</v>
      </c>
      <c r="E6590" t="s">
        <v>1990</v>
      </c>
      <c r="F6590" t="s">
        <v>1806</v>
      </c>
      <c r="I6590" s="166" t="str">
        <f>IF(ISBLANK('Q 6'!I165),"",IF('Q 6'!I165="&lt;please select&gt;","",'Q 6'!I165))</f>
        <v>0</v>
      </c>
    </row>
    <row r="6591" spans="1:9" x14ac:dyDescent="0.3">
      <c r="A6591" t="s">
        <v>1985</v>
      </c>
      <c r="B6591" t="s">
        <v>1987</v>
      </c>
      <c r="C6591">
        <v>34</v>
      </c>
      <c r="D6591" t="s">
        <v>1447</v>
      </c>
      <c r="E6591" t="s">
        <v>1990</v>
      </c>
      <c r="F6591" t="s">
        <v>1806</v>
      </c>
      <c r="I6591" s="166" t="str">
        <f>IF(ISBLANK('Q 6'!I166),"",IF('Q 6'!I166="&lt;please select&gt;","",'Q 6'!I166))</f>
        <v>0</v>
      </c>
    </row>
    <row r="6592" spans="1:9" x14ac:dyDescent="0.3">
      <c r="A6592" t="s">
        <v>1985</v>
      </c>
      <c r="B6592" t="s">
        <v>1987</v>
      </c>
      <c r="C6592">
        <v>35</v>
      </c>
      <c r="D6592" t="s">
        <v>1447</v>
      </c>
      <c r="E6592" t="s">
        <v>1990</v>
      </c>
      <c r="F6592" t="s">
        <v>1806</v>
      </c>
      <c r="I6592" s="166" t="str">
        <f>IF(ISBLANK('Q 6'!I167),"",IF('Q 6'!I167="&lt;please select&gt;","",'Q 6'!I167))</f>
        <v>0</v>
      </c>
    </row>
    <row r="6593" spans="1:9" x14ac:dyDescent="0.3">
      <c r="A6593" t="s">
        <v>1985</v>
      </c>
      <c r="B6593" t="s">
        <v>1987</v>
      </c>
      <c r="C6593">
        <v>36</v>
      </c>
      <c r="D6593" t="s">
        <v>1447</v>
      </c>
      <c r="E6593" t="s">
        <v>1990</v>
      </c>
      <c r="F6593" t="s">
        <v>1806</v>
      </c>
      <c r="I6593" s="166" t="str">
        <f>IF(ISBLANK('Q 6'!I168),"",IF('Q 6'!I168="&lt;please select&gt;","",'Q 6'!I168))</f>
        <v>0</v>
      </c>
    </row>
    <row r="6594" spans="1:9" x14ac:dyDescent="0.3">
      <c r="A6594" t="s">
        <v>1985</v>
      </c>
      <c r="B6594" t="s">
        <v>1987</v>
      </c>
      <c r="C6594">
        <v>37</v>
      </c>
      <c r="D6594" t="s">
        <v>1447</v>
      </c>
      <c r="E6594" t="s">
        <v>1990</v>
      </c>
      <c r="F6594" t="s">
        <v>1806</v>
      </c>
      <c r="I6594" s="166" t="str">
        <f>IF(ISBLANK('Q 6'!I169),"",IF('Q 6'!I169="&lt;please select&gt;","",'Q 6'!I169))</f>
        <v>0</v>
      </c>
    </row>
    <row r="6595" spans="1:9" x14ac:dyDescent="0.3">
      <c r="A6595" t="s">
        <v>1985</v>
      </c>
      <c r="B6595" t="s">
        <v>1987</v>
      </c>
      <c r="C6595">
        <v>38</v>
      </c>
      <c r="D6595" t="s">
        <v>1447</v>
      </c>
      <c r="E6595" t="s">
        <v>1990</v>
      </c>
      <c r="F6595" t="s">
        <v>1806</v>
      </c>
      <c r="I6595" s="166" t="str">
        <f>IF(ISBLANK('Q 6'!I170),"",IF('Q 6'!I170="&lt;please select&gt;","",'Q 6'!I170))</f>
        <v>0</v>
      </c>
    </row>
    <row r="6596" spans="1:9" x14ac:dyDescent="0.3">
      <c r="A6596" t="s">
        <v>1985</v>
      </c>
      <c r="B6596" t="s">
        <v>1987</v>
      </c>
      <c r="C6596">
        <v>39</v>
      </c>
      <c r="D6596" t="s">
        <v>1447</v>
      </c>
      <c r="E6596" t="s">
        <v>1990</v>
      </c>
      <c r="F6596" t="s">
        <v>1806</v>
      </c>
      <c r="I6596" s="166" t="str">
        <f>IF(ISBLANK('Q 6'!I171),"",IF('Q 6'!I171="&lt;please select&gt;","",'Q 6'!I171))</f>
        <v>0</v>
      </c>
    </row>
    <row r="6597" spans="1:9" x14ac:dyDescent="0.3">
      <c r="A6597" t="s">
        <v>1985</v>
      </c>
      <c r="B6597" t="s">
        <v>1987</v>
      </c>
      <c r="C6597">
        <v>40</v>
      </c>
      <c r="D6597" t="s">
        <v>1447</v>
      </c>
      <c r="E6597" t="s">
        <v>1990</v>
      </c>
      <c r="F6597" t="s">
        <v>1806</v>
      </c>
      <c r="I6597" s="166" t="str">
        <f>IF(ISBLANK('Q 6'!I172),"",IF('Q 6'!I172="&lt;please select&gt;","",'Q 6'!I172))</f>
        <v>0</v>
      </c>
    </row>
    <row r="6598" spans="1:9" x14ac:dyDescent="0.3">
      <c r="A6598" t="s">
        <v>1985</v>
      </c>
      <c r="B6598" t="s">
        <v>1987</v>
      </c>
      <c r="C6598">
        <v>41</v>
      </c>
      <c r="D6598" t="s">
        <v>1447</v>
      </c>
      <c r="E6598" t="s">
        <v>1990</v>
      </c>
      <c r="F6598" t="s">
        <v>1806</v>
      </c>
      <c r="I6598" s="166" t="str">
        <f>IF(ISBLANK('Q 6'!I173),"",IF('Q 6'!I173="&lt;please select&gt;","",'Q 6'!I173))</f>
        <v>0</v>
      </c>
    </row>
    <row r="6599" spans="1:9" x14ac:dyDescent="0.3">
      <c r="A6599" t="s">
        <v>1985</v>
      </c>
      <c r="B6599" t="s">
        <v>1987</v>
      </c>
      <c r="C6599">
        <v>42</v>
      </c>
      <c r="D6599" t="s">
        <v>1447</v>
      </c>
      <c r="E6599" t="s">
        <v>1990</v>
      </c>
      <c r="F6599" t="s">
        <v>1806</v>
      </c>
      <c r="I6599" s="166" t="str">
        <f>IF(ISBLANK('Q 6'!I174),"",IF('Q 6'!I174="&lt;please select&gt;","",'Q 6'!I174))</f>
        <v>0</v>
      </c>
    </row>
    <row r="6600" spans="1:9" x14ac:dyDescent="0.3">
      <c r="A6600" t="s">
        <v>1985</v>
      </c>
      <c r="B6600" t="s">
        <v>1987</v>
      </c>
      <c r="C6600">
        <v>43</v>
      </c>
      <c r="D6600" t="s">
        <v>1447</v>
      </c>
      <c r="E6600" t="s">
        <v>1990</v>
      </c>
      <c r="F6600" t="s">
        <v>1806</v>
      </c>
      <c r="I6600" s="166" t="str">
        <f>IF(ISBLANK('Q 6'!I175),"",IF('Q 6'!I175="&lt;please select&gt;","",'Q 6'!I175))</f>
        <v>0</v>
      </c>
    </row>
    <row r="6601" spans="1:9" x14ac:dyDescent="0.3">
      <c r="A6601" t="s">
        <v>1985</v>
      </c>
      <c r="B6601" t="s">
        <v>1987</v>
      </c>
      <c r="C6601">
        <v>44</v>
      </c>
      <c r="D6601" t="s">
        <v>1447</v>
      </c>
      <c r="E6601" t="s">
        <v>1990</v>
      </c>
      <c r="F6601" t="s">
        <v>1806</v>
      </c>
      <c r="I6601" s="166" t="str">
        <f>IF(ISBLANK('Q 6'!I176),"",IF('Q 6'!I176="&lt;please select&gt;","",'Q 6'!I176))</f>
        <v>0</v>
      </c>
    </row>
    <row r="6602" spans="1:9" x14ac:dyDescent="0.3">
      <c r="A6602" t="s">
        <v>1985</v>
      </c>
      <c r="B6602" t="s">
        <v>1987</v>
      </c>
      <c r="C6602">
        <v>45</v>
      </c>
      <c r="D6602" t="s">
        <v>1447</v>
      </c>
      <c r="E6602" t="s">
        <v>1990</v>
      </c>
      <c r="F6602" t="s">
        <v>1806</v>
      </c>
      <c r="I6602" s="166" t="str">
        <f>IF(ISBLANK('Q 6'!I177),"",IF('Q 6'!I177="&lt;please select&gt;","",'Q 6'!I177))</f>
        <v>0</v>
      </c>
    </row>
    <row r="6603" spans="1:9" x14ac:dyDescent="0.3">
      <c r="A6603" t="s">
        <v>1985</v>
      </c>
      <c r="B6603" t="s">
        <v>1987</v>
      </c>
      <c r="C6603">
        <v>46</v>
      </c>
      <c r="D6603" t="s">
        <v>1447</v>
      </c>
      <c r="E6603" t="s">
        <v>1990</v>
      </c>
      <c r="F6603" t="s">
        <v>1806</v>
      </c>
      <c r="I6603" s="166" t="str">
        <f>IF(ISBLANK('Q 6'!I178),"",IF('Q 6'!I178="&lt;please select&gt;","",'Q 6'!I178))</f>
        <v>0</v>
      </c>
    </row>
    <row r="6604" spans="1:9" x14ac:dyDescent="0.3">
      <c r="A6604" t="s">
        <v>1985</v>
      </c>
      <c r="B6604" t="s">
        <v>1987</v>
      </c>
      <c r="C6604">
        <v>47</v>
      </c>
      <c r="D6604" t="s">
        <v>1447</v>
      </c>
      <c r="E6604" t="s">
        <v>1990</v>
      </c>
      <c r="F6604" t="s">
        <v>1806</v>
      </c>
      <c r="I6604" s="166" t="str">
        <f>IF(ISBLANK('Q 6'!I179),"",IF('Q 6'!I179="&lt;please select&gt;","",'Q 6'!I179))</f>
        <v>0</v>
      </c>
    </row>
    <row r="6605" spans="1:9" x14ac:dyDescent="0.3">
      <c r="A6605" t="s">
        <v>1985</v>
      </c>
      <c r="B6605" t="s">
        <v>1987</v>
      </c>
      <c r="C6605">
        <v>48</v>
      </c>
      <c r="D6605" t="s">
        <v>1447</v>
      </c>
      <c r="E6605" t="s">
        <v>1990</v>
      </c>
      <c r="F6605" t="s">
        <v>1806</v>
      </c>
      <c r="I6605" s="166" t="str">
        <f>IF(ISBLANK('Q 6'!I180),"",IF('Q 6'!I180="&lt;please select&gt;","",'Q 6'!I180))</f>
        <v>0</v>
      </c>
    </row>
    <row r="6606" spans="1:9" x14ac:dyDescent="0.3">
      <c r="A6606" t="s">
        <v>1985</v>
      </c>
      <c r="B6606" t="s">
        <v>1987</v>
      </c>
      <c r="C6606">
        <v>49</v>
      </c>
      <c r="D6606" t="s">
        <v>1447</v>
      </c>
      <c r="E6606" t="s">
        <v>1990</v>
      </c>
      <c r="F6606" t="s">
        <v>1806</v>
      </c>
      <c r="I6606" s="166" t="str">
        <f>IF(ISBLANK('Q 6'!I181),"",IF('Q 6'!I181="&lt;please select&gt;","",'Q 6'!I181))</f>
        <v>0</v>
      </c>
    </row>
    <row r="6607" spans="1:9" x14ac:dyDescent="0.3">
      <c r="A6607" t="s">
        <v>1985</v>
      </c>
      <c r="B6607" t="s">
        <v>1987</v>
      </c>
      <c r="C6607">
        <v>50</v>
      </c>
      <c r="D6607" t="s">
        <v>1447</v>
      </c>
      <c r="E6607" t="s">
        <v>1990</v>
      </c>
      <c r="F6607" t="s">
        <v>1806</v>
      </c>
      <c r="I6607" s="166" t="str">
        <f>IF(ISBLANK('Q 6'!I182),"",IF('Q 6'!I182="&lt;please select&gt;","",'Q 6'!I182))</f>
        <v>0</v>
      </c>
    </row>
    <row r="6608" spans="1:9" x14ac:dyDescent="0.3">
      <c r="A6608" t="s">
        <v>1985</v>
      </c>
      <c r="B6608" t="s">
        <v>1987</v>
      </c>
      <c r="C6608">
        <v>51</v>
      </c>
      <c r="D6608" t="s">
        <v>1447</v>
      </c>
      <c r="E6608" t="s">
        <v>1990</v>
      </c>
      <c r="F6608" t="s">
        <v>1806</v>
      </c>
      <c r="I6608" s="166" t="str">
        <f>IF(ISBLANK('Q 6'!I183),"",IF('Q 6'!I183="&lt;please select&gt;","",'Q 6'!I183))</f>
        <v>0</v>
      </c>
    </row>
    <row r="6609" spans="1:9" x14ac:dyDescent="0.3">
      <c r="A6609" t="s">
        <v>1985</v>
      </c>
      <c r="B6609" t="s">
        <v>1987</v>
      </c>
      <c r="C6609">
        <v>52</v>
      </c>
      <c r="D6609" t="s">
        <v>1447</v>
      </c>
      <c r="E6609" t="s">
        <v>1990</v>
      </c>
      <c r="F6609" t="s">
        <v>1806</v>
      </c>
      <c r="I6609" s="166" t="str">
        <f>IF(ISBLANK('Q 6'!I184),"",IF('Q 6'!I184="&lt;please select&gt;","",'Q 6'!I184))</f>
        <v>0</v>
      </c>
    </row>
    <row r="6610" spans="1:9" x14ac:dyDescent="0.3">
      <c r="A6610" t="s">
        <v>1985</v>
      </c>
      <c r="B6610" t="s">
        <v>1987</v>
      </c>
      <c r="C6610">
        <v>53</v>
      </c>
      <c r="D6610" t="s">
        <v>1447</v>
      </c>
      <c r="E6610" t="s">
        <v>1990</v>
      </c>
      <c r="F6610" t="s">
        <v>1806</v>
      </c>
      <c r="I6610" s="166" t="str">
        <f>IF(ISBLANK('Q 6'!I185),"",IF('Q 6'!I185="&lt;please select&gt;","",'Q 6'!I185))</f>
        <v>0</v>
      </c>
    </row>
    <row r="6611" spans="1:9" x14ac:dyDescent="0.3">
      <c r="A6611" t="s">
        <v>1985</v>
      </c>
      <c r="B6611" t="s">
        <v>1987</v>
      </c>
      <c r="C6611">
        <v>54</v>
      </c>
      <c r="D6611" t="s">
        <v>1447</v>
      </c>
      <c r="E6611" t="s">
        <v>1990</v>
      </c>
      <c r="F6611" t="s">
        <v>1806</v>
      </c>
      <c r="I6611" s="166" t="str">
        <f>IF(ISBLANK('Q 6'!I186),"",IF('Q 6'!I186="&lt;please select&gt;","",'Q 6'!I186))</f>
        <v>0</v>
      </c>
    </row>
    <row r="6612" spans="1:9" x14ac:dyDescent="0.3">
      <c r="A6612" t="s">
        <v>1985</v>
      </c>
      <c r="B6612" t="s">
        <v>1987</v>
      </c>
      <c r="C6612">
        <v>55</v>
      </c>
      <c r="D6612" t="s">
        <v>1447</v>
      </c>
      <c r="E6612" t="s">
        <v>1990</v>
      </c>
      <c r="F6612" t="s">
        <v>1806</v>
      </c>
      <c r="I6612" s="166" t="str">
        <f>IF(ISBLANK('Q 6'!I187),"",IF('Q 6'!I187="&lt;please select&gt;","",'Q 6'!I187))</f>
        <v>0</v>
      </c>
    </row>
    <row r="6613" spans="1:9" x14ac:dyDescent="0.3">
      <c r="A6613" t="s">
        <v>1985</v>
      </c>
      <c r="B6613" t="s">
        <v>1987</v>
      </c>
      <c r="C6613">
        <v>56</v>
      </c>
      <c r="D6613" t="s">
        <v>1447</v>
      </c>
      <c r="E6613" t="s">
        <v>1990</v>
      </c>
      <c r="F6613" t="s">
        <v>1806</v>
      </c>
      <c r="I6613" s="166" t="str">
        <f>IF(ISBLANK('Q 6'!I188),"",IF('Q 6'!I188="&lt;please select&gt;","",'Q 6'!I188))</f>
        <v>0</v>
      </c>
    </row>
    <row r="6614" spans="1:9" x14ac:dyDescent="0.3">
      <c r="A6614" t="s">
        <v>1985</v>
      </c>
      <c r="B6614" t="s">
        <v>1987</v>
      </c>
      <c r="C6614">
        <v>57</v>
      </c>
      <c r="D6614" t="s">
        <v>1447</v>
      </c>
      <c r="E6614" t="s">
        <v>1990</v>
      </c>
      <c r="F6614" t="s">
        <v>1806</v>
      </c>
      <c r="I6614" s="166" t="str">
        <f>IF(ISBLANK('Q 6'!I189),"",IF('Q 6'!I189="&lt;please select&gt;","",'Q 6'!I189))</f>
        <v>0</v>
      </c>
    </row>
    <row r="6615" spans="1:9" x14ac:dyDescent="0.3">
      <c r="A6615" t="s">
        <v>1985</v>
      </c>
      <c r="B6615" t="s">
        <v>1987</v>
      </c>
      <c r="C6615">
        <v>58</v>
      </c>
      <c r="D6615" t="s">
        <v>1447</v>
      </c>
      <c r="E6615" t="s">
        <v>1990</v>
      </c>
      <c r="F6615" t="s">
        <v>1806</v>
      </c>
      <c r="I6615" s="166" t="str">
        <f>IF(ISBLANK('Q 6'!I190),"",IF('Q 6'!I190="&lt;please select&gt;","",'Q 6'!I190))</f>
        <v>0</v>
      </c>
    </row>
    <row r="6616" spans="1:9" x14ac:dyDescent="0.3">
      <c r="A6616" t="s">
        <v>1985</v>
      </c>
      <c r="B6616" t="s">
        <v>1987</v>
      </c>
      <c r="C6616">
        <v>59</v>
      </c>
      <c r="D6616" t="s">
        <v>1447</v>
      </c>
      <c r="E6616" t="s">
        <v>1990</v>
      </c>
      <c r="F6616" t="s">
        <v>1806</v>
      </c>
      <c r="I6616" s="166" t="str">
        <f>IF(ISBLANK('Q 6'!I191),"",IF('Q 6'!I191="&lt;please select&gt;","",'Q 6'!I191))</f>
        <v>0</v>
      </c>
    </row>
    <row r="6617" spans="1:9" x14ac:dyDescent="0.3">
      <c r="A6617" t="s">
        <v>1985</v>
      </c>
      <c r="B6617" t="s">
        <v>1987</v>
      </c>
      <c r="C6617">
        <v>60</v>
      </c>
      <c r="D6617" t="s">
        <v>1447</v>
      </c>
      <c r="E6617" t="s">
        <v>1990</v>
      </c>
      <c r="F6617" t="s">
        <v>1806</v>
      </c>
      <c r="I6617" s="166" t="str">
        <f>IF(ISBLANK('Q 6'!I192),"",IF('Q 6'!I192="&lt;please select&gt;","",'Q 6'!I192))</f>
        <v>0</v>
      </c>
    </row>
    <row r="6618" spans="1:9" x14ac:dyDescent="0.3">
      <c r="A6618" t="s">
        <v>1985</v>
      </c>
      <c r="B6618" t="s">
        <v>1987</v>
      </c>
      <c r="C6618">
        <v>61</v>
      </c>
      <c r="D6618" t="s">
        <v>1447</v>
      </c>
      <c r="E6618" t="s">
        <v>1990</v>
      </c>
      <c r="F6618" t="s">
        <v>1806</v>
      </c>
      <c r="I6618" s="166" t="str">
        <f>IF(ISBLANK('Q 6'!I193),"",IF('Q 6'!I193="&lt;please select&gt;","",'Q 6'!I193))</f>
        <v>0</v>
      </c>
    </row>
    <row r="6619" spans="1:9" x14ac:dyDescent="0.3">
      <c r="A6619" t="s">
        <v>1985</v>
      </c>
      <c r="B6619" t="s">
        <v>1987</v>
      </c>
      <c r="C6619">
        <v>62</v>
      </c>
      <c r="D6619" t="s">
        <v>1447</v>
      </c>
      <c r="E6619" t="s">
        <v>1990</v>
      </c>
      <c r="F6619" t="s">
        <v>1806</v>
      </c>
      <c r="I6619" s="166" t="str">
        <f>IF(ISBLANK('Q 6'!I194),"",IF('Q 6'!I194="&lt;please select&gt;","",'Q 6'!I194))</f>
        <v>0</v>
      </c>
    </row>
    <row r="6620" spans="1:9" x14ac:dyDescent="0.3">
      <c r="A6620" t="s">
        <v>1985</v>
      </c>
      <c r="B6620" t="s">
        <v>1987</v>
      </c>
      <c r="C6620">
        <v>63</v>
      </c>
      <c r="D6620" t="s">
        <v>1447</v>
      </c>
      <c r="E6620" t="s">
        <v>1990</v>
      </c>
      <c r="F6620" t="s">
        <v>1806</v>
      </c>
      <c r="I6620" s="166" t="str">
        <f>IF(ISBLANK('Q 6'!I195),"",IF('Q 6'!I195="&lt;please select&gt;","",'Q 6'!I195))</f>
        <v>0</v>
      </c>
    </row>
    <row r="6621" spans="1:9" x14ac:dyDescent="0.3">
      <c r="A6621" t="s">
        <v>1985</v>
      </c>
      <c r="B6621" t="s">
        <v>1987</v>
      </c>
      <c r="C6621">
        <v>64</v>
      </c>
      <c r="D6621" t="s">
        <v>1447</v>
      </c>
      <c r="E6621" t="s">
        <v>1990</v>
      </c>
      <c r="F6621" t="s">
        <v>1806</v>
      </c>
      <c r="I6621" s="166" t="str">
        <f>IF(ISBLANK('Q 6'!I196),"",IF('Q 6'!I196="&lt;please select&gt;","",'Q 6'!I196))</f>
        <v>0</v>
      </c>
    </row>
    <row r="6622" spans="1:9" x14ac:dyDescent="0.3">
      <c r="A6622" t="s">
        <v>1985</v>
      </c>
      <c r="B6622" t="s">
        <v>1987</v>
      </c>
      <c r="C6622">
        <v>65</v>
      </c>
      <c r="D6622" t="s">
        <v>1447</v>
      </c>
      <c r="E6622" t="s">
        <v>1990</v>
      </c>
      <c r="F6622" t="s">
        <v>1806</v>
      </c>
      <c r="I6622" s="166" t="str">
        <f>IF(ISBLANK('Q 6'!I197),"",IF('Q 6'!I197="&lt;please select&gt;","",'Q 6'!I197))</f>
        <v>0</v>
      </c>
    </row>
    <row r="6623" spans="1:9" x14ac:dyDescent="0.3">
      <c r="A6623" t="s">
        <v>1985</v>
      </c>
      <c r="B6623" t="s">
        <v>1987</v>
      </c>
      <c r="C6623">
        <v>66</v>
      </c>
      <c r="D6623" t="s">
        <v>1447</v>
      </c>
      <c r="E6623" t="s">
        <v>1990</v>
      </c>
      <c r="F6623" t="s">
        <v>1806</v>
      </c>
      <c r="I6623" s="166" t="str">
        <f>IF(ISBLANK('Q 6'!I198),"",IF('Q 6'!I198="&lt;please select&gt;","",'Q 6'!I198))</f>
        <v>0</v>
      </c>
    </row>
    <row r="6624" spans="1:9" x14ac:dyDescent="0.3">
      <c r="A6624" t="s">
        <v>1985</v>
      </c>
      <c r="B6624" t="s">
        <v>1987</v>
      </c>
      <c r="C6624">
        <v>67</v>
      </c>
      <c r="D6624" t="s">
        <v>1447</v>
      </c>
      <c r="E6624" t="s">
        <v>1990</v>
      </c>
      <c r="F6624" t="s">
        <v>1806</v>
      </c>
      <c r="I6624" s="166" t="str">
        <f>IF(ISBLANK('Q 6'!I199),"",IF('Q 6'!I199="&lt;please select&gt;","",'Q 6'!I199))</f>
        <v>0</v>
      </c>
    </row>
    <row r="6625" spans="1:9" x14ac:dyDescent="0.3">
      <c r="A6625" t="s">
        <v>1985</v>
      </c>
      <c r="B6625" t="s">
        <v>1987</v>
      </c>
      <c r="C6625">
        <v>68</v>
      </c>
      <c r="D6625" t="s">
        <v>1447</v>
      </c>
      <c r="E6625" t="s">
        <v>1990</v>
      </c>
      <c r="F6625" t="s">
        <v>1806</v>
      </c>
      <c r="I6625" s="166" t="str">
        <f>IF(ISBLANK('Q 6'!I200),"",IF('Q 6'!I200="&lt;please select&gt;","",'Q 6'!I200))</f>
        <v>0</v>
      </c>
    </row>
    <row r="6626" spans="1:9" x14ac:dyDescent="0.3">
      <c r="A6626" t="s">
        <v>1985</v>
      </c>
      <c r="B6626" t="s">
        <v>1987</v>
      </c>
      <c r="C6626">
        <v>69</v>
      </c>
      <c r="D6626" t="s">
        <v>1447</v>
      </c>
      <c r="E6626" t="s">
        <v>1990</v>
      </c>
      <c r="F6626" t="s">
        <v>1806</v>
      </c>
      <c r="I6626" s="166" t="str">
        <f>IF(ISBLANK('Q 6'!I201),"",IF('Q 6'!I201="&lt;please select&gt;","",'Q 6'!I201))</f>
        <v>0</v>
      </c>
    </row>
    <row r="6627" spans="1:9" x14ac:dyDescent="0.3">
      <c r="A6627" t="s">
        <v>1985</v>
      </c>
      <c r="B6627" t="s">
        <v>1987</v>
      </c>
      <c r="C6627">
        <v>70</v>
      </c>
      <c r="D6627" t="s">
        <v>1447</v>
      </c>
      <c r="E6627" t="s">
        <v>1990</v>
      </c>
      <c r="F6627" t="s">
        <v>1806</v>
      </c>
      <c r="I6627" s="166" t="str">
        <f>IF(ISBLANK('Q 6'!I202),"",IF('Q 6'!I202="&lt;please select&gt;","",'Q 6'!I202))</f>
        <v>0</v>
      </c>
    </row>
    <row r="6628" spans="1:9" x14ac:dyDescent="0.3">
      <c r="A6628" t="s">
        <v>1985</v>
      </c>
      <c r="B6628" t="s">
        <v>1987</v>
      </c>
      <c r="C6628">
        <v>71</v>
      </c>
      <c r="D6628" t="s">
        <v>1447</v>
      </c>
      <c r="E6628" t="s">
        <v>1990</v>
      </c>
      <c r="F6628" t="s">
        <v>1806</v>
      </c>
      <c r="I6628" s="166" t="str">
        <f>IF(ISBLANK('Q 6'!I203),"",IF('Q 6'!I203="&lt;please select&gt;","",'Q 6'!I203))</f>
        <v>0</v>
      </c>
    </row>
    <row r="6629" spans="1:9" x14ac:dyDescent="0.3">
      <c r="A6629" t="s">
        <v>1985</v>
      </c>
      <c r="B6629" t="s">
        <v>1987</v>
      </c>
      <c r="C6629">
        <v>72</v>
      </c>
      <c r="D6629" t="s">
        <v>1447</v>
      </c>
      <c r="E6629" t="s">
        <v>1990</v>
      </c>
      <c r="F6629" t="s">
        <v>1806</v>
      </c>
      <c r="I6629" s="166" t="str">
        <f>IF(ISBLANK('Q 6'!I204),"",IF('Q 6'!I204="&lt;please select&gt;","",'Q 6'!I204))</f>
        <v>0</v>
      </c>
    </row>
    <row r="6630" spans="1:9" x14ac:dyDescent="0.3">
      <c r="A6630" t="s">
        <v>1985</v>
      </c>
      <c r="B6630" t="s">
        <v>1987</v>
      </c>
      <c r="C6630">
        <v>73</v>
      </c>
      <c r="D6630" t="s">
        <v>1447</v>
      </c>
      <c r="E6630" t="s">
        <v>1990</v>
      </c>
      <c r="F6630" t="s">
        <v>1806</v>
      </c>
      <c r="I6630" s="166" t="str">
        <f>IF(ISBLANK('Q 6'!I205),"",IF('Q 6'!I205="&lt;please select&gt;","",'Q 6'!I205))</f>
        <v>0</v>
      </c>
    </row>
    <row r="6631" spans="1:9" x14ac:dyDescent="0.3">
      <c r="A6631" t="s">
        <v>1985</v>
      </c>
      <c r="B6631" t="s">
        <v>1987</v>
      </c>
      <c r="C6631">
        <v>74</v>
      </c>
      <c r="D6631" t="s">
        <v>1447</v>
      </c>
      <c r="E6631" t="s">
        <v>1990</v>
      </c>
      <c r="F6631" t="s">
        <v>1806</v>
      </c>
      <c r="I6631" s="166" t="str">
        <f>IF(ISBLANK('Q 6'!I206),"",IF('Q 6'!I206="&lt;please select&gt;","",'Q 6'!I206))</f>
        <v>0</v>
      </c>
    </row>
    <row r="6632" spans="1:9" x14ac:dyDescent="0.3">
      <c r="A6632" t="s">
        <v>1985</v>
      </c>
      <c r="B6632" t="s">
        <v>1987</v>
      </c>
      <c r="C6632">
        <v>75</v>
      </c>
      <c r="D6632" t="s">
        <v>1447</v>
      </c>
      <c r="E6632" t="s">
        <v>1990</v>
      </c>
      <c r="F6632" t="s">
        <v>1806</v>
      </c>
      <c r="I6632" s="166" t="str">
        <f>IF(ISBLANK('Q 6'!I207),"",IF('Q 6'!I207="&lt;please select&gt;","",'Q 6'!I207))</f>
        <v>0</v>
      </c>
    </row>
    <row r="6633" spans="1:9" x14ac:dyDescent="0.3">
      <c r="A6633" t="s">
        <v>1985</v>
      </c>
      <c r="B6633" t="s">
        <v>1987</v>
      </c>
      <c r="C6633">
        <v>76</v>
      </c>
      <c r="D6633" t="s">
        <v>1447</v>
      </c>
      <c r="E6633" t="s">
        <v>1990</v>
      </c>
      <c r="F6633" t="s">
        <v>1806</v>
      </c>
      <c r="I6633" s="166" t="str">
        <f>IF(ISBLANK('Q 6'!I208),"",IF('Q 6'!I208="&lt;please select&gt;","",'Q 6'!I208))</f>
        <v>0</v>
      </c>
    </row>
    <row r="6634" spans="1:9" x14ac:dyDescent="0.3">
      <c r="A6634" t="s">
        <v>1985</v>
      </c>
      <c r="B6634" t="s">
        <v>1987</v>
      </c>
      <c r="C6634">
        <v>77</v>
      </c>
      <c r="D6634" t="s">
        <v>1447</v>
      </c>
      <c r="E6634" t="s">
        <v>1990</v>
      </c>
      <c r="F6634" t="s">
        <v>1806</v>
      </c>
      <c r="I6634" s="166" t="str">
        <f>IF(ISBLANK('Q 6'!I209),"",IF('Q 6'!I209="&lt;please select&gt;","",'Q 6'!I209))</f>
        <v>0</v>
      </c>
    </row>
    <row r="6635" spans="1:9" x14ac:dyDescent="0.3">
      <c r="A6635" t="s">
        <v>1985</v>
      </c>
      <c r="B6635" t="s">
        <v>1987</v>
      </c>
      <c r="C6635">
        <v>78</v>
      </c>
      <c r="D6635" t="s">
        <v>1447</v>
      </c>
      <c r="E6635" t="s">
        <v>1990</v>
      </c>
      <c r="F6635" t="s">
        <v>1806</v>
      </c>
      <c r="I6635" s="166" t="str">
        <f>IF(ISBLANK('Q 6'!I210),"",IF('Q 6'!I210="&lt;please select&gt;","",'Q 6'!I210))</f>
        <v>0</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0.7</v>
      </c>
    </row>
    <row r="6651" spans="1:11" x14ac:dyDescent="0.3">
      <c r="A6651" t="s">
        <v>1991</v>
      </c>
      <c r="B6651" t="s">
        <v>1993</v>
      </c>
      <c r="C6651">
        <v>3</v>
      </c>
      <c r="D6651" t="s">
        <v>1447</v>
      </c>
      <c r="E6651" t="s">
        <v>1994</v>
      </c>
      <c r="F6651" t="s">
        <v>1806</v>
      </c>
      <c r="I6651" s="166" t="str">
        <f>IF(ISBLANK('Q 6'!G231),"",IF('Q 6'!G231="&lt;please select&gt;","",'Q 6'!G231))</f>
        <v>1</v>
      </c>
    </row>
    <row r="6652" spans="1:11" x14ac:dyDescent="0.3">
      <c r="A6652" t="s">
        <v>1991</v>
      </c>
      <c r="B6652" t="s">
        <v>1993</v>
      </c>
      <c r="C6652">
        <v>4</v>
      </c>
      <c r="D6652" t="s">
        <v>1447</v>
      </c>
      <c r="E6652" t="s">
        <v>1994</v>
      </c>
      <c r="F6652" t="s">
        <v>1806</v>
      </c>
      <c r="I6652" s="166" t="str">
        <f>IF(ISBLANK('Q 6'!G232),"",IF('Q 6'!G232="&lt;please select&gt;","",'Q 6'!G232))</f>
        <v>1</v>
      </c>
    </row>
    <row r="6653" spans="1:11" x14ac:dyDescent="0.3">
      <c r="A6653" t="s">
        <v>1991</v>
      </c>
      <c r="B6653" t="s">
        <v>1993</v>
      </c>
      <c r="C6653">
        <v>5</v>
      </c>
      <c r="D6653" t="s">
        <v>1447</v>
      </c>
      <c r="E6653" t="s">
        <v>1994</v>
      </c>
      <c r="F6653" t="s">
        <v>1806</v>
      </c>
      <c r="I6653" s="166" t="str">
        <f>IF(ISBLANK('Q 6'!G233),"",IF('Q 6'!G233="&lt;please select&gt;","",'Q 6'!G233))</f>
        <v>0.3</v>
      </c>
    </row>
    <row r="6654" spans="1:11" x14ac:dyDescent="0.3">
      <c r="A6654" t="s">
        <v>1991</v>
      </c>
      <c r="B6654" t="s">
        <v>1993</v>
      </c>
      <c r="C6654">
        <v>4</v>
      </c>
      <c r="D6654" t="s">
        <v>1447</v>
      </c>
      <c r="E6654" t="s">
        <v>1995</v>
      </c>
      <c r="F6654" t="s">
        <v>1791</v>
      </c>
      <c r="J6654" t="str">
        <f>IF(ISBLANK('Q 6'!$H$232),"",IF('Q 6'!$H$232="&lt;please select&gt;","",'Q 6'!$H$232))</f>
        <v>Cross check with data from combustion emissions reported for MCP or LCP Directive automatically in the French reporting platform</v>
      </c>
    </row>
    <row r="6655" spans="1:11" x14ac:dyDescent="0.3">
      <c r="A6655" t="s">
        <v>1991</v>
      </c>
      <c r="B6655" t="s">
        <v>1993</v>
      </c>
      <c r="C6655">
        <v>5</v>
      </c>
      <c r="D6655" t="s">
        <v>1447</v>
      </c>
      <c r="E6655" t="s">
        <v>1995</v>
      </c>
      <c r="F6655" t="s">
        <v>1791</v>
      </c>
      <c r="J6655" t="str">
        <f>IF(ISBLANK('Q 6'!$I$233),"",IF('Q 6'!$I$233="&lt;please select&gt;","",'Q 6'!$I$233))</f>
        <v>If the inspector did find some inconsistencies and decided to go further into verification</v>
      </c>
    </row>
    <row r="6656" spans="1:11" x14ac:dyDescent="0.3">
      <c r="A6656" t="s">
        <v>1991</v>
      </c>
      <c r="B6656" t="s">
        <v>1993</v>
      </c>
      <c r="C6656">
        <v>5</v>
      </c>
      <c r="D6656" t="s">
        <v>1447</v>
      </c>
      <c r="E6656" t="s">
        <v>1996</v>
      </c>
      <c r="F6656" t="s">
        <v>1737</v>
      </c>
      <c r="K6656" t="str">
        <f>IF(ISBLANK('Q 6'!$H$233),"",IF('Q 6'!$H$233="&lt;please select&gt;","",'Q 6'!$H$233))</f>
        <v>Other, please specify</v>
      </c>
    </row>
    <row r="6657" spans="1:11" x14ac:dyDescent="0.3">
      <c r="A6657" t="s">
        <v>1991</v>
      </c>
      <c r="B6657" t="s">
        <v>1997</v>
      </c>
      <c r="C6657">
        <v>1</v>
      </c>
      <c r="D6657" t="s">
        <v>1447</v>
      </c>
      <c r="E6657" t="s">
        <v>1998</v>
      </c>
      <c r="F6657" t="s">
        <v>1748</v>
      </c>
      <c r="H6657" s="165" t="str">
        <f>IF(ISBLANK('Q 6'!$G$234),"",IF('Q 6'!$G$234="&lt;please select&gt;","",'Q 6'!$G$234))</f>
        <v>1</v>
      </c>
    </row>
    <row r="6658" spans="1:11" x14ac:dyDescent="0.3">
      <c r="A6658" t="s">
        <v>1991</v>
      </c>
      <c r="B6658" t="s">
        <v>1997</v>
      </c>
      <c r="C6658">
        <v>2</v>
      </c>
      <c r="D6658" t="s">
        <v>1447</v>
      </c>
      <c r="E6658" t="s">
        <v>1998</v>
      </c>
      <c r="F6658" t="s">
        <v>1748</v>
      </c>
      <c r="H6658" s="165" t="str">
        <f>IF(ISBLANK('Q 6'!$G$235),"",IF('Q 6'!$G$235="&lt;please select&gt;","",'Q 6'!$G$235))</f>
        <v>4</v>
      </c>
    </row>
    <row r="6659" spans="1:11" x14ac:dyDescent="0.3">
      <c r="A6659" t="s">
        <v>1991</v>
      </c>
      <c r="B6659" t="s">
        <v>1997</v>
      </c>
      <c r="C6659">
        <v>2</v>
      </c>
      <c r="D6659" t="s">
        <v>1447</v>
      </c>
      <c r="E6659" t="s">
        <v>1995</v>
      </c>
      <c r="F6659" t="s">
        <v>1791</v>
      </c>
      <c r="J6659" t="str">
        <f>IF(ISBLANK('Q 6'!$H$235),"",IF('Q 6'!$H$235="&lt;please select&gt;","",'Q 6'!$H$235))</f>
        <v>Non conformities and non-approved monitoring plans</v>
      </c>
    </row>
    <row r="6660" spans="1:11" x14ac:dyDescent="0.3">
      <c r="A6660" t="s">
        <v>1991</v>
      </c>
      <c r="B6660" t="s">
        <v>1999</v>
      </c>
      <c r="C6660">
        <v>1</v>
      </c>
      <c r="D6660" t="s">
        <v>1447</v>
      </c>
      <c r="E6660" t="s">
        <v>2000</v>
      </c>
      <c r="F6660" t="s">
        <v>1741</v>
      </c>
      <c r="G6660" t="str">
        <f>IF(ISBLANK('Q 6'!G236),"",IF('Q 6'!G236="&lt;please select&gt;","",'Q 6'!G236))</f>
        <v>Re-submission from the operator if possible with corrected data, or conservative estimation of emission</v>
      </c>
    </row>
    <row r="6661" spans="1:11" x14ac:dyDescent="0.3">
      <c r="A6661" t="s">
        <v>1991</v>
      </c>
      <c r="B6661" t="s">
        <v>1999</v>
      </c>
      <c r="C6661">
        <v>2</v>
      </c>
      <c r="D6661" t="s">
        <v>1419</v>
      </c>
      <c r="E6661" t="s">
        <v>2000</v>
      </c>
      <c r="F6661" t="s">
        <v>1791</v>
      </c>
      <c r="J6661" t="str">
        <f>IF(ISBLANK('Q 6'!G237),"",IF('Q 6'!G237="&lt;please select&gt;","",'Q 6'!G237))</f>
        <v>Inspections</v>
      </c>
    </row>
    <row r="6662" spans="1:11" x14ac:dyDescent="0.3">
      <c r="A6662" t="s">
        <v>2001</v>
      </c>
      <c r="B6662" t="s">
        <v>2002</v>
      </c>
      <c r="C6662">
        <v>0</v>
      </c>
      <c r="D6662" t="s">
        <v>1447</v>
      </c>
      <c r="E6662" t="s">
        <v>2002</v>
      </c>
      <c r="F6662" t="s">
        <v>1759</v>
      </c>
      <c r="K6662" t="str">
        <f>IF(ISBLANK('Q 6'!$I$240),"",IF('Q 6'!$I$240="&lt;please select&gt;","",'Q 6'!$I$240))</f>
        <v>Yes</v>
      </c>
    </row>
    <row r="6663" spans="1:11" x14ac:dyDescent="0.3">
      <c r="A6663" t="s">
        <v>2001</v>
      </c>
      <c r="B6663" t="s">
        <v>2003</v>
      </c>
      <c r="C6663">
        <v>1</v>
      </c>
      <c r="D6663" t="s">
        <v>1447</v>
      </c>
      <c r="E6663" t="s">
        <v>2004</v>
      </c>
      <c r="F6663" t="s">
        <v>1737</v>
      </c>
      <c r="K6663" t="str">
        <f>IF(ISBLANK('Q 6'!C243),"",IF('Q 6'!C243="&lt;please select&gt;","",'Q 6'!C243))</f>
        <v>Condition I</v>
      </c>
    </row>
    <row r="6664" spans="1:11" x14ac:dyDescent="0.3">
      <c r="A6664" t="s">
        <v>2001</v>
      </c>
      <c r="B6664" t="s">
        <v>2003</v>
      </c>
      <c r="C6664">
        <v>2</v>
      </c>
      <c r="D6664" t="s">
        <v>1447</v>
      </c>
      <c r="E6664" t="s">
        <v>2004</v>
      </c>
      <c r="F6664" t="s">
        <v>1737</v>
      </c>
      <c r="K6664" t="str">
        <f>IF(ISBLANK('Q 6'!C244),"",IF('Q 6'!C244="&lt;please select&gt;","",'Q 6'!C244))</f>
        <v>Condition II</v>
      </c>
    </row>
    <row r="6665" spans="1:11" x14ac:dyDescent="0.3">
      <c r="A6665" t="s">
        <v>2001</v>
      </c>
      <c r="B6665" t="s">
        <v>2003</v>
      </c>
      <c r="C6665">
        <v>3</v>
      </c>
      <c r="D6665" t="s">
        <v>1447</v>
      </c>
      <c r="E6665" t="s">
        <v>2004</v>
      </c>
      <c r="F6665" t="s">
        <v>1737</v>
      </c>
      <c r="K6665" t="str">
        <f>IF(ISBLANK('Q 6'!C245),"",IF('Q 6'!C245="&lt;please select&gt;","",'Q 6'!C245))</f>
        <v>Condition III</v>
      </c>
    </row>
    <row r="6666" spans="1:11" x14ac:dyDescent="0.3">
      <c r="A6666" t="s">
        <v>2001</v>
      </c>
      <c r="B6666" t="s">
        <v>2003</v>
      </c>
      <c r="C6666">
        <v>4</v>
      </c>
      <c r="D6666" t="s">
        <v>1447</v>
      </c>
      <c r="E6666" t="s">
        <v>2004</v>
      </c>
      <c r="F6666" t="s">
        <v>1737</v>
      </c>
      <c r="K6666" t="str">
        <f>IF(ISBLANK('Q 6'!C246),"",IF('Q 6'!C246="&lt;please select&gt;","",'Q 6'!C246))</f>
        <v>Condition I</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20 - Combustion of fuels as specified in Annex I of Directive 2003/87/EC</v>
      </c>
    </row>
    <row r="6684" spans="1:11" x14ac:dyDescent="0.3">
      <c r="A6684" t="s">
        <v>2001</v>
      </c>
      <c r="B6684" t="s">
        <v>2003</v>
      </c>
      <c r="C6684">
        <v>2</v>
      </c>
      <c r="D6684" t="s">
        <v>1447</v>
      </c>
      <c r="E6684" t="s">
        <v>1988</v>
      </c>
      <c r="F6684" t="s">
        <v>1737</v>
      </c>
      <c r="K6684" t="str">
        <f>IF(ISBLANK('Q 6'!E244),"",IF('Q 6'!E244="&lt;please select&gt;","",'Q 6'!E244))</f>
        <v>20 - Combustion of fuels as specified in Annex I of Directive 2003/87/EC</v>
      </c>
    </row>
    <row r="6685" spans="1:11" x14ac:dyDescent="0.3">
      <c r="A6685" t="s">
        <v>2001</v>
      </c>
      <c r="B6685" t="s">
        <v>2003</v>
      </c>
      <c r="C6685">
        <v>3</v>
      </c>
      <c r="D6685" t="s">
        <v>1447</v>
      </c>
      <c r="E6685" t="s">
        <v>1988</v>
      </c>
      <c r="F6685" t="s">
        <v>1737</v>
      </c>
      <c r="K6685" t="str">
        <f>IF(ISBLANK('Q 6'!E245),"",IF('Q 6'!E245="&lt;please select&gt;","",'Q 6'!E245))</f>
        <v>20 - Combustion of fuels as specified in Annex I of Directive 2003/87/EC</v>
      </c>
    </row>
    <row r="6686" spans="1:11" x14ac:dyDescent="0.3">
      <c r="A6686" t="s">
        <v>2001</v>
      </c>
      <c r="B6686" t="s">
        <v>2003</v>
      </c>
      <c r="C6686">
        <v>4</v>
      </c>
      <c r="D6686" t="s">
        <v>1447</v>
      </c>
      <c r="E6686" t="s">
        <v>1988</v>
      </c>
      <c r="F6686" t="s">
        <v>1737</v>
      </c>
      <c r="K6686" t="str">
        <f>IF(ISBLANK('Q 6'!E246),"",IF('Q 6'!E246="&lt;please select&gt;","",'Q 6'!E246))</f>
        <v xml:space="preserve">36 - Production of paper or cardboard as specified in Annex I of Directive 2003/87/EC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24</v>
      </c>
    </row>
    <row r="6704" spans="1:11" x14ac:dyDescent="0.3">
      <c r="A6704" t="s">
        <v>2001</v>
      </c>
      <c r="B6704" t="s">
        <v>2003</v>
      </c>
      <c r="C6704">
        <v>2</v>
      </c>
      <c r="D6704" t="s">
        <v>1447</v>
      </c>
      <c r="E6704" t="s">
        <v>1798</v>
      </c>
      <c r="F6704" t="s">
        <v>1748</v>
      </c>
      <c r="H6704" s="165" t="str">
        <f>IF(ISBLANK('Q 6'!H244),"",IF('Q 6'!H244="&lt;please select&gt;","",'Q 6'!H244))</f>
        <v>2</v>
      </c>
    </row>
    <row r="6705" spans="1:8" x14ac:dyDescent="0.3">
      <c r="A6705" t="s">
        <v>2001</v>
      </c>
      <c r="B6705" t="s">
        <v>2003</v>
      </c>
      <c r="C6705">
        <v>3</v>
      </c>
      <c r="D6705" t="s">
        <v>1447</v>
      </c>
      <c r="E6705" t="s">
        <v>1798</v>
      </c>
      <c r="F6705" t="s">
        <v>1748</v>
      </c>
      <c r="H6705" s="165" t="str">
        <f>IF(ISBLANK('Q 6'!H245),"",IF('Q 6'!H245="&lt;please select&gt;","",'Q 6'!H245))</f>
        <v>6</v>
      </c>
    </row>
    <row r="6706" spans="1:8" x14ac:dyDescent="0.3">
      <c r="A6706" t="s">
        <v>2001</v>
      </c>
      <c r="B6706" t="s">
        <v>2003</v>
      </c>
      <c r="C6706">
        <v>4</v>
      </c>
      <c r="D6706" t="s">
        <v>1447</v>
      </c>
      <c r="E6706" t="s">
        <v>1798</v>
      </c>
      <c r="F6706" t="s">
        <v>1748</v>
      </c>
      <c r="H6706" s="165" t="str">
        <f>IF(ISBLANK('Q 6'!H246),"",IF('Q 6'!H246="&lt;please select&gt;","",'Q 6'!H246))</f>
        <v>1</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Yes</v>
      </c>
    </row>
    <row r="6724" spans="1:11" x14ac:dyDescent="0.3">
      <c r="A6724" t="s">
        <v>2001</v>
      </c>
      <c r="B6724" t="s">
        <v>2006</v>
      </c>
      <c r="C6724">
        <v>0</v>
      </c>
      <c r="D6724" t="s">
        <v>1447</v>
      </c>
      <c r="E6724" t="s">
        <v>2006</v>
      </c>
      <c r="F6724" t="s">
        <v>1748</v>
      </c>
      <c r="H6724" s="165" t="str">
        <f>IF(ISBLANK('Q 6'!$H$268),"",IF('Q 6'!$H$268="&lt;please select&gt;","",'Q 6'!$H$268))</f>
        <v>193</v>
      </c>
    </row>
    <row r="6725" spans="1:11" x14ac:dyDescent="0.3">
      <c r="A6725" t="s">
        <v>2007</v>
      </c>
      <c r="B6725" t="s">
        <v>2008</v>
      </c>
      <c r="C6725">
        <v>0</v>
      </c>
      <c r="D6725" t="s">
        <v>1447</v>
      </c>
      <c r="E6725" t="s">
        <v>2008</v>
      </c>
      <c r="F6725" t="s">
        <v>1759</v>
      </c>
      <c r="K6725" t="str">
        <f>IF(ISBLANK('Q 6'!$I$270),"",IF('Q 6'!$I$270="&lt;please select&gt;","",'Q 6'!$I$270))</f>
        <v>Yes</v>
      </c>
    </row>
    <row r="6726" spans="1:11" x14ac:dyDescent="0.3">
      <c r="A6726" t="s">
        <v>2007</v>
      </c>
      <c r="B6726" t="s">
        <v>2009</v>
      </c>
      <c r="C6726">
        <v>1</v>
      </c>
      <c r="D6726" t="s">
        <v>1447</v>
      </c>
      <c r="E6726" t="s">
        <v>2010</v>
      </c>
      <c r="F6726" t="s">
        <v>1741</v>
      </c>
      <c r="G6726" t="str">
        <f>IF(ISBLANK('Q 6'!C276),"",IF('Q 6'!C276="&lt;please select&gt;","",'Q 6'!C276))</f>
        <v>Covid-19</v>
      </c>
    </row>
    <row r="6727" spans="1:11" x14ac:dyDescent="0.3">
      <c r="A6727" t="s">
        <v>2007</v>
      </c>
      <c r="B6727" t="s">
        <v>2009</v>
      </c>
      <c r="C6727">
        <v>2</v>
      </c>
      <c r="D6727" t="s">
        <v>1447</v>
      </c>
      <c r="E6727" t="s">
        <v>2010</v>
      </c>
      <c r="F6727" t="s">
        <v>1741</v>
      </c>
      <c r="G6727" t="str">
        <f>IF(ISBLANK('Q 6'!C277),"",IF('Q 6'!C277="&lt;please select&gt;","",'Q 6'!C277))</f>
        <v>Strike (with violence) and curfew in an outermost region</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21</v>
      </c>
    </row>
    <row r="6740" spans="1:11" x14ac:dyDescent="0.3">
      <c r="A6740" t="s">
        <v>2007</v>
      </c>
      <c r="B6740" t="s">
        <v>2009</v>
      </c>
      <c r="C6740">
        <v>2</v>
      </c>
      <c r="D6740" t="s">
        <v>1447</v>
      </c>
      <c r="E6740" t="s">
        <v>2011</v>
      </c>
      <c r="F6740" t="s">
        <v>1748</v>
      </c>
      <c r="H6740" s="165" t="str">
        <f>IF(ISBLANK('Q 6'!D277),"",IF('Q 6'!D277="&lt;please select&gt;","",'Q 6'!D277))</f>
        <v>1</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Generic authorisation under Article 34a(4) of Commission Regulation 2018/2067</v>
      </c>
    </row>
    <row r="6753" spans="1:11" x14ac:dyDescent="0.3">
      <c r="A6753" t="s">
        <v>2007</v>
      </c>
      <c r="B6753" t="s">
        <v>2009</v>
      </c>
      <c r="C6753">
        <v>2</v>
      </c>
      <c r="D6753" t="s">
        <v>1447</v>
      </c>
      <c r="E6753" t="s">
        <v>2012</v>
      </c>
      <c r="F6753" t="s">
        <v>1737</v>
      </c>
      <c r="K6753" t="str">
        <f>IF(ISBLANK('Q 6'!F277),"",IF('Q 6'!F277="&lt;please select&gt;","",'Q 6'!F277))</f>
        <v>Approval by competent authority</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Yes</v>
      </c>
    </row>
    <row r="6766" spans="1:11" x14ac:dyDescent="0.3">
      <c r="A6766" t="s">
        <v>2007</v>
      </c>
      <c r="B6766" t="s">
        <v>2009</v>
      </c>
      <c r="C6766">
        <v>2</v>
      </c>
      <c r="D6766" t="s">
        <v>1447</v>
      </c>
      <c r="E6766" t="s">
        <v>2013</v>
      </c>
      <c r="F6766" t="s">
        <v>1741</v>
      </c>
      <c r="G6766" t="str">
        <f>IF(ISBLANK('Q 6'!H277),"",IF('Q 6'!H277="&lt;please select&gt;","",'Q 6'!H277))</f>
        <v>Yes</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48731</v>
      </c>
    </row>
    <row r="6779" spans="1:7" x14ac:dyDescent="0.3">
      <c r="A6779" t="s">
        <v>2014</v>
      </c>
      <c r="B6779" t="s">
        <v>2015</v>
      </c>
      <c r="C6779">
        <v>2</v>
      </c>
      <c r="D6779" t="s">
        <v>1447</v>
      </c>
      <c r="E6779" t="s">
        <v>2016</v>
      </c>
      <c r="F6779" t="s">
        <v>1741</v>
      </c>
      <c r="G6779" t="str">
        <f>IF(ISBLANK('Q 6'!C296),"",IF('Q 6'!C296="&lt;please select&gt;","",'Q 6'!C296))</f>
        <v>43240</v>
      </c>
    </row>
    <row r="6780" spans="1:7" x14ac:dyDescent="0.3">
      <c r="A6780" t="s">
        <v>2014</v>
      </c>
      <c r="B6780" t="s">
        <v>2015</v>
      </c>
      <c r="C6780">
        <v>3</v>
      </c>
      <c r="D6780" t="s">
        <v>1447</v>
      </c>
      <c r="E6780" t="s">
        <v>2016</v>
      </c>
      <c r="F6780" t="s">
        <v>1741</v>
      </c>
      <c r="G6780" t="str">
        <f>IF(ISBLANK('Q 6'!C297),"",IF('Q 6'!C297="&lt;please select&gt;","",'Q 6'!C297))</f>
        <v>30513</v>
      </c>
    </row>
    <row r="6781" spans="1:7" x14ac:dyDescent="0.3">
      <c r="A6781" t="s">
        <v>2014</v>
      </c>
      <c r="B6781" t="s">
        <v>2015</v>
      </c>
      <c r="C6781">
        <v>4</v>
      </c>
      <c r="D6781" t="s">
        <v>1447</v>
      </c>
      <c r="E6781" t="s">
        <v>2016</v>
      </c>
      <c r="F6781" t="s">
        <v>1741</v>
      </c>
      <c r="G6781" t="str">
        <f>IF(ISBLANK('Q 6'!C298),"",IF('Q 6'!C298="&lt;please select&gt;","",'Q 6'!C298))</f>
        <v>1065</v>
      </c>
    </row>
    <row r="6782" spans="1:7" x14ac:dyDescent="0.3">
      <c r="A6782" t="s">
        <v>2014</v>
      </c>
      <c r="B6782" t="s">
        <v>2015</v>
      </c>
      <c r="C6782">
        <v>5</v>
      </c>
      <c r="D6782" t="s">
        <v>1447</v>
      </c>
      <c r="E6782" t="s">
        <v>2016</v>
      </c>
      <c r="F6782" t="s">
        <v>1741</v>
      </c>
      <c r="G6782" t="str">
        <f>IF(ISBLANK('Q 6'!C299),"",IF('Q 6'!C299="&lt;please select&gt;","",'Q 6'!C299))</f>
        <v>33962</v>
      </c>
    </row>
    <row r="6783" spans="1:7" x14ac:dyDescent="0.3">
      <c r="A6783" t="s">
        <v>2014</v>
      </c>
      <c r="B6783" t="s">
        <v>2015</v>
      </c>
      <c r="C6783">
        <v>6</v>
      </c>
      <c r="D6783" t="s">
        <v>1447</v>
      </c>
      <c r="E6783" t="s">
        <v>2016</v>
      </c>
      <c r="F6783" t="s">
        <v>1741</v>
      </c>
      <c r="G6783" t="str">
        <f>IF(ISBLANK('Q 6'!C300),"",IF('Q 6'!C300="&lt;please select&gt;","",'Q 6'!C300))</f>
        <v>35668</v>
      </c>
    </row>
    <row r="6784" spans="1:7" x14ac:dyDescent="0.3">
      <c r="A6784" t="s">
        <v>2014</v>
      </c>
      <c r="B6784" t="s">
        <v>2015</v>
      </c>
      <c r="C6784">
        <v>7</v>
      </c>
      <c r="D6784" t="s">
        <v>1447</v>
      </c>
      <c r="E6784" t="s">
        <v>2016</v>
      </c>
      <c r="F6784" t="s">
        <v>1741</v>
      </c>
      <c r="G6784" t="str">
        <f>IF(ISBLANK('Q 6'!C301),"",IF('Q 6'!C301="&lt;please select&gt;","",'Q 6'!C301))</f>
        <v>37893</v>
      </c>
    </row>
    <row r="6785" spans="1:9" x14ac:dyDescent="0.3">
      <c r="A6785" t="s">
        <v>2014</v>
      </c>
      <c r="B6785" t="s">
        <v>2015</v>
      </c>
      <c r="C6785">
        <v>8</v>
      </c>
      <c r="D6785" t="s">
        <v>1447</v>
      </c>
      <c r="E6785" t="s">
        <v>2016</v>
      </c>
      <c r="F6785" t="s">
        <v>1741</v>
      </c>
      <c r="G6785" t="str">
        <f>IF(ISBLANK('Q 6'!C302),"",IF('Q 6'!C302="&lt;please select&gt;","",'Q 6'!C302))</f>
        <v>44896</v>
      </c>
    </row>
    <row r="6786" spans="1:9" x14ac:dyDescent="0.3">
      <c r="A6786" t="s">
        <v>2014</v>
      </c>
      <c r="B6786" t="s">
        <v>2015</v>
      </c>
      <c r="C6786">
        <v>9</v>
      </c>
      <c r="D6786" t="s">
        <v>1447</v>
      </c>
      <c r="E6786" t="s">
        <v>2016</v>
      </c>
      <c r="F6786" t="s">
        <v>1741</v>
      </c>
      <c r="G6786" t="str">
        <f>IF(ISBLANK('Q 6'!C303),"",IF('Q 6'!C303="&lt;please select&gt;","",'Q 6'!C303))</f>
        <v>42857</v>
      </c>
    </row>
    <row r="6787" spans="1:9" x14ac:dyDescent="0.3">
      <c r="A6787" t="s">
        <v>2014</v>
      </c>
      <c r="B6787" t="s">
        <v>2015</v>
      </c>
      <c r="C6787">
        <v>10</v>
      </c>
      <c r="D6787" t="s">
        <v>1447</v>
      </c>
      <c r="E6787" t="s">
        <v>2016</v>
      </c>
      <c r="F6787" t="s">
        <v>1741</v>
      </c>
      <c r="G6787" t="str">
        <f>IF(ISBLANK('Q 6'!C304),"",IF('Q 6'!C304="&lt;please select&gt;","",'Q 6'!C304))</f>
        <v>22524</v>
      </c>
    </row>
    <row r="6788" spans="1:9" x14ac:dyDescent="0.3">
      <c r="A6788" t="s">
        <v>2014</v>
      </c>
      <c r="B6788" t="s">
        <v>2015</v>
      </c>
      <c r="C6788">
        <v>11</v>
      </c>
      <c r="D6788" t="s">
        <v>1447</v>
      </c>
      <c r="E6788" t="s">
        <v>2016</v>
      </c>
      <c r="F6788" t="s">
        <v>1741</v>
      </c>
      <c r="G6788" t="str">
        <f>IF(ISBLANK('Q 6'!C305),"",IF('Q 6'!C305="&lt;please select&gt;","",'Q 6'!C305))</f>
        <v>3932</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369</v>
      </c>
    </row>
    <row r="6800" spans="1:9" x14ac:dyDescent="0.3">
      <c r="A6800" t="s">
        <v>2014</v>
      </c>
      <c r="B6800" t="s">
        <v>2015</v>
      </c>
      <c r="C6800">
        <v>2</v>
      </c>
      <c r="D6800" t="s">
        <v>1447</v>
      </c>
      <c r="E6800" t="s">
        <v>2017</v>
      </c>
      <c r="F6800" t="s">
        <v>1806</v>
      </c>
      <c r="I6800" s="165" t="str">
        <f>IF(ISBLANK('Q 6'!D296),"",IF('Q 6'!D296="&lt;please select&gt;","",'Q 6'!D296))</f>
        <v>231</v>
      </c>
    </row>
    <row r="6801" spans="1:9" x14ac:dyDescent="0.3">
      <c r="A6801" t="s">
        <v>2014</v>
      </c>
      <c r="B6801" t="s">
        <v>2015</v>
      </c>
      <c r="C6801">
        <v>3</v>
      </c>
      <c r="D6801" t="s">
        <v>1447</v>
      </c>
      <c r="E6801" t="s">
        <v>2017</v>
      </c>
      <c r="F6801" t="s">
        <v>1806</v>
      </c>
      <c r="I6801" s="165" t="str">
        <f>IF(ISBLANK('Q 6'!D297),"",IF('Q 6'!D297="&lt;please select&gt;","",'Q 6'!D297))</f>
        <v>13</v>
      </c>
    </row>
    <row r="6802" spans="1:9" x14ac:dyDescent="0.3">
      <c r="A6802" t="s">
        <v>2014</v>
      </c>
      <c r="B6802" t="s">
        <v>2015</v>
      </c>
      <c r="C6802">
        <v>4</v>
      </c>
      <c r="D6802" t="s">
        <v>1447</v>
      </c>
      <c r="E6802" t="s">
        <v>2017</v>
      </c>
      <c r="F6802" t="s">
        <v>1806</v>
      </c>
      <c r="I6802" s="165" t="str">
        <f>IF(ISBLANK('Q 6'!D298),"",IF('Q 6'!D298="&lt;please select&gt;","",'Q 6'!D298))</f>
        <v>1365</v>
      </c>
    </row>
    <row r="6803" spans="1:9" x14ac:dyDescent="0.3">
      <c r="A6803" t="s">
        <v>2014</v>
      </c>
      <c r="B6803" t="s">
        <v>2015</v>
      </c>
      <c r="C6803">
        <v>5</v>
      </c>
      <c r="D6803" t="s">
        <v>1447</v>
      </c>
      <c r="E6803" t="s">
        <v>2017</v>
      </c>
      <c r="F6803" t="s">
        <v>1806</v>
      </c>
      <c r="I6803" s="165" t="str">
        <f>IF(ISBLANK('Q 6'!D299),"",IF('Q 6'!D299="&lt;please select&gt;","",'Q 6'!D299))</f>
        <v>13301</v>
      </c>
    </row>
    <row r="6804" spans="1:9" x14ac:dyDescent="0.3">
      <c r="A6804" t="s">
        <v>2014</v>
      </c>
      <c r="B6804" t="s">
        <v>2015</v>
      </c>
      <c r="C6804">
        <v>6</v>
      </c>
      <c r="D6804" t="s">
        <v>1447</v>
      </c>
      <c r="E6804" t="s">
        <v>2017</v>
      </c>
      <c r="F6804" t="s">
        <v>1806</v>
      </c>
      <c r="I6804" s="165" t="str">
        <f>IF(ISBLANK('Q 6'!D300),"",IF('Q 6'!D300="&lt;please select&gt;","",'Q 6'!D300))</f>
        <v>3048</v>
      </c>
    </row>
    <row r="6805" spans="1:9" x14ac:dyDescent="0.3">
      <c r="A6805" t="s">
        <v>2014</v>
      </c>
      <c r="B6805" t="s">
        <v>2015</v>
      </c>
      <c r="C6805">
        <v>7</v>
      </c>
      <c r="D6805" t="s">
        <v>1447</v>
      </c>
      <c r="E6805" t="s">
        <v>2017</v>
      </c>
      <c r="F6805" t="s">
        <v>1806</v>
      </c>
      <c r="I6805" s="165" t="str">
        <f>IF(ISBLANK('Q 6'!D301),"",IF('Q 6'!D301="&lt;please select&gt;","",'Q 6'!D301))</f>
        <v>15</v>
      </c>
    </row>
    <row r="6806" spans="1:9" x14ac:dyDescent="0.3">
      <c r="A6806" t="s">
        <v>2014</v>
      </c>
      <c r="B6806" t="s">
        <v>2015</v>
      </c>
      <c r="C6806">
        <v>8</v>
      </c>
      <c r="D6806" t="s">
        <v>1447</v>
      </c>
      <c r="E6806" t="s">
        <v>2017</v>
      </c>
      <c r="F6806" t="s">
        <v>1806</v>
      </c>
      <c r="I6806" s="165" t="str">
        <f>IF(ISBLANK('Q 6'!D302),"",IF('Q 6'!D302="&lt;please select&gt;","",'Q 6'!D302))</f>
        <v>72</v>
      </c>
    </row>
    <row r="6807" spans="1:9" x14ac:dyDescent="0.3">
      <c r="A6807" t="s">
        <v>2014</v>
      </c>
      <c r="B6807" t="s">
        <v>2015</v>
      </c>
      <c r="C6807">
        <v>9</v>
      </c>
      <c r="D6807" t="s">
        <v>1447</v>
      </c>
      <c r="E6807" t="s">
        <v>2017</v>
      </c>
      <c r="F6807" t="s">
        <v>1806</v>
      </c>
      <c r="I6807" s="165" t="str">
        <f>IF(ISBLANK('Q 6'!D303),"",IF('Q 6'!D303="&lt;please select&gt;","",'Q 6'!D303))</f>
        <v>346</v>
      </c>
    </row>
    <row r="6808" spans="1:9" x14ac:dyDescent="0.3">
      <c r="A6808" t="s">
        <v>2014</v>
      </c>
      <c r="B6808" t="s">
        <v>2015</v>
      </c>
      <c r="C6808">
        <v>10</v>
      </c>
      <c r="D6808" t="s">
        <v>1447</v>
      </c>
      <c r="E6808" t="s">
        <v>2017</v>
      </c>
      <c r="F6808" t="s">
        <v>1806</v>
      </c>
      <c r="I6808" s="165" t="str">
        <f>IF(ISBLANK('Q 6'!D304),"",IF('Q 6'!D304="&lt;please select&gt;","",'Q 6'!D304))</f>
        <v>65</v>
      </c>
    </row>
    <row r="6809" spans="1:9" x14ac:dyDescent="0.3">
      <c r="A6809" t="s">
        <v>2014</v>
      </c>
      <c r="B6809" t="s">
        <v>2015</v>
      </c>
      <c r="C6809">
        <v>11</v>
      </c>
      <c r="D6809" t="s">
        <v>1447</v>
      </c>
      <c r="E6809" t="s">
        <v>2017</v>
      </c>
      <c r="F6809" t="s">
        <v>1806</v>
      </c>
      <c r="I6809" s="165" t="str">
        <f>IF(ISBLANK('Q 6'!D305),"",IF('Q 6'!D305="&lt;please select&gt;","",'Q 6'!D305))</f>
        <v>153</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No emission report submitted by the 31st of March</v>
      </c>
    </row>
    <row r="6821" spans="1:11" x14ac:dyDescent="0.3">
      <c r="A6821" t="s">
        <v>2014</v>
      </c>
      <c r="B6821" t="s">
        <v>2015</v>
      </c>
      <c r="C6821">
        <v>2</v>
      </c>
      <c r="D6821" t="s">
        <v>1447</v>
      </c>
      <c r="E6821" t="s">
        <v>1978</v>
      </c>
      <c r="F6821" t="s">
        <v>1737</v>
      </c>
      <c r="K6821" t="str">
        <f>IF(ISBLANK('Q 6'!E296),"",IF('Q 6'!E296="&lt;please select&gt;","",'Q 6'!E296))</f>
        <v>No emission report submitted by the 31st of March</v>
      </c>
    </row>
    <row r="6822" spans="1:11" x14ac:dyDescent="0.3">
      <c r="A6822" t="s">
        <v>2014</v>
      </c>
      <c r="B6822" t="s">
        <v>2015</v>
      </c>
      <c r="C6822">
        <v>3</v>
      </c>
      <c r="D6822" t="s">
        <v>1447</v>
      </c>
      <c r="E6822" t="s">
        <v>1978</v>
      </c>
      <c r="F6822" t="s">
        <v>1737</v>
      </c>
      <c r="K6822" t="str">
        <f>IF(ISBLANK('Q 6'!E297),"",IF('Q 6'!E297="&lt;please select&gt;","",'Q 6'!E297))</f>
        <v>No emission report submitted by the 31st of March</v>
      </c>
    </row>
    <row r="6823" spans="1:11" x14ac:dyDescent="0.3">
      <c r="A6823" t="s">
        <v>2014</v>
      </c>
      <c r="B6823" t="s">
        <v>2015</v>
      </c>
      <c r="C6823">
        <v>4</v>
      </c>
      <c r="D6823" t="s">
        <v>1447</v>
      </c>
      <c r="E6823" t="s">
        <v>1978</v>
      </c>
      <c r="F6823" t="s">
        <v>1737</v>
      </c>
      <c r="K6823" t="str">
        <f>IF(ISBLANK('Q 6'!E298),"",IF('Q 6'!E298="&lt;please select&gt;","",'Q 6'!E298))</f>
        <v>No emission report submitted by the 31st of March</v>
      </c>
    </row>
    <row r="6824" spans="1:11" x14ac:dyDescent="0.3">
      <c r="A6824" t="s">
        <v>2014</v>
      </c>
      <c r="B6824" t="s">
        <v>2015</v>
      </c>
      <c r="C6824">
        <v>5</v>
      </c>
      <c r="D6824" t="s">
        <v>1447</v>
      </c>
      <c r="E6824" t="s">
        <v>1978</v>
      </c>
      <c r="F6824" t="s">
        <v>1737</v>
      </c>
      <c r="K6824" t="str">
        <f>IF(ISBLANK('Q 6'!E299),"",IF('Q 6'!E299="&lt;please select&gt;","",'Q 6'!E299))</f>
        <v>No emission report submitted by the 31st of March</v>
      </c>
    </row>
    <row r="6825" spans="1:11" x14ac:dyDescent="0.3">
      <c r="A6825" t="s">
        <v>2014</v>
      </c>
      <c r="B6825" t="s">
        <v>2015</v>
      </c>
      <c r="C6825">
        <v>6</v>
      </c>
      <c r="D6825" t="s">
        <v>1447</v>
      </c>
      <c r="E6825" t="s">
        <v>1978</v>
      </c>
      <c r="F6825" t="s">
        <v>1737</v>
      </c>
      <c r="K6825" t="str">
        <f>IF(ISBLANK('Q 6'!E300),"",IF('Q 6'!E300="&lt;please select&gt;","",'Q 6'!E300))</f>
        <v>No emission report submitted by the 31st of March</v>
      </c>
    </row>
    <row r="6826" spans="1:11" x14ac:dyDescent="0.3">
      <c r="A6826" t="s">
        <v>2014</v>
      </c>
      <c r="B6826" t="s">
        <v>2015</v>
      </c>
      <c r="C6826">
        <v>7</v>
      </c>
      <c r="D6826" t="s">
        <v>1447</v>
      </c>
      <c r="E6826" t="s">
        <v>1978</v>
      </c>
      <c r="F6826" t="s">
        <v>1737</v>
      </c>
      <c r="K6826" t="str">
        <f>IF(ISBLANK('Q 6'!E301),"",IF('Q 6'!E301="&lt;please select&gt;","",'Q 6'!E301))</f>
        <v>No emission report submitted by the 31st of March</v>
      </c>
    </row>
    <row r="6827" spans="1:11" x14ac:dyDescent="0.3">
      <c r="A6827" t="s">
        <v>2014</v>
      </c>
      <c r="B6827" t="s">
        <v>2015</v>
      </c>
      <c r="C6827">
        <v>8</v>
      </c>
      <c r="D6827" t="s">
        <v>1447</v>
      </c>
      <c r="E6827" t="s">
        <v>1978</v>
      </c>
      <c r="F6827" t="s">
        <v>1737</v>
      </c>
      <c r="K6827" t="str">
        <f>IF(ISBLANK('Q 6'!E302),"",IF('Q 6'!E302="&lt;please select&gt;","",'Q 6'!E302))</f>
        <v>No emission report submitted by the 31st of March</v>
      </c>
    </row>
    <row r="6828" spans="1:11" x14ac:dyDescent="0.3">
      <c r="A6828" t="s">
        <v>2014</v>
      </c>
      <c r="B6828" t="s">
        <v>2015</v>
      </c>
      <c r="C6828">
        <v>9</v>
      </c>
      <c r="D6828" t="s">
        <v>1447</v>
      </c>
      <c r="E6828" t="s">
        <v>1978</v>
      </c>
      <c r="F6828" t="s">
        <v>1737</v>
      </c>
      <c r="K6828" t="str">
        <f>IF(ISBLANK('Q 6'!E303),"",IF('Q 6'!E303="&lt;please select&gt;","",'Q 6'!E303))</f>
        <v>No emission report submitted by the 31st of March</v>
      </c>
    </row>
    <row r="6829" spans="1:11" x14ac:dyDescent="0.3">
      <c r="A6829" t="s">
        <v>2014</v>
      </c>
      <c r="B6829" t="s">
        <v>2015</v>
      </c>
      <c r="C6829">
        <v>10</v>
      </c>
      <c r="D6829" t="s">
        <v>1447</v>
      </c>
      <c r="E6829" t="s">
        <v>1978</v>
      </c>
      <c r="F6829" t="s">
        <v>1737</v>
      </c>
      <c r="K6829" t="str">
        <f>IF(ISBLANK('Q 6'!E304),"",IF('Q 6'!E304="&lt;please select&gt;","",'Q 6'!E304))</f>
        <v>No emission report submitted by the 31st of March</v>
      </c>
    </row>
    <row r="6830" spans="1:11" x14ac:dyDescent="0.3">
      <c r="A6830" t="s">
        <v>2014</v>
      </c>
      <c r="B6830" t="s">
        <v>2015</v>
      </c>
      <c r="C6830">
        <v>11</v>
      </c>
      <c r="D6830" t="s">
        <v>1447</v>
      </c>
      <c r="E6830" t="s">
        <v>1978</v>
      </c>
      <c r="F6830" t="s">
        <v>1737</v>
      </c>
      <c r="K6830" t="str">
        <f>IF(ISBLANK('Q 6'!E305),"",IF('Q 6'!E305="&lt;please select&gt;","",'Q 6'!E305))</f>
        <v>No emission report submitted by the 31st of March</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1</v>
      </c>
    </row>
    <row r="6842" spans="1:11" x14ac:dyDescent="0.3">
      <c r="A6842" t="s">
        <v>2014</v>
      </c>
      <c r="B6842" t="s">
        <v>2015</v>
      </c>
      <c r="C6842">
        <v>2</v>
      </c>
      <c r="D6842" t="s">
        <v>1447</v>
      </c>
      <c r="E6842" t="s">
        <v>2018</v>
      </c>
      <c r="F6842" t="s">
        <v>1806</v>
      </c>
      <c r="I6842" s="166" t="str">
        <f>IF(ISBLANK('Q 6'!F296),"",IF('Q 6'!F296="&lt;please select&gt;","",'Q 6'!F296))</f>
        <v>1</v>
      </c>
    </row>
    <row r="6843" spans="1:11" x14ac:dyDescent="0.3">
      <c r="A6843" t="s">
        <v>2014</v>
      </c>
      <c r="B6843" t="s">
        <v>2015</v>
      </c>
      <c r="C6843">
        <v>3</v>
      </c>
      <c r="D6843" t="s">
        <v>1447</v>
      </c>
      <c r="E6843" t="s">
        <v>2018</v>
      </c>
      <c r="F6843" t="s">
        <v>1806</v>
      </c>
      <c r="I6843" s="166" t="str">
        <f>IF(ISBLANK('Q 6'!F297),"",IF('Q 6'!F297="&lt;please select&gt;","",'Q 6'!F297))</f>
        <v>1</v>
      </c>
    </row>
    <row r="6844" spans="1:11" x14ac:dyDescent="0.3">
      <c r="A6844" t="s">
        <v>2014</v>
      </c>
      <c r="B6844" t="s">
        <v>2015</v>
      </c>
      <c r="C6844">
        <v>4</v>
      </c>
      <c r="D6844" t="s">
        <v>1447</v>
      </c>
      <c r="E6844" t="s">
        <v>2018</v>
      </c>
      <c r="F6844" t="s">
        <v>1806</v>
      </c>
      <c r="I6844" s="166" t="str">
        <f>IF(ISBLANK('Q 6'!F298),"",IF('Q 6'!F298="&lt;please select&gt;","",'Q 6'!F298))</f>
        <v>1</v>
      </c>
    </row>
    <row r="6845" spans="1:11" x14ac:dyDescent="0.3">
      <c r="A6845" t="s">
        <v>2014</v>
      </c>
      <c r="B6845" t="s">
        <v>2015</v>
      </c>
      <c r="C6845">
        <v>5</v>
      </c>
      <c r="D6845" t="s">
        <v>1447</v>
      </c>
      <c r="E6845" t="s">
        <v>2018</v>
      </c>
      <c r="F6845" t="s">
        <v>1806</v>
      </c>
      <c r="I6845" s="166" t="str">
        <f>IF(ISBLANK('Q 6'!F299),"",IF('Q 6'!F299="&lt;please select&gt;","",'Q 6'!F299))</f>
        <v>1</v>
      </c>
    </row>
    <row r="6846" spans="1:11" x14ac:dyDescent="0.3">
      <c r="A6846" t="s">
        <v>2014</v>
      </c>
      <c r="B6846" t="s">
        <v>2015</v>
      </c>
      <c r="C6846">
        <v>6</v>
      </c>
      <c r="D6846" t="s">
        <v>1447</v>
      </c>
      <c r="E6846" t="s">
        <v>2018</v>
      </c>
      <c r="F6846" t="s">
        <v>1806</v>
      </c>
      <c r="I6846" s="168" t="str">
        <f>IF(ISBLANK('Q 6'!F300),"",IF('Q 6'!F300="&lt;please select&gt;","",'Q 6'!F300))</f>
        <v>1</v>
      </c>
    </row>
    <row r="6847" spans="1:11" x14ac:dyDescent="0.3">
      <c r="A6847" t="s">
        <v>2014</v>
      </c>
      <c r="B6847" t="s">
        <v>2015</v>
      </c>
      <c r="C6847">
        <v>7</v>
      </c>
      <c r="D6847" t="s">
        <v>1447</v>
      </c>
      <c r="E6847" t="s">
        <v>2018</v>
      </c>
      <c r="F6847" t="s">
        <v>1806</v>
      </c>
      <c r="I6847" s="168" t="str">
        <f>IF(ISBLANK('Q 6'!F301),"",IF('Q 6'!F301="&lt;please select&gt;","",'Q 6'!F301))</f>
        <v>1</v>
      </c>
    </row>
    <row r="6848" spans="1:11" x14ac:dyDescent="0.3">
      <c r="A6848" t="s">
        <v>2014</v>
      </c>
      <c r="B6848" t="s">
        <v>2015</v>
      </c>
      <c r="C6848">
        <v>8</v>
      </c>
      <c r="D6848" t="s">
        <v>1447</v>
      </c>
      <c r="E6848" t="s">
        <v>2018</v>
      </c>
      <c r="F6848" t="s">
        <v>1806</v>
      </c>
      <c r="I6848" s="168" t="str">
        <f>IF(ISBLANK('Q 6'!F302),"",IF('Q 6'!F302="&lt;please select&gt;","",'Q 6'!F302))</f>
        <v>1</v>
      </c>
    </row>
    <row r="6849" spans="1:9" x14ac:dyDescent="0.3">
      <c r="A6849" t="s">
        <v>2014</v>
      </c>
      <c r="B6849" t="s">
        <v>2015</v>
      </c>
      <c r="C6849">
        <v>9</v>
      </c>
      <c r="D6849" t="s">
        <v>1447</v>
      </c>
      <c r="E6849" t="s">
        <v>2018</v>
      </c>
      <c r="F6849" t="s">
        <v>1806</v>
      </c>
      <c r="I6849" s="168" t="str">
        <f>IF(ISBLANK('Q 6'!F303),"",IF('Q 6'!F303="&lt;please select&gt;","",'Q 6'!F303))</f>
        <v>1</v>
      </c>
    </row>
    <row r="6850" spans="1:9" x14ac:dyDescent="0.3">
      <c r="A6850" t="s">
        <v>2014</v>
      </c>
      <c r="B6850" t="s">
        <v>2015</v>
      </c>
      <c r="C6850">
        <v>10</v>
      </c>
      <c r="D6850" t="s">
        <v>1447</v>
      </c>
      <c r="E6850" t="s">
        <v>2018</v>
      </c>
      <c r="F6850" t="s">
        <v>1806</v>
      </c>
      <c r="I6850" s="168" t="str">
        <f>IF(ISBLANK('Q 6'!F304),"",IF('Q 6'!F304="&lt;please select&gt;","",'Q 6'!F304))</f>
        <v>1</v>
      </c>
    </row>
    <row r="6851" spans="1:9" x14ac:dyDescent="0.3">
      <c r="A6851" t="s">
        <v>2014</v>
      </c>
      <c r="B6851" t="s">
        <v>2015</v>
      </c>
      <c r="C6851">
        <v>11</v>
      </c>
      <c r="D6851" t="s">
        <v>1447</v>
      </c>
      <c r="E6851" t="s">
        <v>2018</v>
      </c>
      <c r="F6851" t="s">
        <v>1806</v>
      </c>
      <c r="I6851" s="168" t="str">
        <f>IF(ISBLANK('Q 6'!F305),"",IF('Q 6'!F305="&lt;please select&gt;","",'Q 6'!F305))</f>
        <v>1</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ETS-SF</v>
      </c>
    </row>
    <row r="6863" spans="1:9" x14ac:dyDescent="0.3">
      <c r="A6863" t="s">
        <v>2014</v>
      </c>
      <c r="B6863" t="s">
        <v>2015</v>
      </c>
      <c r="C6863">
        <v>2</v>
      </c>
      <c r="D6863" t="s">
        <v>1447</v>
      </c>
      <c r="E6863" t="s">
        <v>1980</v>
      </c>
      <c r="F6863" t="s">
        <v>1741</v>
      </c>
      <c r="G6863" t="str">
        <f>IF(ISBLANK('Q 6'!G296),"",IF('Q 6'!G296="&lt;please select&gt;","",'Q 6'!G296))</f>
        <v>ETS-SF</v>
      </c>
    </row>
    <row r="6864" spans="1:9" x14ac:dyDescent="0.3">
      <c r="A6864" t="s">
        <v>2014</v>
      </c>
      <c r="B6864" t="s">
        <v>2015</v>
      </c>
      <c r="C6864">
        <v>3</v>
      </c>
      <c r="D6864" t="s">
        <v>1447</v>
      </c>
      <c r="E6864" t="s">
        <v>1980</v>
      </c>
      <c r="F6864" t="s">
        <v>1741</v>
      </c>
      <c r="G6864" t="str">
        <f>IF(ISBLANK('Q 6'!G297),"",IF('Q 6'!G297="&lt;please select&gt;","",'Q 6'!G297))</f>
        <v>ETS-SF</v>
      </c>
    </row>
    <row r="6865" spans="1:7" x14ac:dyDescent="0.3">
      <c r="A6865" t="s">
        <v>2014</v>
      </c>
      <c r="B6865" t="s">
        <v>2015</v>
      </c>
      <c r="C6865">
        <v>4</v>
      </c>
      <c r="D6865" t="s">
        <v>1447</v>
      </c>
      <c r="E6865" t="s">
        <v>1980</v>
      </c>
      <c r="F6865" t="s">
        <v>1741</v>
      </c>
      <c r="G6865" t="str">
        <f>IF(ISBLANK('Q 6'!G298),"",IF('Q 6'!G298="&lt;please select&gt;","",'Q 6'!G298))</f>
        <v>ETS-SF</v>
      </c>
    </row>
    <row r="6866" spans="1:7" x14ac:dyDescent="0.3">
      <c r="A6866" t="s">
        <v>2014</v>
      </c>
      <c r="B6866" t="s">
        <v>2015</v>
      </c>
      <c r="C6866">
        <v>5</v>
      </c>
      <c r="D6866" t="s">
        <v>1447</v>
      </c>
      <c r="E6866" t="s">
        <v>1980</v>
      </c>
      <c r="F6866" t="s">
        <v>1741</v>
      </c>
      <c r="G6866" t="str">
        <f>IF(ISBLANK('Q 6'!G299),"",IF('Q 6'!G299="&lt;please select&gt;","",'Q 6'!G299))</f>
        <v>ETS-SF</v>
      </c>
    </row>
    <row r="6867" spans="1:7" x14ac:dyDescent="0.3">
      <c r="A6867" t="s">
        <v>2014</v>
      </c>
      <c r="B6867" t="s">
        <v>2015</v>
      </c>
      <c r="C6867">
        <v>6</v>
      </c>
      <c r="D6867" t="s">
        <v>1447</v>
      </c>
      <c r="E6867" t="s">
        <v>1980</v>
      </c>
      <c r="F6867" t="s">
        <v>1741</v>
      </c>
      <c r="G6867" t="str">
        <f>IF(ISBLANK('Q 6'!G300),"",IF('Q 6'!G300="&lt;please select&gt;","",'Q 6'!G300))</f>
        <v>ETS-SF</v>
      </c>
    </row>
    <row r="6868" spans="1:7" x14ac:dyDescent="0.3">
      <c r="A6868" t="s">
        <v>2014</v>
      </c>
      <c r="B6868" t="s">
        <v>2015</v>
      </c>
      <c r="C6868">
        <v>7</v>
      </c>
      <c r="D6868" t="s">
        <v>1447</v>
      </c>
      <c r="E6868" t="s">
        <v>1980</v>
      </c>
      <c r="F6868" t="s">
        <v>1741</v>
      </c>
      <c r="G6868" t="str">
        <f>IF(ISBLANK('Q 6'!G301),"",IF('Q 6'!G301="&lt;please select&gt;","",'Q 6'!G301))</f>
        <v>ETS-SF</v>
      </c>
    </row>
    <row r="6869" spans="1:7" x14ac:dyDescent="0.3">
      <c r="A6869" t="s">
        <v>2014</v>
      </c>
      <c r="B6869" t="s">
        <v>2015</v>
      </c>
      <c r="C6869">
        <v>8</v>
      </c>
      <c r="D6869" t="s">
        <v>1447</v>
      </c>
      <c r="E6869" t="s">
        <v>1980</v>
      </c>
      <c r="F6869" t="s">
        <v>1741</v>
      </c>
      <c r="G6869" t="str">
        <f>IF(ISBLANK('Q 6'!G302),"",IF('Q 6'!G302="&lt;please select&gt;","",'Q 6'!G302))</f>
        <v>ETS-SF</v>
      </c>
    </row>
    <row r="6870" spans="1:7" x14ac:dyDescent="0.3">
      <c r="A6870" t="s">
        <v>2014</v>
      </c>
      <c r="B6870" t="s">
        <v>2015</v>
      </c>
      <c r="C6870">
        <v>9</v>
      </c>
      <c r="D6870" t="s">
        <v>1447</v>
      </c>
      <c r="E6870" t="s">
        <v>1980</v>
      </c>
      <c r="F6870" t="s">
        <v>1741</v>
      </c>
      <c r="G6870" t="str">
        <f>IF(ISBLANK('Q 6'!G303),"",IF('Q 6'!G303="&lt;please select&gt;","",'Q 6'!G303))</f>
        <v>ETS-SF</v>
      </c>
    </row>
    <row r="6871" spans="1:7" x14ac:dyDescent="0.3">
      <c r="A6871" t="s">
        <v>2014</v>
      </c>
      <c r="B6871" t="s">
        <v>2015</v>
      </c>
      <c r="C6871">
        <v>10</v>
      </c>
      <c r="D6871" t="s">
        <v>1447</v>
      </c>
      <c r="E6871" t="s">
        <v>1980</v>
      </c>
      <c r="F6871" t="s">
        <v>1741</v>
      </c>
      <c r="G6871" t="str">
        <f>IF(ISBLANK('Q 6'!G304),"",IF('Q 6'!G304="&lt;please select&gt;","",'Q 6'!G304))</f>
        <v>ETS-SF</v>
      </c>
    </row>
    <row r="6872" spans="1:7" x14ac:dyDescent="0.3">
      <c r="A6872" t="s">
        <v>2014</v>
      </c>
      <c r="B6872" t="s">
        <v>2015</v>
      </c>
      <c r="C6872">
        <v>11</v>
      </c>
      <c r="D6872" t="s">
        <v>1447</v>
      </c>
      <c r="E6872" t="s">
        <v>1980</v>
      </c>
      <c r="F6872" t="s">
        <v>1741</v>
      </c>
      <c r="G6872" t="str">
        <f>IF(ISBLANK('Q 6'!G305),"",IF('Q 6'!G305="&lt;please select&gt;","",'Q 6'!G305))</f>
        <v>ETS-SF</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Reminder or formal warnings on sanctions sent to aircraft operator</v>
      </c>
    </row>
    <row r="6884" spans="1:11" x14ac:dyDescent="0.3">
      <c r="A6884" t="s">
        <v>2014</v>
      </c>
      <c r="B6884" t="s">
        <v>2015</v>
      </c>
      <c r="C6884">
        <v>2</v>
      </c>
      <c r="D6884" t="s">
        <v>1447</v>
      </c>
      <c r="E6884" t="s">
        <v>1981</v>
      </c>
      <c r="F6884" t="s">
        <v>1737</v>
      </c>
      <c r="K6884" t="str">
        <f>IF(ISBLANK('Q 6'!H296),"",IF('Q 6'!H296="&lt;please select&gt;","",'Q 6'!H296))</f>
        <v>Reminder or formal warnings on sanctions sent to aircraft operator</v>
      </c>
    </row>
    <row r="6885" spans="1:11" x14ac:dyDescent="0.3">
      <c r="A6885" t="s">
        <v>2014</v>
      </c>
      <c r="B6885" t="s">
        <v>2015</v>
      </c>
      <c r="C6885">
        <v>3</v>
      </c>
      <c r="D6885" t="s">
        <v>1447</v>
      </c>
      <c r="E6885" t="s">
        <v>1981</v>
      </c>
      <c r="F6885" t="s">
        <v>1737</v>
      </c>
      <c r="K6885" t="str">
        <f>IF(ISBLANK('Q 6'!H297),"",IF('Q 6'!H297="&lt;please select&gt;","",'Q 6'!H297))</f>
        <v>Reminder or formal warnings on sanctions sent to aircraft operator</v>
      </c>
    </row>
    <row r="6886" spans="1:11" x14ac:dyDescent="0.3">
      <c r="A6886" t="s">
        <v>2014</v>
      </c>
      <c r="B6886" t="s">
        <v>2015</v>
      </c>
      <c r="C6886">
        <v>4</v>
      </c>
      <c r="D6886" t="s">
        <v>1447</v>
      </c>
      <c r="E6886" t="s">
        <v>1981</v>
      </c>
      <c r="F6886" t="s">
        <v>1737</v>
      </c>
      <c r="K6886" t="str">
        <f>IF(ISBLANK('Q 6'!H298),"",IF('Q 6'!H298="&lt;please select&gt;","",'Q 6'!H298))</f>
        <v>Reminder or formal warnings on sanctions sent to aircraft operator</v>
      </c>
    </row>
    <row r="6887" spans="1:11" x14ac:dyDescent="0.3">
      <c r="A6887" t="s">
        <v>2014</v>
      </c>
      <c r="B6887" t="s">
        <v>2015</v>
      </c>
      <c r="C6887">
        <v>5</v>
      </c>
      <c r="D6887" t="s">
        <v>1447</v>
      </c>
      <c r="E6887" t="s">
        <v>1981</v>
      </c>
      <c r="F6887" t="s">
        <v>1737</v>
      </c>
      <c r="K6887" t="str">
        <f>IF(ISBLANK('Q 6'!H299),"",IF('Q 6'!H299="&lt;please select&gt;","",'Q 6'!H299))</f>
        <v>Reminder or formal warnings on sanctions sent to aircraft operator</v>
      </c>
    </row>
    <row r="6888" spans="1:11" x14ac:dyDescent="0.3">
      <c r="A6888" t="s">
        <v>2014</v>
      </c>
      <c r="B6888" t="s">
        <v>2015</v>
      </c>
      <c r="C6888">
        <v>6</v>
      </c>
      <c r="D6888" t="s">
        <v>1447</v>
      </c>
      <c r="E6888" t="s">
        <v>1981</v>
      </c>
      <c r="F6888" t="s">
        <v>1737</v>
      </c>
      <c r="K6888" t="str">
        <f>IF(ISBLANK('Q 6'!H300),"",IF('Q 6'!H300="&lt;please select&gt;","",'Q 6'!H300))</f>
        <v>Reminder or formal warnings on sanctions sent to aircraft operator</v>
      </c>
    </row>
    <row r="6889" spans="1:11" x14ac:dyDescent="0.3">
      <c r="A6889" t="s">
        <v>2014</v>
      </c>
      <c r="B6889" t="s">
        <v>2015</v>
      </c>
      <c r="C6889">
        <v>7</v>
      </c>
      <c r="D6889" t="s">
        <v>1447</v>
      </c>
      <c r="E6889" t="s">
        <v>1981</v>
      </c>
      <c r="F6889" t="s">
        <v>1737</v>
      </c>
      <c r="K6889" t="str">
        <f>IF(ISBLANK('Q 6'!H301),"",IF('Q 6'!H301="&lt;please select&gt;","",'Q 6'!H301))</f>
        <v>Reminder or formal warnings on sanctions sent to aircraft operator</v>
      </c>
    </row>
    <row r="6890" spans="1:11" x14ac:dyDescent="0.3">
      <c r="A6890" t="s">
        <v>2014</v>
      </c>
      <c r="B6890" t="s">
        <v>2015</v>
      </c>
      <c r="C6890">
        <v>8</v>
      </c>
      <c r="D6890" t="s">
        <v>1447</v>
      </c>
      <c r="E6890" t="s">
        <v>1981</v>
      </c>
      <c r="F6890" t="s">
        <v>1737</v>
      </c>
      <c r="K6890" t="str">
        <f>IF(ISBLANK('Q 6'!H302),"",IF('Q 6'!H302="&lt;please select&gt;","",'Q 6'!H302))</f>
        <v>Reminder or formal warnings on sanctions sent to aircraft operator</v>
      </c>
    </row>
    <row r="6891" spans="1:11" x14ac:dyDescent="0.3">
      <c r="A6891" t="s">
        <v>2014</v>
      </c>
      <c r="B6891" t="s">
        <v>2015</v>
      </c>
      <c r="C6891">
        <v>9</v>
      </c>
      <c r="D6891" t="s">
        <v>1447</v>
      </c>
      <c r="E6891" t="s">
        <v>1981</v>
      </c>
      <c r="F6891" t="s">
        <v>1737</v>
      </c>
      <c r="K6891" t="str">
        <f>IF(ISBLANK('Q 6'!H303),"",IF('Q 6'!H303="&lt;please select&gt;","",'Q 6'!H303))</f>
        <v>Reminder or formal warnings on sanctions sent to aircraft operator</v>
      </c>
    </row>
    <row r="6892" spans="1:11" x14ac:dyDescent="0.3">
      <c r="A6892" t="s">
        <v>2014</v>
      </c>
      <c r="B6892" t="s">
        <v>2015</v>
      </c>
      <c r="C6892">
        <v>10</v>
      </c>
      <c r="D6892" t="s">
        <v>1447</v>
      </c>
      <c r="E6892" t="s">
        <v>1981</v>
      </c>
      <c r="F6892" t="s">
        <v>1737</v>
      </c>
      <c r="K6892" t="str">
        <f>IF(ISBLANK('Q 6'!H304),"",IF('Q 6'!H304="&lt;please select&gt;","",'Q 6'!H304))</f>
        <v>Reminder or formal warnings on sanctions sent to aircraft operator</v>
      </c>
    </row>
    <row r="6893" spans="1:11" x14ac:dyDescent="0.3">
      <c r="A6893" t="s">
        <v>2014</v>
      </c>
      <c r="B6893" t="s">
        <v>2015</v>
      </c>
      <c r="C6893">
        <v>11</v>
      </c>
      <c r="D6893" t="s">
        <v>1447</v>
      </c>
      <c r="E6893" t="s">
        <v>1981</v>
      </c>
      <c r="F6893" t="s">
        <v>1737</v>
      </c>
      <c r="K6893" t="str">
        <f>IF(ISBLANK('Q 6'!H305),"",IF('Q 6'!H305="&lt;please select&gt;","",'Q 6'!H305))</f>
        <v>Reminder or formal warnings on sanctions sent to aircraft operator</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11</v>
      </c>
    </row>
    <row r="6926" spans="1:10" x14ac:dyDescent="0.3">
      <c r="A6926" t="s">
        <v>2014</v>
      </c>
      <c r="B6926" t="s">
        <v>2020</v>
      </c>
      <c r="C6926">
        <v>2</v>
      </c>
      <c r="D6926" t="s">
        <v>1447</v>
      </c>
      <c r="E6926" t="s">
        <v>1984</v>
      </c>
      <c r="F6926" t="s">
        <v>1748</v>
      </c>
      <c r="H6926" s="165" t="str">
        <f>IF(ISBLANK('Q 6'!H324),"",IF('Q 6'!H324="&lt;please select&gt;","",'Q 6'!H324))</f>
        <v>0</v>
      </c>
    </row>
    <row r="6927" spans="1:10" x14ac:dyDescent="0.3">
      <c r="A6927" t="s">
        <v>2014</v>
      </c>
      <c r="B6927" t="s">
        <v>2020</v>
      </c>
      <c r="C6927">
        <v>3</v>
      </c>
      <c r="D6927" t="s">
        <v>1447</v>
      </c>
      <c r="E6927" t="s">
        <v>1984</v>
      </c>
      <c r="F6927" t="s">
        <v>1748</v>
      </c>
      <c r="H6927" s="165" t="str">
        <f>IF(ISBLANK('Q 6'!H325),"",IF('Q 6'!H325="&lt;please select&gt;","",'Q 6'!H325))</f>
        <v>0</v>
      </c>
    </row>
    <row r="6928" spans="1:10" x14ac:dyDescent="0.3">
      <c r="A6928" t="s">
        <v>2014</v>
      </c>
      <c r="B6928" t="s">
        <v>2020</v>
      </c>
      <c r="C6928">
        <v>4</v>
      </c>
      <c r="D6928" t="s">
        <v>1447</v>
      </c>
      <c r="E6928" t="s">
        <v>1984</v>
      </c>
      <c r="F6928" t="s">
        <v>1748</v>
      </c>
      <c r="H6928" s="165" t="str">
        <f>IF(ISBLANK('Q 6'!H326),"",IF('Q 6'!H326="&lt;please select&gt;","",'Q 6'!H326))</f>
        <v>0</v>
      </c>
    </row>
    <row r="6929" spans="1:11" x14ac:dyDescent="0.3">
      <c r="A6929" t="s">
        <v>2021</v>
      </c>
      <c r="B6929" t="s">
        <v>2022</v>
      </c>
      <c r="C6929">
        <v>0</v>
      </c>
      <c r="D6929" t="s">
        <v>1447</v>
      </c>
      <c r="E6929" t="s">
        <v>2022</v>
      </c>
      <c r="F6929" t="s">
        <v>1759</v>
      </c>
      <c r="K6929" t="str">
        <f>IF(ISBLANK('Q 6'!$I$328),"",IF('Q 6'!$I$328="&lt;please select&gt;","",'Q 6'!$I$328))</f>
        <v>No</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Yes</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0</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0.8</v>
      </c>
    </row>
    <row r="6963" spans="1:11" x14ac:dyDescent="0.3">
      <c r="A6963" t="s">
        <v>2026</v>
      </c>
      <c r="B6963" t="s">
        <v>2028</v>
      </c>
      <c r="C6963">
        <v>3</v>
      </c>
      <c r="D6963" t="s">
        <v>1447</v>
      </c>
      <c r="E6963" t="s">
        <v>1995</v>
      </c>
      <c r="F6963" t="s">
        <v>1791</v>
      </c>
      <c r="J6963" t="str">
        <f>IF(ISBLANK('Q 6'!$H$354),"",IF('Q 6'!$H$354="&lt;please select&gt;","",'Q 6'!$H$354))</f>
        <v>Eurocontrol ETS6SF</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All large aircraft operators</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no rejection</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no check of tonne-kilometre reports</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No</v>
      </c>
    </row>
    <row r="6985" spans="1:11" x14ac:dyDescent="0.3">
      <c r="A6985" t="s">
        <v>2037</v>
      </c>
      <c r="B6985" t="s">
        <v>2039</v>
      </c>
      <c r="C6985">
        <v>1</v>
      </c>
      <c r="D6985" t="s">
        <v>1447</v>
      </c>
      <c r="E6985" t="s">
        <v>2010</v>
      </c>
      <c r="F6985" t="s">
        <v>1741</v>
      </c>
      <c r="G6985" t="str">
        <f>IF(ISBLANK('Q 6'!C383),"",IF('Q 6'!C383="&lt;please select&gt;","",'Q 6'!C383))</f>
        <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36</v>
      </c>
    </row>
    <row r="7084" spans="1:8" x14ac:dyDescent="0.3">
      <c r="A7084" t="s">
        <v>2048</v>
      </c>
      <c r="B7084" t="s">
        <v>2050</v>
      </c>
      <c r="C7084">
        <v>1</v>
      </c>
      <c r="D7084" t="s">
        <v>1447</v>
      </c>
      <c r="E7084" t="s">
        <v>2016</v>
      </c>
      <c r="F7084" t="s">
        <v>1741</v>
      </c>
      <c r="G7084" t="str">
        <f>IF(ISBLANK('Q 7'!C27),"",IF('Q 7'!C27="&lt;please select&gt;","",'Q 7'!C27))</f>
        <v>22230</v>
      </c>
    </row>
    <row r="7085" spans="1:8" x14ac:dyDescent="0.3">
      <c r="A7085" t="s">
        <v>2048</v>
      </c>
      <c r="B7085" t="s">
        <v>2050</v>
      </c>
      <c r="C7085">
        <v>2</v>
      </c>
      <c r="D7085" t="s">
        <v>1447</v>
      </c>
      <c r="E7085" t="s">
        <v>2016</v>
      </c>
      <c r="F7085" t="s">
        <v>1741</v>
      </c>
      <c r="G7085" t="str">
        <f>IF(ISBLANK('Q 7'!C28),"",IF('Q 7'!C28="&lt;please select&gt;","",'Q 7'!C28))</f>
        <v>37923</v>
      </c>
    </row>
    <row r="7086" spans="1:8" x14ac:dyDescent="0.3">
      <c r="A7086" t="s">
        <v>2048</v>
      </c>
      <c r="B7086" t="s">
        <v>2050</v>
      </c>
      <c r="C7086">
        <v>3</v>
      </c>
      <c r="D7086" t="s">
        <v>1447</v>
      </c>
      <c r="E7086" t="s">
        <v>2016</v>
      </c>
      <c r="F7086" t="s">
        <v>1741</v>
      </c>
      <c r="G7086" t="str">
        <f>IF(ISBLANK('Q 7'!C29),"",IF('Q 7'!C29="&lt;please select&gt;","",'Q 7'!C29))</f>
        <v>35455</v>
      </c>
    </row>
    <row r="7087" spans="1:8" x14ac:dyDescent="0.3">
      <c r="A7087" t="s">
        <v>2048</v>
      </c>
      <c r="B7087" t="s">
        <v>2050</v>
      </c>
      <c r="C7087">
        <v>4</v>
      </c>
      <c r="D7087" t="s">
        <v>1447</v>
      </c>
      <c r="E7087" t="s">
        <v>2016</v>
      </c>
      <c r="F7087" t="s">
        <v>1741</v>
      </c>
      <c r="G7087" t="str">
        <f>IF(ISBLANK('Q 7'!C30),"",IF('Q 7'!C30="&lt;please select&gt;","",'Q 7'!C30))</f>
        <v>31025</v>
      </c>
    </row>
    <row r="7088" spans="1:8" x14ac:dyDescent="0.3">
      <c r="A7088" t="s">
        <v>2048</v>
      </c>
      <c r="B7088" t="s">
        <v>2050</v>
      </c>
      <c r="C7088">
        <v>5</v>
      </c>
      <c r="D7088" t="s">
        <v>1447</v>
      </c>
      <c r="E7088" t="s">
        <v>2016</v>
      </c>
      <c r="F7088" t="s">
        <v>1741</v>
      </c>
      <c r="G7088" t="str">
        <f>IF(ISBLANK('Q 7'!C31),"",IF('Q 7'!C31="&lt;please select&gt;","",'Q 7'!C31))</f>
        <v>44178</v>
      </c>
    </row>
    <row r="7089" spans="1:7" x14ac:dyDescent="0.3">
      <c r="A7089" t="s">
        <v>2048</v>
      </c>
      <c r="B7089" t="s">
        <v>2050</v>
      </c>
      <c r="C7089">
        <v>6</v>
      </c>
      <c r="D7089" t="s">
        <v>1447</v>
      </c>
      <c r="E7089" t="s">
        <v>2016</v>
      </c>
      <c r="F7089" t="s">
        <v>1741</v>
      </c>
      <c r="G7089" t="str">
        <f>IF(ISBLANK('Q 7'!C32),"",IF('Q 7'!C32="&lt;please select&gt;","",'Q 7'!C32))</f>
        <v>44931</v>
      </c>
    </row>
    <row r="7090" spans="1:7" x14ac:dyDescent="0.3">
      <c r="A7090" t="s">
        <v>2048</v>
      </c>
      <c r="B7090" t="s">
        <v>2050</v>
      </c>
      <c r="C7090">
        <v>7</v>
      </c>
      <c r="D7090" t="s">
        <v>1447</v>
      </c>
      <c r="E7090" t="s">
        <v>2016</v>
      </c>
      <c r="F7090" t="s">
        <v>1741</v>
      </c>
      <c r="G7090" t="str">
        <f>IF(ISBLANK('Q 7'!C33),"",IF('Q 7'!C33="&lt;please select&gt;","",'Q 7'!C33))</f>
        <v>31488</v>
      </c>
    </row>
    <row r="7091" spans="1:7" x14ac:dyDescent="0.3">
      <c r="A7091" t="s">
        <v>2048</v>
      </c>
      <c r="B7091" t="s">
        <v>2050</v>
      </c>
      <c r="C7091">
        <v>8</v>
      </c>
      <c r="D7091" t="s">
        <v>1447</v>
      </c>
      <c r="E7091" t="s">
        <v>2016</v>
      </c>
      <c r="F7091" t="s">
        <v>1741</v>
      </c>
      <c r="G7091" t="str">
        <f>IF(ISBLANK('Q 7'!C34),"",IF('Q 7'!C34="&lt;please select&gt;","",'Q 7'!C34))</f>
        <v>39587</v>
      </c>
    </row>
    <row r="7092" spans="1:7" x14ac:dyDescent="0.3">
      <c r="A7092" t="s">
        <v>2048</v>
      </c>
      <c r="B7092" t="s">
        <v>2050</v>
      </c>
      <c r="C7092">
        <v>9</v>
      </c>
      <c r="D7092" t="s">
        <v>1447</v>
      </c>
      <c r="E7092" t="s">
        <v>2016</v>
      </c>
      <c r="F7092" t="s">
        <v>1741</v>
      </c>
      <c r="G7092" t="str">
        <f>IF(ISBLANK('Q 7'!C35),"",IF('Q 7'!C35="&lt;please select&gt;","",'Q 7'!C35))</f>
        <v>f14311</v>
      </c>
    </row>
    <row r="7093" spans="1:7" x14ac:dyDescent="0.3">
      <c r="A7093" t="s">
        <v>2048</v>
      </c>
      <c r="B7093" t="s">
        <v>2050</v>
      </c>
      <c r="C7093">
        <v>10</v>
      </c>
      <c r="D7093" t="s">
        <v>1447</v>
      </c>
      <c r="E7093" t="s">
        <v>2016</v>
      </c>
      <c r="F7093" t="s">
        <v>1741</v>
      </c>
      <c r="G7093" t="str">
        <f>IF(ISBLANK('Q 7'!C36),"",IF('Q 7'!C36="&lt;please select&gt;","",'Q 7'!C36))</f>
        <v>37249</v>
      </c>
    </row>
    <row r="7094" spans="1:7" x14ac:dyDescent="0.3">
      <c r="A7094" t="s">
        <v>2048</v>
      </c>
      <c r="B7094" t="s">
        <v>2050</v>
      </c>
      <c r="C7094">
        <v>11</v>
      </c>
      <c r="D7094" t="s">
        <v>1447</v>
      </c>
      <c r="E7094" t="s">
        <v>2016</v>
      </c>
      <c r="F7094" t="s">
        <v>1741</v>
      </c>
      <c r="G7094" t="str">
        <f>IF(ISBLANK('Q 7'!C37),"",IF('Q 7'!C37="&lt;please select&gt;","",'Q 7'!C37))</f>
        <v>42839</v>
      </c>
    </row>
    <row r="7095" spans="1:7" x14ac:dyDescent="0.3">
      <c r="A7095" t="s">
        <v>2048</v>
      </c>
      <c r="B7095" t="s">
        <v>2050</v>
      </c>
      <c r="C7095">
        <v>12</v>
      </c>
      <c r="D7095" t="s">
        <v>1447</v>
      </c>
      <c r="E7095" t="s">
        <v>2016</v>
      </c>
      <c r="F7095" t="s">
        <v>1741</v>
      </c>
      <c r="G7095" t="str">
        <f>IF(ISBLANK('Q 7'!C38),"",IF('Q 7'!C38="&lt;please select&gt;","",'Q 7'!C38))</f>
        <v>4999</v>
      </c>
    </row>
    <row r="7096" spans="1:7" x14ac:dyDescent="0.3">
      <c r="A7096" t="s">
        <v>2048</v>
      </c>
      <c r="B7096" t="s">
        <v>2050</v>
      </c>
      <c r="C7096">
        <v>13</v>
      </c>
      <c r="D7096" t="s">
        <v>1447</v>
      </c>
      <c r="E7096" t="s">
        <v>2016</v>
      </c>
      <c r="F7096" t="s">
        <v>1741</v>
      </c>
      <c r="G7096" t="str">
        <f>IF(ISBLANK('Q 7'!C39),"",IF('Q 7'!C39="&lt;please select&gt;","",'Q 7'!C39))</f>
        <v>30051</v>
      </c>
    </row>
    <row r="7097" spans="1:7" x14ac:dyDescent="0.3">
      <c r="A7097" t="s">
        <v>2048</v>
      </c>
      <c r="B7097" t="s">
        <v>2050</v>
      </c>
      <c r="C7097">
        <v>14</v>
      </c>
      <c r="D7097" t="s">
        <v>1447</v>
      </c>
      <c r="E7097" t="s">
        <v>2016</v>
      </c>
      <c r="F7097" t="s">
        <v>1741</v>
      </c>
      <c r="G7097" t="str">
        <f>IF(ISBLANK('Q 7'!C40),"",IF('Q 7'!C40="&lt;please select&gt;","",'Q 7'!C40))</f>
        <v>40036</v>
      </c>
    </row>
    <row r="7098" spans="1:7" x14ac:dyDescent="0.3">
      <c r="A7098" t="s">
        <v>2048</v>
      </c>
      <c r="B7098" t="s">
        <v>2050</v>
      </c>
      <c r="C7098">
        <v>15</v>
      </c>
      <c r="D7098" t="s">
        <v>1447</v>
      </c>
      <c r="E7098" t="s">
        <v>2016</v>
      </c>
      <c r="F7098" t="s">
        <v>1741</v>
      </c>
      <c r="G7098" t="str">
        <f>IF(ISBLANK('Q 7'!C41),"",IF('Q 7'!C41="&lt;please select&gt;","",'Q 7'!C41))</f>
        <v>24571</v>
      </c>
    </row>
    <row r="7099" spans="1:7" x14ac:dyDescent="0.3">
      <c r="A7099" t="s">
        <v>2048</v>
      </c>
      <c r="B7099" t="s">
        <v>2050</v>
      </c>
      <c r="C7099">
        <v>16</v>
      </c>
      <c r="D7099" t="s">
        <v>1447</v>
      </c>
      <c r="E7099" t="s">
        <v>2016</v>
      </c>
      <c r="F7099" t="s">
        <v>1741</v>
      </c>
      <c r="G7099" t="str">
        <f>IF(ISBLANK('Q 7'!C42),"",IF('Q 7'!C42="&lt;please select&gt;","",'Q 7'!C42))</f>
        <v>31595</v>
      </c>
    </row>
    <row r="7100" spans="1:7" x14ac:dyDescent="0.3">
      <c r="A7100" t="s">
        <v>2048</v>
      </c>
      <c r="B7100" t="s">
        <v>2050</v>
      </c>
      <c r="C7100">
        <v>17</v>
      </c>
      <c r="D7100" t="s">
        <v>1447</v>
      </c>
      <c r="E7100" t="s">
        <v>2016</v>
      </c>
      <c r="F7100" t="s">
        <v>1741</v>
      </c>
      <c r="G7100" t="str">
        <f>IF(ISBLANK('Q 7'!C43),"",IF('Q 7'!C43="&lt;please select&gt;","",'Q 7'!C43))</f>
        <v>35426</v>
      </c>
    </row>
    <row r="7101" spans="1:7" x14ac:dyDescent="0.3">
      <c r="A7101" t="s">
        <v>2048</v>
      </c>
      <c r="B7101" t="s">
        <v>2050</v>
      </c>
      <c r="C7101">
        <v>18</v>
      </c>
      <c r="D7101" t="s">
        <v>1447</v>
      </c>
      <c r="E7101" t="s">
        <v>2016</v>
      </c>
      <c r="F7101" t="s">
        <v>1741</v>
      </c>
      <c r="G7101" t="str">
        <f>IF(ISBLANK('Q 7'!C44),"",IF('Q 7'!C44="&lt;please select&gt;","",'Q 7'!C44))</f>
        <v>3932</v>
      </c>
    </row>
    <row r="7102" spans="1:7" x14ac:dyDescent="0.3">
      <c r="A7102" t="s">
        <v>2048</v>
      </c>
      <c r="B7102" t="s">
        <v>2050</v>
      </c>
      <c r="C7102">
        <v>19</v>
      </c>
      <c r="D7102" t="s">
        <v>1447</v>
      </c>
      <c r="E7102" t="s">
        <v>2016</v>
      </c>
      <c r="F7102" t="s">
        <v>1741</v>
      </c>
      <c r="G7102" t="str">
        <f>IF(ISBLANK('Q 7'!C45),"",IF('Q 7'!C45="&lt;please select&gt;","",'Q 7'!C45))</f>
        <v xml:space="preserve">f10497 </v>
      </c>
    </row>
    <row r="7103" spans="1:7" x14ac:dyDescent="0.3">
      <c r="A7103" t="s">
        <v>2048</v>
      </c>
      <c r="B7103" t="s">
        <v>2050</v>
      </c>
      <c r="C7103">
        <v>20</v>
      </c>
      <c r="D7103" t="s">
        <v>1447</v>
      </c>
      <c r="E7103" t="s">
        <v>2016</v>
      </c>
      <c r="F7103" t="s">
        <v>1741</v>
      </c>
      <c r="G7103" t="str">
        <f>IF(ISBLANK('Q 7'!C46),"",IF('Q 7'!C46="&lt;please select&gt;","",'Q 7'!C46))</f>
        <v>38579</v>
      </c>
    </row>
    <row r="7104" spans="1:7" x14ac:dyDescent="0.3">
      <c r="A7104" t="s">
        <v>2048</v>
      </c>
      <c r="B7104" t="s">
        <v>2050</v>
      </c>
      <c r="C7104">
        <v>21</v>
      </c>
      <c r="D7104" t="s">
        <v>1447</v>
      </c>
      <c r="E7104" t="s">
        <v>2016</v>
      </c>
      <c r="F7104" t="s">
        <v>1741</v>
      </c>
      <c r="G7104" t="str">
        <f>IF(ISBLANK('Q 7'!C47),"",IF('Q 7'!C47="&lt;please select&gt;","",'Q 7'!C47))</f>
        <v>5362</v>
      </c>
    </row>
    <row r="7105" spans="1:7" x14ac:dyDescent="0.3">
      <c r="A7105" t="s">
        <v>2048</v>
      </c>
      <c r="B7105" t="s">
        <v>2050</v>
      </c>
      <c r="C7105">
        <v>22</v>
      </c>
      <c r="D7105" t="s">
        <v>1447</v>
      </c>
      <c r="E7105" t="s">
        <v>2016</v>
      </c>
      <c r="F7105" t="s">
        <v>1741</v>
      </c>
      <c r="G7105" t="str">
        <f>IF(ISBLANK('Q 7'!C48),"",IF('Q 7'!C48="&lt;please select&gt;","",'Q 7'!C48))</f>
        <v>40684</v>
      </c>
    </row>
    <row r="7106" spans="1:7" x14ac:dyDescent="0.3">
      <c r="A7106" t="s">
        <v>2048</v>
      </c>
      <c r="B7106" t="s">
        <v>2050</v>
      </c>
      <c r="C7106">
        <v>23</v>
      </c>
      <c r="D7106" t="s">
        <v>1447</v>
      </c>
      <c r="E7106" t="s">
        <v>2016</v>
      </c>
      <c r="F7106" t="s">
        <v>1741</v>
      </c>
      <c r="G7106" t="str">
        <f>IF(ISBLANK('Q 7'!C49),"",IF('Q 7'!C49="&lt;please select&gt;","",'Q 7'!C49))</f>
        <v>799</v>
      </c>
    </row>
    <row r="7107" spans="1:7" x14ac:dyDescent="0.3">
      <c r="A7107" t="s">
        <v>2048</v>
      </c>
      <c r="B7107" t="s">
        <v>2050</v>
      </c>
      <c r="C7107">
        <v>24</v>
      </c>
      <c r="D7107" t="s">
        <v>1447</v>
      </c>
      <c r="E7107" t="s">
        <v>2016</v>
      </c>
      <c r="F7107" t="s">
        <v>1741</v>
      </c>
      <c r="G7107" t="str">
        <f>IF(ISBLANK('Q 7'!C50),"",IF('Q 7'!C50="&lt;please select&gt;","",'Q 7'!C50))</f>
        <v>36894</v>
      </c>
    </row>
    <row r="7108" spans="1:7" x14ac:dyDescent="0.3">
      <c r="A7108" t="s">
        <v>2048</v>
      </c>
      <c r="B7108" t="s">
        <v>2050</v>
      </c>
      <c r="C7108">
        <v>25</v>
      </c>
      <c r="D7108" t="s">
        <v>1447</v>
      </c>
      <c r="E7108" t="s">
        <v>2016</v>
      </c>
      <c r="F7108" t="s">
        <v>1741</v>
      </c>
      <c r="G7108" t="str">
        <f>IF(ISBLANK('Q 7'!C51),"",IF('Q 7'!C51="&lt;please select&gt;","",'Q 7'!C51))</f>
        <v>36155</v>
      </c>
    </row>
    <row r="7109" spans="1:7" x14ac:dyDescent="0.3">
      <c r="A7109" t="s">
        <v>2048</v>
      </c>
      <c r="B7109" t="s">
        <v>2050</v>
      </c>
      <c r="C7109">
        <v>26</v>
      </c>
      <c r="D7109" t="s">
        <v>1447</v>
      </c>
      <c r="E7109" t="s">
        <v>2016</v>
      </c>
      <c r="F7109" t="s">
        <v>1741</v>
      </c>
      <c r="G7109" t="str">
        <f>IF(ISBLANK('Q 7'!C52),"",IF('Q 7'!C52="&lt;please select&gt;","",'Q 7'!C52))</f>
        <v>31081</v>
      </c>
    </row>
    <row r="7110" spans="1:7" x14ac:dyDescent="0.3">
      <c r="A7110" t="s">
        <v>2048</v>
      </c>
      <c r="B7110" t="s">
        <v>2050</v>
      </c>
      <c r="C7110">
        <v>27</v>
      </c>
      <c r="D7110" t="s">
        <v>1447</v>
      </c>
      <c r="E7110" t="s">
        <v>2016</v>
      </c>
      <c r="F7110" t="s">
        <v>1741</v>
      </c>
      <c r="G7110" t="str">
        <f>IF(ISBLANK('Q 7'!C53),"",IF('Q 7'!C53="&lt;please select&gt;","",'Q 7'!C53))</f>
        <v>18982</v>
      </c>
    </row>
    <row r="7111" spans="1:7" x14ac:dyDescent="0.3">
      <c r="A7111" t="s">
        <v>2048</v>
      </c>
      <c r="B7111" t="s">
        <v>2050</v>
      </c>
      <c r="C7111">
        <v>28</v>
      </c>
      <c r="D7111" t="s">
        <v>1447</v>
      </c>
      <c r="E7111" t="s">
        <v>2016</v>
      </c>
      <c r="F7111" t="s">
        <v>1741</v>
      </c>
      <c r="G7111" t="str">
        <f>IF(ISBLANK('Q 7'!C54),"",IF('Q 7'!C54="&lt;please select&gt;","",'Q 7'!C54))</f>
        <v>31199</v>
      </c>
    </row>
    <row r="7112" spans="1:7" x14ac:dyDescent="0.3">
      <c r="A7112" t="s">
        <v>2048</v>
      </c>
      <c r="B7112" t="s">
        <v>2050</v>
      </c>
      <c r="C7112">
        <v>29</v>
      </c>
      <c r="D7112" t="s">
        <v>1447</v>
      </c>
      <c r="E7112" t="s">
        <v>2016</v>
      </c>
      <c r="F7112" t="s">
        <v>1741</v>
      </c>
      <c r="G7112" t="str">
        <f>IF(ISBLANK('Q 7'!C55),"",IF('Q 7'!C55="&lt;please select&gt;","",'Q 7'!C55))</f>
        <v>9122</v>
      </c>
    </row>
    <row r="7113" spans="1:7" x14ac:dyDescent="0.3">
      <c r="A7113" t="s">
        <v>2048</v>
      </c>
      <c r="B7113" t="s">
        <v>2050</v>
      </c>
      <c r="C7113">
        <v>30</v>
      </c>
      <c r="D7113" t="s">
        <v>1447</v>
      </c>
      <c r="E7113" t="s">
        <v>2016</v>
      </c>
      <c r="F7113" t="s">
        <v>1741</v>
      </c>
      <c r="G7113" t="str">
        <f>IF(ISBLANK('Q 7'!C56),"",IF('Q 7'!C56="&lt;please select&gt;","",'Q 7'!C56))</f>
        <v>9170</v>
      </c>
    </row>
    <row r="7114" spans="1:7" x14ac:dyDescent="0.3">
      <c r="A7114" t="s">
        <v>2048</v>
      </c>
      <c r="B7114" t="s">
        <v>2050</v>
      </c>
      <c r="C7114">
        <v>31</v>
      </c>
      <c r="D7114" t="s">
        <v>1447</v>
      </c>
      <c r="E7114" t="s">
        <v>2016</v>
      </c>
      <c r="F7114" t="s">
        <v>1741</v>
      </c>
      <c r="G7114" t="str">
        <f>IF(ISBLANK('Q 7'!C57),"",IF('Q 7'!C57="&lt;please select&gt;","",'Q 7'!C57))</f>
        <v>30733</v>
      </c>
    </row>
    <row r="7115" spans="1:7" x14ac:dyDescent="0.3">
      <c r="A7115" t="s">
        <v>2048</v>
      </c>
      <c r="B7115" t="s">
        <v>2050</v>
      </c>
      <c r="C7115">
        <v>32</v>
      </c>
      <c r="D7115" t="s">
        <v>1447</v>
      </c>
      <c r="E7115" t="s">
        <v>2016</v>
      </c>
      <c r="F7115" t="s">
        <v>1741</v>
      </c>
      <c r="G7115" t="str">
        <f>IF(ISBLANK('Q 7'!C58),"",IF('Q 7'!C58="&lt;please select&gt;","",'Q 7'!C58))</f>
        <v>22252</v>
      </c>
    </row>
    <row r="7116" spans="1:7" x14ac:dyDescent="0.3">
      <c r="A7116" t="s">
        <v>2048</v>
      </c>
      <c r="B7116" t="s">
        <v>2050</v>
      </c>
      <c r="C7116">
        <v>33</v>
      </c>
      <c r="D7116" t="s">
        <v>1447</v>
      </c>
      <c r="E7116" t="s">
        <v>2016</v>
      </c>
      <c r="F7116" t="s">
        <v>1741</v>
      </c>
      <c r="G7116" t="str">
        <f>IF(ISBLANK('Q 7'!C59),"",IF('Q 7'!C59="&lt;please select&gt;","",'Q 7'!C59))</f>
        <v>f10420</v>
      </c>
    </row>
    <row r="7117" spans="1:7" x14ac:dyDescent="0.3">
      <c r="A7117" t="s">
        <v>2048</v>
      </c>
      <c r="B7117" t="s">
        <v>2050</v>
      </c>
      <c r="C7117">
        <v>34</v>
      </c>
      <c r="D7117" t="s">
        <v>1447</v>
      </c>
      <c r="E7117" t="s">
        <v>2016</v>
      </c>
      <c r="F7117" t="s">
        <v>1741</v>
      </c>
      <c r="G7117" t="str">
        <f>IF(ISBLANK('Q 7'!C60),"",IF('Q 7'!C60="&lt;please select&gt;","",'Q 7'!C60))</f>
        <v>34201</v>
      </c>
    </row>
    <row r="7118" spans="1:7" x14ac:dyDescent="0.3">
      <c r="A7118" t="s">
        <v>2048</v>
      </c>
      <c r="B7118" t="s">
        <v>2050</v>
      </c>
      <c r="C7118">
        <v>35</v>
      </c>
      <c r="D7118" t="s">
        <v>1447</v>
      </c>
      <c r="E7118" t="s">
        <v>2016</v>
      </c>
      <c r="F7118" t="s">
        <v>1741</v>
      </c>
      <c r="G7118" t="str">
        <f>IF(ISBLANK('Q 7'!C61),"",IF('Q 7'!C61="&lt;please select&gt;","",'Q 7'!C61))</f>
        <v>43301</v>
      </c>
    </row>
    <row r="7119" spans="1:7" x14ac:dyDescent="0.3">
      <c r="A7119" t="s">
        <v>2048</v>
      </c>
      <c r="B7119" t="s">
        <v>2050</v>
      </c>
      <c r="C7119">
        <v>36</v>
      </c>
      <c r="D7119" t="s">
        <v>1447</v>
      </c>
      <c r="E7119" t="s">
        <v>2016</v>
      </c>
      <c r="F7119" t="s">
        <v>1741</v>
      </c>
      <c r="G7119" t="str">
        <f>IF(ISBLANK('Q 7'!C62),"",IF('Q 7'!C62="&lt;please select&gt;","",'Q 7'!C62))</f>
        <v>38406</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BANCO SAFRA</v>
      </c>
    </row>
    <row r="7125" spans="1:7" x14ac:dyDescent="0.3">
      <c r="A7125" t="s">
        <v>2048</v>
      </c>
      <c r="B7125" t="s">
        <v>2050</v>
      </c>
      <c r="C7125">
        <v>2</v>
      </c>
      <c r="D7125" t="s">
        <v>1447</v>
      </c>
      <c r="E7125" t="s">
        <v>2051</v>
      </c>
      <c r="F7125" t="s">
        <v>1741</v>
      </c>
      <c r="G7125" t="str">
        <f>IF(ISBLANK('Q 7'!G28),"",IF('Q 7'!G28="&lt;please select&gt;","",'Q 7'!G28))</f>
        <v>LA AVIATION</v>
      </c>
    </row>
    <row r="7126" spans="1:7" x14ac:dyDescent="0.3">
      <c r="A7126" t="s">
        <v>2048</v>
      </c>
      <c r="B7126" t="s">
        <v>2050</v>
      </c>
      <c r="C7126">
        <v>3</v>
      </c>
      <c r="D7126" t="s">
        <v>1447</v>
      </c>
      <c r="E7126" t="s">
        <v>2051</v>
      </c>
      <c r="F7126" t="s">
        <v>1741</v>
      </c>
      <c r="G7126" t="str">
        <f>IF(ISBLANK('Q 7'!G29),"",IF('Q 7'!G29="&lt;please select&gt;","",'Q 7'!G29))</f>
        <v>MONT BLANC AVIATION</v>
      </c>
    </row>
    <row r="7127" spans="1:7" x14ac:dyDescent="0.3">
      <c r="A7127" t="s">
        <v>2048</v>
      </c>
      <c r="B7127" t="s">
        <v>2050</v>
      </c>
      <c r="C7127">
        <v>4</v>
      </c>
      <c r="D7127" t="s">
        <v>1447</v>
      </c>
      <c r="E7127" t="s">
        <v>2051</v>
      </c>
      <c r="F7127" t="s">
        <v>1741</v>
      </c>
      <c r="G7127" t="str">
        <f>IF(ISBLANK('Q 7'!G30),"",IF('Q 7'!G30="&lt;please select&gt;","",'Q 7'!G30))</f>
        <v>NATASHA ESTABLISMENT</v>
      </c>
    </row>
    <row r="7128" spans="1:7" x14ac:dyDescent="0.3">
      <c r="A7128" t="s">
        <v>2048</v>
      </c>
      <c r="B7128" t="s">
        <v>2050</v>
      </c>
      <c r="C7128">
        <v>5</v>
      </c>
      <c r="D7128" t="s">
        <v>1447</v>
      </c>
      <c r="E7128" t="s">
        <v>2051</v>
      </c>
      <c r="F7128" t="s">
        <v>1741</v>
      </c>
      <c r="G7128" t="str">
        <f>IF(ISBLANK('Q 7'!G31),"",IF('Q 7'!G31="&lt;please select&gt;","",'Q 7'!G31))</f>
        <v>SYMPHONY MASTER (JERSEY) LTD</v>
      </c>
    </row>
    <row r="7129" spans="1:7" x14ac:dyDescent="0.3">
      <c r="A7129" t="s">
        <v>2048</v>
      </c>
      <c r="B7129" t="s">
        <v>2050</v>
      </c>
      <c r="C7129">
        <v>6</v>
      </c>
      <c r="D7129" t="s">
        <v>1447</v>
      </c>
      <c r="E7129" t="s">
        <v>2051</v>
      </c>
      <c r="F7129" t="s">
        <v>1741</v>
      </c>
      <c r="G7129" t="str">
        <f>IF(ISBLANK('Q 7'!G32),"",IF('Q 7'!G32="&lt;please select&gt;","",'Q 7'!G32))</f>
        <v>AB AIR HOLDINGS</v>
      </c>
    </row>
    <row r="7130" spans="1:7" x14ac:dyDescent="0.3">
      <c r="A7130" t="s">
        <v>2048</v>
      </c>
      <c r="B7130" t="s">
        <v>2050</v>
      </c>
      <c r="C7130">
        <v>7</v>
      </c>
      <c r="D7130" t="s">
        <v>1447</v>
      </c>
      <c r="E7130" t="s">
        <v>2051</v>
      </c>
      <c r="F7130" t="s">
        <v>1741</v>
      </c>
      <c r="G7130" t="str">
        <f>IF(ISBLANK('Q 7'!G33),"",IF('Q 7'!G33="&lt;please select&gt;","",'Q 7'!G33))</f>
        <v>YYA AVIATION</v>
      </c>
    </row>
    <row r="7131" spans="1:7" x14ac:dyDescent="0.3">
      <c r="A7131" t="s">
        <v>2048</v>
      </c>
      <c r="B7131" t="s">
        <v>2050</v>
      </c>
      <c r="C7131">
        <v>8</v>
      </c>
      <c r="D7131" t="s">
        <v>1447</v>
      </c>
      <c r="E7131" t="s">
        <v>2051</v>
      </c>
      <c r="F7131" t="s">
        <v>1741</v>
      </c>
      <c r="G7131" t="str">
        <f>IF(ISBLANK('Q 7'!G34),"",IF('Q 7'!G34="&lt;please select&gt;","",'Q 7'!G34))</f>
        <v>M-EDIA AVIATION LTD</v>
      </c>
    </row>
    <row r="7132" spans="1:7" x14ac:dyDescent="0.3">
      <c r="A7132" t="s">
        <v>2048</v>
      </c>
      <c r="B7132" t="s">
        <v>2050</v>
      </c>
      <c r="C7132">
        <v>9</v>
      </c>
      <c r="D7132" t="s">
        <v>1447</v>
      </c>
      <c r="E7132" t="s">
        <v>2051</v>
      </c>
      <c r="F7132" t="s">
        <v>1741</v>
      </c>
      <c r="G7132" t="str">
        <f>IF(ISBLANK('Q 7'!G35),"",IF('Q 7'!G35="&lt;please select&gt;","",'Q 7'!G35))</f>
        <v>Malridge Investments Ltd</v>
      </c>
    </row>
    <row r="7133" spans="1:7" x14ac:dyDescent="0.3">
      <c r="A7133" t="s">
        <v>2048</v>
      </c>
      <c r="B7133" t="s">
        <v>2050</v>
      </c>
      <c r="C7133">
        <v>10</v>
      </c>
      <c r="D7133" t="s">
        <v>1447</v>
      </c>
      <c r="E7133" t="s">
        <v>2051</v>
      </c>
      <c r="F7133" t="s">
        <v>1741</v>
      </c>
      <c r="G7133" t="str">
        <f>IF(ISBLANK('Q 7'!G36),"",IF('Q 7'!G36="&lt;please select&gt;","",'Q 7'!G36))</f>
        <v>IP AVIATION L.P</v>
      </c>
    </row>
    <row r="7134" spans="1:7" x14ac:dyDescent="0.3">
      <c r="A7134" t="s">
        <v>2048</v>
      </c>
      <c r="B7134" t="s">
        <v>2050</v>
      </c>
      <c r="C7134">
        <v>11</v>
      </c>
      <c r="D7134" t="s">
        <v>1447</v>
      </c>
      <c r="E7134" t="s">
        <v>2051</v>
      </c>
      <c r="F7134" t="s">
        <v>1741</v>
      </c>
      <c r="G7134" t="str">
        <f>IF(ISBLANK('Q 7'!G37),"",IF('Q 7'!G37="&lt;please select&gt;","",'Q 7'!G37))</f>
        <v>DP WORLD FZE</v>
      </c>
    </row>
    <row r="7135" spans="1:7" x14ac:dyDescent="0.3">
      <c r="A7135" t="s">
        <v>2048</v>
      </c>
      <c r="B7135" t="s">
        <v>2050</v>
      </c>
      <c r="C7135">
        <v>12</v>
      </c>
      <c r="D7135" t="s">
        <v>1447</v>
      </c>
      <c r="E7135" t="s">
        <v>2051</v>
      </c>
      <c r="F7135" t="s">
        <v>1741</v>
      </c>
      <c r="G7135" t="str">
        <f>IF(ISBLANK('Q 7'!G38),"",IF('Q 7'!G38="&lt;please select&gt;","",'Q 7'!G38))</f>
        <v>ARAMCO SAUDI ARABIA</v>
      </c>
    </row>
    <row r="7136" spans="1:7" x14ac:dyDescent="0.3">
      <c r="A7136" t="s">
        <v>2048</v>
      </c>
      <c r="B7136" t="s">
        <v>2050</v>
      </c>
      <c r="C7136">
        <v>13</v>
      </c>
      <c r="D7136" t="s">
        <v>1447</v>
      </c>
      <c r="E7136" t="s">
        <v>2051</v>
      </c>
      <c r="F7136" t="s">
        <v>1741</v>
      </c>
      <c r="G7136" t="str">
        <f>IF(ISBLANK('Q 7'!G39),"",IF('Q 7'!G39="&lt;please select&gt;","",'Q 7'!G39))</f>
        <v>COSTA AZZOURA LTD</v>
      </c>
    </row>
    <row r="7137" spans="1:7" x14ac:dyDescent="0.3">
      <c r="A7137" t="s">
        <v>2048</v>
      </c>
      <c r="B7137" t="s">
        <v>2050</v>
      </c>
      <c r="C7137">
        <v>14</v>
      </c>
      <c r="D7137" t="s">
        <v>1447</v>
      </c>
      <c r="E7137" t="s">
        <v>2051</v>
      </c>
      <c r="F7137" t="s">
        <v>1741</v>
      </c>
      <c r="G7137" t="str">
        <f>IF(ISBLANK('Q 7'!G40),"",IF('Q 7'!G40="&lt;please select&gt;","",'Q 7'!G40))</f>
        <v>YYA MANAGEMENT LTD</v>
      </c>
    </row>
    <row r="7138" spans="1:7" x14ac:dyDescent="0.3">
      <c r="A7138" t="s">
        <v>2048</v>
      </c>
      <c r="B7138" t="s">
        <v>2050</v>
      </c>
      <c r="C7138">
        <v>15</v>
      </c>
      <c r="D7138" t="s">
        <v>1447</v>
      </c>
      <c r="E7138" t="s">
        <v>2051</v>
      </c>
      <c r="F7138" t="s">
        <v>1741</v>
      </c>
      <c r="G7138" t="str">
        <f>IF(ISBLANK('Q 7'!G41),"",IF('Q 7'!G41="&lt;please select&gt;","",'Q 7'!G41))</f>
        <v>DSWA</v>
      </c>
    </row>
    <row r="7139" spans="1:7" x14ac:dyDescent="0.3">
      <c r="A7139" t="s">
        <v>2048</v>
      </c>
      <c r="B7139" t="s">
        <v>2050</v>
      </c>
      <c r="C7139">
        <v>16</v>
      </c>
      <c r="D7139" t="s">
        <v>1447</v>
      </c>
      <c r="E7139" t="s">
        <v>2051</v>
      </c>
      <c r="F7139" t="s">
        <v>1741</v>
      </c>
      <c r="G7139" t="str">
        <f>IF(ISBLANK('Q 7'!G42),"",IF('Q 7'!G42="&lt;please select&gt;","",'Q 7'!G42))</f>
        <v>JSC Premier Avia</v>
      </c>
    </row>
    <row r="7140" spans="1:7" x14ac:dyDescent="0.3">
      <c r="A7140" t="s">
        <v>2048</v>
      </c>
      <c r="B7140" t="s">
        <v>2050</v>
      </c>
      <c r="C7140">
        <v>17</v>
      </c>
      <c r="D7140" t="s">
        <v>1447</v>
      </c>
      <c r="E7140" t="s">
        <v>2051</v>
      </c>
      <c r="F7140" t="s">
        <v>1741</v>
      </c>
      <c r="G7140" t="str">
        <f>IF(ISBLANK('Q 7'!G43),"",IF('Q 7'!G43="&lt;please select&gt;","",'Q 7'!G43))</f>
        <v>FTC CONSULTING AG</v>
      </c>
    </row>
    <row r="7141" spans="1:7" x14ac:dyDescent="0.3">
      <c r="A7141" t="s">
        <v>2048</v>
      </c>
      <c r="B7141" t="s">
        <v>2050</v>
      </c>
      <c r="C7141">
        <v>18</v>
      </c>
      <c r="D7141" t="s">
        <v>1447</v>
      </c>
      <c r="E7141" t="s">
        <v>2051</v>
      </c>
      <c r="F7141" t="s">
        <v>1741</v>
      </c>
      <c r="G7141" t="str">
        <f>IF(ISBLANK('Q 7'!G44),"",IF('Q 7'!G44="&lt;please select&gt;","",'Q 7'!G44))</f>
        <v>DALLAH ALBARAKA</v>
      </c>
    </row>
    <row r="7142" spans="1:7" x14ac:dyDescent="0.3">
      <c r="A7142" t="s">
        <v>2048</v>
      </c>
      <c r="B7142" t="s">
        <v>2050</v>
      </c>
      <c r="C7142">
        <v>19</v>
      </c>
      <c r="D7142" t="s">
        <v>1447</v>
      </c>
      <c r="E7142" t="s">
        <v>2051</v>
      </c>
      <c r="F7142" t="s">
        <v>1741</v>
      </c>
      <c r="G7142" t="str">
        <f>IF(ISBLANK('Q 7'!G45),"",IF('Q 7'!G45="&lt;please select&gt;","",'Q 7'!G45))</f>
        <v>THE YUCAIPA COMPANIES LLC</v>
      </c>
    </row>
    <row r="7143" spans="1:7" x14ac:dyDescent="0.3">
      <c r="A7143" t="s">
        <v>2048</v>
      </c>
      <c r="B7143" t="s">
        <v>2050</v>
      </c>
      <c r="C7143">
        <v>20</v>
      </c>
      <c r="D7143" t="s">
        <v>1447</v>
      </c>
      <c r="E7143" t="s">
        <v>2051</v>
      </c>
      <c r="F7143" t="s">
        <v>1741</v>
      </c>
      <c r="G7143" t="str">
        <f>IF(ISBLANK('Q 7'!G46),"",IF('Q 7'!G46="&lt;please select&gt;","",'Q 7'!G46))</f>
        <v>SINO JET MANAGEMENT LIMITED</v>
      </c>
    </row>
    <row r="7144" spans="1:7" x14ac:dyDescent="0.3">
      <c r="A7144" t="s">
        <v>2048</v>
      </c>
      <c r="B7144" t="s">
        <v>2050</v>
      </c>
      <c r="C7144">
        <v>21</v>
      </c>
      <c r="D7144" t="s">
        <v>1447</v>
      </c>
      <c r="E7144" t="s">
        <v>2051</v>
      </c>
      <c r="F7144" t="s">
        <v>1741</v>
      </c>
      <c r="G7144" t="str">
        <f>IF(ISBLANK('Q 7'!G47),"",IF('Q 7'!G47="&lt;please select&gt;","",'Q 7'!G47))</f>
        <v>HALLIBURTON</v>
      </c>
    </row>
    <row r="7145" spans="1:7" x14ac:dyDescent="0.3">
      <c r="A7145" t="s">
        <v>2048</v>
      </c>
      <c r="B7145" t="s">
        <v>2050</v>
      </c>
      <c r="C7145">
        <v>22</v>
      </c>
      <c r="D7145" t="s">
        <v>1447</v>
      </c>
      <c r="E7145" t="s">
        <v>2051</v>
      </c>
      <c r="F7145" t="s">
        <v>1741</v>
      </c>
      <c r="G7145" t="str">
        <f>IF(ISBLANK('Q 7'!G48),"",IF('Q 7'!G48="&lt;please select&gt;","",'Q 7'!G48))</f>
        <v>AMERICAN FLYING JET INC.</v>
      </c>
    </row>
    <row r="7146" spans="1:7" x14ac:dyDescent="0.3">
      <c r="A7146" t="s">
        <v>2048</v>
      </c>
      <c r="B7146" t="s">
        <v>2050</v>
      </c>
      <c r="C7146">
        <v>23</v>
      </c>
      <c r="D7146" t="s">
        <v>1447</v>
      </c>
      <c r="E7146" t="s">
        <v>2051</v>
      </c>
      <c r="F7146" t="s">
        <v>1741</v>
      </c>
      <c r="G7146" t="str">
        <f>IF(ISBLANK('Q 7'!G49),"",IF('Q 7'!G49="&lt;please select&gt;","",'Q 7'!G49))</f>
        <v>THE COCA COLA COMPANY</v>
      </c>
    </row>
    <row r="7147" spans="1:7" x14ac:dyDescent="0.3">
      <c r="A7147" t="s">
        <v>2048</v>
      </c>
      <c r="B7147" t="s">
        <v>2050</v>
      </c>
      <c r="C7147">
        <v>24</v>
      </c>
      <c r="D7147" t="s">
        <v>1447</v>
      </c>
      <c r="E7147" t="s">
        <v>2051</v>
      </c>
      <c r="F7147" t="s">
        <v>1741</v>
      </c>
      <c r="G7147" t="str">
        <f>IF(ISBLANK('Q 7'!G50),"",IF('Q 7'!G50="&lt;please select&gt;","",'Q 7'!G50))</f>
        <v>THORN AIR LIMITED</v>
      </c>
    </row>
    <row r="7148" spans="1:7" x14ac:dyDescent="0.3">
      <c r="A7148" t="s">
        <v>2048</v>
      </c>
      <c r="B7148" t="s">
        <v>2050</v>
      </c>
      <c r="C7148">
        <v>25</v>
      </c>
      <c r="D7148" t="s">
        <v>1447</v>
      </c>
      <c r="E7148" t="s">
        <v>2051</v>
      </c>
      <c r="F7148" t="s">
        <v>1741</v>
      </c>
      <c r="G7148" t="str">
        <f>IF(ISBLANK('Q 7'!G51),"",IF('Q 7'!G51="&lt;please select&gt;","",'Q 7'!G51))</f>
        <v>AL-ATHEER TRADING COMPANY</v>
      </c>
    </row>
    <row r="7149" spans="1:7" x14ac:dyDescent="0.3">
      <c r="A7149" t="s">
        <v>2048</v>
      </c>
      <c r="B7149" t="s">
        <v>2050</v>
      </c>
      <c r="C7149">
        <v>26</v>
      </c>
      <c r="D7149" t="s">
        <v>1447</v>
      </c>
      <c r="E7149" t="s">
        <v>2051</v>
      </c>
      <c r="F7149" t="s">
        <v>1741</v>
      </c>
      <c r="G7149" t="str">
        <f>IF(ISBLANK('Q 7'!G52),"",IF('Q 7'!G52="&lt;please select&gt;","",'Q 7'!G52))</f>
        <v>INTERFACE OPS LLC</v>
      </c>
    </row>
    <row r="7150" spans="1:7" x14ac:dyDescent="0.3">
      <c r="A7150" t="s">
        <v>2048</v>
      </c>
      <c r="B7150" t="s">
        <v>2050</v>
      </c>
      <c r="C7150">
        <v>27</v>
      </c>
      <c r="D7150" t="s">
        <v>1447</v>
      </c>
      <c r="E7150" t="s">
        <v>2051</v>
      </c>
      <c r="F7150" t="s">
        <v>1741</v>
      </c>
      <c r="G7150" t="str">
        <f>IF(ISBLANK('Q 7'!G53),"",IF('Q 7'!G53="&lt;please select&gt;","",'Q 7'!G53))</f>
        <v>AIRFLITE</v>
      </c>
    </row>
    <row r="7151" spans="1:7" x14ac:dyDescent="0.3">
      <c r="A7151" t="s">
        <v>2048</v>
      </c>
      <c r="B7151" t="s">
        <v>2050</v>
      </c>
      <c r="C7151">
        <v>28</v>
      </c>
      <c r="D7151" t="s">
        <v>1447</v>
      </c>
      <c r="E7151" t="s">
        <v>2051</v>
      </c>
      <c r="F7151" t="s">
        <v>1741</v>
      </c>
      <c r="G7151" t="str">
        <f>IF(ISBLANK('Q 7'!G54),"",IF('Q 7'!G54="&lt;please select&gt;","",'Q 7'!G54))</f>
        <v>NISSAN NORTH AMERICA INC.</v>
      </c>
    </row>
    <row r="7152" spans="1:7" x14ac:dyDescent="0.3">
      <c r="A7152" t="s">
        <v>2048</v>
      </c>
      <c r="B7152" t="s">
        <v>2050</v>
      </c>
      <c r="C7152">
        <v>29</v>
      </c>
      <c r="D7152" t="s">
        <v>1447</v>
      </c>
      <c r="E7152" t="s">
        <v>2051</v>
      </c>
      <c r="F7152" t="s">
        <v>1741</v>
      </c>
      <c r="G7152" t="str">
        <f>IF(ISBLANK('Q 7'!G55),"",IF('Q 7'!G55="&lt;please select&gt;","",'Q 7'!G55))</f>
        <v>CARTIER EUROPE B.V.</v>
      </c>
    </row>
    <row r="7153" spans="1:11" x14ac:dyDescent="0.3">
      <c r="A7153" t="s">
        <v>2048</v>
      </c>
      <c r="B7153" t="s">
        <v>2050</v>
      </c>
      <c r="C7153">
        <v>30</v>
      </c>
      <c r="D7153" t="s">
        <v>1447</v>
      </c>
      <c r="E7153" t="s">
        <v>2051</v>
      </c>
      <c r="F7153" t="s">
        <v>1741</v>
      </c>
      <c r="G7153" t="str">
        <f>IF(ISBLANK('Q 7'!G56),"",IF('Q 7'!G56="&lt;please select&gt;","",'Q 7'!G56))</f>
        <v>BEL AIR LIMITED</v>
      </c>
    </row>
    <row r="7154" spans="1:11" x14ac:dyDescent="0.3">
      <c r="A7154" t="s">
        <v>2048</v>
      </c>
      <c r="B7154" t="s">
        <v>2050</v>
      </c>
      <c r="C7154">
        <v>31</v>
      </c>
      <c r="D7154" t="s">
        <v>1447</v>
      </c>
      <c r="E7154" t="s">
        <v>2051</v>
      </c>
      <c r="F7154" t="s">
        <v>1741</v>
      </c>
      <c r="G7154" t="str">
        <f>IF(ISBLANK('Q 7'!G57),"",IF('Q 7'!G57="&lt;please select&gt;","",'Q 7'!G57))</f>
        <v>JETSTEFF AVIATION LIMITED</v>
      </c>
    </row>
    <row r="7155" spans="1:11" x14ac:dyDescent="0.3">
      <c r="A7155" t="s">
        <v>2048</v>
      </c>
      <c r="B7155" t="s">
        <v>2050</v>
      </c>
      <c r="C7155">
        <v>32</v>
      </c>
      <c r="D7155" t="s">
        <v>1447</v>
      </c>
      <c r="E7155" t="s">
        <v>2051</v>
      </c>
      <c r="F7155" t="s">
        <v>1741</v>
      </c>
      <c r="G7155" t="str">
        <f>IF(ISBLANK('Q 7'!G58),"",IF('Q 7'!G58="&lt;please select&gt;","",'Q 7'!G58))</f>
        <v>EAGLE AIRCRAFT AND TRANSPORTATION MANAGEMENT INC.</v>
      </c>
    </row>
    <row r="7156" spans="1:11" x14ac:dyDescent="0.3">
      <c r="A7156" t="s">
        <v>2048</v>
      </c>
      <c r="B7156" t="s">
        <v>2050</v>
      </c>
      <c r="C7156">
        <v>33</v>
      </c>
      <c r="D7156" t="s">
        <v>1447</v>
      </c>
      <c r="E7156" t="s">
        <v>2051</v>
      </c>
      <c r="F7156" t="s">
        <v>1741</v>
      </c>
      <c r="G7156" t="str">
        <f>IF(ISBLANK('Q 7'!G59),"",IF('Q 7'!G59="&lt;please select&gt;","",'Q 7'!G59))</f>
        <v xml:space="preserve">MARMALADE SKIES LLC </v>
      </c>
    </row>
    <row r="7157" spans="1:11" x14ac:dyDescent="0.3">
      <c r="A7157" t="s">
        <v>2048</v>
      </c>
      <c r="B7157" t="s">
        <v>2050</v>
      </c>
      <c r="C7157">
        <v>34</v>
      </c>
      <c r="D7157" t="s">
        <v>1447</v>
      </c>
      <c r="E7157" t="s">
        <v>2051</v>
      </c>
      <c r="F7157" t="s">
        <v>1741</v>
      </c>
      <c r="G7157" t="str">
        <f>IF(ISBLANK('Q 7'!G60),"",IF('Q 7'!G60="&lt;please select&gt;","",'Q 7'!G60))</f>
        <v>ALPHA STAR AVIATION SERVICES</v>
      </c>
    </row>
    <row r="7158" spans="1:11" x14ac:dyDescent="0.3">
      <c r="A7158" t="s">
        <v>2048</v>
      </c>
      <c r="B7158" t="s">
        <v>2050</v>
      </c>
      <c r="C7158">
        <v>35</v>
      </c>
      <c r="D7158" t="s">
        <v>1447</v>
      </c>
      <c r="E7158" t="s">
        <v>2051</v>
      </c>
      <c r="F7158" t="s">
        <v>1741</v>
      </c>
      <c r="G7158" t="str">
        <f>IF(ISBLANK('Q 7'!G61),"",IF('Q 7'!G61="&lt;please select&gt;","",'Q 7'!G61))</f>
        <v>SKY PRIME AVIATION SERVICES</v>
      </c>
    </row>
    <row r="7159" spans="1:11" x14ac:dyDescent="0.3">
      <c r="A7159" t="s">
        <v>2048</v>
      </c>
      <c r="B7159" t="s">
        <v>2050</v>
      </c>
      <c r="C7159">
        <v>36</v>
      </c>
      <c r="D7159" t="s">
        <v>1447</v>
      </c>
      <c r="E7159" t="s">
        <v>2051</v>
      </c>
      <c r="F7159" t="s">
        <v>1741</v>
      </c>
      <c r="G7159" t="str">
        <f>IF(ISBLANK('Q 7'!G62),"",IF('Q 7'!G62="&lt;please select&gt;","",'Q 7'!G62))</f>
        <v>PARADOX INTERNATIONAL BIRDS</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Yes</v>
      </c>
    </row>
    <row r="7185" spans="1:11" x14ac:dyDescent="0.3">
      <c r="A7185" t="s">
        <v>2062</v>
      </c>
      <c r="B7185" t="s">
        <v>2063</v>
      </c>
      <c r="C7185">
        <v>1</v>
      </c>
      <c r="D7185" t="s">
        <v>1447</v>
      </c>
      <c r="E7185" t="s">
        <v>1798</v>
      </c>
      <c r="F7185" t="s">
        <v>1748</v>
      </c>
      <c r="H7185" s="165" t="str">
        <f>IF(ISBLANK('Q 8'!$G33),"",IF('Q 8'!$G33="&lt;please select&gt;","",'Q 8'!$G33))</f>
        <v>1</v>
      </c>
    </row>
    <row r="7186" spans="1:11" x14ac:dyDescent="0.3">
      <c r="A7186" t="s">
        <v>2062</v>
      </c>
      <c r="B7186" t="s">
        <v>2063</v>
      </c>
      <c r="C7186">
        <v>2</v>
      </c>
      <c r="D7186" t="s">
        <v>1447</v>
      </c>
      <c r="E7186" t="s">
        <v>1798</v>
      </c>
      <c r="F7186" t="s">
        <v>1748</v>
      </c>
      <c r="H7186" s="165" t="str">
        <f>IF(ISBLANK('Q 8'!$G34),"",IF('Q 8'!$G34="&lt;please select&gt;","",'Q 8'!$G34))</f>
        <v>1061</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Yes</v>
      </c>
    </row>
    <row r="7189" spans="1:11" x14ac:dyDescent="0.3">
      <c r="A7189" t="s">
        <v>2064</v>
      </c>
      <c r="B7189" t="s">
        <v>2066</v>
      </c>
      <c r="C7189">
        <v>1</v>
      </c>
      <c r="D7189" t="s">
        <v>1447</v>
      </c>
      <c r="E7189" t="s">
        <v>2067</v>
      </c>
      <c r="F7189" t="s">
        <v>1748</v>
      </c>
      <c r="H7189" s="165" t="str">
        <f>IF(ISBLANK('Q 8'!$C$40),"",IF('Q 8'!$C$40="&lt;please select&gt;","",'Q 8'!$C$40))</f>
        <v>11</v>
      </c>
    </row>
    <row r="7190" spans="1:11" x14ac:dyDescent="0.3">
      <c r="A7190" t="s">
        <v>2064</v>
      </c>
      <c r="B7190" t="s">
        <v>2066</v>
      </c>
      <c r="C7190">
        <v>1</v>
      </c>
      <c r="D7190" t="s">
        <v>1447</v>
      </c>
      <c r="E7190" t="s">
        <v>2068</v>
      </c>
      <c r="F7190" t="s">
        <v>1748</v>
      </c>
      <c r="H7190" s="165" t="str">
        <f>IF(ISBLANK('Q 8'!$G$40),"",IF('Q 8'!$G$40="&lt;please select&gt;","",'Q 8'!$G$40))</f>
        <v>11</v>
      </c>
    </row>
    <row r="7191" spans="1:11" x14ac:dyDescent="0.3">
      <c r="A7191" t="s">
        <v>2064</v>
      </c>
      <c r="B7191" t="s">
        <v>2069</v>
      </c>
      <c r="C7191">
        <v>0</v>
      </c>
      <c r="D7191" t="s">
        <v>1447</v>
      </c>
      <c r="E7191" t="s">
        <v>2069</v>
      </c>
      <c r="F7191" t="s">
        <v>1759</v>
      </c>
      <c r="K7191" t="str">
        <f>IF(ISBLANK('Q 8'!$I$42),"",IF('Q 8'!$I$42="&lt;please select&gt;","",'Q 8'!$I$42))</f>
        <v>Yes</v>
      </c>
    </row>
    <row r="7192" spans="1:11" x14ac:dyDescent="0.3">
      <c r="A7192" t="s">
        <v>2064</v>
      </c>
      <c r="B7192" t="s">
        <v>2070</v>
      </c>
      <c r="C7192">
        <v>1</v>
      </c>
      <c r="D7192" t="s">
        <v>1447</v>
      </c>
      <c r="E7192" t="s">
        <v>2067</v>
      </c>
      <c r="F7192" t="s">
        <v>1748</v>
      </c>
      <c r="H7192" s="165" t="str">
        <f>IF(ISBLANK('Q 8'!$C$45),"",IF('Q 8'!$C$45="&lt;please select&gt;","",'Q 8'!$C$45))</f>
        <v>3</v>
      </c>
    </row>
    <row r="7193" spans="1:11" x14ac:dyDescent="0.3">
      <c r="A7193" t="s">
        <v>2064</v>
      </c>
      <c r="B7193" t="s">
        <v>2070</v>
      </c>
      <c r="C7193">
        <v>1</v>
      </c>
      <c r="D7193" t="s">
        <v>1447</v>
      </c>
      <c r="E7193" t="s">
        <v>2068</v>
      </c>
      <c r="F7193" t="s">
        <v>1748</v>
      </c>
      <c r="H7193" s="165" t="str">
        <f>IF(ISBLANK('Q 8'!$G$45),"",IF('Q 8'!$G$45="&lt;please select&gt;","",'Q 8'!$G$45))</f>
        <v>10</v>
      </c>
    </row>
    <row r="7194" spans="1:11" x14ac:dyDescent="0.3">
      <c r="A7194" t="s">
        <v>2064</v>
      </c>
      <c r="B7194" t="s">
        <v>2071</v>
      </c>
      <c r="C7194">
        <v>0</v>
      </c>
      <c r="D7194" t="s">
        <v>1447</v>
      </c>
      <c r="E7194" t="s">
        <v>2071</v>
      </c>
      <c r="F7194" t="s">
        <v>1759</v>
      </c>
      <c r="K7194" t="str">
        <f>IF(ISBLANK('Q 8'!$I$47),"",IF('Q 8'!$I$47="&lt;please select&gt;","",'Q 8'!$I$47))</f>
        <v>Yes</v>
      </c>
    </row>
    <row r="7195" spans="1:11" x14ac:dyDescent="0.3">
      <c r="A7195" t="s">
        <v>2064</v>
      </c>
      <c r="B7195" t="s">
        <v>2072</v>
      </c>
      <c r="C7195">
        <v>1</v>
      </c>
      <c r="D7195" t="s">
        <v>1447</v>
      </c>
      <c r="E7195" t="s">
        <v>2067</v>
      </c>
      <c r="F7195" t="s">
        <v>1748</v>
      </c>
      <c r="H7195" s="165" t="str">
        <f>IF(ISBLANK('Q 8'!$C$50),"",IF('Q 8'!$C$50="&lt;please select&gt;","",'Q 8'!$C$50))</f>
        <v>8</v>
      </c>
    </row>
    <row r="7196" spans="1:11" x14ac:dyDescent="0.3">
      <c r="A7196" t="s">
        <v>2064</v>
      </c>
      <c r="B7196" t="s">
        <v>2072</v>
      </c>
      <c r="C7196">
        <v>1</v>
      </c>
      <c r="D7196" t="s">
        <v>1447</v>
      </c>
      <c r="E7196" t="s">
        <v>2068</v>
      </c>
      <c r="F7196" t="s">
        <v>1748</v>
      </c>
      <c r="H7196" s="165" t="str">
        <f>IF(ISBLANK('Q 8'!$G$50),"",IF('Q 8'!$G$50="&lt;please select&gt;","",'Q 8'!$G$50))</f>
        <v>4</v>
      </c>
    </row>
    <row r="7197" spans="1:11" x14ac:dyDescent="0.3">
      <c r="A7197" t="s">
        <v>2073</v>
      </c>
      <c r="B7197" t="s">
        <v>2074</v>
      </c>
      <c r="C7197">
        <v>1</v>
      </c>
      <c r="D7197" t="s">
        <v>1447</v>
      </c>
      <c r="E7197" t="s">
        <v>1798</v>
      </c>
      <c r="F7197" t="s">
        <v>1748</v>
      </c>
      <c r="H7197" s="165" t="str">
        <f>IF(ISBLANK('Q 8'!$G54),"",IF('Q 8'!$G54="&lt;please select&gt;","",'Q 8'!$G54))</f>
        <v>3</v>
      </c>
    </row>
    <row r="7198" spans="1:11" x14ac:dyDescent="0.3">
      <c r="A7198" t="s">
        <v>2073</v>
      </c>
      <c r="B7198" t="s">
        <v>2074</v>
      </c>
      <c r="C7198">
        <v>2</v>
      </c>
      <c r="D7198" t="s">
        <v>1447</v>
      </c>
      <c r="E7198" t="s">
        <v>1798</v>
      </c>
      <c r="F7198" t="s">
        <v>1748</v>
      </c>
      <c r="H7198" s="165" t="str">
        <f>IF(ISBLANK('Q 8'!$G55),"",IF('Q 8'!$G55="&lt;please select&gt;","",'Q 8'!$G55))</f>
        <v>8</v>
      </c>
    </row>
    <row r="7199" spans="1:11" x14ac:dyDescent="0.3">
      <c r="A7199" t="s">
        <v>2073</v>
      </c>
      <c r="B7199" t="s">
        <v>2074</v>
      </c>
      <c r="C7199">
        <v>3</v>
      </c>
      <c r="D7199" t="s">
        <v>1447</v>
      </c>
      <c r="E7199" t="s">
        <v>1798</v>
      </c>
      <c r="F7199" t="s">
        <v>1748</v>
      </c>
      <c r="H7199" s="165" t="str">
        <f>IF(ISBLANK('Q 8'!$G56),"",IF('Q 8'!$G56="&lt;please select&gt;","",'Q 8'!$G56))</f>
        <v>0</v>
      </c>
    </row>
    <row r="7200" spans="1:11" x14ac:dyDescent="0.3">
      <c r="A7200" t="s">
        <v>2073</v>
      </c>
      <c r="B7200" t="s">
        <v>2074</v>
      </c>
      <c r="C7200">
        <v>4</v>
      </c>
      <c r="D7200" t="s">
        <v>1447</v>
      </c>
      <c r="E7200" t="s">
        <v>1798</v>
      </c>
      <c r="F7200" t="s">
        <v>1748</v>
      </c>
      <c r="H7200" s="165" t="str">
        <f>IF(ISBLANK('Q 8'!$G57),"",IF('Q 8'!$G57="&lt;please select&gt;","",'Q 8'!$G57))</f>
        <v>0</v>
      </c>
    </row>
    <row r="7201" spans="1:11" x14ac:dyDescent="0.3">
      <c r="A7201" t="s">
        <v>2073</v>
      </c>
      <c r="B7201" t="s">
        <v>2074</v>
      </c>
      <c r="C7201">
        <v>5</v>
      </c>
      <c r="D7201" t="s">
        <v>1447</v>
      </c>
      <c r="E7201" t="s">
        <v>1798</v>
      </c>
      <c r="F7201" t="s">
        <v>1748</v>
      </c>
      <c r="H7201" s="165" t="str">
        <f>IF(ISBLANK('Q 8'!$G58),"",IF('Q 8'!$G58="&lt;please select&gt;","",'Q 8'!$G58))</f>
        <v>0</v>
      </c>
    </row>
    <row r="7202" spans="1:11" x14ac:dyDescent="0.3">
      <c r="A7202" t="s">
        <v>2073</v>
      </c>
      <c r="B7202" t="s">
        <v>2074</v>
      </c>
      <c r="C7202">
        <v>6</v>
      </c>
      <c r="D7202" t="s">
        <v>1419</v>
      </c>
      <c r="E7202" t="s">
        <v>1798</v>
      </c>
      <c r="F7202" t="s">
        <v>1748</v>
      </c>
      <c r="H7202" s="165" t="str">
        <f>IF(ISBLANK('Q 8'!$G59),"",IF('Q 8'!$G59="&lt;please select&gt;","",'Q 8'!$G59))</f>
        <v>0</v>
      </c>
    </row>
    <row r="7203" spans="1:11" x14ac:dyDescent="0.3">
      <c r="A7203" t="s">
        <v>2073</v>
      </c>
      <c r="B7203" t="s">
        <v>2074</v>
      </c>
      <c r="C7203">
        <v>7</v>
      </c>
      <c r="D7203" t="s">
        <v>1419</v>
      </c>
      <c r="E7203" t="s">
        <v>1798</v>
      </c>
      <c r="F7203" t="s">
        <v>1748</v>
      </c>
      <c r="H7203" s="165" t="str">
        <f>IF(ISBLANK('Q 8'!$G60),"",IF('Q 8'!$G60="&lt;please select&gt;","",'Q 8'!$G60))</f>
        <v>0</v>
      </c>
    </row>
    <row r="7204" spans="1:11" x14ac:dyDescent="0.3">
      <c r="A7204" t="s">
        <v>2073</v>
      </c>
      <c r="B7204" t="s">
        <v>2074</v>
      </c>
      <c r="C7204">
        <v>8</v>
      </c>
      <c r="D7204" t="s">
        <v>1419</v>
      </c>
      <c r="E7204" t="s">
        <v>1798</v>
      </c>
      <c r="F7204" t="s">
        <v>1748</v>
      </c>
      <c r="H7204" s="165" t="str">
        <f>IF(ISBLANK('Q 8'!$G61),"",IF('Q 8'!$G61="&lt;please select&gt;","",'Q 8'!$G61))</f>
        <v>0</v>
      </c>
    </row>
    <row r="7205" spans="1:11" x14ac:dyDescent="0.3">
      <c r="A7205" t="s">
        <v>2073</v>
      </c>
      <c r="B7205" t="s">
        <v>2074</v>
      </c>
      <c r="C7205">
        <v>9</v>
      </c>
      <c r="D7205" t="s">
        <v>1419</v>
      </c>
      <c r="E7205" t="s">
        <v>1798</v>
      </c>
      <c r="F7205" t="s">
        <v>1748</v>
      </c>
      <c r="H7205" s="165" t="str">
        <f>IF(ISBLANK('Q 8'!$G62),"",IF('Q 8'!$G62="&lt;please select&gt;","",'Q 8'!$G62))</f>
        <v>0</v>
      </c>
    </row>
    <row r="7206" spans="1:11" x14ac:dyDescent="0.3">
      <c r="A7206" t="s">
        <v>2073</v>
      </c>
      <c r="B7206" t="s">
        <v>2074</v>
      </c>
      <c r="C7206">
        <v>6</v>
      </c>
      <c r="D7206" t="s">
        <v>1419</v>
      </c>
      <c r="E7206" t="s">
        <v>2075</v>
      </c>
      <c r="F7206" t="s">
        <v>1791</v>
      </c>
      <c r="J7206" t="str">
        <f>IF(ISBLANK('Q 8'!E59),"",IF('Q 8'!E59="&lt;please select&gt;","",'Q 8'!E59))</f>
        <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Yes</v>
      </c>
    </row>
    <row r="7470" spans="1:11" x14ac:dyDescent="0.3">
      <c r="A7470" t="s">
        <v>2089</v>
      </c>
      <c r="B7470" t="s">
        <v>2091</v>
      </c>
      <c r="C7470">
        <v>0</v>
      </c>
      <c r="D7470" t="s">
        <v>1447</v>
      </c>
      <c r="E7470" t="s">
        <v>2091</v>
      </c>
      <c r="F7470" t="s">
        <v>1741</v>
      </c>
      <c r="G7470" t="str">
        <f>IF(ISBLANK('Q 8'!$G$145),"",IF('Q 8'!$G$145="&lt;please select&gt;","",'Q 8'!$G$145))</f>
        <v>31 January</v>
      </c>
    </row>
    <row r="7471" spans="1:11" x14ac:dyDescent="0.3">
      <c r="A7471" t="s">
        <v>2092</v>
      </c>
      <c r="B7471" t="s">
        <v>2093</v>
      </c>
      <c r="C7471">
        <v>1</v>
      </c>
      <c r="D7471" t="s">
        <v>1447</v>
      </c>
      <c r="E7471" t="s">
        <v>1798</v>
      </c>
      <c r="F7471" t="s">
        <v>1748</v>
      </c>
      <c r="H7471" s="165" t="str">
        <f>IF(ISBLANK('Q 8'!$F149),"",IF('Q 8'!$F149="&lt;please select&gt;","",'Q 8'!$F149))</f>
        <v>1</v>
      </c>
    </row>
    <row r="7472" spans="1:11" x14ac:dyDescent="0.3">
      <c r="A7472" t="s">
        <v>2092</v>
      </c>
      <c r="B7472" t="s">
        <v>2093</v>
      </c>
      <c r="C7472">
        <v>2</v>
      </c>
      <c r="D7472" t="s">
        <v>1447</v>
      </c>
      <c r="E7472" t="s">
        <v>1798</v>
      </c>
      <c r="F7472" t="s">
        <v>1748</v>
      </c>
      <c r="H7472" s="165" t="str">
        <f>IF(ISBLANK('Q 8'!$F150),"",IF('Q 8'!$F150="&lt;please select&gt;","",'Q 8'!$F150))</f>
        <v>6</v>
      </c>
    </row>
    <row r="7473" spans="1:11" x14ac:dyDescent="0.3">
      <c r="A7473" t="s">
        <v>2092</v>
      </c>
      <c r="B7473" t="s">
        <v>2093</v>
      </c>
      <c r="C7473">
        <v>3</v>
      </c>
      <c r="D7473" t="s">
        <v>1447</v>
      </c>
      <c r="E7473" t="s">
        <v>1798</v>
      </c>
      <c r="F7473" t="s">
        <v>1748</v>
      </c>
      <c r="H7473" s="165" t="str">
        <f>IF(ISBLANK('Q 8'!$F151),"",IF('Q 8'!$F151="&lt;please select&gt;","",'Q 8'!$F151))</f>
        <v>5</v>
      </c>
    </row>
    <row r="7474" spans="1:11" x14ac:dyDescent="0.3">
      <c r="A7474" t="s">
        <v>2092</v>
      </c>
      <c r="B7474" t="s">
        <v>2093</v>
      </c>
      <c r="C7474">
        <v>4</v>
      </c>
      <c r="D7474" t="s">
        <v>1447</v>
      </c>
      <c r="E7474" t="s">
        <v>1798</v>
      </c>
      <c r="F7474" t="s">
        <v>1748</v>
      </c>
      <c r="H7474" s="165" t="str">
        <f>IF(ISBLANK('Q 8'!$F152),"",IF('Q 8'!$F152="&lt;please select&gt;","",'Q 8'!$F152))</f>
        <v>7</v>
      </c>
    </row>
    <row r="7475" spans="1:11" x14ac:dyDescent="0.3">
      <c r="A7475" t="s">
        <v>2092</v>
      </c>
      <c r="B7475" t="s">
        <v>2093</v>
      </c>
      <c r="C7475">
        <v>1</v>
      </c>
      <c r="D7475" t="s">
        <v>1447</v>
      </c>
      <c r="E7475" t="s">
        <v>2094</v>
      </c>
      <c r="F7475" t="s">
        <v>1748</v>
      </c>
      <c r="H7475" s="165" t="str">
        <f>IF(ISBLANK('Q 8'!$H149),"",IF('Q 8'!$H149="&lt;please select&gt;","",'Q 8'!$H149))</f>
        <v>1</v>
      </c>
    </row>
    <row r="7476" spans="1:11" x14ac:dyDescent="0.3">
      <c r="A7476" t="s">
        <v>2092</v>
      </c>
      <c r="B7476" t="s">
        <v>2093</v>
      </c>
      <c r="C7476">
        <v>2</v>
      </c>
      <c r="D7476" t="s">
        <v>1447</v>
      </c>
      <c r="E7476" t="s">
        <v>2094</v>
      </c>
      <c r="F7476" t="s">
        <v>1748</v>
      </c>
      <c r="H7476" s="165" t="str">
        <f>IF(ISBLANK('Q 8'!$H150),"",IF('Q 8'!$H150="&lt;please select&gt;","",'Q 8'!$H150))</f>
        <v>1</v>
      </c>
    </row>
    <row r="7477" spans="1:11" x14ac:dyDescent="0.3">
      <c r="A7477" t="s">
        <v>2092</v>
      </c>
      <c r="B7477" t="s">
        <v>2093</v>
      </c>
      <c r="C7477">
        <v>3</v>
      </c>
      <c r="D7477" t="s">
        <v>1447</v>
      </c>
      <c r="E7477" t="s">
        <v>2094</v>
      </c>
      <c r="F7477" t="s">
        <v>1748</v>
      </c>
      <c r="H7477" s="165" t="str">
        <f>IF(ISBLANK('Q 8'!$H151),"",IF('Q 8'!$H151="&lt;please select&gt;","",'Q 8'!$H151))</f>
        <v>0</v>
      </c>
    </row>
    <row r="7478" spans="1:11" x14ac:dyDescent="0.3">
      <c r="A7478" t="s">
        <v>2092</v>
      </c>
      <c r="B7478" t="s">
        <v>2093</v>
      </c>
      <c r="C7478">
        <v>4</v>
      </c>
      <c r="D7478" t="s">
        <v>1447</v>
      </c>
      <c r="E7478" t="s">
        <v>2094</v>
      </c>
      <c r="F7478" t="s">
        <v>1748</v>
      </c>
      <c r="H7478" s="165" t="str">
        <f>IF(ISBLANK('Q 8'!$H152),"",IF('Q 8'!$H152="&lt;please select&gt;","",'Q 8'!$H152))</f>
        <v>2</v>
      </c>
    </row>
    <row r="7479" spans="1:11" x14ac:dyDescent="0.3">
      <c r="A7479" t="s">
        <v>2092</v>
      </c>
      <c r="B7479" t="s">
        <v>2095</v>
      </c>
      <c r="C7479">
        <v>0</v>
      </c>
      <c r="D7479" t="s">
        <v>1447</v>
      </c>
      <c r="E7479" t="s">
        <v>2095</v>
      </c>
      <c r="F7479" t="s">
        <v>1759</v>
      </c>
      <c r="K7479" t="str">
        <f>IF(ISBLANK('Q 8'!$I$154),"",IF('Q 8'!$I$154="&lt;please select&gt;","",'Q 8'!$I$154))</f>
        <v>Yes</v>
      </c>
    </row>
    <row r="7480" spans="1:11" x14ac:dyDescent="0.3">
      <c r="A7480" t="s">
        <v>2096</v>
      </c>
      <c r="B7480" t="s">
        <v>2097</v>
      </c>
      <c r="C7480">
        <v>1</v>
      </c>
      <c r="D7480" t="s">
        <v>1447</v>
      </c>
      <c r="E7480" t="s">
        <v>1988</v>
      </c>
      <c r="F7480" t="s">
        <v>1737</v>
      </c>
      <c r="K7480" t="str">
        <f>IF(ISBLANK('Q 8'!$C157),"",IF('Q 8'!$C157="&lt;please select&gt;","",'Q 8'!$C157))</f>
        <v>20 - Combustion of fuels as specified in Annex I of Directive 2003/87/EC</v>
      </c>
    </row>
    <row r="7481" spans="1:11" x14ac:dyDescent="0.3">
      <c r="A7481" t="s">
        <v>2096</v>
      </c>
      <c r="B7481" t="s">
        <v>2097</v>
      </c>
      <c r="C7481">
        <v>2</v>
      </c>
      <c r="D7481" t="s">
        <v>1447</v>
      </c>
      <c r="E7481" t="s">
        <v>1988</v>
      </c>
      <c r="F7481" t="s">
        <v>1737</v>
      </c>
      <c r="K7481" t="str">
        <f>IF(ISBLANK('Q 8'!$C158),"",IF('Q 8'!$C158="&lt;please select&gt;","",'Q 8'!$C158))</f>
        <v>35 - Production of pulp as specified in Annex I of Directive 2003/87/EC</v>
      </c>
    </row>
    <row r="7482" spans="1:11" x14ac:dyDescent="0.3">
      <c r="A7482" t="s">
        <v>2096</v>
      </c>
      <c r="B7482" t="s">
        <v>2097</v>
      </c>
      <c r="C7482">
        <v>3</v>
      </c>
      <c r="D7482" t="s">
        <v>1447</v>
      </c>
      <c r="E7482" t="s">
        <v>1988</v>
      </c>
      <c r="F7482" t="s">
        <v>1737</v>
      </c>
      <c r="K7482" t="str">
        <f>IF(ISBLANK('Q 8'!$C159),"",IF('Q 8'!$C159="&lt;please select&gt;","",'Q 8'!$C159))</f>
        <v>31 - Manufacture of glass as specified in Annex I of Directive 2003/87/EC</v>
      </c>
    </row>
    <row r="7483" spans="1:11" x14ac:dyDescent="0.3">
      <c r="A7483" t="s">
        <v>2096</v>
      </c>
      <c r="B7483" t="s">
        <v>2097</v>
      </c>
      <c r="C7483">
        <v>4</v>
      </c>
      <c r="D7483" t="s">
        <v>1447</v>
      </c>
      <c r="E7483" t="s">
        <v>1988</v>
      </c>
      <c r="F7483" t="s">
        <v>1737</v>
      </c>
      <c r="K7483" t="str">
        <f>IF(ISBLANK('Q 8'!$C160),"",IF('Q 8'!$C160="&lt;please select&gt;","",'Q 8'!$C160))</f>
        <v xml:space="preserve">36 - Production of paper or cardboard as specified in Annex I of Directive 2003/87/EC </v>
      </c>
    </row>
    <row r="7484" spans="1:11" x14ac:dyDescent="0.3">
      <c r="A7484" t="s">
        <v>2096</v>
      </c>
      <c r="B7484" t="s">
        <v>2097</v>
      </c>
      <c r="C7484">
        <v>5</v>
      </c>
      <c r="D7484" t="s">
        <v>1447</v>
      </c>
      <c r="E7484" t="s">
        <v>1988</v>
      </c>
      <c r="F7484" t="s">
        <v>1737</v>
      </c>
      <c r="K7484" t="str">
        <f>IF(ISBLANK('Q 8'!$C161),"",IF('Q 8'!$C161="&lt;please select&gt;","",'Q 8'!$C161))</f>
        <v>32 - Manufacture of ceramic products as specified in Annex I of Directive 2003/87/EC</v>
      </c>
    </row>
    <row r="7485" spans="1:11" x14ac:dyDescent="0.3">
      <c r="A7485" t="s">
        <v>2096</v>
      </c>
      <c r="B7485" t="s">
        <v>2097</v>
      </c>
      <c r="C7485">
        <v>6</v>
      </c>
      <c r="D7485" t="s">
        <v>1447</v>
      </c>
      <c r="E7485" t="s">
        <v>1988</v>
      </c>
      <c r="F7485" t="s">
        <v>1737</v>
      </c>
      <c r="K7485" t="str">
        <f>IF(ISBLANK('Q 8'!$C162),"",IF('Q 8'!$C162="&lt;please select&gt;","",'Q 8'!$C162))</f>
        <v>30 - Production of lime or calcination of dolomite or magnesite as specified in Annex I of Directive 2003/87/ EC</v>
      </c>
    </row>
    <row r="7486" spans="1:11" x14ac:dyDescent="0.3">
      <c r="A7486" t="s">
        <v>2096</v>
      </c>
      <c r="B7486" t="s">
        <v>2097</v>
      </c>
      <c r="C7486">
        <v>7</v>
      </c>
      <c r="D7486" t="s">
        <v>1447</v>
      </c>
      <c r="E7486" t="s">
        <v>1988</v>
      </c>
      <c r="F7486" t="s">
        <v>1737</v>
      </c>
      <c r="K7486" t="str">
        <f>IF(ISBLANK('Q 8'!$C163),"",IF('Q 8'!$C163="&lt;please select&gt;","",'Q 8'!$C163))</f>
        <v xml:space="preserve">38 - Production of nitric acid </v>
      </c>
    </row>
    <row r="7487" spans="1:11" x14ac:dyDescent="0.3">
      <c r="A7487" t="s">
        <v>2096</v>
      </c>
      <c r="B7487" t="s">
        <v>2097</v>
      </c>
      <c r="C7487">
        <v>8</v>
      </c>
      <c r="D7487" t="s">
        <v>1447</v>
      </c>
      <c r="E7487" t="s">
        <v>1988</v>
      </c>
      <c r="F7487" t="s">
        <v>1737</v>
      </c>
      <c r="K7487" t="str">
        <f>IF(ISBLANK('Q 8'!$C164),"",IF('Q 8'!$C164="&lt;please select&gt;","",'Q 8'!$C164))</f>
        <v>24 - Production of pig iron or steel as specified in Annex I of Directive 2003/87/EC</v>
      </c>
    </row>
    <row r="7488" spans="1:11" x14ac:dyDescent="0.3">
      <c r="A7488" t="s">
        <v>2096</v>
      </c>
      <c r="B7488" t="s">
        <v>2097</v>
      </c>
      <c r="C7488">
        <v>9</v>
      </c>
      <c r="D7488" t="s">
        <v>1447</v>
      </c>
      <c r="E7488" t="s">
        <v>1988</v>
      </c>
      <c r="F7488" t="s">
        <v>1737</v>
      </c>
      <c r="K7488" t="str">
        <f>IF(ISBLANK('Q 8'!$C165),"",IF('Q 8'!$C165="&lt;please select&gt;","",'Q 8'!$C165))</f>
        <v>29 - Production of cement clinker in rotary kilns as specified in Annex I of Directive 2003/87/ EC</v>
      </c>
    </row>
    <row r="7489" spans="1:11" x14ac:dyDescent="0.3">
      <c r="A7489" t="s">
        <v>2096</v>
      </c>
      <c r="B7489" t="s">
        <v>2097</v>
      </c>
      <c r="C7489">
        <v>10</v>
      </c>
      <c r="D7489" t="s">
        <v>1447</v>
      </c>
      <c r="E7489" t="s">
        <v>1988</v>
      </c>
      <c r="F7489" t="s">
        <v>1737</v>
      </c>
      <c r="K7489" t="str">
        <f>IF(ISBLANK('Q 8'!$C166),"",IF('Q 8'!$C166="&lt;please select&gt;","",'Q 8'!$C166))</f>
        <v>33 - Manufacture of mineral wool insulation material using glass, rock or slag as specified in Annex I of Directive 2003/87/EC</v>
      </c>
    </row>
    <row r="7490" spans="1:11" x14ac:dyDescent="0.3">
      <c r="A7490" t="s">
        <v>2096</v>
      </c>
      <c r="B7490" t="s">
        <v>2097</v>
      </c>
      <c r="C7490">
        <v>11</v>
      </c>
      <c r="D7490" t="s">
        <v>1447</v>
      </c>
      <c r="E7490" t="s">
        <v>1988</v>
      </c>
      <c r="F7490" t="s">
        <v>1737</v>
      </c>
      <c r="K7490" t="str">
        <f>IF(ISBLANK('Q 8'!$C167),"",IF('Q 8'!$C167="&lt;please select&gt;","",'Q 8'!$C167))</f>
        <v>21 - Refining of mineral oil</v>
      </c>
    </row>
    <row r="7491" spans="1:11" x14ac:dyDescent="0.3">
      <c r="A7491" t="s">
        <v>2096</v>
      </c>
      <c r="B7491" t="s">
        <v>2097</v>
      </c>
      <c r="C7491">
        <v>12</v>
      </c>
      <c r="D7491" t="s">
        <v>1447</v>
      </c>
      <c r="E7491" t="s">
        <v>1988</v>
      </c>
      <c r="F7491" t="s">
        <v>1737</v>
      </c>
      <c r="K7491" t="str">
        <f>IF(ISBLANK('Q 8'!$C168),"",IF('Q 8'!$C168="&lt;please select&gt;","",'Q 8'!$C168))</f>
        <v xml:space="preserve">41 - Production of ammonia </v>
      </c>
    </row>
    <row r="7492" spans="1:11" x14ac:dyDescent="0.3">
      <c r="A7492" t="s">
        <v>2096</v>
      </c>
      <c r="B7492" t="s">
        <v>2097</v>
      </c>
      <c r="C7492">
        <v>13</v>
      </c>
      <c r="D7492" t="s">
        <v>1447</v>
      </c>
      <c r="E7492" t="s">
        <v>1988</v>
      </c>
      <c r="F7492" t="s">
        <v>1737</v>
      </c>
      <c r="K7492" t="str">
        <f>IF(ISBLANK('Q 8'!$C169),"",IF('Q 8'!$C169="&lt;please select&gt;","",'Q 8'!$C169))</f>
        <v xml:space="preserve">42 - Production of bulk organic chemicals as specified in Annex I of Directive 2003/87/EC </v>
      </c>
    </row>
    <row r="7493" spans="1:11" x14ac:dyDescent="0.3">
      <c r="A7493" t="s">
        <v>2096</v>
      </c>
      <c r="B7493" t="s">
        <v>2097</v>
      </c>
      <c r="C7493">
        <v>14</v>
      </c>
      <c r="D7493" t="s">
        <v>1447</v>
      </c>
      <c r="E7493" t="s">
        <v>1988</v>
      </c>
      <c r="F7493" t="s">
        <v>1737</v>
      </c>
      <c r="K7493" t="str">
        <f>IF(ISBLANK('Q 8'!$C170),"",IF('Q 8'!$C170="&lt;please select&gt;","",'Q 8'!$C170))</f>
        <v xml:space="preserve">43 - Production of hydrogen (H2) and synthesis gas as specified in Annex I of Directive 2003/87/EC </v>
      </c>
    </row>
    <row r="7494" spans="1:11" x14ac:dyDescent="0.3">
      <c r="A7494" t="s">
        <v>2096</v>
      </c>
      <c r="B7494" t="s">
        <v>2097</v>
      </c>
      <c r="C7494">
        <v>15</v>
      </c>
      <c r="D7494" t="s">
        <v>1447</v>
      </c>
      <c r="E7494" t="s">
        <v>1988</v>
      </c>
      <c r="F7494" t="s">
        <v>1737</v>
      </c>
      <c r="K7494" t="str">
        <f>IF(ISBLANK('Q 8'!$C171),"",IF('Q 8'!$C171="&lt;please select&gt;","",'Q 8'!$C171))</f>
        <v>23 - Metal ore (including sulphide ore) roasting or sintering, including pelletisation</v>
      </c>
    </row>
    <row r="7495" spans="1:11" x14ac:dyDescent="0.3">
      <c r="A7495" t="s">
        <v>2096</v>
      </c>
      <c r="B7495" t="s">
        <v>2097</v>
      </c>
      <c r="C7495">
        <v>16</v>
      </c>
      <c r="D7495" t="s">
        <v>1447</v>
      </c>
      <c r="E7495" t="s">
        <v>1988</v>
      </c>
      <c r="F7495" t="s">
        <v>1737</v>
      </c>
      <c r="K7495" t="str">
        <f>IF(ISBLANK('Q 8'!$C172),"",IF('Q 8'!$C172="&lt;please select&gt;","",'Q 8'!$C172))</f>
        <v xml:space="preserve">39 - Production of adipic acid </v>
      </c>
    </row>
    <row r="7496" spans="1:11" x14ac:dyDescent="0.3">
      <c r="A7496" t="s">
        <v>2096</v>
      </c>
      <c r="B7496" t="s">
        <v>2097</v>
      </c>
      <c r="C7496">
        <v>17</v>
      </c>
      <c r="D7496" t="s">
        <v>1447</v>
      </c>
      <c r="E7496" t="s">
        <v>1988</v>
      </c>
      <c r="F7496" t="s">
        <v>1737</v>
      </c>
      <c r="K7496" t="str">
        <f>IF(ISBLANK('Q 8'!$C173),"",IF('Q 8'!$C173="&lt;please select&gt;","",'Q 8'!$C173))</f>
        <v>27 - Production of secondary aluminium as specific in Annex I of Directive 2003/87/EC</v>
      </c>
    </row>
    <row r="7497" spans="1:11" x14ac:dyDescent="0.3">
      <c r="A7497" t="s">
        <v>2096</v>
      </c>
      <c r="B7497" t="s">
        <v>2097</v>
      </c>
      <c r="C7497">
        <v>18</v>
      </c>
      <c r="D7497" t="s">
        <v>1447</v>
      </c>
      <c r="E7497" t="s">
        <v>1988</v>
      </c>
      <c r="F7497" t="s">
        <v>1737</v>
      </c>
      <c r="K7497" t="str">
        <f>IF(ISBLANK('Q 8'!$C174),"",IF('Q 8'!$C174="&lt;please select&gt;","",'Q 8'!$C174))</f>
        <v>34 - Drying or calcination of gypsum or production of plaster boards and other gypsum products, as specified in Annex I of Directive 2003/87/EC</v>
      </c>
    </row>
    <row r="7498" spans="1:11" x14ac:dyDescent="0.3">
      <c r="A7498" t="s">
        <v>2096</v>
      </c>
      <c r="B7498" t="s">
        <v>2097</v>
      </c>
      <c r="C7498">
        <v>19</v>
      </c>
      <c r="D7498" t="s">
        <v>1447</v>
      </c>
      <c r="E7498" t="s">
        <v>1988</v>
      </c>
      <c r="F7498" t="s">
        <v>1737</v>
      </c>
      <c r="K7498" t="str">
        <f>IF(ISBLANK('Q 8'!$C175),"",IF('Q 8'!$C175="&lt;please select&gt;","",'Q 8'!$C175))</f>
        <v>44 - Production of soda ash (Na2CO3) and sodium bicarbonate (NaHCO3) as specified in Annex I of Directive 2003/87/EC</v>
      </c>
    </row>
    <row r="7499" spans="1:11" x14ac:dyDescent="0.3">
      <c r="A7499" t="s">
        <v>2096</v>
      </c>
      <c r="B7499" t="s">
        <v>2097</v>
      </c>
      <c r="C7499">
        <v>20</v>
      </c>
      <c r="D7499" t="s">
        <v>1447</v>
      </c>
      <c r="E7499" t="s">
        <v>1988</v>
      </c>
      <c r="F7499" t="s">
        <v>1737</v>
      </c>
      <c r="K7499" t="str">
        <f>IF(ISBLANK('Q 8'!$C176),"",IF('Q 8'!$C176="&lt;please select&gt;","",'Q 8'!$C176))</f>
        <v xml:space="preserve">22 - Production of coke </v>
      </c>
    </row>
    <row r="7500" spans="1:11" x14ac:dyDescent="0.3">
      <c r="A7500" t="s">
        <v>2096</v>
      </c>
      <c r="B7500" t="s">
        <v>2097</v>
      </c>
      <c r="C7500">
        <v>21</v>
      </c>
      <c r="D7500" t="s">
        <v>1447</v>
      </c>
      <c r="E7500" t="s">
        <v>1988</v>
      </c>
      <c r="F7500" t="s">
        <v>1737</v>
      </c>
      <c r="K7500" t="str">
        <f>IF(ISBLANK('Q 8'!$C177),"",IF('Q 8'!$C177="&lt;please select&gt;","",'Q 8'!$C177))</f>
        <v>20 - Combustion of fuels as specified in Annex I of Directive 2003/87/EC</v>
      </c>
    </row>
    <row r="7501" spans="1:11" x14ac:dyDescent="0.3">
      <c r="A7501" t="s">
        <v>2096</v>
      </c>
      <c r="B7501" t="s">
        <v>2097</v>
      </c>
      <c r="C7501">
        <v>22</v>
      </c>
      <c r="D7501" t="s">
        <v>1447</v>
      </c>
      <c r="E7501" t="s">
        <v>1988</v>
      </c>
      <c r="F7501" t="s">
        <v>1737</v>
      </c>
      <c r="K7501" t="str">
        <f>IF(ISBLANK('Q 8'!$C178),"",IF('Q 8'!$C178="&lt;please select&gt;","",'Q 8'!$C178))</f>
        <v>35 - Production of pulp as specified in Annex I of Directive 2003/87/EC</v>
      </c>
    </row>
    <row r="7502" spans="1:11" x14ac:dyDescent="0.3">
      <c r="A7502" t="s">
        <v>2096</v>
      </c>
      <c r="B7502" t="s">
        <v>2097</v>
      </c>
      <c r="C7502">
        <v>23</v>
      </c>
      <c r="D7502" t="s">
        <v>1447</v>
      </c>
      <c r="E7502" t="s">
        <v>1988</v>
      </c>
      <c r="F7502" t="s">
        <v>1737</v>
      </c>
      <c r="K7502" t="str">
        <f>IF(ISBLANK('Q 8'!$C179),"",IF('Q 8'!$C179="&lt;please select&gt;","",'Q 8'!$C179))</f>
        <v>31 - Manufacture of glass as specified in Annex I of Directive 2003/87/EC</v>
      </c>
    </row>
    <row r="7503" spans="1:11" x14ac:dyDescent="0.3">
      <c r="A7503" t="s">
        <v>2096</v>
      </c>
      <c r="B7503" t="s">
        <v>2097</v>
      </c>
      <c r="C7503">
        <v>24</v>
      </c>
      <c r="D7503" t="s">
        <v>1447</v>
      </c>
      <c r="E7503" t="s">
        <v>1988</v>
      </c>
      <c r="F7503" t="s">
        <v>1737</v>
      </c>
      <c r="K7503" t="str">
        <f>IF(ISBLANK('Q 8'!$C180),"",IF('Q 8'!$C180="&lt;please select&gt;","",'Q 8'!$C180))</f>
        <v xml:space="preserve">36 - Production of paper or cardboard as specified in Annex I of Directive 2003/87/EC </v>
      </c>
    </row>
    <row r="7504" spans="1:11" x14ac:dyDescent="0.3">
      <c r="A7504" t="s">
        <v>2096</v>
      </c>
      <c r="B7504" t="s">
        <v>2097</v>
      </c>
      <c r="C7504">
        <v>25</v>
      </c>
      <c r="D7504" t="s">
        <v>1447</v>
      </c>
      <c r="E7504" t="s">
        <v>1988</v>
      </c>
      <c r="F7504" t="s">
        <v>1737</v>
      </c>
      <c r="K7504" t="str">
        <f>IF(ISBLANK('Q 8'!$C181),"",IF('Q 8'!$C181="&lt;please select&gt;","",'Q 8'!$C181))</f>
        <v>25 - Production or processing of ferrous metals as specified in Annex I of Directive 2003/87/EC</v>
      </c>
    </row>
    <row r="7505" spans="1:11" x14ac:dyDescent="0.3">
      <c r="A7505" t="s">
        <v>2096</v>
      </c>
      <c r="B7505" t="s">
        <v>2097</v>
      </c>
      <c r="C7505">
        <v>26</v>
      </c>
      <c r="D7505" t="s">
        <v>1447</v>
      </c>
      <c r="E7505" t="s">
        <v>1988</v>
      </c>
      <c r="F7505" t="s">
        <v>1737</v>
      </c>
      <c r="K7505" t="str">
        <f>IF(ISBLANK('Q 8'!$C182),"",IF('Q 8'!$C182="&lt;please select&gt;","",'Q 8'!$C182))</f>
        <v>32 - Manufacture of ceramic products as specified in Annex I of Directive 2003/87/EC</v>
      </c>
    </row>
    <row r="7506" spans="1:11" x14ac:dyDescent="0.3">
      <c r="A7506" t="s">
        <v>2096</v>
      </c>
      <c r="B7506" t="s">
        <v>2097</v>
      </c>
      <c r="C7506">
        <v>27</v>
      </c>
      <c r="D7506" t="s">
        <v>1447</v>
      </c>
      <c r="E7506" t="s">
        <v>1988</v>
      </c>
      <c r="F7506" t="s">
        <v>1737</v>
      </c>
      <c r="K7506" t="str">
        <f>IF(ISBLANK('Q 8'!$C183),"",IF('Q 8'!$C183="&lt;please select&gt;","",'Q 8'!$C183))</f>
        <v>30 - Production of lime or calcination of dolomite or magnesite as specified in Annex I of Directive 2003/87/ EC</v>
      </c>
    </row>
    <row r="7507" spans="1:11" x14ac:dyDescent="0.3">
      <c r="A7507" t="s">
        <v>2096</v>
      </c>
      <c r="B7507" t="s">
        <v>2097</v>
      </c>
      <c r="C7507">
        <v>28</v>
      </c>
      <c r="D7507" t="s">
        <v>1447</v>
      </c>
      <c r="E7507" t="s">
        <v>1988</v>
      </c>
      <c r="F7507" t="s">
        <v>1737</v>
      </c>
      <c r="K7507" t="str">
        <f>IF(ISBLANK('Q 8'!$C184),"",IF('Q 8'!$C184="&lt;please select&gt;","",'Q 8'!$C184))</f>
        <v>24 - Production of pig iron or steel as specified in Annex I of Directive 2003/87/EC</v>
      </c>
    </row>
    <row r="7508" spans="1:11" x14ac:dyDescent="0.3">
      <c r="A7508" t="s">
        <v>2096</v>
      </c>
      <c r="B7508" t="s">
        <v>2097</v>
      </c>
      <c r="C7508">
        <v>29</v>
      </c>
      <c r="D7508" t="s">
        <v>1447</v>
      </c>
      <c r="E7508" t="s">
        <v>1988</v>
      </c>
      <c r="F7508" t="s">
        <v>1737</v>
      </c>
      <c r="K7508" t="str">
        <f>IF(ISBLANK('Q 8'!$C185),"",IF('Q 8'!$C185="&lt;please select&gt;","",'Q 8'!$C185))</f>
        <v>29 - Production of cement clinker in rotary kilns as specified in Annex I of Directive 2003/87/ EC</v>
      </c>
    </row>
    <row r="7509" spans="1:11" x14ac:dyDescent="0.3">
      <c r="A7509" t="s">
        <v>2096</v>
      </c>
      <c r="B7509" t="s">
        <v>2097</v>
      </c>
      <c r="C7509">
        <v>30</v>
      </c>
      <c r="D7509" t="s">
        <v>1447</v>
      </c>
      <c r="E7509" t="s">
        <v>1988</v>
      </c>
      <c r="F7509" t="s">
        <v>1737</v>
      </c>
      <c r="K7509" t="str">
        <f>IF(ISBLANK('Q 8'!$C186),"",IF('Q 8'!$C186="&lt;please select&gt;","",'Q 8'!$C186))</f>
        <v>33 - Manufacture of mineral wool insulation material using glass, rock or slag as specified in Annex I of Directive 2003/87/EC</v>
      </c>
    </row>
    <row r="7510" spans="1:11" x14ac:dyDescent="0.3">
      <c r="A7510" t="s">
        <v>2096</v>
      </c>
      <c r="B7510" t="s">
        <v>2097</v>
      </c>
      <c r="C7510">
        <v>31</v>
      </c>
      <c r="D7510" t="s">
        <v>1447</v>
      </c>
      <c r="E7510" t="s">
        <v>1988</v>
      </c>
      <c r="F7510" t="s">
        <v>1737</v>
      </c>
      <c r="K7510" t="str">
        <f>IF(ISBLANK('Q 8'!$C187),"",IF('Q 8'!$C187="&lt;please select&gt;","",'Q 8'!$C187))</f>
        <v>21 - Refining of mineral oil</v>
      </c>
    </row>
    <row r="7511" spans="1:11" x14ac:dyDescent="0.3">
      <c r="A7511" t="s">
        <v>2096</v>
      </c>
      <c r="B7511" t="s">
        <v>2097</v>
      </c>
      <c r="C7511">
        <v>32</v>
      </c>
      <c r="D7511" t="s">
        <v>1447</v>
      </c>
      <c r="E7511" t="s">
        <v>1988</v>
      </c>
      <c r="F7511" t="s">
        <v>1737</v>
      </c>
      <c r="K7511" t="str">
        <f>IF(ISBLANK('Q 8'!$C188),"",IF('Q 8'!$C188="&lt;please select&gt;","",'Q 8'!$C188))</f>
        <v xml:space="preserve">41 - Production of ammonia </v>
      </c>
    </row>
    <row r="7512" spans="1:11" x14ac:dyDescent="0.3">
      <c r="A7512" t="s">
        <v>2096</v>
      </c>
      <c r="B7512" t="s">
        <v>2097</v>
      </c>
      <c r="C7512">
        <v>33</v>
      </c>
      <c r="D7512" t="s">
        <v>1447</v>
      </c>
      <c r="E7512" t="s">
        <v>1988</v>
      </c>
      <c r="F7512" t="s">
        <v>1737</v>
      </c>
      <c r="K7512" t="str">
        <f>IF(ISBLANK('Q 8'!$C189),"",IF('Q 8'!$C189="&lt;please select&gt;","",'Q 8'!$C189))</f>
        <v xml:space="preserve">42 - Production of bulk organic chemicals as specified in Annex I of Directive 2003/87/EC </v>
      </c>
    </row>
    <row r="7513" spans="1:11" x14ac:dyDescent="0.3">
      <c r="A7513" t="s">
        <v>2096</v>
      </c>
      <c r="B7513" t="s">
        <v>2097</v>
      </c>
      <c r="C7513">
        <v>34</v>
      </c>
      <c r="D7513" t="s">
        <v>1447</v>
      </c>
      <c r="E7513" t="s">
        <v>1988</v>
      </c>
      <c r="F7513" t="s">
        <v>1737</v>
      </c>
      <c r="K7513" t="str">
        <f>IF(ISBLANK('Q 8'!$C190),"",IF('Q 8'!$C190="&lt;please select&gt;","",'Q 8'!$C190))</f>
        <v xml:space="preserve">43 - Production of hydrogen (H2) and synthesis gas as specified in Annex I of Directive 2003/87/EC </v>
      </c>
    </row>
    <row r="7514" spans="1:11" x14ac:dyDescent="0.3">
      <c r="A7514" t="s">
        <v>2096</v>
      </c>
      <c r="B7514" t="s">
        <v>2097</v>
      </c>
      <c r="C7514">
        <v>35</v>
      </c>
      <c r="D7514" t="s">
        <v>1447</v>
      </c>
      <c r="E7514" t="s">
        <v>1988</v>
      </c>
      <c r="F7514" t="s">
        <v>1737</v>
      </c>
      <c r="K7514" t="str">
        <f>IF(ISBLANK('Q 8'!$C191),"",IF('Q 8'!$C191="&lt;please select&gt;","",'Q 8'!$C191))</f>
        <v xml:space="preserve">39 - Production of adipic acid </v>
      </c>
    </row>
    <row r="7515" spans="1:11" x14ac:dyDescent="0.3">
      <c r="A7515" t="s">
        <v>2096</v>
      </c>
      <c r="B7515" t="s">
        <v>2097</v>
      </c>
      <c r="C7515">
        <v>36</v>
      </c>
      <c r="D7515" t="s">
        <v>1447</v>
      </c>
      <c r="E7515" t="s">
        <v>1988</v>
      </c>
      <c r="F7515" t="s">
        <v>1737</v>
      </c>
      <c r="K7515" t="str">
        <f>IF(ISBLANK('Q 8'!$C192),"",IF('Q 8'!$C192="&lt;please select&gt;","",'Q 8'!$C192))</f>
        <v>28 - Production or processing of non-ferrous metals as specified in Annex I of Directive 2003/87/EC</v>
      </c>
    </row>
    <row r="7516" spans="1:11" x14ac:dyDescent="0.3">
      <c r="A7516" t="s">
        <v>2096</v>
      </c>
      <c r="B7516" t="s">
        <v>2097</v>
      </c>
      <c r="C7516">
        <v>37</v>
      </c>
      <c r="D7516" t="s">
        <v>1447</v>
      </c>
      <c r="E7516" t="s">
        <v>1988</v>
      </c>
      <c r="F7516" t="s">
        <v>1737</v>
      </c>
      <c r="K7516" t="str">
        <f>IF(ISBLANK('Q 8'!$C193),"",IF('Q 8'!$C193="&lt;please select&gt;","",'Q 8'!$C193))</f>
        <v>34 - Drying or calcination of gypsum or production of plaster boards and other gypsum products, as specified in Annex I of Directive 2003/87/EC</v>
      </c>
    </row>
    <row r="7517" spans="1:11" x14ac:dyDescent="0.3">
      <c r="A7517" t="s">
        <v>2096</v>
      </c>
      <c r="B7517" t="s">
        <v>2097</v>
      </c>
      <c r="C7517">
        <v>38</v>
      </c>
      <c r="D7517" t="s">
        <v>1447</v>
      </c>
      <c r="E7517" t="s">
        <v>1988</v>
      </c>
      <c r="F7517" t="s">
        <v>1737</v>
      </c>
      <c r="K7517" t="str">
        <f>IF(ISBLANK('Q 8'!$C194),"",IF('Q 8'!$C194="&lt;please select&gt;","",'Q 8'!$C194))</f>
        <v>26 - Production of primary aluminium</v>
      </c>
    </row>
    <row r="7518" spans="1:11" x14ac:dyDescent="0.3">
      <c r="A7518" t="s">
        <v>2096</v>
      </c>
      <c r="B7518" t="s">
        <v>2097</v>
      </c>
      <c r="C7518">
        <v>39</v>
      </c>
      <c r="D7518" t="s">
        <v>1447</v>
      </c>
      <c r="E7518" t="s">
        <v>1988</v>
      </c>
      <c r="F7518" t="s">
        <v>1737</v>
      </c>
      <c r="K7518" t="str">
        <f>IF(ISBLANK('Q 8'!$C195),"",IF('Q 8'!$C195="&lt;please select&gt;","",'Q 8'!$C195))</f>
        <v xml:space="preserve">22 - Production of coke </v>
      </c>
    </row>
    <row r="7519" spans="1:11" x14ac:dyDescent="0.3">
      <c r="A7519" t="s">
        <v>2096</v>
      </c>
      <c r="B7519" t="s">
        <v>2097</v>
      </c>
      <c r="C7519">
        <v>40</v>
      </c>
      <c r="D7519" t="s">
        <v>1447</v>
      </c>
      <c r="E7519" t="s">
        <v>1988</v>
      </c>
      <c r="F7519" t="s">
        <v>1737</v>
      </c>
      <c r="K7519" t="str">
        <f>IF(ISBLANK('Q 8'!$C196),"",IF('Q 8'!$C196="&lt;please select&gt;","",'Q 8'!$C196))</f>
        <v>20 - Combustion of fuels as specified in Annex I of Directive 2003/87/EC</v>
      </c>
    </row>
    <row r="7520" spans="1:11" x14ac:dyDescent="0.3">
      <c r="A7520" t="s">
        <v>2096</v>
      </c>
      <c r="B7520" t="s">
        <v>2097</v>
      </c>
      <c r="C7520">
        <v>41</v>
      </c>
      <c r="D7520" t="s">
        <v>1447</v>
      </c>
      <c r="E7520" t="s">
        <v>1988</v>
      </c>
      <c r="F7520" t="s">
        <v>1737</v>
      </c>
      <c r="K7520" t="str">
        <f>IF(ISBLANK('Q 8'!$C197),"",IF('Q 8'!$C197="&lt;please select&gt;","",'Q 8'!$C197))</f>
        <v>35 - Production of pulp as specified in Annex I of Directive 2003/87/EC</v>
      </c>
    </row>
    <row r="7521" spans="1:11" x14ac:dyDescent="0.3">
      <c r="A7521" t="s">
        <v>2096</v>
      </c>
      <c r="B7521" t="s">
        <v>2097</v>
      </c>
      <c r="C7521">
        <v>42</v>
      </c>
      <c r="D7521" t="s">
        <v>1447</v>
      </c>
      <c r="E7521" t="s">
        <v>1988</v>
      </c>
      <c r="F7521" t="s">
        <v>1737</v>
      </c>
      <c r="K7521" t="str">
        <f>IF(ISBLANK('Q 8'!$C198),"",IF('Q 8'!$C198="&lt;please select&gt;","",'Q 8'!$C198))</f>
        <v>31 - Manufacture of glass as specified in Annex I of Directive 2003/87/EC</v>
      </c>
    </row>
    <row r="7522" spans="1:11" x14ac:dyDescent="0.3">
      <c r="A7522" t="s">
        <v>2096</v>
      </c>
      <c r="B7522" t="s">
        <v>2097</v>
      </c>
      <c r="C7522">
        <v>43</v>
      </c>
      <c r="D7522" t="s">
        <v>1447</v>
      </c>
      <c r="E7522" t="s">
        <v>1988</v>
      </c>
      <c r="F7522" t="s">
        <v>1737</v>
      </c>
      <c r="K7522" t="str">
        <f>IF(ISBLANK('Q 8'!$C199),"",IF('Q 8'!$C199="&lt;please select&gt;","",'Q 8'!$C199))</f>
        <v xml:space="preserve">36 - Production of paper or cardboard as specified in Annex I of Directive 2003/87/EC </v>
      </c>
    </row>
    <row r="7523" spans="1:11" x14ac:dyDescent="0.3">
      <c r="A7523" t="s">
        <v>2096</v>
      </c>
      <c r="B7523" t="s">
        <v>2097</v>
      </c>
      <c r="C7523">
        <v>44</v>
      </c>
      <c r="D7523" t="s">
        <v>1447</v>
      </c>
      <c r="E7523" t="s">
        <v>1988</v>
      </c>
      <c r="F7523" t="s">
        <v>1737</v>
      </c>
      <c r="K7523" t="str">
        <f>IF(ISBLANK('Q 8'!$C200),"",IF('Q 8'!$C200="&lt;please select&gt;","",'Q 8'!$C200))</f>
        <v>25 - Production or processing of ferrous metals as specified in Annex I of Directive 2003/87/EC</v>
      </c>
    </row>
    <row r="7524" spans="1:11" x14ac:dyDescent="0.3">
      <c r="A7524" t="s">
        <v>2096</v>
      </c>
      <c r="B7524" t="s">
        <v>2097</v>
      </c>
      <c r="C7524">
        <v>45</v>
      </c>
      <c r="D7524" t="s">
        <v>1447</v>
      </c>
      <c r="E7524" t="s">
        <v>1988</v>
      </c>
      <c r="F7524" t="s">
        <v>1737</v>
      </c>
      <c r="K7524" t="str">
        <f>IF(ISBLANK('Q 8'!$C201),"",IF('Q 8'!$C201="&lt;please select&gt;","",'Q 8'!$C201))</f>
        <v>32 - Manufacture of ceramic products as specified in Annex I of Directive 2003/87/EC</v>
      </c>
    </row>
    <row r="7525" spans="1:11" x14ac:dyDescent="0.3">
      <c r="A7525" t="s">
        <v>2096</v>
      </c>
      <c r="B7525" t="s">
        <v>2097</v>
      </c>
      <c r="C7525">
        <v>46</v>
      </c>
      <c r="D7525" t="s">
        <v>1447</v>
      </c>
      <c r="E7525" t="s">
        <v>1988</v>
      </c>
      <c r="F7525" t="s">
        <v>1737</v>
      </c>
      <c r="K7525" t="str">
        <f>IF(ISBLANK('Q 8'!$C202),"",IF('Q 8'!$C202="&lt;please select&gt;","",'Q 8'!$C202))</f>
        <v>24 - Production of pig iron or steel as specified in Annex I of Directive 2003/87/EC</v>
      </c>
    </row>
    <row r="7526" spans="1:11" x14ac:dyDescent="0.3">
      <c r="A7526" t="s">
        <v>2096</v>
      </c>
      <c r="B7526" t="s">
        <v>2097</v>
      </c>
      <c r="C7526">
        <v>47</v>
      </c>
      <c r="D7526" t="s">
        <v>1447</v>
      </c>
      <c r="E7526" t="s">
        <v>1988</v>
      </c>
      <c r="F7526" t="s">
        <v>1737</v>
      </c>
      <c r="K7526" t="str">
        <f>IF(ISBLANK('Q 8'!$C203),"",IF('Q 8'!$C203="&lt;please select&gt;","",'Q 8'!$C203))</f>
        <v>29 - Production of cement clinker in rotary kilns as specified in Annex I of Directive 2003/87/ EC</v>
      </c>
    </row>
    <row r="7527" spans="1:11" x14ac:dyDescent="0.3">
      <c r="A7527" t="s">
        <v>2096</v>
      </c>
      <c r="B7527" t="s">
        <v>2097</v>
      </c>
      <c r="C7527">
        <v>48</v>
      </c>
      <c r="D7527" t="s">
        <v>1447</v>
      </c>
      <c r="E7527" t="s">
        <v>1988</v>
      </c>
      <c r="F7527" t="s">
        <v>1737</v>
      </c>
      <c r="K7527" t="str">
        <f>IF(ISBLANK('Q 8'!$C204),"",IF('Q 8'!$C204="&lt;please select&gt;","",'Q 8'!$C204))</f>
        <v>33 - Manufacture of mineral wool insulation material using glass, rock or slag as specified in Annex I of Directive 2003/87/EC</v>
      </c>
    </row>
    <row r="7528" spans="1:11" x14ac:dyDescent="0.3">
      <c r="A7528" t="s">
        <v>2096</v>
      </c>
      <c r="B7528" t="s">
        <v>2097</v>
      </c>
      <c r="C7528">
        <v>49</v>
      </c>
      <c r="D7528" t="s">
        <v>1447</v>
      </c>
      <c r="E7528" t="s">
        <v>1988</v>
      </c>
      <c r="F7528" t="s">
        <v>1737</v>
      </c>
      <c r="K7528" t="str">
        <f>IF(ISBLANK('Q 8'!$C205),"",IF('Q 8'!$C205="&lt;please select&gt;","",'Q 8'!$C205))</f>
        <v>21 - Refining of mineral oil</v>
      </c>
    </row>
    <row r="7529" spans="1:11" x14ac:dyDescent="0.3">
      <c r="A7529" t="s">
        <v>2096</v>
      </c>
      <c r="B7529" t="s">
        <v>2097</v>
      </c>
      <c r="C7529">
        <v>50</v>
      </c>
      <c r="D7529" t="s">
        <v>1447</v>
      </c>
      <c r="E7529" t="s">
        <v>1988</v>
      </c>
      <c r="F7529" t="s">
        <v>1737</v>
      </c>
      <c r="K7529" t="str">
        <f>IF(ISBLANK('Q 8'!$C206),"",IF('Q 8'!$C206="&lt;please select&gt;","",'Q 8'!$C206))</f>
        <v xml:space="preserve">41 - Production of ammonia </v>
      </c>
    </row>
    <row r="7530" spans="1:11" x14ac:dyDescent="0.3">
      <c r="A7530" t="s">
        <v>2096</v>
      </c>
      <c r="B7530" t="s">
        <v>2097</v>
      </c>
      <c r="C7530">
        <v>51</v>
      </c>
      <c r="D7530" t="s">
        <v>1447</v>
      </c>
      <c r="E7530" t="s">
        <v>1988</v>
      </c>
      <c r="F7530" t="s">
        <v>1737</v>
      </c>
      <c r="K7530" t="str">
        <f>IF(ISBLANK('Q 8'!$C207),"",IF('Q 8'!$C207="&lt;please select&gt;","",'Q 8'!$C207))</f>
        <v xml:space="preserve">42 - Production of bulk organic chemicals as specified in Annex I of Directive 2003/87/EC </v>
      </c>
    </row>
    <row r="7531" spans="1:11" x14ac:dyDescent="0.3">
      <c r="A7531" t="s">
        <v>2096</v>
      </c>
      <c r="B7531" t="s">
        <v>2097</v>
      </c>
      <c r="C7531">
        <v>52</v>
      </c>
      <c r="D7531" t="s">
        <v>1447</v>
      </c>
      <c r="E7531" t="s">
        <v>1988</v>
      </c>
      <c r="F7531" t="s">
        <v>1737</v>
      </c>
      <c r="K7531" t="str">
        <f>IF(ISBLANK('Q 8'!$C208),"",IF('Q 8'!$C208="&lt;please select&gt;","",'Q 8'!$C208))</f>
        <v xml:space="preserve">43 - Production of hydrogen (H2) and synthesis gas as specified in Annex I of Directive 2003/87/EC </v>
      </c>
    </row>
    <row r="7532" spans="1:11" x14ac:dyDescent="0.3">
      <c r="A7532" t="s">
        <v>2096</v>
      </c>
      <c r="B7532" t="s">
        <v>2097</v>
      </c>
      <c r="C7532">
        <v>53</v>
      </c>
      <c r="D7532" t="s">
        <v>1447</v>
      </c>
      <c r="E7532" t="s">
        <v>1988</v>
      </c>
      <c r="F7532" t="s">
        <v>1737</v>
      </c>
      <c r="K7532" t="str">
        <f>IF(ISBLANK('Q 8'!$C209),"",IF('Q 8'!$C209="&lt;please select&gt;","",'Q 8'!$C209))</f>
        <v>28 - Production or processing of non-ferrous metals as specified in Annex I of Directive 2003/87/EC</v>
      </c>
    </row>
    <row r="7533" spans="1:11" x14ac:dyDescent="0.3">
      <c r="A7533" t="s">
        <v>2096</v>
      </c>
      <c r="B7533" t="s">
        <v>2097</v>
      </c>
      <c r="C7533">
        <v>54</v>
      </c>
      <c r="D7533" t="s">
        <v>1447</v>
      </c>
      <c r="E7533" t="s">
        <v>1988</v>
      </c>
      <c r="F7533" t="s">
        <v>1737</v>
      </c>
      <c r="K7533" t="str">
        <f>IF(ISBLANK('Q 8'!$C210),"",IF('Q 8'!$C210="&lt;please select&gt;","",'Q 8'!$C210))</f>
        <v>34 - Drying or calcination of gypsum or production of plaster boards and other gypsum products, as specified in Annex I of Directive 2003/87/EC</v>
      </c>
    </row>
    <row r="7534" spans="1:11" x14ac:dyDescent="0.3">
      <c r="A7534" t="s">
        <v>2096</v>
      </c>
      <c r="B7534" t="s">
        <v>2097</v>
      </c>
      <c r="C7534">
        <v>55</v>
      </c>
      <c r="D7534" t="s">
        <v>1447</v>
      </c>
      <c r="E7534" t="s">
        <v>1988</v>
      </c>
      <c r="F7534" t="s">
        <v>1737</v>
      </c>
      <c r="K7534" t="str">
        <f>IF(ISBLANK('Q 8'!$C211),"",IF('Q 8'!$C211="&lt;please select&gt;","",'Q 8'!$C211))</f>
        <v xml:space="preserve">22 - Production of coke </v>
      </c>
    </row>
    <row r="7535" spans="1:11" x14ac:dyDescent="0.3">
      <c r="A7535" t="s">
        <v>2096</v>
      </c>
      <c r="B7535" t="s">
        <v>2097</v>
      </c>
      <c r="C7535">
        <v>56</v>
      </c>
      <c r="D7535" t="s">
        <v>1447</v>
      </c>
      <c r="E7535" t="s">
        <v>1988</v>
      </c>
      <c r="F7535" t="s">
        <v>1737</v>
      </c>
      <c r="K7535" t="str">
        <f>IF(ISBLANK('Q 8'!$C212),"",IF('Q 8'!$C212="&lt;please select&gt;","",'Q 8'!$C212))</f>
        <v xml:space="preserve">40 - Production of glyoxal and glyoxylic acid </v>
      </c>
    </row>
    <row r="7536" spans="1:11" x14ac:dyDescent="0.3">
      <c r="A7536" t="s">
        <v>2096</v>
      </c>
      <c r="B7536" t="s">
        <v>2097</v>
      </c>
      <c r="C7536">
        <v>57</v>
      </c>
      <c r="D7536" t="s">
        <v>1447</v>
      </c>
      <c r="E7536" t="s">
        <v>1988</v>
      </c>
      <c r="F7536" t="s">
        <v>1737</v>
      </c>
      <c r="K7536" t="str">
        <f>IF(ISBLANK('Q 8'!$C213),"",IF('Q 8'!$C213="&lt;please select&gt;","",'Q 8'!$C213))</f>
        <v>20 - Combustion of fuels as specified in Annex I of Directive 2003/87/EC</v>
      </c>
    </row>
    <row r="7537" spans="1:11" x14ac:dyDescent="0.3">
      <c r="A7537" t="s">
        <v>2096</v>
      </c>
      <c r="B7537" t="s">
        <v>2097</v>
      </c>
      <c r="C7537">
        <v>58</v>
      </c>
      <c r="D7537" t="s">
        <v>1447</v>
      </c>
      <c r="E7537" t="s">
        <v>1988</v>
      </c>
      <c r="F7537" t="s">
        <v>1737</v>
      </c>
      <c r="K7537" t="str">
        <f>IF(ISBLANK('Q 8'!$C214),"",IF('Q 8'!$C214="&lt;please select&gt;","",'Q 8'!$C214))</f>
        <v>35 - Production of pulp as specified in Annex I of Directive 2003/87/EC</v>
      </c>
    </row>
    <row r="7538" spans="1:11" x14ac:dyDescent="0.3">
      <c r="A7538" t="s">
        <v>2096</v>
      </c>
      <c r="B7538" t="s">
        <v>2097</v>
      </c>
      <c r="C7538">
        <v>59</v>
      </c>
      <c r="D7538" t="s">
        <v>1447</v>
      </c>
      <c r="E7538" t="s">
        <v>1988</v>
      </c>
      <c r="F7538" t="s">
        <v>1737</v>
      </c>
      <c r="K7538" t="str">
        <f>IF(ISBLANK('Q 8'!$C215),"",IF('Q 8'!$C215="&lt;please select&gt;","",'Q 8'!$C215))</f>
        <v>31 - Manufacture of glass as specified in Annex I of Directive 2003/87/EC</v>
      </c>
    </row>
    <row r="7539" spans="1:11" x14ac:dyDescent="0.3">
      <c r="A7539" t="s">
        <v>2096</v>
      </c>
      <c r="B7539" t="s">
        <v>2097</v>
      </c>
      <c r="C7539">
        <v>60</v>
      </c>
      <c r="D7539" t="s">
        <v>1447</v>
      </c>
      <c r="E7539" t="s">
        <v>1988</v>
      </c>
      <c r="F7539" t="s">
        <v>1737</v>
      </c>
      <c r="K7539" t="str">
        <f>IF(ISBLANK('Q 8'!$C216),"",IF('Q 8'!$C216="&lt;please select&gt;","",'Q 8'!$C216))</f>
        <v xml:space="preserve">36 - Production of paper or cardboard as specified in Annex I of Directive 2003/87/EC </v>
      </c>
    </row>
    <row r="7540" spans="1:11" x14ac:dyDescent="0.3">
      <c r="A7540" t="s">
        <v>2096</v>
      </c>
      <c r="B7540" t="s">
        <v>2097</v>
      </c>
      <c r="C7540">
        <v>61</v>
      </c>
      <c r="D7540" t="s">
        <v>1447</v>
      </c>
      <c r="E7540" t="s">
        <v>1988</v>
      </c>
      <c r="F7540" t="s">
        <v>1737</v>
      </c>
      <c r="K7540" t="str">
        <f>IF(ISBLANK('Q 8'!$C217),"",IF('Q 8'!$C217="&lt;please select&gt;","",'Q 8'!$C217))</f>
        <v>25 - Production or processing of ferrous metals as specified in Annex I of Directive 2003/87/EC</v>
      </c>
    </row>
    <row r="7541" spans="1:11" x14ac:dyDescent="0.3">
      <c r="A7541" t="s">
        <v>2096</v>
      </c>
      <c r="B7541" t="s">
        <v>2097</v>
      </c>
      <c r="C7541">
        <v>62</v>
      </c>
      <c r="D7541" t="s">
        <v>1447</v>
      </c>
      <c r="E7541" t="s">
        <v>1988</v>
      </c>
      <c r="F7541" t="s">
        <v>1737</v>
      </c>
      <c r="K7541" t="str">
        <f>IF(ISBLANK('Q 8'!$C218),"",IF('Q 8'!$C218="&lt;please select&gt;","",'Q 8'!$C218))</f>
        <v>32 - Manufacture of ceramic products as specified in Annex I of Directive 2003/87/EC</v>
      </c>
    </row>
    <row r="7542" spans="1:11" x14ac:dyDescent="0.3">
      <c r="A7542" t="s">
        <v>2096</v>
      </c>
      <c r="B7542" t="s">
        <v>2097</v>
      </c>
      <c r="C7542">
        <v>63</v>
      </c>
      <c r="D7542" t="s">
        <v>1447</v>
      </c>
      <c r="E7542" t="s">
        <v>1988</v>
      </c>
      <c r="F7542" t="s">
        <v>1737</v>
      </c>
      <c r="K7542" t="str">
        <f>IF(ISBLANK('Q 8'!$C219),"",IF('Q 8'!$C219="&lt;please select&gt;","",'Q 8'!$C219))</f>
        <v>30 - Production of lime or calcination of dolomite or magnesite as specified in Annex I of Directive 2003/87/ EC</v>
      </c>
    </row>
    <row r="7543" spans="1:11" x14ac:dyDescent="0.3">
      <c r="A7543" t="s">
        <v>2096</v>
      </c>
      <c r="B7543" t="s">
        <v>2097</v>
      </c>
      <c r="C7543">
        <v>64</v>
      </c>
      <c r="D7543" t="s">
        <v>1447</v>
      </c>
      <c r="E7543" t="s">
        <v>1988</v>
      </c>
      <c r="F7543" t="s">
        <v>1737</v>
      </c>
      <c r="K7543" t="str">
        <f>IF(ISBLANK('Q 8'!$C220),"",IF('Q 8'!$C220="&lt;please select&gt;","",'Q 8'!$C220))</f>
        <v>24 - Production of pig iron or steel as specified in Annex I of Directive 2003/87/EC</v>
      </c>
    </row>
    <row r="7544" spans="1:11" x14ac:dyDescent="0.3">
      <c r="A7544" t="s">
        <v>2096</v>
      </c>
      <c r="B7544" t="s">
        <v>2097</v>
      </c>
      <c r="C7544">
        <v>65</v>
      </c>
      <c r="D7544" t="s">
        <v>1447</v>
      </c>
      <c r="E7544" t="s">
        <v>1988</v>
      </c>
      <c r="F7544" t="s">
        <v>1737</v>
      </c>
      <c r="K7544" t="str">
        <f>IF(ISBLANK('Q 8'!$C221),"",IF('Q 8'!$C221="&lt;please select&gt;","",'Q 8'!$C221))</f>
        <v>29 - Production of cement clinker in rotary kilns as specified in Annex I of Directive 2003/87/ EC</v>
      </c>
    </row>
    <row r="7545" spans="1:11" x14ac:dyDescent="0.3">
      <c r="A7545" t="s">
        <v>2096</v>
      </c>
      <c r="B7545" t="s">
        <v>2097</v>
      </c>
      <c r="C7545">
        <v>66</v>
      </c>
      <c r="D7545" t="s">
        <v>1447</v>
      </c>
      <c r="E7545" t="s">
        <v>1988</v>
      </c>
      <c r="F7545" t="s">
        <v>1737</v>
      </c>
      <c r="K7545" t="str">
        <f>IF(ISBLANK('Q 8'!$C222),"",IF('Q 8'!$C222="&lt;please select&gt;","",'Q 8'!$C222))</f>
        <v>33 - Manufacture of mineral wool insulation material using glass, rock or slag as specified in Annex I of Directive 2003/87/EC</v>
      </c>
    </row>
    <row r="7546" spans="1:11" x14ac:dyDescent="0.3">
      <c r="A7546" t="s">
        <v>2096</v>
      </c>
      <c r="B7546" t="s">
        <v>2097</v>
      </c>
      <c r="C7546">
        <v>67</v>
      </c>
      <c r="D7546" t="s">
        <v>1447</v>
      </c>
      <c r="E7546" t="s">
        <v>1988</v>
      </c>
      <c r="F7546" t="s">
        <v>1737</v>
      </c>
      <c r="K7546" t="str">
        <f>IF(ISBLANK('Q 8'!$C223),"",IF('Q 8'!$C223="&lt;please select&gt;","",'Q 8'!$C223))</f>
        <v>21 - Refining of mineral oil</v>
      </c>
    </row>
    <row r="7547" spans="1:11" x14ac:dyDescent="0.3">
      <c r="A7547" t="s">
        <v>2096</v>
      </c>
      <c r="B7547" t="s">
        <v>2097</v>
      </c>
      <c r="C7547">
        <v>68</v>
      </c>
      <c r="D7547" t="s">
        <v>1447</v>
      </c>
      <c r="E7547" t="s">
        <v>1988</v>
      </c>
      <c r="F7547" t="s">
        <v>1737</v>
      </c>
      <c r="K7547" t="str">
        <f>IF(ISBLANK('Q 8'!$C224),"",IF('Q 8'!$C224="&lt;please select&gt;","",'Q 8'!$C224))</f>
        <v xml:space="preserve">41 - Production of ammonia </v>
      </c>
    </row>
    <row r="7548" spans="1:11" x14ac:dyDescent="0.3">
      <c r="A7548" t="s">
        <v>2096</v>
      </c>
      <c r="B7548" t="s">
        <v>2097</v>
      </c>
      <c r="C7548">
        <v>69</v>
      </c>
      <c r="D7548" t="s">
        <v>1447</v>
      </c>
      <c r="E7548" t="s">
        <v>1988</v>
      </c>
      <c r="F7548" t="s">
        <v>1737</v>
      </c>
      <c r="K7548" t="str">
        <f>IF(ISBLANK('Q 8'!$C225),"",IF('Q 8'!$C225="&lt;please select&gt;","",'Q 8'!$C225))</f>
        <v xml:space="preserve">42 - Production of bulk organic chemicals as specified in Annex I of Directive 2003/87/EC </v>
      </c>
    </row>
    <row r="7549" spans="1:11" x14ac:dyDescent="0.3">
      <c r="A7549" t="s">
        <v>2096</v>
      </c>
      <c r="B7549" t="s">
        <v>2097</v>
      </c>
      <c r="C7549">
        <v>70</v>
      </c>
      <c r="D7549" t="s">
        <v>1447</v>
      </c>
      <c r="E7549" t="s">
        <v>1988</v>
      </c>
      <c r="F7549" t="s">
        <v>1737</v>
      </c>
      <c r="K7549" t="str">
        <f>IF(ISBLANK('Q 8'!$C226),"",IF('Q 8'!$C226="&lt;please select&gt;","",'Q 8'!$C226))</f>
        <v xml:space="preserve">43 - Production of hydrogen (H2) and synthesis gas as specified in Annex I of Directive 2003/87/EC </v>
      </c>
    </row>
    <row r="7550" spans="1:11" x14ac:dyDescent="0.3">
      <c r="A7550" t="s">
        <v>2096</v>
      </c>
      <c r="B7550" t="s">
        <v>2097</v>
      </c>
      <c r="C7550">
        <v>71</v>
      </c>
      <c r="D7550" t="s">
        <v>1447</v>
      </c>
      <c r="E7550" t="s">
        <v>1988</v>
      </c>
      <c r="F7550" t="s">
        <v>1737</v>
      </c>
      <c r="K7550" t="str">
        <f>IF(ISBLANK('Q 8'!$C227),"",IF('Q 8'!$C227="&lt;please select&gt;","",'Q 8'!$C227))</f>
        <v xml:space="preserve">39 - Production of adipic acid </v>
      </c>
    </row>
    <row r="7551" spans="1:11" x14ac:dyDescent="0.3">
      <c r="A7551" t="s">
        <v>2096</v>
      </c>
      <c r="B7551" t="s">
        <v>2097</v>
      </c>
      <c r="C7551">
        <v>72</v>
      </c>
      <c r="D7551" t="s">
        <v>1447</v>
      </c>
      <c r="E7551" t="s">
        <v>1988</v>
      </c>
      <c r="F7551" t="s">
        <v>1737</v>
      </c>
      <c r="K7551" t="str">
        <f>IF(ISBLANK('Q 8'!$C228),"",IF('Q 8'!$C228="&lt;please select&gt;","",'Q 8'!$C228))</f>
        <v>28 - Production or processing of non-ferrous metals as specified in Annex I of Directive 2003/87/EC</v>
      </c>
    </row>
    <row r="7552" spans="1:11" x14ac:dyDescent="0.3">
      <c r="A7552" t="s">
        <v>2096</v>
      </c>
      <c r="B7552" t="s">
        <v>2097</v>
      </c>
      <c r="C7552">
        <v>73</v>
      </c>
      <c r="D7552" t="s">
        <v>1447</v>
      </c>
      <c r="E7552" t="s">
        <v>1988</v>
      </c>
      <c r="F7552" t="s">
        <v>1737</v>
      </c>
      <c r="K7552" t="str">
        <f>IF(ISBLANK('Q 8'!$C229),"",IF('Q 8'!$C229="&lt;please select&gt;","",'Q 8'!$C229))</f>
        <v>34 - Drying or calcination of gypsum or production of plaster boards and other gypsum products, as specified in Annex I of Directive 2003/87/EC</v>
      </c>
    </row>
    <row r="7553" spans="1:11" x14ac:dyDescent="0.3">
      <c r="A7553" t="s">
        <v>2096</v>
      </c>
      <c r="B7553" t="s">
        <v>2097</v>
      </c>
      <c r="C7553">
        <v>74</v>
      </c>
      <c r="D7553" t="s">
        <v>1447</v>
      </c>
      <c r="E7553" t="s">
        <v>1988</v>
      </c>
      <c r="F7553" t="s">
        <v>1737</v>
      </c>
      <c r="K7553" t="str">
        <f>IF(ISBLANK('Q 8'!$C230),"",IF('Q 8'!$C230="&lt;please select&gt;","",'Q 8'!$C230))</f>
        <v>26 - Production of primary aluminium</v>
      </c>
    </row>
    <row r="7554" spans="1:11" x14ac:dyDescent="0.3">
      <c r="A7554" t="s">
        <v>2096</v>
      </c>
      <c r="B7554" t="s">
        <v>2097</v>
      </c>
      <c r="C7554">
        <v>75</v>
      </c>
      <c r="D7554" t="s">
        <v>1447</v>
      </c>
      <c r="E7554" t="s">
        <v>1988</v>
      </c>
      <c r="F7554" t="s">
        <v>1737</v>
      </c>
      <c r="K7554" t="str">
        <f>IF(ISBLANK('Q 8'!$C231),"",IF('Q 8'!$C231="&lt;please select&gt;","",'Q 8'!$C231))</f>
        <v xml:space="preserve">22 - Production of coke </v>
      </c>
    </row>
    <row r="7555" spans="1:11" x14ac:dyDescent="0.3">
      <c r="A7555" t="s">
        <v>2096</v>
      </c>
      <c r="B7555" t="s">
        <v>2097</v>
      </c>
      <c r="C7555">
        <v>76</v>
      </c>
      <c r="D7555" t="s">
        <v>1447</v>
      </c>
      <c r="E7555" t="s">
        <v>1988</v>
      </c>
      <c r="F7555" t="s">
        <v>1737</v>
      </c>
      <c r="K7555" t="str">
        <f>IF(ISBLANK('Q 8'!$C232),"",IF('Q 8'!$C232="&lt;please select&gt;","",'Q 8'!$C232))</f>
        <v xml:space="preserve">40 - Production of glyoxal and glyoxylic acid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Non-compliance with Implementing Regulation (EU) 2018/2066</v>
      </c>
    </row>
    <row r="7561" spans="1:11" x14ac:dyDescent="0.3">
      <c r="A7561" t="s">
        <v>2096</v>
      </c>
      <c r="B7561" t="s">
        <v>2097</v>
      </c>
      <c r="C7561">
        <v>2</v>
      </c>
      <c r="D7561" t="s">
        <v>1447</v>
      </c>
      <c r="E7561" t="s">
        <v>1989</v>
      </c>
      <c r="F7561" t="s">
        <v>1737</v>
      </c>
      <c r="K7561" t="str">
        <f>IF(ISBLANK('Q 8'!$E158),"",IF('Q 8'!$E158="&lt;please select&gt;","",'Q 8'!$E158))</f>
        <v>Non-compliance with Implementing Regulation (EU) 2018/2066</v>
      </c>
    </row>
    <row r="7562" spans="1:11" x14ac:dyDescent="0.3">
      <c r="A7562" t="s">
        <v>2096</v>
      </c>
      <c r="B7562" t="s">
        <v>2097</v>
      </c>
      <c r="C7562">
        <v>3</v>
      </c>
      <c r="D7562" t="s">
        <v>1447</v>
      </c>
      <c r="E7562" t="s">
        <v>1989</v>
      </c>
      <c r="F7562" t="s">
        <v>1737</v>
      </c>
      <c r="K7562" t="str">
        <f>IF(ISBLANK('Q 8'!$E159),"",IF('Q 8'!$E159="&lt;please select&gt;","",'Q 8'!$E159))</f>
        <v>Non-compliance with Implementing Regulation (EU) 2018/2066</v>
      </c>
    </row>
    <row r="7563" spans="1:11" x14ac:dyDescent="0.3">
      <c r="A7563" t="s">
        <v>2096</v>
      </c>
      <c r="B7563" t="s">
        <v>2097</v>
      </c>
      <c r="C7563">
        <v>4</v>
      </c>
      <c r="D7563" t="s">
        <v>1447</v>
      </c>
      <c r="E7563" t="s">
        <v>1989</v>
      </c>
      <c r="F7563" t="s">
        <v>1737</v>
      </c>
      <c r="K7563" t="str">
        <f>IF(ISBLANK('Q 8'!$E160),"",IF('Q 8'!$E160="&lt;please select&gt;","",'Q 8'!$E160))</f>
        <v>Non-compliance with Implementing Regulation (EU) 2018/2066</v>
      </c>
    </row>
    <row r="7564" spans="1:11" x14ac:dyDescent="0.3">
      <c r="A7564" t="s">
        <v>2096</v>
      </c>
      <c r="B7564" t="s">
        <v>2097</v>
      </c>
      <c r="C7564">
        <v>5</v>
      </c>
      <c r="D7564" t="s">
        <v>1447</v>
      </c>
      <c r="E7564" t="s">
        <v>1989</v>
      </c>
      <c r="F7564" t="s">
        <v>1737</v>
      </c>
      <c r="K7564" t="str">
        <f>IF(ISBLANK('Q 8'!$E161),"",IF('Q 8'!$E161="&lt;please select&gt;","",'Q 8'!$E161))</f>
        <v>Non-compliance with Implementing Regulation (EU) 2018/2066</v>
      </c>
    </row>
    <row r="7565" spans="1:11" x14ac:dyDescent="0.3">
      <c r="A7565" t="s">
        <v>2096</v>
      </c>
      <c r="B7565" t="s">
        <v>2097</v>
      </c>
      <c r="C7565">
        <v>6</v>
      </c>
      <c r="D7565" t="s">
        <v>1447</v>
      </c>
      <c r="E7565" t="s">
        <v>1989</v>
      </c>
      <c r="F7565" t="s">
        <v>1737</v>
      </c>
      <c r="K7565" t="str">
        <f>IF(ISBLANK('Q 8'!$E162),"",IF('Q 8'!$E162="&lt;please select&gt;","",'Q 8'!$E162))</f>
        <v>Non-compliance with Implementing Regulation (EU) 2018/2066</v>
      </c>
    </row>
    <row r="7566" spans="1:11" x14ac:dyDescent="0.3">
      <c r="A7566" t="s">
        <v>2096</v>
      </c>
      <c r="B7566" t="s">
        <v>2097</v>
      </c>
      <c r="C7566">
        <v>7</v>
      </c>
      <c r="D7566" t="s">
        <v>1447</v>
      </c>
      <c r="E7566" t="s">
        <v>1989</v>
      </c>
      <c r="F7566" t="s">
        <v>1737</v>
      </c>
      <c r="K7566" t="str">
        <f>IF(ISBLANK('Q 8'!$E163),"",IF('Q 8'!$E163="&lt;please select&gt;","",'Q 8'!$E163))</f>
        <v>Non-compliance with Implementing Regulation (EU) 2018/2066</v>
      </c>
    </row>
    <row r="7567" spans="1:11" x14ac:dyDescent="0.3">
      <c r="A7567" t="s">
        <v>2096</v>
      </c>
      <c r="B7567" t="s">
        <v>2097</v>
      </c>
      <c r="C7567">
        <v>8</v>
      </c>
      <c r="D7567" t="s">
        <v>1447</v>
      </c>
      <c r="E7567" t="s">
        <v>1989</v>
      </c>
      <c r="F7567" t="s">
        <v>1737</v>
      </c>
      <c r="K7567" t="str">
        <f>IF(ISBLANK('Q 8'!$E164),"",IF('Q 8'!$E164="&lt;please select&gt;","",'Q 8'!$E164))</f>
        <v>Non-compliance with Implementing Regulation (EU) 2018/2066</v>
      </c>
    </row>
    <row r="7568" spans="1:11" x14ac:dyDescent="0.3">
      <c r="A7568" t="s">
        <v>2096</v>
      </c>
      <c r="B7568" t="s">
        <v>2097</v>
      </c>
      <c r="C7568">
        <v>9</v>
      </c>
      <c r="D7568" t="s">
        <v>1447</v>
      </c>
      <c r="E7568" t="s">
        <v>1989</v>
      </c>
      <c r="F7568" t="s">
        <v>1737</v>
      </c>
      <c r="K7568" t="str">
        <f>IF(ISBLANK('Q 8'!$E165),"",IF('Q 8'!$E165="&lt;please select&gt;","",'Q 8'!$E165))</f>
        <v>Non-compliance with Implementing Regulation (EU) 2018/2066</v>
      </c>
    </row>
    <row r="7569" spans="1:11" x14ac:dyDescent="0.3">
      <c r="A7569" t="s">
        <v>2096</v>
      </c>
      <c r="B7569" t="s">
        <v>2097</v>
      </c>
      <c r="C7569">
        <v>10</v>
      </c>
      <c r="D7569" t="s">
        <v>1447</v>
      </c>
      <c r="E7569" t="s">
        <v>1989</v>
      </c>
      <c r="F7569" t="s">
        <v>1737</v>
      </c>
      <c r="K7569" t="str">
        <f>IF(ISBLANK('Q 8'!$E166),"",IF('Q 8'!$E166="&lt;please select&gt;","",'Q 8'!$E166))</f>
        <v>Non-compliance with Implementing Regulation (EU) 2018/2066</v>
      </c>
    </row>
    <row r="7570" spans="1:11" x14ac:dyDescent="0.3">
      <c r="A7570" t="s">
        <v>2096</v>
      </c>
      <c r="B7570" t="s">
        <v>2097</v>
      </c>
      <c r="C7570">
        <v>11</v>
      </c>
      <c r="D7570" t="s">
        <v>1447</v>
      </c>
      <c r="E7570" t="s">
        <v>1989</v>
      </c>
      <c r="F7570" t="s">
        <v>1737</v>
      </c>
      <c r="K7570" t="str">
        <f>IF(ISBLANK('Q 8'!$E167),"",IF('Q 8'!$E167="&lt;please select&gt;","",'Q 8'!$E167))</f>
        <v>Non-compliance with Implementing Regulation (EU) 2018/2066</v>
      </c>
    </row>
    <row r="7571" spans="1:11" x14ac:dyDescent="0.3">
      <c r="A7571" t="s">
        <v>2096</v>
      </c>
      <c r="B7571" t="s">
        <v>2097</v>
      </c>
      <c r="C7571">
        <v>12</v>
      </c>
      <c r="D7571" t="s">
        <v>1447</v>
      </c>
      <c r="E7571" t="s">
        <v>1989</v>
      </c>
      <c r="F7571" t="s">
        <v>1737</v>
      </c>
      <c r="K7571" t="str">
        <f>IF(ISBLANK('Q 8'!$E168),"",IF('Q 8'!$E168="&lt;please select&gt;","",'Q 8'!$E168))</f>
        <v>Non-compliance with Implementing Regulation (EU) 2018/2066</v>
      </c>
    </row>
    <row r="7572" spans="1:11" x14ac:dyDescent="0.3">
      <c r="A7572" t="s">
        <v>2096</v>
      </c>
      <c r="B7572" t="s">
        <v>2097</v>
      </c>
      <c r="C7572">
        <v>13</v>
      </c>
      <c r="D7572" t="s">
        <v>1447</v>
      </c>
      <c r="E7572" t="s">
        <v>1989</v>
      </c>
      <c r="F7572" t="s">
        <v>1737</v>
      </c>
      <c r="K7572" t="str">
        <f>IF(ISBLANK('Q 8'!$E169),"",IF('Q 8'!$E169="&lt;please select&gt;","",'Q 8'!$E169))</f>
        <v>Non-compliance with Implementing Regulation (EU) 2018/2066</v>
      </c>
    </row>
    <row r="7573" spans="1:11" x14ac:dyDescent="0.3">
      <c r="A7573" t="s">
        <v>2096</v>
      </c>
      <c r="B7573" t="s">
        <v>2097</v>
      </c>
      <c r="C7573">
        <v>14</v>
      </c>
      <c r="D7573" t="s">
        <v>1447</v>
      </c>
      <c r="E7573" t="s">
        <v>1989</v>
      </c>
      <c r="F7573" t="s">
        <v>1737</v>
      </c>
      <c r="K7573" t="str">
        <f>IF(ISBLANK('Q 8'!$E170),"",IF('Q 8'!$E170="&lt;please select&gt;","",'Q 8'!$E170))</f>
        <v>Non-compliance with Implementing Regulation (EU) 2018/2066</v>
      </c>
    </row>
    <row r="7574" spans="1:11" x14ac:dyDescent="0.3">
      <c r="A7574" t="s">
        <v>2096</v>
      </c>
      <c r="B7574" t="s">
        <v>2097</v>
      </c>
      <c r="C7574">
        <v>15</v>
      </c>
      <c r="D7574" t="s">
        <v>1447</v>
      </c>
      <c r="E7574" t="s">
        <v>1989</v>
      </c>
      <c r="F7574" t="s">
        <v>1737</v>
      </c>
      <c r="K7574" t="str">
        <f>IF(ISBLANK('Q 8'!$E171),"",IF('Q 8'!$E171="&lt;please select&gt;","",'Q 8'!$E171))</f>
        <v>Non-compliance with Implementing Regulation (EU) 2018/2066</v>
      </c>
    </row>
    <row r="7575" spans="1:11" x14ac:dyDescent="0.3">
      <c r="A7575" t="s">
        <v>2096</v>
      </c>
      <c r="B7575" t="s">
        <v>2097</v>
      </c>
      <c r="C7575">
        <v>16</v>
      </c>
      <c r="D7575" t="s">
        <v>1447</v>
      </c>
      <c r="E7575" t="s">
        <v>1989</v>
      </c>
      <c r="F7575" t="s">
        <v>1737</v>
      </c>
      <c r="K7575" t="str">
        <f>IF(ISBLANK('Q 8'!$E172),"",IF('Q 8'!$E172="&lt;please select&gt;","",'Q 8'!$E172))</f>
        <v>Non-compliance with Implementing Regulation (EU) 2018/2066</v>
      </c>
    </row>
    <row r="7576" spans="1:11" x14ac:dyDescent="0.3">
      <c r="A7576" t="s">
        <v>2096</v>
      </c>
      <c r="B7576" t="s">
        <v>2097</v>
      </c>
      <c r="C7576">
        <v>17</v>
      </c>
      <c r="D7576" t="s">
        <v>1447</v>
      </c>
      <c r="E7576" t="s">
        <v>1989</v>
      </c>
      <c r="F7576" t="s">
        <v>1737</v>
      </c>
      <c r="K7576" t="str">
        <f>IF(ISBLANK('Q 8'!$E173),"",IF('Q 8'!$E173="&lt;please select&gt;","",'Q 8'!$E173))</f>
        <v>Non-compliance with Implementing Regulation (EU) 2018/2066</v>
      </c>
    </row>
    <row r="7577" spans="1:11" x14ac:dyDescent="0.3">
      <c r="A7577" t="s">
        <v>2096</v>
      </c>
      <c r="B7577" t="s">
        <v>2097</v>
      </c>
      <c r="C7577">
        <v>18</v>
      </c>
      <c r="D7577" t="s">
        <v>1447</v>
      </c>
      <c r="E7577" t="s">
        <v>1989</v>
      </c>
      <c r="F7577" t="s">
        <v>1737</v>
      </c>
      <c r="K7577" t="str">
        <f>IF(ISBLANK('Q 8'!$E174),"",IF('Q 8'!$E174="&lt;please select&gt;","",'Q 8'!$E174))</f>
        <v>Non-compliance with Implementing Regulation (EU) 2018/2066</v>
      </c>
    </row>
    <row r="7578" spans="1:11" x14ac:dyDescent="0.3">
      <c r="A7578" t="s">
        <v>2096</v>
      </c>
      <c r="B7578" t="s">
        <v>2097</v>
      </c>
      <c r="C7578">
        <v>19</v>
      </c>
      <c r="D7578" t="s">
        <v>1447</v>
      </c>
      <c r="E7578" t="s">
        <v>1989</v>
      </c>
      <c r="F7578" t="s">
        <v>1737</v>
      </c>
      <c r="K7578" t="str">
        <f>IF(ISBLANK('Q 8'!$E175),"",IF('Q 8'!$E175="&lt;please select&gt;","",'Q 8'!$E175))</f>
        <v>Non-compliance with Implementing Regulation (EU) 2018/2066</v>
      </c>
    </row>
    <row r="7579" spans="1:11" x14ac:dyDescent="0.3">
      <c r="A7579" t="s">
        <v>2096</v>
      </c>
      <c r="B7579" t="s">
        <v>2097</v>
      </c>
      <c r="C7579">
        <v>20</v>
      </c>
      <c r="D7579" t="s">
        <v>1447</v>
      </c>
      <c r="E7579" t="s">
        <v>1989</v>
      </c>
      <c r="F7579" t="s">
        <v>1737</v>
      </c>
      <c r="K7579" t="str">
        <f>IF(ISBLANK('Q 8'!$E176),"",IF('Q 8'!$E176="&lt;please select&gt;","",'Q 8'!$E176))</f>
        <v>Non-compliance with Implementing Regulation (EU) 2018/2066</v>
      </c>
    </row>
    <row r="7580" spans="1:11" x14ac:dyDescent="0.3">
      <c r="A7580" t="s">
        <v>2096</v>
      </c>
      <c r="B7580" t="s">
        <v>2097</v>
      </c>
      <c r="C7580">
        <v>21</v>
      </c>
      <c r="D7580" t="s">
        <v>1447</v>
      </c>
      <c r="E7580" t="s">
        <v>1989</v>
      </c>
      <c r="F7580" t="s">
        <v>1737</v>
      </c>
      <c r="K7580" t="str">
        <f>IF(ISBLANK('Q 8'!$E177),"",IF('Q 8'!$E177="&lt;please select&gt;","",'Q 8'!$E177))</f>
        <v>Non-material misstatements</v>
      </c>
    </row>
    <row r="7581" spans="1:11" x14ac:dyDescent="0.3">
      <c r="A7581" t="s">
        <v>2096</v>
      </c>
      <c r="B7581" t="s">
        <v>2097</v>
      </c>
      <c r="C7581">
        <v>22</v>
      </c>
      <c r="D7581" t="s">
        <v>1447</v>
      </c>
      <c r="E7581" t="s">
        <v>1989</v>
      </c>
      <c r="F7581" t="s">
        <v>1737</v>
      </c>
      <c r="K7581" t="str">
        <f>IF(ISBLANK('Q 8'!$E178),"",IF('Q 8'!$E178="&lt;please select&gt;","",'Q 8'!$E178))</f>
        <v>Non-material misstatements</v>
      </c>
    </row>
    <row r="7582" spans="1:11" x14ac:dyDescent="0.3">
      <c r="A7582" t="s">
        <v>2096</v>
      </c>
      <c r="B7582" t="s">
        <v>2097</v>
      </c>
      <c r="C7582">
        <v>23</v>
      </c>
      <c r="D7582" t="s">
        <v>1447</v>
      </c>
      <c r="E7582" t="s">
        <v>1989</v>
      </c>
      <c r="F7582" t="s">
        <v>1737</v>
      </c>
      <c r="K7582" t="str">
        <f>IF(ISBLANK('Q 8'!$E179),"",IF('Q 8'!$E179="&lt;please select&gt;","",'Q 8'!$E179))</f>
        <v>Non-material misstatements</v>
      </c>
    </row>
    <row r="7583" spans="1:11" x14ac:dyDescent="0.3">
      <c r="A7583" t="s">
        <v>2096</v>
      </c>
      <c r="B7583" t="s">
        <v>2097</v>
      </c>
      <c r="C7583">
        <v>24</v>
      </c>
      <c r="D7583" t="s">
        <v>1447</v>
      </c>
      <c r="E7583" t="s">
        <v>1989</v>
      </c>
      <c r="F7583" t="s">
        <v>1737</v>
      </c>
      <c r="K7583" t="str">
        <f>IF(ISBLANK('Q 8'!$E180),"",IF('Q 8'!$E180="&lt;please select&gt;","",'Q 8'!$E180))</f>
        <v>Non-material misstatements</v>
      </c>
    </row>
    <row r="7584" spans="1:11" x14ac:dyDescent="0.3">
      <c r="A7584" t="s">
        <v>2096</v>
      </c>
      <c r="B7584" t="s">
        <v>2097</v>
      </c>
      <c r="C7584">
        <v>25</v>
      </c>
      <c r="D7584" t="s">
        <v>1447</v>
      </c>
      <c r="E7584" t="s">
        <v>1989</v>
      </c>
      <c r="F7584" t="s">
        <v>1737</v>
      </c>
      <c r="K7584" t="str">
        <f>IF(ISBLANK('Q 8'!$E181),"",IF('Q 8'!$E181="&lt;please select&gt;","",'Q 8'!$E181))</f>
        <v>Non-material misstatements</v>
      </c>
    </row>
    <row r="7585" spans="1:11" x14ac:dyDescent="0.3">
      <c r="A7585" t="s">
        <v>2096</v>
      </c>
      <c r="B7585" t="s">
        <v>2097</v>
      </c>
      <c r="C7585">
        <v>26</v>
      </c>
      <c r="D7585" t="s">
        <v>1447</v>
      </c>
      <c r="E7585" t="s">
        <v>1989</v>
      </c>
      <c r="F7585" t="s">
        <v>1737</v>
      </c>
      <c r="K7585" t="str">
        <f>IF(ISBLANK('Q 8'!$E182),"",IF('Q 8'!$E182="&lt;please select&gt;","",'Q 8'!$E182))</f>
        <v>Non-material misstatements</v>
      </c>
    </row>
    <row r="7586" spans="1:11" x14ac:dyDescent="0.3">
      <c r="A7586" t="s">
        <v>2096</v>
      </c>
      <c r="B7586" t="s">
        <v>2097</v>
      </c>
      <c r="C7586">
        <v>27</v>
      </c>
      <c r="D7586" t="s">
        <v>1447</v>
      </c>
      <c r="E7586" t="s">
        <v>1989</v>
      </c>
      <c r="F7586" t="s">
        <v>1737</v>
      </c>
      <c r="K7586" t="str">
        <f>IF(ISBLANK('Q 8'!$E183),"",IF('Q 8'!$E183="&lt;please select&gt;","",'Q 8'!$E183))</f>
        <v>Non-material misstatements</v>
      </c>
    </row>
    <row r="7587" spans="1:11" x14ac:dyDescent="0.3">
      <c r="A7587" t="s">
        <v>2096</v>
      </c>
      <c r="B7587" t="s">
        <v>2097</v>
      </c>
      <c r="C7587">
        <v>28</v>
      </c>
      <c r="D7587" t="s">
        <v>1447</v>
      </c>
      <c r="E7587" t="s">
        <v>1989</v>
      </c>
      <c r="F7587" t="s">
        <v>1737</v>
      </c>
      <c r="K7587" t="str">
        <f>IF(ISBLANK('Q 8'!$E184),"",IF('Q 8'!$E184="&lt;please select&gt;","",'Q 8'!$E184))</f>
        <v>Non-material misstatements</v>
      </c>
    </row>
    <row r="7588" spans="1:11" x14ac:dyDescent="0.3">
      <c r="A7588" t="s">
        <v>2096</v>
      </c>
      <c r="B7588" t="s">
        <v>2097</v>
      </c>
      <c r="C7588">
        <v>29</v>
      </c>
      <c r="D7588" t="s">
        <v>1447</v>
      </c>
      <c r="E7588" t="s">
        <v>1989</v>
      </c>
      <c r="F7588" t="s">
        <v>1737</v>
      </c>
      <c r="K7588" t="str">
        <f>IF(ISBLANK('Q 8'!$E185),"",IF('Q 8'!$E185="&lt;please select&gt;","",'Q 8'!$E185))</f>
        <v>Non-material misstatements</v>
      </c>
    </row>
    <row r="7589" spans="1:11" x14ac:dyDescent="0.3">
      <c r="A7589" t="s">
        <v>2096</v>
      </c>
      <c r="B7589" t="s">
        <v>2097</v>
      </c>
      <c r="C7589">
        <v>30</v>
      </c>
      <c r="D7589" t="s">
        <v>1447</v>
      </c>
      <c r="E7589" t="s">
        <v>1989</v>
      </c>
      <c r="F7589" t="s">
        <v>1737</v>
      </c>
      <c r="K7589" t="str">
        <f>IF(ISBLANK('Q 8'!$E186),"",IF('Q 8'!$E186="&lt;please select&gt;","",'Q 8'!$E186))</f>
        <v>Non-material misstatements</v>
      </c>
    </row>
    <row r="7590" spans="1:11" x14ac:dyDescent="0.3">
      <c r="A7590" t="s">
        <v>2096</v>
      </c>
      <c r="B7590" t="s">
        <v>2097</v>
      </c>
      <c r="C7590">
        <v>31</v>
      </c>
      <c r="D7590" t="s">
        <v>1447</v>
      </c>
      <c r="E7590" t="s">
        <v>1989</v>
      </c>
      <c r="F7590" t="s">
        <v>1737</v>
      </c>
      <c r="K7590" t="str">
        <f>IF(ISBLANK('Q 8'!$E187),"",IF('Q 8'!$E187="&lt;please select&gt;","",'Q 8'!$E187))</f>
        <v>Non-material misstatements</v>
      </c>
    </row>
    <row r="7591" spans="1:11" x14ac:dyDescent="0.3">
      <c r="A7591" t="s">
        <v>2096</v>
      </c>
      <c r="B7591" t="s">
        <v>2097</v>
      </c>
      <c r="C7591">
        <v>32</v>
      </c>
      <c r="D7591" t="s">
        <v>1447</v>
      </c>
      <c r="E7591" t="s">
        <v>1989</v>
      </c>
      <c r="F7591" t="s">
        <v>1737</v>
      </c>
      <c r="K7591" t="str">
        <f>IF(ISBLANK('Q 8'!$E188),"",IF('Q 8'!$E188="&lt;please select&gt;","",'Q 8'!$E188))</f>
        <v>Non-material misstatements</v>
      </c>
    </row>
    <row r="7592" spans="1:11" x14ac:dyDescent="0.3">
      <c r="A7592" t="s">
        <v>2096</v>
      </c>
      <c r="B7592" t="s">
        <v>2097</v>
      </c>
      <c r="C7592">
        <v>33</v>
      </c>
      <c r="D7592" t="s">
        <v>1447</v>
      </c>
      <c r="E7592" t="s">
        <v>1989</v>
      </c>
      <c r="F7592" t="s">
        <v>1737</v>
      </c>
      <c r="K7592" t="str">
        <f>IF(ISBLANK('Q 8'!$E189),"",IF('Q 8'!$E189="&lt;please select&gt;","",'Q 8'!$E189))</f>
        <v>Non-material misstatements</v>
      </c>
    </row>
    <row r="7593" spans="1:11" x14ac:dyDescent="0.3">
      <c r="A7593" t="s">
        <v>2096</v>
      </c>
      <c r="B7593" t="s">
        <v>2097</v>
      </c>
      <c r="C7593">
        <v>34</v>
      </c>
      <c r="D7593" t="s">
        <v>1447</v>
      </c>
      <c r="E7593" t="s">
        <v>1989</v>
      </c>
      <c r="F7593" t="s">
        <v>1737</v>
      </c>
      <c r="K7593" t="str">
        <f>IF(ISBLANK('Q 8'!$E190),"",IF('Q 8'!$E190="&lt;please select&gt;","",'Q 8'!$E190))</f>
        <v>Non-material misstatements</v>
      </c>
    </row>
    <row r="7594" spans="1:11" x14ac:dyDescent="0.3">
      <c r="A7594" t="s">
        <v>2096</v>
      </c>
      <c r="B7594" t="s">
        <v>2097</v>
      </c>
      <c r="C7594">
        <v>35</v>
      </c>
      <c r="D7594" t="s">
        <v>1447</v>
      </c>
      <c r="E7594" t="s">
        <v>1989</v>
      </c>
      <c r="F7594" t="s">
        <v>1737</v>
      </c>
      <c r="K7594" t="str">
        <f>IF(ISBLANK('Q 8'!$E191),"",IF('Q 8'!$E191="&lt;please select&gt;","",'Q 8'!$E191))</f>
        <v>Non-material misstatements</v>
      </c>
    </row>
    <row r="7595" spans="1:11" x14ac:dyDescent="0.3">
      <c r="A7595" t="s">
        <v>2096</v>
      </c>
      <c r="B7595" t="s">
        <v>2097</v>
      </c>
      <c r="C7595">
        <v>36</v>
      </c>
      <c r="D7595" t="s">
        <v>1447</v>
      </c>
      <c r="E7595" t="s">
        <v>1989</v>
      </c>
      <c r="F7595" t="s">
        <v>1737</v>
      </c>
      <c r="K7595" t="str">
        <f>IF(ISBLANK('Q 8'!$E192),"",IF('Q 8'!$E192="&lt;please select&gt;","",'Q 8'!$E192))</f>
        <v>Non-material misstatements</v>
      </c>
    </row>
    <row r="7596" spans="1:11" x14ac:dyDescent="0.3">
      <c r="A7596" t="s">
        <v>2096</v>
      </c>
      <c r="B7596" t="s">
        <v>2097</v>
      </c>
      <c r="C7596">
        <v>37</v>
      </c>
      <c r="D7596" t="s">
        <v>1447</v>
      </c>
      <c r="E7596" t="s">
        <v>1989</v>
      </c>
      <c r="F7596" t="s">
        <v>1737</v>
      </c>
      <c r="K7596" t="str">
        <f>IF(ISBLANK('Q 8'!$E193),"",IF('Q 8'!$E193="&lt;please select&gt;","",'Q 8'!$E193))</f>
        <v>Non-material misstatements</v>
      </c>
    </row>
    <row r="7597" spans="1:11" x14ac:dyDescent="0.3">
      <c r="A7597" t="s">
        <v>2096</v>
      </c>
      <c r="B7597" t="s">
        <v>2097</v>
      </c>
      <c r="C7597">
        <v>38</v>
      </c>
      <c r="D7597" t="s">
        <v>1447</v>
      </c>
      <c r="E7597" t="s">
        <v>1989</v>
      </c>
      <c r="F7597" t="s">
        <v>1737</v>
      </c>
      <c r="K7597" t="str">
        <f>IF(ISBLANK('Q 8'!$E194),"",IF('Q 8'!$E194="&lt;please select&gt;","",'Q 8'!$E194))</f>
        <v>Non-material misstatements</v>
      </c>
    </row>
    <row r="7598" spans="1:11" x14ac:dyDescent="0.3">
      <c r="A7598" t="s">
        <v>2096</v>
      </c>
      <c r="B7598" t="s">
        <v>2097</v>
      </c>
      <c r="C7598">
        <v>39</v>
      </c>
      <c r="D7598" t="s">
        <v>1447</v>
      </c>
      <c r="E7598" t="s">
        <v>1989</v>
      </c>
      <c r="F7598" t="s">
        <v>1737</v>
      </c>
      <c r="K7598" t="str">
        <f>IF(ISBLANK('Q 8'!$E195),"",IF('Q 8'!$E195="&lt;please select&gt;","",'Q 8'!$E195))</f>
        <v>Non-material misstatements</v>
      </c>
    </row>
    <row r="7599" spans="1:11" x14ac:dyDescent="0.3">
      <c r="A7599" t="s">
        <v>2096</v>
      </c>
      <c r="B7599" t="s">
        <v>2097</v>
      </c>
      <c r="C7599">
        <v>40</v>
      </c>
      <c r="D7599" t="s">
        <v>1447</v>
      </c>
      <c r="E7599" t="s">
        <v>1989</v>
      </c>
      <c r="F7599" t="s">
        <v>1737</v>
      </c>
      <c r="K7599" t="str">
        <f>IF(ISBLANK('Q 8'!$E196),"",IF('Q 8'!$E196="&lt;please select&gt;","",'Q 8'!$E196))</f>
        <v>Non-conformities not leading to a negative verification opinion statement</v>
      </c>
    </row>
    <row r="7600" spans="1:11" x14ac:dyDescent="0.3">
      <c r="A7600" t="s">
        <v>2096</v>
      </c>
      <c r="B7600" t="s">
        <v>2097</v>
      </c>
      <c r="C7600">
        <v>41</v>
      </c>
      <c r="D7600" t="s">
        <v>1447</v>
      </c>
      <c r="E7600" t="s">
        <v>1989</v>
      </c>
      <c r="F7600" t="s">
        <v>1737</v>
      </c>
      <c r="K7600" t="str">
        <f>IF(ISBLANK('Q 8'!$E197),"",IF('Q 8'!$E197="&lt;please select&gt;","",'Q 8'!$E197))</f>
        <v>Non-conformities not leading to a negative verification opinion statement</v>
      </c>
    </row>
    <row r="7601" spans="1:11" x14ac:dyDescent="0.3">
      <c r="A7601" t="s">
        <v>2096</v>
      </c>
      <c r="B7601" t="s">
        <v>2097</v>
      </c>
      <c r="C7601">
        <v>42</v>
      </c>
      <c r="D7601" t="s">
        <v>1447</v>
      </c>
      <c r="E7601" t="s">
        <v>1989</v>
      </c>
      <c r="F7601" t="s">
        <v>1737</v>
      </c>
      <c r="K7601" t="str">
        <f>IF(ISBLANK('Q 8'!$E198),"",IF('Q 8'!$E198="&lt;please select&gt;","",'Q 8'!$E198))</f>
        <v>Non-conformities not leading to a negative verification opinion statement</v>
      </c>
    </row>
    <row r="7602" spans="1:11" x14ac:dyDescent="0.3">
      <c r="A7602" t="s">
        <v>2096</v>
      </c>
      <c r="B7602" t="s">
        <v>2097</v>
      </c>
      <c r="C7602">
        <v>43</v>
      </c>
      <c r="D7602" t="s">
        <v>1447</v>
      </c>
      <c r="E7602" t="s">
        <v>1989</v>
      </c>
      <c r="F7602" t="s">
        <v>1737</v>
      </c>
      <c r="K7602" t="str">
        <f>IF(ISBLANK('Q 8'!$E199),"",IF('Q 8'!$E199="&lt;please select&gt;","",'Q 8'!$E199))</f>
        <v>Non-conformities not leading to a negative verification opinion statement</v>
      </c>
    </row>
    <row r="7603" spans="1:11" x14ac:dyDescent="0.3">
      <c r="A7603" t="s">
        <v>2096</v>
      </c>
      <c r="B7603" t="s">
        <v>2097</v>
      </c>
      <c r="C7603">
        <v>44</v>
      </c>
      <c r="D7603" t="s">
        <v>1447</v>
      </c>
      <c r="E7603" t="s">
        <v>1989</v>
      </c>
      <c r="F7603" t="s">
        <v>1737</v>
      </c>
      <c r="K7603" t="str">
        <f>IF(ISBLANK('Q 8'!$E200),"",IF('Q 8'!$E200="&lt;please select&gt;","",'Q 8'!$E200))</f>
        <v>Non-conformities not leading to a negative verification opinion statement</v>
      </c>
    </row>
    <row r="7604" spans="1:11" x14ac:dyDescent="0.3">
      <c r="A7604" t="s">
        <v>2096</v>
      </c>
      <c r="B7604" t="s">
        <v>2097</v>
      </c>
      <c r="C7604">
        <v>45</v>
      </c>
      <c r="D7604" t="s">
        <v>1447</v>
      </c>
      <c r="E7604" t="s">
        <v>1989</v>
      </c>
      <c r="F7604" t="s">
        <v>1737</v>
      </c>
      <c r="K7604" t="str">
        <f>IF(ISBLANK('Q 8'!$E201),"",IF('Q 8'!$E201="&lt;please select&gt;","",'Q 8'!$E201))</f>
        <v>Non-conformities not leading to a negative verification opinion statement</v>
      </c>
    </row>
    <row r="7605" spans="1:11" x14ac:dyDescent="0.3">
      <c r="A7605" t="s">
        <v>2096</v>
      </c>
      <c r="B7605" t="s">
        <v>2097</v>
      </c>
      <c r="C7605">
        <v>46</v>
      </c>
      <c r="D7605" t="s">
        <v>1447</v>
      </c>
      <c r="E7605" t="s">
        <v>1989</v>
      </c>
      <c r="F7605" t="s">
        <v>1737</v>
      </c>
      <c r="K7605" t="str">
        <f>IF(ISBLANK('Q 8'!$E202),"",IF('Q 8'!$E202="&lt;please select&gt;","",'Q 8'!$E202))</f>
        <v>Non-conformities not leading to a negative verification opinion statement</v>
      </c>
    </row>
    <row r="7606" spans="1:11" x14ac:dyDescent="0.3">
      <c r="A7606" t="s">
        <v>2096</v>
      </c>
      <c r="B7606" t="s">
        <v>2097</v>
      </c>
      <c r="C7606">
        <v>47</v>
      </c>
      <c r="D7606" t="s">
        <v>1447</v>
      </c>
      <c r="E7606" t="s">
        <v>1989</v>
      </c>
      <c r="F7606" t="s">
        <v>1737</v>
      </c>
      <c r="K7606" t="str">
        <f>IF(ISBLANK('Q 8'!$E203),"",IF('Q 8'!$E203="&lt;please select&gt;","",'Q 8'!$E203))</f>
        <v>Non-conformities not leading to a negative verification opinion statement</v>
      </c>
    </row>
    <row r="7607" spans="1:11" x14ac:dyDescent="0.3">
      <c r="A7607" t="s">
        <v>2096</v>
      </c>
      <c r="B7607" t="s">
        <v>2097</v>
      </c>
      <c r="C7607">
        <v>48</v>
      </c>
      <c r="D7607" t="s">
        <v>1447</v>
      </c>
      <c r="E7607" t="s">
        <v>1989</v>
      </c>
      <c r="F7607" t="s">
        <v>1737</v>
      </c>
      <c r="K7607" t="str">
        <f>IF(ISBLANK('Q 8'!$E204),"",IF('Q 8'!$E204="&lt;please select&gt;","",'Q 8'!$E204))</f>
        <v>Non-conformities not leading to a negative verification opinion statement</v>
      </c>
    </row>
    <row r="7608" spans="1:11" x14ac:dyDescent="0.3">
      <c r="A7608" t="s">
        <v>2096</v>
      </c>
      <c r="B7608" t="s">
        <v>2097</v>
      </c>
      <c r="C7608">
        <v>49</v>
      </c>
      <c r="D7608" t="s">
        <v>1447</v>
      </c>
      <c r="E7608" t="s">
        <v>1989</v>
      </c>
      <c r="F7608" t="s">
        <v>1737</v>
      </c>
      <c r="K7608" t="str">
        <f>IF(ISBLANK('Q 8'!$E205),"",IF('Q 8'!$E205="&lt;please select&gt;","",'Q 8'!$E205))</f>
        <v>Non-conformities not leading to a negative verification opinion statement</v>
      </c>
    </row>
    <row r="7609" spans="1:11" x14ac:dyDescent="0.3">
      <c r="A7609" t="s">
        <v>2096</v>
      </c>
      <c r="B7609" t="s">
        <v>2097</v>
      </c>
      <c r="C7609">
        <v>50</v>
      </c>
      <c r="D7609" t="s">
        <v>1447</v>
      </c>
      <c r="E7609" t="s">
        <v>1989</v>
      </c>
      <c r="F7609" t="s">
        <v>1737</v>
      </c>
      <c r="K7609" t="str">
        <f>IF(ISBLANK('Q 8'!$E206),"",IF('Q 8'!$E206="&lt;please select&gt;","",'Q 8'!$E206))</f>
        <v>Non-conformities not leading to a negative verification opinion statement</v>
      </c>
    </row>
    <row r="7610" spans="1:11" x14ac:dyDescent="0.3">
      <c r="A7610" t="s">
        <v>2096</v>
      </c>
      <c r="B7610" t="s">
        <v>2097</v>
      </c>
      <c r="C7610">
        <v>51</v>
      </c>
      <c r="D7610" t="s">
        <v>1447</v>
      </c>
      <c r="E7610" t="s">
        <v>1989</v>
      </c>
      <c r="F7610" t="s">
        <v>1737</v>
      </c>
      <c r="K7610" t="str">
        <f>IF(ISBLANK('Q 8'!$E207),"",IF('Q 8'!$E207="&lt;please select&gt;","",'Q 8'!$E207))</f>
        <v>Non-conformities not leading to a negative verification opinion statement</v>
      </c>
    </row>
    <row r="7611" spans="1:11" x14ac:dyDescent="0.3">
      <c r="A7611" t="s">
        <v>2096</v>
      </c>
      <c r="B7611" t="s">
        <v>2097</v>
      </c>
      <c r="C7611">
        <v>52</v>
      </c>
      <c r="D7611" t="s">
        <v>1447</v>
      </c>
      <c r="E7611" t="s">
        <v>1989</v>
      </c>
      <c r="F7611" t="s">
        <v>1737</v>
      </c>
      <c r="K7611" t="str">
        <f>IF(ISBLANK('Q 8'!$E208),"",IF('Q 8'!$E208="&lt;please select&gt;","",'Q 8'!$E208))</f>
        <v>Non-conformities not leading to a negative verification opinion statement</v>
      </c>
    </row>
    <row r="7612" spans="1:11" x14ac:dyDescent="0.3">
      <c r="A7612" t="s">
        <v>2096</v>
      </c>
      <c r="B7612" t="s">
        <v>2097</v>
      </c>
      <c r="C7612">
        <v>53</v>
      </c>
      <c r="D7612" t="s">
        <v>1447</v>
      </c>
      <c r="E7612" t="s">
        <v>1989</v>
      </c>
      <c r="F7612" t="s">
        <v>1737</v>
      </c>
      <c r="K7612" t="str">
        <f>IF(ISBLANK('Q 8'!$E209),"",IF('Q 8'!$E209="&lt;please select&gt;","",'Q 8'!$E209))</f>
        <v>Non-conformities not leading to a negative verification opinion statement</v>
      </c>
    </row>
    <row r="7613" spans="1:11" x14ac:dyDescent="0.3">
      <c r="A7613" t="s">
        <v>2096</v>
      </c>
      <c r="B7613" t="s">
        <v>2097</v>
      </c>
      <c r="C7613">
        <v>54</v>
      </c>
      <c r="D7613" t="s">
        <v>1447</v>
      </c>
      <c r="E7613" t="s">
        <v>1989</v>
      </c>
      <c r="F7613" t="s">
        <v>1737</v>
      </c>
      <c r="K7613" t="str">
        <f>IF(ISBLANK('Q 8'!$E210),"",IF('Q 8'!$E210="&lt;please select&gt;","",'Q 8'!$E210))</f>
        <v>Non-conformities not leading to a negative verification opinion statement</v>
      </c>
    </row>
    <row r="7614" spans="1:11" x14ac:dyDescent="0.3">
      <c r="A7614" t="s">
        <v>2096</v>
      </c>
      <c r="B7614" t="s">
        <v>2097</v>
      </c>
      <c r="C7614">
        <v>55</v>
      </c>
      <c r="D7614" t="s">
        <v>1447</v>
      </c>
      <c r="E7614" t="s">
        <v>1989</v>
      </c>
      <c r="F7614" t="s">
        <v>1737</v>
      </c>
      <c r="K7614" t="str">
        <f>IF(ISBLANK('Q 8'!$E211),"",IF('Q 8'!$E211="&lt;please select&gt;","",'Q 8'!$E211))</f>
        <v>Non-conformities not leading to a negative verification opinion statement</v>
      </c>
    </row>
    <row r="7615" spans="1:11" x14ac:dyDescent="0.3">
      <c r="A7615" t="s">
        <v>2096</v>
      </c>
      <c r="B7615" t="s">
        <v>2097</v>
      </c>
      <c r="C7615">
        <v>56</v>
      </c>
      <c r="D7615" t="s">
        <v>1447</v>
      </c>
      <c r="E7615" t="s">
        <v>1989</v>
      </c>
      <c r="F7615" t="s">
        <v>1737</v>
      </c>
      <c r="K7615" t="str">
        <f>IF(ISBLANK('Q 8'!$E212),"",IF('Q 8'!$E212="&lt;please select&gt;","",'Q 8'!$E212))</f>
        <v>Non-conformities not leading to a negative verification opinion statement</v>
      </c>
    </row>
    <row r="7616" spans="1:11" x14ac:dyDescent="0.3">
      <c r="A7616" t="s">
        <v>2096</v>
      </c>
      <c r="B7616" t="s">
        <v>2097</v>
      </c>
      <c r="C7616">
        <v>57</v>
      </c>
      <c r="D7616" t="s">
        <v>1447</v>
      </c>
      <c r="E7616" t="s">
        <v>1989</v>
      </c>
      <c r="F7616" t="s">
        <v>1737</v>
      </c>
      <c r="K7616" t="str">
        <f>IF(ISBLANK('Q 8'!$E213),"",IF('Q 8'!$E213="&lt;please select&gt;","",'Q 8'!$E213))</f>
        <v>Recommendations for improvement</v>
      </c>
    </row>
    <row r="7617" spans="1:11" x14ac:dyDescent="0.3">
      <c r="A7617" t="s">
        <v>2096</v>
      </c>
      <c r="B7617" t="s">
        <v>2097</v>
      </c>
      <c r="C7617">
        <v>58</v>
      </c>
      <c r="D7617" t="s">
        <v>1447</v>
      </c>
      <c r="E7617" t="s">
        <v>1989</v>
      </c>
      <c r="F7617" t="s">
        <v>1737</v>
      </c>
      <c r="K7617" t="str">
        <f>IF(ISBLANK('Q 8'!$E214),"",IF('Q 8'!$E214="&lt;please select&gt;","",'Q 8'!$E214))</f>
        <v>Recommendations for improvement</v>
      </c>
    </row>
    <row r="7618" spans="1:11" x14ac:dyDescent="0.3">
      <c r="A7618" t="s">
        <v>2096</v>
      </c>
      <c r="B7618" t="s">
        <v>2097</v>
      </c>
      <c r="C7618">
        <v>59</v>
      </c>
      <c r="D7618" t="s">
        <v>1447</v>
      </c>
      <c r="E7618" t="s">
        <v>1989</v>
      </c>
      <c r="F7618" t="s">
        <v>1737</v>
      </c>
      <c r="K7618" t="str">
        <f>IF(ISBLANK('Q 8'!$E215),"",IF('Q 8'!$E215="&lt;please select&gt;","",'Q 8'!$E215))</f>
        <v>Recommendations for improvement</v>
      </c>
    </row>
    <row r="7619" spans="1:11" x14ac:dyDescent="0.3">
      <c r="A7619" t="s">
        <v>2096</v>
      </c>
      <c r="B7619" t="s">
        <v>2097</v>
      </c>
      <c r="C7619">
        <v>60</v>
      </c>
      <c r="D7619" t="s">
        <v>1447</v>
      </c>
      <c r="E7619" t="s">
        <v>1989</v>
      </c>
      <c r="F7619" t="s">
        <v>1737</v>
      </c>
      <c r="K7619" t="str">
        <f>IF(ISBLANK('Q 8'!$E216),"",IF('Q 8'!$E216="&lt;please select&gt;","",'Q 8'!$E216))</f>
        <v>Recommendations for improvement</v>
      </c>
    </row>
    <row r="7620" spans="1:11" x14ac:dyDescent="0.3">
      <c r="A7620" t="s">
        <v>2096</v>
      </c>
      <c r="B7620" t="s">
        <v>2097</v>
      </c>
      <c r="C7620">
        <v>61</v>
      </c>
      <c r="D7620" t="s">
        <v>1447</v>
      </c>
      <c r="E7620" t="s">
        <v>1989</v>
      </c>
      <c r="F7620" t="s">
        <v>1737</v>
      </c>
      <c r="K7620" t="str">
        <f>IF(ISBLANK('Q 8'!$E217),"",IF('Q 8'!$E217="&lt;please select&gt;","",'Q 8'!$E217))</f>
        <v>Recommendations for improvement</v>
      </c>
    </row>
    <row r="7621" spans="1:11" x14ac:dyDescent="0.3">
      <c r="A7621" t="s">
        <v>2096</v>
      </c>
      <c r="B7621" t="s">
        <v>2097</v>
      </c>
      <c r="C7621">
        <v>62</v>
      </c>
      <c r="D7621" t="s">
        <v>1447</v>
      </c>
      <c r="E7621" t="s">
        <v>1989</v>
      </c>
      <c r="F7621" t="s">
        <v>1737</v>
      </c>
      <c r="K7621" t="str">
        <f>IF(ISBLANK('Q 8'!$E218),"",IF('Q 8'!$E218="&lt;please select&gt;","",'Q 8'!$E218))</f>
        <v>Recommendations for improvement</v>
      </c>
    </row>
    <row r="7622" spans="1:11" x14ac:dyDescent="0.3">
      <c r="A7622" t="s">
        <v>2096</v>
      </c>
      <c r="B7622" t="s">
        <v>2097</v>
      </c>
      <c r="C7622">
        <v>63</v>
      </c>
      <c r="D7622" t="s">
        <v>1447</v>
      </c>
      <c r="E7622" t="s">
        <v>1989</v>
      </c>
      <c r="F7622" t="s">
        <v>1737</v>
      </c>
      <c r="K7622" t="str">
        <f>IF(ISBLANK('Q 8'!$E219),"",IF('Q 8'!$E219="&lt;please select&gt;","",'Q 8'!$E219))</f>
        <v>Recommendations for improvement</v>
      </c>
    </row>
    <row r="7623" spans="1:11" x14ac:dyDescent="0.3">
      <c r="A7623" t="s">
        <v>2096</v>
      </c>
      <c r="B7623" t="s">
        <v>2097</v>
      </c>
      <c r="C7623">
        <v>64</v>
      </c>
      <c r="D7623" t="s">
        <v>1447</v>
      </c>
      <c r="E7623" t="s">
        <v>1989</v>
      </c>
      <c r="F7623" t="s">
        <v>1737</v>
      </c>
      <c r="K7623" t="str">
        <f>IF(ISBLANK('Q 8'!$E220),"",IF('Q 8'!$E220="&lt;please select&gt;","",'Q 8'!$E220))</f>
        <v>Recommendations for improvement</v>
      </c>
    </row>
    <row r="7624" spans="1:11" x14ac:dyDescent="0.3">
      <c r="A7624" t="s">
        <v>2096</v>
      </c>
      <c r="B7624" t="s">
        <v>2097</v>
      </c>
      <c r="C7624">
        <v>65</v>
      </c>
      <c r="D7624" t="s">
        <v>1447</v>
      </c>
      <c r="E7624" t="s">
        <v>1989</v>
      </c>
      <c r="F7624" t="s">
        <v>1737</v>
      </c>
      <c r="K7624" t="str">
        <f>IF(ISBLANK('Q 8'!$E221),"",IF('Q 8'!$E221="&lt;please select&gt;","",'Q 8'!$E221))</f>
        <v>Recommendations for improvement</v>
      </c>
    </row>
    <row r="7625" spans="1:11" x14ac:dyDescent="0.3">
      <c r="A7625" t="s">
        <v>2096</v>
      </c>
      <c r="B7625" t="s">
        <v>2097</v>
      </c>
      <c r="C7625">
        <v>66</v>
      </c>
      <c r="D7625" t="s">
        <v>1447</v>
      </c>
      <c r="E7625" t="s">
        <v>1989</v>
      </c>
      <c r="F7625" t="s">
        <v>1737</v>
      </c>
      <c r="K7625" t="str">
        <f>IF(ISBLANK('Q 8'!$E222),"",IF('Q 8'!$E222="&lt;please select&gt;","",'Q 8'!$E222))</f>
        <v>Recommendations for improvement</v>
      </c>
    </row>
    <row r="7626" spans="1:11" x14ac:dyDescent="0.3">
      <c r="A7626" t="s">
        <v>2096</v>
      </c>
      <c r="B7626" t="s">
        <v>2097</v>
      </c>
      <c r="C7626">
        <v>67</v>
      </c>
      <c r="D7626" t="s">
        <v>1447</v>
      </c>
      <c r="E7626" t="s">
        <v>1989</v>
      </c>
      <c r="F7626" t="s">
        <v>1737</v>
      </c>
      <c r="K7626" t="str">
        <f>IF(ISBLANK('Q 8'!$E223),"",IF('Q 8'!$E223="&lt;please select&gt;","",'Q 8'!$E223))</f>
        <v>Recommendations for improvement</v>
      </c>
    </row>
    <row r="7627" spans="1:11" x14ac:dyDescent="0.3">
      <c r="A7627" t="s">
        <v>2096</v>
      </c>
      <c r="B7627" t="s">
        <v>2097</v>
      </c>
      <c r="C7627">
        <v>68</v>
      </c>
      <c r="D7627" t="s">
        <v>1447</v>
      </c>
      <c r="E7627" t="s">
        <v>1989</v>
      </c>
      <c r="F7627" t="s">
        <v>1737</v>
      </c>
      <c r="K7627" t="str">
        <f>IF(ISBLANK('Q 8'!$E224),"",IF('Q 8'!$E224="&lt;please select&gt;","",'Q 8'!$E224))</f>
        <v>Recommendations for improvement</v>
      </c>
    </row>
    <row r="7628" spans="1:11" x14ac:dyDescent="0.3">
      <c r="A7628" t="s">
        <v>2096</v>
      </c>
      <c r="B7628" t="s">
        <v>2097</v>
      </c>
      <c r="C7628">
        <v>69</v>
      </c>
      <c r="D7628" t="s">
        <v>1447</v>
      </c>
      <c r="E7628" t="s">
        <v>1989</v>
      </c>
      <c r="F7628" t="s">
        <v>1737</v>
      </c>
      <c r="K7628" t="str">
        <f>IF(ISBLANK('Q 8'!$E225),"",IF('Q 8'!$E225="&lt;please select&gt;","",'Q 8'!$E225))</f>
        <v>Recommendations for improvement</v>
      </c>
    </row>
    <row r="7629" spans="1:11" x14ac:dyDescent="0.3">
      <c r="A7629" t="s">
        <v>2096</v>
      </c>
      <c r="B7629" t="s">
        <v>2097</v>
      </c>
      <c r="C7629">
        <v>70</v>
      </c>
      <c r="D7629" t="s">
        <v>1447</v>
      </c>
      <c r="E7629" t="s">
        <v>1989</v>
      </c>
      <c r="F7629" t="s">
        <v>1737</v>
      </c>
      <c r="K7629" t="str">
        <f>IF(ISBLANK('Q 8'!$E226),"",IF('Q 8'!$E226="&lt;please select&gt;","",'Q 8'!$E226))</f>
        <v>Recommendations for improvement</v>
      </c>
    </row>
    <row r="7630" spans="1:11" x14ac:dyDescent="0.3">
      <c r="A7630" t="s">
        <v>2096</v>
      </c>
      <c r="B7630" t="s">
        <v>2097</v>
      </c>
      <c r="C7630">
        <v>71</v>
      </c>
      <c r="D7630" t="s">
        <v>1447</v>
      </c>
      <c r="E7630" t="s">
        <v>1989</v>
      </c>
      <c r="F7630" t="s">
        <v>1737</v>
      </c>
      <c r="K7630" t="str">
        <f>IF(ISBLANK('Q 8'!$E227),"",IF('Q 8'!$E227="&lt;please select&gt;","",'Q 8'!$E227))</f>
        <v>Recommendations for improvement</v>
      </c>
    </row>
    <row r="7631" spans="1:11" x14ac:dyDescent="0.3">
      <c r="A7631" t="s">
        <v>2096</v>
      </c>
      <c r="B7631" t="s">
        <v>2097</v>
      </c>
      <c r="C7631">
        <v>72</v>
      </c>
      <c r="D7631" t="s">
        <v>1447</v>
      </c>
      <c r="E7631" t="s">
        <v>1989</v>
      </c>
      <c r="F7631" t="s">
        <v>1737</v>
      </c>
      <c r="K7631" t="str">
        <f>IF(ISBLANK('Q 8'!$E228),"",IF('Q 8'!$E228="&lt;please select&gt;","",'Q 8'!$E228))</f>
        <v>Recommendations for improvement</v>
      </c>
    </row>
    <row r="7632" spans="1:11" x14ac:dyDescent="0.3">
      <c r="A7632" t="s">
        <v>2096</v>
      </c>
      <c r="B7632" t="s">
        <v>2097</v>
      </c>
      <c r="C7632">
        <v>73</v>
      </c>
      <c r="D7632" t="s">
        <v>1447</v>
      </c>
      <c r="E7632" t="s">
        <v>1989</v>
      </c>
      <c r="F7632" t="s">
        <v>1737</v>
      </c>
      <c r="K7632" t="str">
        <f>IF(ISBLANK('Q 8'!$E229),"",IF('Q 8'!$E229="&lt;please select&gt;","",'Q 8'!$E229))</f>
        <v>Recommendations for improvement</v>
      </c>
    </row>
    <row r="7633" spans="1:11" x14ac:dyDescent="0.3">
      <c r="A7633" t="s">
        <v>2096</v>
      </c>
      <c r="B7633" t="s">
        <v>2097</v>
      </c>
      <c r="C7633">
        <v>74</v>
      </c>
      <c r="D7633" t="s">
        <v>1447</v>
      </c>
      <c r="E7633" t="s">
        <v>1989</v>
      </c>
      <c r="F7633" t="s">
        <v>1737</v>
      </c>
      <c r="K7633" t="str">
        <f>IF(ISBLANK('Q 8'!$E230),"",IF('Q 8'!$E230="&lt;please select&gt;","",'Q 8'!$E230))</f>
        <v>Recommendations for improvement</v>
      </c>
    </row>
    <row r="7634" spans="1:11" x14ac:dyDescent="0.3">
      <c r="A7634" t="s">
        <v>2096</v>
      </c>
      <c r="B7634" t="s">
        <v>2097</v>
      </c>
      <c r="C7634">
        <v>75</v>
      </c>
      <c r="D7634" t="s">
        <v>1447</v>
      </c>
      <c r="E7634" t="s">
        <v>1989</v>
      </c>
      <c r="F7634" t="s">
        <v>1737</v>
      </c>
      <c r="K7634" t="str">
        <f>IF(ISBLANK('Q 8'!$E231),"",IF('Q 8'!$E231="&lt;please select&gt;","",'Q 8'!$E231))</f>
        <v>Recommendations for improvement</v>
      </c>
    </row>
    <row r="7635" spans="1:11" x14ac:dyDescent="0.3">
      <c r="A7635" t="s">
        <v>2096</v>
      </c>
      <c r="B7635" t="s">
        <v>2097</v>
      </c>
      <c r="C7635">
        <v>76</v>
      </c>
      <c r="D7635" t="s">
        <v>1447</v>
      </c>
      <c r="E7635" t="s">
        <v>1989</v>
      </c>
      <c r="F7635" t="s">
        <v>1737</v>
      </c>
      <c r="K7635" t="str">
        <f>IF(ISBLANK('Q 8'!$E232),"",IF('Q 8'!$E232="&lt;please select&gt;","",'Q 8'!$E232))</f>
        <v>Recommendations for improvement</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322</v>
      </c>
    </row>
    <row r="7641" spans="1:11" x14ac:dyDescent="0.3">
      <c r="A7641" t="s">
        <v>2096</v>
      </c>
      <c r="B7641" t="s">
        <v>2097</v>
      </c>
      <c r="C7641">
        <v>2</v>
      </c>
      <c r="D7641" t="s">
        <v>1447</v>
      </c>
      <c r="E7641" t="s">
        <v>1798</v>
      </c>
      <c r="F7641" t="s">
        <v>1748</v>
      </c>
      <c r="H7641" s="165" t="str">
        <f>IF(ISBLANK('Q 8'!$F158),"",IF('Q 8'!$F158="&lt;please select&gt;","",'Q 8'!$F158))</f>
        <v>25</v>
      </c>
    </row>
    <row r="7642" spans="1:11" x14ac:dyDescent="0.3">
      <c r="A7642" t="s">
        <v>2096</v>
      </c>
      <c r="B7642" t="s">
        <v>2097</v>
      </c>
      <c r="C7642">
        <v>3</v>
      </c>
      <c r="D7642" t="s">
        <v>1447</v>
      </c>
      <c r="E7642" t="s">
        <v>1798</v>
      </c>
      <c r="F7642" t="s">
        <v>1748</v>
      </c>
      <c r="H7642" s="165" t="str">
        <f>IF(ISBLANK('Q 8'!$F159),"",IF('Q 8'!$F159="&lt;please select&gt;","",'Q 8'!$F159))</f>
        <v>39</v>
      </c>
    </row>
    <row r="7643" spans="1:11" x14ac:dyDescent="0.3">
      <c r="A7643" t="s">
        <v>2096</v>
      </c>
      <c r="B7643" t="s">
        <v>2097</v>
      </c>
      <c r="C7643">
        <v>4</v>
      </c>
      <c r="D7643" t="s">
        <v>1447</v>
      </c>
      <c r="E7643" t="s">
        <v>1798</v>
      </c>
      <c r="F7643" t="s">
        <v>1748</v>
      </c>
      <c r="H7643" s="165" t="str">
        <f>IF(ISBLANK('Q 8'!$F160),"",IF('Q 8'!$F160="&lt;please select&gt;","",'Q 8'!$F160))</f>
        <v>58</v>
      </c>
    </row>
    <row r="7644" spans="1:11" x14ac:dyDescent="0.3">
      <c r="A7644" t="s">
        <v>2096</v>
      </c>
      <c r="B7644" t="s">
        <v>2097</v>
      </c>
      <c r="C7644">
        <v>5</v>
      </c>
      <c r="D7644" t="s">
        <v>1447</v>
      </c>
      <c r="E7644" t="s">
        <v>1798</v>
      </c>
      <c r="F7644" t="s">
        <v>1748</v>
      </c>
      <c r="H7644" s="165" t="str">
        <f>IF(ISBLANK('Q 8'!$F161),"",IF('Q 8'!$F161="&lt;please select&gt;","",'Q 8'!$F161))</f>
        <v>35</v>
      </c>
    </row>
    <row r="7645" spans="1:11" x14ac:dyDescent="0.3">
      <c r="A7645" t="s">
        <v>2096</v>
      </c>
      <c r="B7645" t="s">
        <v>2097</v>
      </c>
      <c r="C7645">
        <v>6</v>
      </c>
      <c r="D7645" t="s">
        <v>1447</v>
      </c>
      <c r="E7645" t="s">
        <v>1798</v>
      </c>
      <c r="F7645" t="s">
        <v>1748</v>
      </c>
      <c r="H7645" s="165" t="str">
        <f>IF(ISBLANK('Q 8'!$F162),"",IF('Q 8'!$F162="&lt;please select&gt;","",'Q 8'!$F162))</f>
        <v>13</v>
      </c>
    </row>
    <row r="7646" spans="1:11" x14ac:dyDescent="0.3">
      <c r="A7646" t="s">
        <v>2096</v>
      </c>
      <c r="B7646" t="s">
        <v>2097</v>
      </c>
      <c r="C7646">
        <v>7</v>
      </c>
      <c r="D7646" t="s">
        <v>1447</v>
      </c>
      <c r="E7646" t="s">
        <v>1798</v>
      </c>
      <c r="F7646" t="s">
        <v>1748</v>
      </c>
      <c r="H7646" s="165" t="str">
        <f>IF(ISBLANK('Q 8'!$F163),"",IF('Q 8'!$F163="&lt;please select&gt;","",'Q 8'!$F163))</f>
        <v>4</v>
      </c>
    </row>
    <row r="7647" spans="1:11" x14ac:dyDescent="0.3">
      <c r="A7647" t="s">
        <v>2096</v>
      </c>
      <c r="B7647" t="s">
        <v>2097</v>
      </c>
      <c r="C7647">
        <v>8</v>
      </c>
      <c r="D7647" t="s">
        <v>1447</v>
      </c>
      <c r="E7647" t="s">
        <v>1798</v>
      </c>
      <c r="F7647" t="s">
        <v>1748</v>
      </c>
      <c r="H7647" s="165" t="str">
        <f>IF(ISBLANK('Q 8'!$F164),"",IF('Q 8'!$F164="&lt;please select&gt;","",'Q 8'!$F164))</f>
        <v>14</v>
      </c>
    </row>
    <row r="7648" spans="1:11" x14ac:dyDescent="0.3">
      <c r="A7648" t="s">
        <v>2096</v>
      </c>
      <c r="B7648" t="s">
        <v>2097</v>
      </c>
      <c r="C7648">
        <v>9</v>
      </c>
      <c r="D7648" t="s">
        <v>1447</v>
      </c>
      <c r="E7648" t="s">
        <v>1798</v>
      </c>
      <c r="F7648" t="s">
        <v>1748</v>
      </c>
      <c r="H7648" s="165" t="str">
        <f>IF(ISBLANK('Q 8'!$F165),"",IF('Q 8'!$F165="&lt;please select&gt;","",'Q 8'!$F165))</f>
        <v>4</v>
      </c>
    </row>
    <row r="7649" spans="1:8" x14ac:dyDescent="0.3">
      <c r="A7649" t="s">
        <v>2096</v>
      </c>
      <c r="B7649" t="s">
        <v>2097</v>
      </c>
      <c r="C7649">
        <v>10</v>
      </c>
      <c r="D7649" t="s">
        <v>1447</v>
      </c>
      <c r="E7649" t="s">
        <v>1798</v>
      </c>
      <c r="F7649" t="s">
        <v>1748</v>
      </c>
      <c r="H7649" s="165" t="str">
        <f>IF(ISBLANK('Q 8'!$F166),"",IF('Q 8'!$F166="&lt;please select&gt;","",'Q 8'!$F166))</f>
        <v>7</v>
      </c>
    </row>
    <row r="7650" spans="1:8" x14ac:dyDescent="0.3">
      <c r="A7650" t="s">
        <v>2096</v>
      </c>
      <c r="B7650" t="s">
        <v>2097</v>
      </c>
      <c r="C7650">
        <v>11</v>
      </c>
      <c r="D7650" t="s">
        <v>1447</v>
      </c>
      <c r="E7650" t="s">
        <v>1798</v>
      </c>
      <c r="F7650" t="s">
        <v>1748</v>
      </c>
      <c r="H7650" s="165" t="str">
        <f>IF(ISBLANK('Q 8'!$F167),"",IF('Q 8'!$F167="&lt;please select&gt;","",'Q 8'!$F167))</f>
        <v>7</v>
      </c>
    </row>
    <row r="7651" spans="1:8" x14ac:dyDescent="0.3">
      <c r="A7651" t="s">
        <v>2096</v>
      </c>
      <c r="B7651" t="s">
        <v>2097</v>
      </c>
      <c r="C7651">
        <v>12</v>
      </c>
      <c r="D7651" t="s">
        <v>1447</v>
      </c>
      <c r="E7651" t="s">
        <v>1798</v>
      </c>
      <c r="F7651" t="s">
        <v>1748</v>
      </c>
      <c r="H7651" s="165" t="str">
        <f>IF(ISBLANK('Q 8'!$F168),"",IF('Q 8'!$F168="&lt;please select&gt;","",'Q 8'!$F168))</f>
        <v>1</v>
      </c>
    </row>
    <row r="7652" spans="1:8" x14ac:dyDescent="0.3">
      <c r="A7652" t="s">
        <v>2096</v>
      </c>
      <c r="B7652" t="s">
        <v>2097</v>
      </c>
      <c r="C7652">
        <v>13</v>
      </c>
      <c r="D7652" t="s">
        <v>1447</v>
      </c>
      <c r="E7652" t="s">
        <v>1798</v>
      </c>
      <c r="F7652" t="s">
        <v>1748</v>
      </c>
      <c r="H7652" s="165" t="str">
        <f>IF(ISBLANK('Q 8'!$F169),"",IF('Q 8'!$F169="&lt;please select&gt;","",'Q 8'!$F169))</f>
        <v>23</v>
      </c>
    </row>
    <row r="7653" spans="1:8" x14ac:dyDescent="0.3">
      <c r="A7653" t="s">
        <v>2096</v>
      </c>
      <c r="B7653" t="s">
        <v>2097</v>
      </c>
      <c r="C7653">
        <v>14</v>
      </c>
      <c r="D7653" t="s">
        <v>1447</v>
      </c>
      <c r="E7653" t="s">
        <v>1798</v>
      </c>
      <c r="F7653" t="s">
        <v>1748</v>
      </c>
      <c r="H7653" s="165" t="str">
        <f>IF(ISBLANK('Q 8'!$F170),"",IF('Q 8'!$F170="&lt;please select&gt;","",'Q 8'!$F170))</f>
        <v>6</v>
      </c>
    </row>
    <row r="7654" spans="1:8" x14ac:dyDescent="0.3">
      <c r="A7654" t="s">
        <v>2096</v>
      </c>
      <c r="B7654" t="s">
        <v>2097</v>
      </c>
      <c r="C7654">
        <v>15</v>
      </c>
      <c r="D7654" t="s">
        <v>1447</v>
      </c>
      <c r="E7654" t="s">
        <v>1798</v>
      </c>
      <c r="F7654" t="s">
        <v>1748</v>
      </c>
      <c r="H7654" s="165" t="str">
        <f>IF(ISBLANK('Q 8'!$F171),"",IF('Q 8'!$F171="&lt;please select&gt;","",'Q 8'!$F171))</f>
        <v>3</v>
      </c>
    </row>
    <row r="7655" spans="1:8" x14ac:dyDescent="0.3">
      <c r="A7655" t="s">
        <v>2096</v>
      </c>
      <c r="B7655" t="s">
        <v>2097</v>
      </c>
      <c r="C7655">
        <v>16</v>
      </c>
      <c r="D7655" t="s">
        <v>1447</v>
      </c>
      <c r="E7655" t="s">
        <v>1798</v>
      </c>
      <c r="F7655" t="s">
        <v>1748</v>
      </c>
      <c r="H7655" s="165" t="str">
        <f>IF(ISBLANK('Q 8'!$F172),"",IF('Q 8'!$F172="&lt;please select&gt;","",'Q 8'!$F172))</f>
        <v>1</v>
      </c>
    </row>
    <row r="7656" spans="1:8" x14ac:dyDescent="0.3">
      <c r="A7656" t="s">
        <v>2096</v>
      </c>
      <c r="B7656" t="s">
        <v>2097</v>
      </c>
      <c r="C7656">
        <v>17</v>
      </c>
      <c r="D7656" t="s">
        <v>1447</v>
      </c>
      <c r="E7656" t="s">
        <v>1798</v>
      </c>
      <c r="F7656" t="s">
        <v>1748</v>
      </c>
      <c r="H7656" s="165" t="str">
        <f>IF(ISBLANK('Q 8'!$F173),"",IF('Q 8'!$F173="&lt;please select&gt;","",'Q 8'!$F173))</f>
        <v>3</v>
      </c>
    </row>
    <row r="7657" spans="1:8" x14ac:dyDescent="0.3">
      <c r="A7657" t="s">
        <v>2096</v>
      </c>
      <c r="B7657" t="s">
        <v>2097</v>
      </c>
      <c r="C7657">
        <v>18</v>
      </c>
      <c r="D7657" t="s">
        <v>1447</v>
      </c>
      <c r="E7657" t="s">
        <v>1798</v>
      </c>
      <c r="F7657" t="s">
        <v>1748</v>
      </c>
      <c r="H7657" s="165" t="str">
        <f>IF(ISBLANK('Q 8'!$F174),"",IF('Q 8'!$F174="&lt;please select&gt;","",'Q 8'!$F174))</f>
        <v>7</v>
      </c>
    </row>
    <row r="7658" spans="1:8" x14ac:dyDescent="0.3">
      <c r="A7658" t="s">
        <v>2096</v>
      </c>
      <c r="B7658" t="s">
        <v>2097</v>
      </c>
      <c r="C7658">
        <v>19</v>
      </c>
      <c r="D7658" t="s">
        <v>1447</v>
      </c>
      <c r="E7658" t="s">
        <v>1798</v>
      </c>
      <c r="F7658" t="s">
        <v>1748</v>
      </c>
      <c r="H7658" s="165" t="str">
        <f>IF(ISBLANK('Q 8'!$F175),"",IF('Q 8'!$F175="&lt;please select&gt;","",'Q 8'!$F175))</f>
        <v>2</v>
      </c>
    </row>
    <row r="7659" spans="1:8" x14ac:dyDescent="0.3">
      <c r="A7659" t="s">
        <v>2096</v>
      </c>
      <c r="B7659" t="s">
        <v>2097</v>
      </c>
      <c r="C7659">
        <v>20</v>
      </c>
      <c r="D7659" t="s">
        <v>1447</v>
      </c>
      <c r="E7659" t="s">
        <v>1798</v>
      </c>
      <c r="F7659" t="s">
        <v>1748</v>
      </c>
      <c r="H7659" s="165" t="str">
        <f>IF(ISBLANK('Q 8'!$F176),"",IF('Q 8'!$F176="&lt;please select&gt;","",'Q 8'!$F176))</f>
        <v>2</v>
      </c>
    </row>
    <row r="7660" spans="1:8" x14ac:dyDescent="0.3">
      <c r="A7660" t="s">
        <v>2096</v>
      </c>
      <c r="B7660" t="s">
        <v>2097</v>
      </c>
      <c r="C7660">
        <v>21</v>
      </c>
      <c r="D7660" t="s">
        <v>1447</v>
      </c>
      <c r="E7660" t="s">
        <v>1798</v>
      </c>
      <c r="F7660" t="s">
        <v>1748</v>
      </c>
      <c r="H7660" s="165" t="str">
        <f>IF(ISBLANK('Q 8'!$F177),"",IF('Q 8'!$F177="&lt;please select&gt;","",'Q 8'!$F177))</f>
        <v>161</v>
      </c>
    </row>
    <row r="7661" spans="1:8" x14ac:dyDescent="0.3">
      <c r="A7661" t="s">
        <v>2096</v>
      </c>
      <c r="B7661" t="s">
        <v>2097</v>
      </c>
      <c r="C7661">
        <v>22</v>
      </c>
      <c r="D7661" t="s">
        <v>1447</v>
      </c>
      <c r="E7661" t="s">
        <v>1798</v>
      </c>
      <c r="F7661" t="s">
        <v>1748</v>
      </c>
      <c r="H7661" s="165" t="str">
        <f>IF(ISBLANK('Q 8'!$F178),"",IF('Q 8'!$F178="&lt;please select&gt;","",'Q 8'!$F178))</f>
        <v>2</v>
      </c>
    </row>
    <row r="7662" spans="1:8" x14ac:dyDescent="0.3">
      <c r="A7662" t="s">
        <v>2096</v>
      </c>
      <c r="B7662" t="s">
        <v>2097</v>
      </c>
      <c r="C7662">
        <v>23</v>
      </c>
      <c r="D7662" t="s">
        <v>1447</v>
      </c>
      <c r="E7662" t="s">
        <v>1798</v>
      </c>
      <c r="F7662" t="s">
        <v>1748</v>
      </c>
      <c r="H7662" s="165" t="str">
        <f>IF(ISBLANK('Q 8'!$F179),"",IF('Q 8'!$F179="&lt;please select&gt;","",'Q 8'!$F179))</f>
        <v>11</v>
      </c>
    </row>
    <row r="7663" spans="1:8" x14ac:dyDescent="0.3">
      <c r="A7663" t="s">
        <v>2096</v>
      </c>
      <c r="B7663" t="s">
        <v>2097</v>
      </c>
      <c r="C7663">
        <v>24</v>
      </c>
      <c r="D7663" t="s">
        <v>1447</v>
      </c>
      <c r="E7663" t="s">
        <v>1798</v>
      </c>
      <c r="F7663" t="s">
        <v>1748</v>
      </c>
      <c r="H7663" s="165" t="str">
        <f>IF(ISBLANK('Q 8'!$F180),"",IF('Q 8'!$F180="&lt;please select&gt;","",'Q 8'!$F180))</f>
        <v>15</v>
      </c>
    </row>
    <row r="7664" spans="1:8" x14ac:dyDescent="0.3">
      <c r="A7664" t="s">
        <v>2096</v>
      </c>
      <c r="B7664" t="s">
        <v>2097</v>
      </c>
      <c r="C7664">
        <v>25</v>
      </c>
      <c r="D7664" t="s">
        <v>1447</v>
      </c>
      <c r="E7664" t="s">
        <v>1798</v>
      </c>
      <c r="F7664" t="s">
        <v>1748</v>
      </c>
      <c r="H7664" s="165" t="str">
        <f>IF(ISBLANK('Q 8'!$F181),"",IF('Q 8'!$F181="&lt;please select&gt;","",'Q 8'!$F181))</f>
        <v>25</v>
      </c>
    </row>
    <row r="7665" spans="1:8" x14ac:dyDescent="0.3">
      <c r="A7665" t="s">
        <v>2096</v>
      </c>
      <c r="B7665" t="s">
        <v>2097</v>
      </c>
      <c r="C7665">
        <v>26</v>
      </c>
      <c r="D7665" t="s">
        <v>1447</v>
      </c>
      <c r="E7665" t="s">
        <v>1798</v>
      </c>
      <c r="F7665" t="s">
        <v>1748</v>
      </c>
      <c r="H7665" s="165" t="str">
        <f>IF(ISBLANK('Q 8'!$F182),"",IF('Q 8'!$F182="&lt;please select&gt;","",'Q 8'!$F182))</f>
        <v>5</v>
      </c>
    </row>
    <row r="7666" spans="1:8" x14ac:dyDescent="0.3">
      <c r="A7666" t="s">
        <v>2096</v>
      </c>
      <c r="B7666" t="s">
        <v>2097</v>
      </c>
      <c r="C7666">
        <v>27</v>
      </c>
      <c r="D7666" t="s">
        <v>1447</v>
      </c>
      <c r="E7666" t="s">
        <v>1798</v>
      </c>
      <c r="F7666" t="s">
        <v>1748</v>
      </c>
      <c r="H7666" s="165" t="str">
        <f>IF(ISBLANK('Q 8'!$F183),"",IF('Q 8'!$F183="&lt;please select&gt;","",'Q 8'!$F183))</f>
        <v>1</v>
      </c>
    </row>
    <row r="7667" spans="1:8" x14ac:dyDescent="0.3">
      <c r="A7667" t="s">
        <v>2096</v>
      </c>
      <c r="B7667" t="s">
        <v>2097</v>
      </c>
      <c r="C7667">
        <v>28</v>
      </c>
      <c r="D7667" t="s">
        <v>1447</v>
      </c>
      <c r="E7667" t="s">
        <v>1798</v>
      </c>
      <c r="F7667" t="s">
        <v>1748</v>
      </c>
      <c r="H7667" s="165" t="str">
        <f>IF(ISBLANK('Q 8'!$F184),"",IF('Q 8'!$F184="&lt;please select&gt;","",'Q 8'!$F184))</f>
        <v>1</v>
      </c>
    </row>
    <row r="7668" spans="1:8" x14ac:dyDescent="0.3">
      <c r="A7668" t="s">
        <v>2096</v>
      </c>
      <c r="B7668" t="s">
        <v>2097</v>
      </c>
      <c r="C7668">
        <v>29</v>
      </c>
      <c r="D7668" t="s">
        <v>1447</v>
      </c>
      <c r="E7668" t="s">
        <v>1798</v>
      </c>
      <c r="F7668" t="s">
        <v>1748</v>
      </c>
      <c r="H7668" s="165" t="str">
        <f>IF(ISBLANK('Q 8'!$F185),"",IF('Q 8'!$F185="&lt;please select&gt;","",'Q 8'!$F185))</f>
        <v>11</v>
      </c>
    </row>
    <row r="7669" spans="1:8" x14ac:dyDescent="0.3">
      <c r="A7669" t="s">
        <v>2096</v>
      </c>
      <c r="B7669" t="s">
        <v>2097</v>
      </c>
      <c r="C7669">
        <v>30</v>
      </c>
      <c r="D7669" t="s">
        <v>1447</v>
      </c>
      <c r="E7669" t="s">
        <v>1798</v>
      </c>
      <c r="F7669" t="s">
        <v>1748</v>
      </c>
      <c r="H7669" s="165" t="str">
        <f>IF(ISBLANK('Q 8'!$F186),"",IF('Q 8'!$F186="&lt;please select&gt;","",'Q 8'!$F186))</f>
        <v>13</v>
      </c>
    </row>
    <row r="7670" spans="1:8" x14ac:dyDescent="0.3">
      <c r="A7670" t="s">
        <v>2096</v>
      </c>
      <c r="B7670" t="s">
        <v>2097</v>
      </c>
      <c r="C7670">
        <v>31</v>
      </c>
      <c r="D7670" t="s">
        <v>1447</v>
      </c>
      <c r="E7670" t="s">
        <v>1798</v>
      </c>
      <c r="F7670" t="s">
        <v>1748</v>
      </c>
      <c r="H7670" s="165" t="str">
        <f>IF(ISBLANK('Q 8'!$F187),"",IF('Q 8'!$F187="&lt;please select&gt;","",'Q 8'!$F187))</f>
        <v>3</v>
      </c>
    </row>
    <row r="7671" spans="1:8" x14ac:dyDescent="0.3">
      <c r="A7671" t="s">
        <v>2096</v>
      </c>
      <c r="B7671" t="s">
        <v>2097</v>
      </c>
      <c r="C7671">
        <v>32</v>
      </c>
      <c r="D7671" t="s">
        <v>1447</v>
      </c>
      <c r="E7671" t="s">
        <v>1798</v>
      </c>
      <c r="F7671" t="s">
        <v>1748</v>
      </c>
      <c r="H7671" s="165" t="str">
        <f>IF(ISBLANK('Q 8'!$F188),"",IF('Q 8'!$F188="&lt;please select&gt;","",'Q 8'!$F188))</f>
        <v>9</v>
      </c>
    </row>
    <row r="7672" spans="1:8" x14ac:dyDescent="0.3">
      <c r="A7672" t="s">
        <v>2096</v>
      </c>
      <c r="B7672" t="s">
        <v>2097</v>
      </c>
      <c r="C7672">
        <v>33</v>
      </c>
      <c r="D7672" t="s">
        <v>1447</v>
      </c>
      <c r="E7672" t="s">
        <v>1798</v>
      </c>
      <c r="F7672" t="s">
        <v>1748</v>
      </c>
      <c r="H7672" s="165" t="str">
        <f>IF(ISBLANK('Q 8'!$F189),"",IF('Q 8'!$F189="&lt;please select&gt;","",'Q 8'!$F189))</f>
        <v>1</v>
      </c>
    </row>
    <row r="7673" spans="1:8" x14ac:dyDescent="0.3">
      <c r="A7673" t="s">
        <v>2096</v>
      </c>
      <c r="B7673" t="s">
        <v>2097</v>
      </c>
      <c r="C7673">
        <v>34</v>
      </c>
      <c r="D7673" t="s">
        <v>1447</v>
      </c>
      <c r="E7673" t="s">
        <v>1798</v>
      </c>
      <c r="F7673" t="s">
        <v>1748</v>
      </c>
      <c r="H7673" s="165" t="str">
        <f>IF(ISBLANK('Q 8'!$F190),"",IF('Q 8'!$F190="&lt;please select&gt;","",'Q 8'!$F190))</f>
        <v>19</v>
      </c>
    </row>
    <row r="7674" spans="1:8" x14ac:dyDescent="0.3">
      <c r="A7674" t="s">
        <v>2096</v>
      </c>
      <c r="B7674" t="s">
        <v>2097</v>
      </c>
      <c r="C7674">
        <v>35</v>
      </c>
      <c r="D7674" t="s">
        <v>1447</v>
      </c>
      <c r="E7674" t="s">
        <v>1798</v>
      </c>
      <c r="F7674" t="s">
        <v>1748</v>
      </c>
      <c r="H7674" s="165" t="str">
        <f>IF(ISBLANK('Q 8'!$F191),"",IF('Q 8'!$F191="&lt;please select&gt;","",'Q 8'!$F191))</f>
        <v>1</v>
      </c>
    </row>
    <row r="7675" spans="1:8" x14ac:dyDescent="0.3">
      <c r="A7675" t="s">
        <v>2096</v>
      </c>
      <c r="B7675" t="s">
        <v>2097</v>
      </c>
      <c r="C7675">
        <v>36</v>
      </c>
      <c r="D7675" t="s">
        <v>1447</v>
      </c>
      <c r="E7675" t="s">
        <v>1798</v>
      </c>
      <c r="F7675" t="s">
        <v>1748</v>
      </c>
      <c r="H7675" s="165" t="str">
        <f>IF(ISBLANK('Q 8'!$F192),"",IF('Q 8'!$F192="&lt;please select&gt;","",'Q 8'!$F192))</f>
        <v>3</v>
      </c>
    </row>
    <row r="7676" spans="1:8" x14ac:dyDescent="0.3">
      <c r="A7676" t="s">
        <v>2096</v>
      </c>
      <c r="B7676" t="s">
        <v>2097</v>
      </c>
      <c r="C7676">
        <v>37</v>
      </c>
      <c r="D7676" t="s">
        <v>1447</v>
      </c>
      <c r="E7676" t="s">
        <v>1798</v>
      </c>
      <c r="F7676" t="s">
        <v>1748</v>
      </c>
      <c r="H7676" s="165" t="str">
        <f>IF(ISBLANK('Q 8'!$F193),"",IF('Q 8'!$F193="&lt;please select&gt;","",'Q 8'!$F193))</f>
        <v>1</v>
      </c>
    </row>
    <row r="7677" spans="1:8" x14ac:dyDescent="0.3">
      <c r="A7677" t="s">
        <v>2096</v>
      </c>
      <c r="B7677" t="s">
        <v>2097</v>
      </c>
      <c r="C7677">
        <v>38</v>
      </c>
      <c r="D7677" t="s">
        <v>1447</v>
      </c>
      <c r="E7677" t="s">
        <v>1798</v>
      </c>
      <c r="F7677" t="s">
        <v>1748</v>
      </c>
      <c r="H7677" s="165" t="str">
        <f>IF(ISBLANK('Q 8'!$F194),"",IF('Q 8'!$F194="&lt;please select&gt;","",'Q 8'!$F194))</f>
        <v>1</v>
      </c>
    </row>
    <row r="7678" spans="1:8" x14ac:dyDescent="0.3">
      <c r="A7678" t="s">
        <v>2096</v>
      </c>
      <c r="B7678" t="s">
        <v>2097</v>
      </c>
      <c r="C7678">
        <v>39</v>
      </c>
      <c r="D7678" t="s">
        <v>1447</v>
      </c>
      <c r="E7678" t="s">
        <v>1798</v>
      </c>
      <c r="F7678" t="s">
        <v>1748</v>
      </c>
      <c r="H7678" s="165" t="str">
        <f>IF(ISBLANK('Q 8'!$F195),"",IF('Q 8'!$F195="&lt;please select&gt;","",'Q 8'!$F195))</f>
        <v>17</v>
      </c>
    </row>
    <row r="7679" spans="1:8" x14ac:dyDescent="0.3">
      <c r="A7679" t="s">
        <v>2096</v>
      </c>
      <c r="B7679" t="s">
        <v>2097</v>
      </c>
      <c r="C7679">
        <v>40</v>
      </c>
      <c r="D7679" t="s">
        <v>1447</v>
      </c>
      <c r="E7679" t="s">
        <v>1798</v>
      </c>
      <c r="F7679" t="s">
        <v>1748</v>
      </c>
      <c r="H7679" s="165" t="str">
        <f>IF(ISBLANK('Q 8'!$F196),"",IF('Q 8'!$F196="&lt;please select&gt;","",'Q 8'!$F196))</f>
        <v>240</v>
      </c>
    </row>
    <row r="7680" spans="1:8" x14ac:dyDescent="0.3">
      <c r="A7680" t="s">
        <v>2096</v>
      </c>
      <c r="B7680" t="s">
        <v>2097</v>
      </c>
      <c r="C7680">
        <v>41</v>
      </c>
      <c r="D7680" t="s">
        <v>1447</v>
      </c>
      <c r="E7680" t="s">
        <v>1798</v>
      </c>
      <c r="F7680" t="s">
        <v>1748</v>
      </c>
      <c r="H7680" s="165" t="str">
        <f>IF(ISBLANK('Q 8'!$F197),"",IF('Q 8'!$F197="&lt;please select&gt;","",'Q 8'!$F197))</f>
        <v>3</v>
      </c>
    </row>
    <row r="7681" spans="1:8" x14ac:dyDescent="0.3">
      <c r="A7681" t="s">
        <v>2096</v>
      </c>
      <c r="B7681" t="s">
        <v>2097</v>
      </c>
      <c r="C7681">
        <v>42</v>
      </c>
      <c r="D7681" t="s">
        <v>1447</v>
      </c>
      <c r="E7681" t="s">
        <v>1798</v>
      </c>
      <c r="F7681" t="s">
        <v>1748</v>
      </c>
      <c r="H7681" s="165" t="str">
        <f>IF(ISBLANK('Q 8'!$F198),"",IF('Q 8'!$F198="&lt;please select&gt;","",'Q 8'!$F198))</f>
        <v>10</v>
      </c>
    </row>
    <row r="7682" spans="1:8" x14ac:dyDescent="0.3">
      <c r="A7682" t="s">
        <v>2096</v>
      </c>
      <c r="B7682" t="s">
        <v>2097</v>
      </c>
      <c r="C7682">
        <v>43</v>
      </c>
      <c r="D7682" t="s">
        <v>1447</v>
      </c>
      <c r="E7682" t="s">
        <v>1798</v>
      </c>
      <c r="F7682" t="s">
        <v>1748</v>
      </c>
      <c r="H7682" s="165" t="str">
        <f>IF(ISBLANK('Q 8'!$F199),"",IF('Q 8'!$F199="&lt;please select&gt;","",'Q 8'!$F199))</f>
        <v>26</v>
      </c>
    </row>
    <row r="7683" spans="1:8" x14ac:dyDescent="0.3">
      <c r="A7683" t="s">
        <v>2096</v>
      </c>
      <c r="B7683" t="s">
        <v>2097</v>
      </c>
      <c r="C7683">
        <v>44</v>
      </c>
      <c r="D7683" t="s">
        <v>1447</v>
      </c>
      <c r="E7683" t="s">
        <v>1798</v>
      </c>
      <c r="F7683" t="s">
        <v>1748</v>
      </c>
      <c r="H7683" s="165" t="str">
        <f>IF(ISBLANK('Q 8'!$F200),"",IF('Q 8'!$F200="&lt;please select&gt;","",'Q 8'!$F200))</f>
        <v>30</v>
      </c>
    </row>
    <row r="7684" spans="1:8" x14ac:dyDescent="0.3">
      <c r="A7684" t="s">
        <v>2096</v>
      </c>
      <c r="B7684" t="s">
        <v>2097</v>
      </c>
      <c r="C7684">
        <v>45</v>
      </c>
      <c r="D7684" t="s">
        <v>1447</v>
      </c>
      <c r="E7684" t="s">
        <v>1798</v>
      </c>
      <c r="F7684" t="s">
        <v>1748</v>
      </c>
      <c r="H7684" s="165" t="str">
        <f>IF(ISBLANK('Q 8'!$F201),"",IF('Q 8'!$F201="&lt;please select&gt;","",'Q 8'!$F201))</f>
        <v>8</v>
      </c>
    </row>
    <row r="7685" spans="1:8" x14ac:dyDescent="0.3">
      <c r="A7685" t="s">
        <v>2096</v>
      </c>
      <c r="B7685" t="s">
        <v>2097</v>
      </c>
      <c r="C7685">
        <v>46</v>
      </c>
      <c r="D7685" t="s">
        <v>1447</v>
      </c>
      <c r="E7685" t="s">
        <v>1798</v>
      </c>
      <c r="F7685" t="s">
        <v>1748</v>
      </c>
      <c r="H7685" s="165" t="str">
        <f>IF(ISBLANK('Q 8'!$F202),"",IF('Q 8'!$F202="&lt;please select&gt;","",'Q 8'!$F202))</f>
        <v>1</v>
      </c>
    </row>
    <row r="7686" spans="1:8" x14ac:dyDescent="0.3">
      <c r="A7686" t="s">
        <v>2096</v>
      </c>
      <c r="B7686" t="s">
        <v>2097</v>
      </c>
      <c r="C7686">
        <v>47</v>
      </c>
      <c r="D7686" t="s">
        <v>1447</v>
      </c>
      <c r="E7686" t="s">
        <v>1798</v>
      </c>
      <c r="F7686" t="s">
        <v>1748</v>
      </c>
      <c r="H7686" s="165" t="str">
        <f>IF(ISBLANK('Q 8'!$F203),"",IF('Q 8'!$F203="&lt;please select&gt;","",'Q 8'!$F203))</f>
        <v>14</v>
      </c>
    </row>
    <row r="7687" spans="1:8" x14ac:dyDescent="0.3">
      <c r="A7687" t="s">
        <v>2096</v>
      </c>
      <c r="B7687" t="s">
        <v>2097</v>
      </c>
      <c r="C7687">
        <v>48</v>
      </c>
      <c r="D7687" t="s">
        <v>1447</v>
      </c>
      <c r="E7687" t="s">
        <v>1798</v>
      </c>
      <c r="F7687" t="s">
        <v>1748</v>
      </c>
      <c r="H7687" s="165" t="str">
        <f>IF(ISBLANK('Q 8'!$F204),"",IF('Q 8'!$F204="&lt;please select&gt;","",'Q 8'!$F204))</f>
        <v>19</v>
      </c>
    </row>
    <row r="7688" spans="1:8" x14ac:dyDescent="0.3">
      <c r="A7688" t="s">
        <v>2096</v>
      </c>
      <c r="B7688" t="s">
        <v>2097</v>
      </c>
      <c r="C7688">
        <v>49</v>
      </c>
      <c r="D7688" t="s">
        <v>1447</v>
      </c>
      <c r="E7688" t="s">
        <v>1798</v>
      </c>
      <c r="F7688" t="s">
        <v>1748</v>
      </c>
      <c r="H7688" s="165" t="str">
        <f>IF(ISBLANK('Q 8'!$F205),"",IF('Q 8'!$F205="&lt;please select&gt;","",'Q 8'!$F205))</f>
        <v>1</v>
      </c>
    </row>
    <row r="7689" spans="1:8" x14ac:dyDescent="0.3">
      <c r="A7689" t="s">
        <v>2096</v>
      </c>
      <c r="B7689" t="s">
        <v>2097</v>
      </c>
      <c r="C7689">
        <v>50</v>
      </c>
      <c r="D7689" t="s">
        <v>1447</v>
      </c>
      <c r="E7689" t="s">
        <v>1798</v>
      </c>
      <c r="F7689" t="s">
        <v>1748</v>
      </c>
      <c r="H7689" s="165" t="str">
        <f>IF(ISBLANK('Q 8'!$F206),"",IF('Q 8'!$F206="&lt;please select&gt;","",'Q 8'!$F206))</f>
        <v>6</v>
      </c>
    </row>
    <row r="7690" spans="1:8" x14ac:dyDescent="0.3">
      <c r="A7690" t="s">
        <v>2096</v>
      </c>
      <c r="B7690" t="s">
        <v>2097</v>
      </c>
      <c r="C7690">
        <v>51</v>
      </c>
      <c r="D7690" t="s">
        <v>1447</v>
      </c>
      <c r="E7690" t="s">
        <v>1798</v>
      </c>
      <c r="F7690" t="s">
        <v>1748</v>
      </c>
      <c r="H7690" s="165" t="str">
        <f>IF(ISBLANK('Q 8'!$F207),"",IF('Q 8'!$F207="&lt;please select&gt;","",'Q 8'!$F207))</f>
        <v>7</v>
      </c>
    </row>
    <row r="7691" spans="1:8" x14ac:dyDescent="0.3">
      <c r="A7691" t="s">
        <v>2096</v>
      </c>
      <c r="B7691" t="s">
        <v>2097</v>
      </c>
      <c r="C7691">
        <v>52</v>
      </c>
      <c r="D7691" t="s">
        <v>1447</v>
      </c>
      <c r="E7691" t="s">
        <v>1798</v>
      </c>
      <c r="F7691" t="s">
        <v>1748</v>
      </c>
      <c r="H7691" s="165" t="str">
        <f>IF(ISBLANK('Q 8'!$F208),"",IF('Q 8'!$F208="&lt;please select&gt;","",'Q 8'!$F208))</f>
        <v>1</v>
      </c>
    </row>
    <row r="7692" spans="1:8" x14ac:dyDescent="0.3">
      <c r="A7692" t="s">
        <v>2096</v>
      </c>
      <c r="B7692" t="s">
        <v>2097</v>
      </c>
      <c r="C7692">
        <v>53</v>
      </c>
      <c r="D7692" t="s">
        <v>1447</v>
      </c>
      <c r="E7692" t="s">
        <v>1798</v>
      </c>
      <c r="F7692" t="s">
        <v>1748</v>
      </c>
      <c r="H7692" s="165" t="str">
        <f>IF(ISBLANK('Q 8'!$F209),"",IF('Q 8'!$F209="&lt;please select&gt;","",'Q 8'!$F209))</f>
        <v>2</v>
      </c>
    </row>
    <row r="7693" spans="1:8" x14ac:dyDescent="0.3">
      <c r="A7693" t="s">
        <v>2096</v>
      </c>
      <c r="B7693" t="s">
        <v>2097</v>
      </c>
      <c r="C7693">
        <v>54</v>
      </c>
      <c r="D7693" t="s">
        <v>1447</v>
      </c>
      <c r="E7693" t="s">
        <v>1798</v>
      </c>
      <c r="F7693" t="s">
        <v>1748</v>
      </c>
      <c r="H7693" s="165" t="str">
        <f>IF(ISBLANK('Q 8'!$F210),"",IF('Q 8'!$F210="&lt;please select&gt;","",'Q 8'!$F210))</f>
        <v>2</v>
      </c>
    </row>
    <row r="7694" spans="1:8" x14ac:dyDescent="0.3">
      <c r="A7694" t="s">
        <v>2096</v>
      </c>
      <c r="B7694" t="s">
        <v>2097</v>
      </c>
      <c r="C7694">
        <v>55</v>
      </c>
      <c r="D7694" t="s">
        <v>1447</v>
      </c>
      <c r="E7694" t="s">
        <v>1798</v>
      </c>
      <c r="F7694" t="s">
        <v>1748</v>
      </c>
      <c r="H7694" s="165" t="str">
        <f>IF(ISBLANK('Q 8'!$F211),"",IF('Q 8'!$F211="&lt;please select&gt;","",'Q 8'!$F211))</f>
        <v>22</v>
      </c>
    </row>
    <row r="7695" spans="1:8" x14ac:dyDescent="0.3">
      <c r="A7695" t="s">
        <v>2096</v>
      </c>
      <c r="B7695" t="s">
        <v>2097</v>
      </c>
      <c r="C7695">
        <v>56</v>
      </c>
      <c r="D7695" t="s">
        <v>1447</v>
      </c>
      <c r="E7695" t="s">
        <v>1798</v>
      </c>
      <c r="F7695" t="s">
        <v>1748</v>
      </c>
      <c r="H7695" s="165" t="str">
        <f>IF(ISBLANK('Q 8'!$F212),"",IF('Q 8'!$F212="&lt;please select&gt;","",'Q 8'!$F212))</f>
        <v>1</v>
      </c>
    </row>
    <row r="7696" spans="1:8" x14ac:dyDescent="0.3">
      <c r="A7696" t="s">
        <v>2096</v>
      </c>
      <c r="B7696" t="s">
        <v>2097</v>
      </c>
      <c r="C7696">
        <v>57</v>
      </c>
      <c r="D7696" t="s">
        <v>1447</v>
      </c>
      <c r="E7696" t="s">
        <v>1798</v>
      </c>
      <c r="F7696" t="s">
        <v>1748</v>
      </c>
      <c r="H7696" s="165" t="str">
        <f>IF(ISBLANK('Q 8'!$F213),"",IF('Q 8'!$F213="&lt;please select&gt;","",'Q 8'!$F213))</f>
        <v>283</v>
      </c>
    </row>
    <row r="7697" spans="1:8" x14ac:dyDescent="0.3">
      <c r="A7697" t="s">
        <v>2096</v>
      </c>
      <c r="B7697" t="s">
        <v>2097</v>
      </c>
      <c r="C7697">
        <v>58</v>
      </c>
      <c r="D7697" t="s">
        <v>1447</v>
      </c>
      <c r="E7697" t="s">
        <v>1798</v>
      </c>
      <c r="F7697" t="s">
        <v>1748</v>
      </c>
      <c r="H7697" s="165" t="str">
        <f>IF(ISBLANK('Q 8'!$F214),"",IF('Q 8'!$F214="&lt;please select&gt;","",'Q 8'!$F214))</f>
        <v>3</v>
      </c>
    </row>
    <row r="7698" spans="1:8" x14ac:dyDescent="0.3">
      <c r="A7698" t="s">
        <v>2096</v>
      </c>
      <c r="B7698" t="s">
        <v>2097</v>
      </c>
      <c r="C7698">
        <v>59</v>
      </c>
      <c r="D7698" t="s">
        <v>1447</v>
      </c>
      <c r="E7698" t="s">
        <v>1798</v>
      </c>
      <c r="F7698" t="s">
        <v>1748</v>
      </c>
      <c r="H7698" s="165" t="str">
        <f>IF(ISBLANK('Q 8'!$F215),"",IF('Q 8'!$F215="&lt;please select&gt;","",'Q 8'!$F215))</f>
        <v>14</v>
      </c>
    </row>
    <row r="7699" spans="1:8" x14ac:dyDescent="0.3">
      <c r="A7699" t="s">
        <v>2096</v>
      </c>
      <c r="B7699" t="s">
        <v>2097</v>
      </c>
      <c r="C7699">
        <v>60</v>
      </c>
      <c r="D7699" t="s">
        <v>1447</v>
      </c>
      <c r="E7699" t="s">
        <v>1798</v>
      </c>
      <c r="F7699" t="s">
        <v>1748</v>
      </c>
      <c r="H7699" s="165" t="str">
        <f>IF(ISBLANK('Q 8'!$F216),"",IF('Q 8'!$F216="&lt;please select&gt;","",'Q 8'!$F216))</f>
        <v>24</v>
      </c>
    </row>
    <row r="7700" spans="1:8" x14ac:dyDescent="0.3">
      <c r="A7700" t="s">
        <v>2096</v>
      </c>
      <c r="B7700" t="s">
        <v>2097</v>
      </c>
      <c r="C7700">
        <v>61</v>
      </c>
      <c r="D7700" t="s">
        <v>1447</v>
      </c>
      <c r="E7700" t="s">
        <v>1798</v>
      </c>
      <c r="F7700" t="s">
        <v>1748</v>
      </c>
      <c r="H7700" s="165" t="str">
        <f>IF(ISBLANK('Q 8'!$F217),"",IF('Q 8'!$F217="&lt;please select&gt;","",'Q 8'!$F217))</f>
        <v>36</v>
      </c>
    </row>
    <row r="7701" spans="1:8" x14ac:dyDescent="0.3">
      <c r="A7701" t="s">
        <v>2096</v>
      </c>
      <c r="B7701" t="s">
        <v>2097</v>
      </c>
      <c r="C7701">
        <v>62</v>
      </c>
      <c r="D7701" t="s">
        <v>1447</v>
      </c>
      <c r="E7701" t="s">
        <v>1798</v>
      </c>
      <c r="F7701" t="s">
        <v>1748</v>
      </c>
      <c r="H7701" s="165" t="str">
        <f>IF(ISBLANK('Q 8'!$F218),"",IF('Q 8'!$F218="&lt;please select&gt;","",'Q 8'!$F218))</f>
        <v>1</v>
      </c>
    </row>
    <row r="7702" spans="1:8" x14ac:dyDescent="0.3">
      <c r="A7702" t="s">
        <v>2096</v>
      </c>
      <c r="B7702" t="s">
        <v>2097</v>
      </c>
      <c r="C7702">
        <v>63</v>
      </c>
      <c r="D7702" t="s">
        <v>1447</v>
      </c>
      <c r="E7702" t="s">
        <v>1798</v>
      </c>
      <c r="F7702" t="s">
        <v>1748</v>
      </c>
      <c r="H7702" s="165" t="str">
        <f>IF(ISBLANK('Q 8'!$F219),"",IF('Q 8'!$F219="&lt;please select&gt;","",'Q 8'!$F219))</f>
        <v>2</v>
      </c>
    </row>
    <row r="7703" spans="1:8" x14ac:dyDescent="0.3">
      <c r="A7703" t="s">
        <v>2096</v>
      </c>
      <c r="B7703" t="s">
        <v>2097</v>
      </c>
      <c r="C7703">
        <v>64</v>
      </c>
      <c r="D7703" t="s">
        <v>1447</v>
      </c>
      <c r="E7703" t="s">
        <v>1798</v>
      </c>
      <c r="F7703" t="s">
        <v>1748</v>
      </c>
      <c r="H7703" s="165" t="str">
        <f>IF(ISBLANK('Q 8'!$F220),"",IF('Q 8'!$F220="&lt;please select&gt;","",'Q 8'!$F220))</f>
        <v>10</v>
      </c>
    </row>
    <row r="7704" spans="1:8" x14ac:dyDescent="0.3">
      <c r="A7704" t="s">
        <v>2096</v>
      </c>
      <c r="B7704" t="s">
        <v>2097</v>
      </c>
      <c r="C7704">
        <v>65</v>
      </c>
      <c r="D7704" t="s">
        <v>1447</v>
      </c>
      <c r="E7704" t="s">
        <v>1798</v>
      </c>
      <c r="F7704" t="s">
        <v>1748</v>
      </c>
      <c r="H7704" s="165" t="str">
        <f>IF(ISBLANK('Q 8'!$F221),"",IF('Q 8'!$F221="&lt;please select&gt;","",'Q 8'!$F221))</f>
        <v>18</v>
      </c>
    </row>
    <row r="7705" spans="1:8" x14ac:dyDescent="0.3">
      <c r="A7705" t="s">
        <v>2096</v>
      </c>
      <c r="B7705" t="s">
        <v>2097</v>
      </c>
      <c r="C7705">
        <v>66</v>
      </c>
      <c r="D7705" t="s">
        <v>1447</v>
      </c>
      <c r="E7705" t="s">
        <v>1798</v>
      </c>
      <c r="F7705" t="s">
        <v>1748</v>
      </c>
      <c r="H7705" s="165" t="str">
        <f>IF(ISBLANK('Q 8'!$F222),"",IF('Q 8'!$F222="&lt;please select&gt;","",'Q 8'!$F222))</f>
        <v>21</v>
      </c>
    </row>
    <row r="7706" spans="1:8" x14ac:dyDescent="0.3">
      <c r="A7706" t="s">
        <v>2096</v>
      </c>
      <c r="B7706" t="s">
        <v>2097</v>
      </c>
      <c r="C7706">
        <v>67</v>
      </c>
      <c r="D7706" t="s">
        <v>1447</v>
      </c>
      <c r="E7706" t="s">
        <v>1798</v>
      </c>
      <c r="F7706" t="s">
        <v>1748</v>
      </c>
      <c r="H7706" s="165" t="str">
        <f>IF(ISBLANK('Q 8'!$F223),"",IF('Q 8'!$F223="&lt;please select&gt;","",'Q 8'!$F223))</f>
        <v>4</v>
      </c>
    </row>
    <row r="7707" spans="1:8" x14ac:dyDescent="0.3">
      <c r="A7707" t="s">
        <v>2096</v>
      </c>
      <c r="B7707" t="s">
        <v>2097</v>
      </c>
      <c r="C7707">
        <v>68</v>
      </c>
      <c r="D7707" t="s">
        <v>1447</v>
      </c>
      <c r="E7707" t="s">
        <v>1798</v>
      </c>
      <c r="F7707" t="s">
        <v>1748</v>
      </c>
      <c r="H7707" s="165" t="str">
        <f>IF(ISBLANK('Q 8'!$F224),"",IF('Q 8'!$F224="&lt;please select&gt;","",'Q 8'!$F224))</f>
        <v>17</v>
      </c>
    </row>
    <row r="7708" spans="1:8" x14ac:dyDescent="0.3">
      <c r="A7708" t="s">
        <v>2096</v>
      </c>
      <c r="B7708" t="s">
        <v>2097</v>
      </c>
      <c r="C7708">
        <v>69</v>
      </c>
      <c r="D7708" t="s">
        <v>1447</v>
      </c>
      <c r="E7708" t="s">
        <v>1798</v>
      </c>
      <c r="F7708" t="s">
        <v>1748</v>
      </c>
      <c r="H7708" s="165" t="str">
        <f>IF(ISBLANK('Q 8'!$F225),"",IF('Q 8'!$F225="&lt;please select&gt;","",'Q 8'!$F225))</f>
        <v>1</v>
      </c>
    </row>
    <row r="7709" spans="1:8" x14ac:dyDescent="0.3">
      <c r="A7709" t="s">
        <v>2096</v>
      </c>
      <c r="B7709" t="s">
        <v>2097</v>
      </c>
      <c r="C7709">
        <v>70</v>
      </c>
      <c r="D7709" t="s">
        <v>1447</v>
      </c>
      <c r="E7709" t="s">
        <v>1798</v>
      </c>
      <c r="F7709" t="s">
        <v>1748</v>
      </c>
      <c r="H7709" s="165" t="str">
        <f>IF(ISBLANK('Q 8'!$F226),"",IF('Q 8'!$F226="&lt;please select&gt;","",'Q 8'!$F226))</f>
        <v>6</v>
      </c>
    </row>
    <row r="7710" spans="1:8" x14ac:dyDescent="0.3">
      <c r="A7710" t="s">
        <v>2096</v>
      </c>
      <c r="B7710" t="s">
        <v>2097</v>
      </c>
      <c r="C7710">
        <v>71</v>
      </c>
      <c r="D7710" t="s">
        <v>1447</v>
      </c>
      <c r="E7710" t="s">
        <v>1798</v>
      </c>
      <c r="F7710" t="s">
        <v>1748</v>
      </c>
      <c r="H7710" s="165" t="str">
        <f>IF(ISBLANK('Q 8'!$F227),"",IF('Q 8'!$F227="&lt;please select&gt;","",'Q 8'!$F227))</f>
        <v>1</v>
      </c>
    </row>
    <row r="7711" spans="1:8" x14ac:dyDescent="0.3">
      <c r="A7711" t="s">
        <v>2096</v>
      </c>
      <c r="B7711" t="s">
        <v>2097</v>
      </c>
      <c r="C7711">
        <v>72</v>
      </c>
      <c r="D7711" t="s">
        <v>1447</v>
      </c>
      <c r="E7711" t="s">
        <v>1798</v>
      </c>
      <c r="F7711" t="s">
        <v>1748</v>
      </c>
      <c r="H7711" s="165" t="str">
        <f>IF(ISBLANK('Q 8'!$F228),"",IF('Q 8'!$F228="&lt;please select&gt;","",'Q 8'!$F228))</f>
        <v>2</v>
      </c>
    </row>
    <row r="7712" spans="1:8" x14ac:dyDescent="0.3">
      <c r="A7712" t="s">
        <v>2096</v>
      </c>
      <c r="B7712" t="s">
        <v>2097</v>
      </c>
      <c r="C7712">
        <v>73</v>
      </c>
      <c r="D7712" t="s">
        <v>1447</v>
      </c>
      <c r="E7712" t="s">
        <v>1798</v>
      </c>
      <c r="F7712" t="s">
        <v>1748</v>
      </c>
      <c r="H7712" s="165" t="str">
        <f>IF(ISBLANK('Q 8'!$F229),"",IF('Q 8'!$F229="&lt;please select&gt;","",'Q 8'!$F229))</f>
        <v>3</v>
      </c>
    </row>
    <row r="7713" spans="1:8" x14ac:dyDescent="0.3">
      <c r="A7713" t="s">
        <v>2096</v>
      </c>
      <c r="B7713" t="s">
        <v>2097</v>
      </c>
      <c r="C7713">
        <v>74</v>
      </c>
      <c r="D7713" t="s">
        <v>1447</v>
      </c>
      <c r="E7713" t="s">
        <v>1798</v>
      </c>
      <c r="F7713" t="s">
        <v>1748</v>
      </c>
      <c r="H7713" s="165" t="str">
        <f>IF(ISBLANK('Q 8'!$F230),"",IF('Q 8'!$F230="&lt;please select&gt;","",'Q 8'!$F230))</f>
        <v>1</v>
      </c>
    </row>
    <row r="7714" spans="1:8" x14ac:dyDescent="0.3">
      <c r="A7714" t="s">
        <v>2096</v>
      </c>
      <c r="B7714" t="s">
        <v>2097</v>
      </c>
      <c r="C7714">
        <v>75</v>
      </c>
      <c r="D7714" t="s">
        <v>1447</v>
      </c>
      <c r="E7714" t="s">
        <v>1798</v>
      </c>
      <c r="F7714" t="s">
        <v>1748</v>
      </c>
      <c r="H7714" s="165" t="str">
        <f>IF(ISBLANK('Q 8'!$F231),"",IF('Q 8'!$F231="&lt;please select&gt;","",'Q 8'!$F231))</f>
        <v>22</v>
      </c>
    </row>
    <row r="7715" spans="1:8" x14ac:dyDescent="0.3">
      <c r="A7715" t="s">
        <v>2096</v>
      </c>
      <c r="B7715" t="s">
        <v>2097</v>
      </c>
      <c r="C7715">
        <v>76</v>
      </c>
      <c r="D7715" t="s">
        <v>1447</v>
      </c>
      <c r="E7715" t="s">
        <v>1798</v>
      </c>
      <c r="F7715" t="s">
        <v>1748</v>
      </c>
      <c r="H7715" s="165" t="str">
        <f>IF(ISBLANK('Q 8'!$F232),"",IF('Q 8'!$F232="&lt;please select&gt;","",'Q 8'!$F232))</f>
        <v>1</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322</v>
      </c>
    </row>
    <row r="7721" spans="1:8" x14ac:dyDescent="0.3">
      <c r="A7721" t="s">
        <v>2096</v>
      </c>
      <c r="B7721" t="s">
        <v>2097</v>
      </c>
      <c r="C7721">
        <v>2</v>
      </c>
      <c r="D7721" t="s">
        <v>1447</v>
      </c>
      <c r="E7721" t="s">
        <v>1972</v>
      </c>
      <c r="F7721" t="s">
        <v>1748</v>
      </c>
      <c r="H7721" s="165" t="str">
        <f>IF(ISBLANK('Q 8'!$G158),"",IF('Q 8'!$G158="&lt;please select&gt;","",'Q 8'!$G158))</f>
        <v>25</v>
      </c>
    </row>
    <row r="7722" spans="1:8" x14ac:dyDescent="0.3">
      <c r="A7722" t="s">
        <v>2096</v>
      </c>
      <c r="B7722" t="s">
        <v>2097</v>
      </c>
      <c r="C7722">
        <v>3</v>
      </c>
      <c r="D7722" t="s">
        <v>1447</v>
      </c>
      <c r="E7722" t="s">
        <v>1972</v>
      </c>
      <c r="F7722" t="s">
        <v>1748</v>
      </c>
      <c r="H7722" s="165" t="str">
        <f>IF(ISBLANK('Q 8'!$G159),"",IF('Q 8'!$G159="&lt;please select&gt;","",'Q 8'!$G159))</f>
        <v>39</v>
      </c>
    </row>
    <row r="7723" spans="1:8" x14ac:dyDescent="0.3">
      <c r="A7723" t="s">
        <v>2096</v>
      </c>
      <c r="B7723" t="s">
        <v>2097</v>
      </c>
      <c r="C7723">
        <v>4</v>
      </c>
      <c r="D7723" t="s">
        <v>1447</v>
      </c>
      <c r="E7723" t="s">
        <v>1972</v>
      </c>
      <c r="F7723" t="s">
        <v>1748</v>
      </c>
      <c r="H7723" s="165" t="str">
        <f>IF(ISBLANK('Q 8'!$G160),"",IF('Q 8'!$G160="&lt;please select&gt;","",'Q 8'!$G160))</f>
        <v>58</v>
      </c>
    </row>
    <row r="7724" spans="1:8" x14ac:dyDescent="0.3">
      <c r="A7724" t="s">
        <v>2096</v>
      </c>
      <c r="B7724" t="s">
        <v>2097</v>
      </c>
      <c r="C7724">
        <v>5</v>
      </c>
      <c r="D7724" t="s">
        <v>1447</v>
      </c>
      <c r="E7724" t="s">
        <v>1972</v>
      </c>
      <c r="F7724" t="s">
        <v>1748</v>
      </c>
      <c r="H7724" s="165" t="str">
        <f>IF(ISBLANK('Q 8'!$G161),"",IF('Q 8'!$G161="&lt;please select&gt;","",'Q 8'!$G161))</f>
        <v>35</v>
      </c>
    </row>
    <row r="7725" spans="1:8" x14ac:dyDescent="0.3">
      <c r="A7725" t="s">
        <v>2096</v>
      </c>
      <c r="B7725" t="s">
        <v>2097</v>
      </c>
      <c r="C7725">
        <v>6</v>
      </c>
      <c r="D7725" t="s">
        <v>1447</v>
      </c>
      <c r="E7725" t="s">
        <v>1972</v>
      </c>
      <c r="F7725" t="s">
        <v>1748</v>
      </c>
      <c r="H7725" s="165" t="str">
        <f>IF(ISBLANK('Q 8'!$G162),"",IF('Q 8'!$G162="&lt;please select&gt;","",'Q 8'!$G162))</f>
        <v>13</v>
      </c>
    </row>
    <row r="7726" spans="1:8" x14ac:dyDescent="0.3">
      <c r="A7726" t="s">
        <v>2096</v>
      </c>
      <c r="B7726" t="s">
        <v>2097</v>
      </c>
      <c r="C7726">
        <v>7</v>
      </c>
      <c r="D7726" t="s">
        <v>1447</v>
      </c>
      <c r="E7726" t="s">
        <v>1972</v>
      </c>
      <c r="F7726" t="s">
        <v>1748</v>
      </c>
      <c r="H7726" s="165" t="str">
        <f>IF(ISBLANK('Q 8'!$G163),"",IF('Q 8'!$G163="&lt;please select&gt;","",'Q 8'!$G163))</f>
        <v>4</v>
      </c>
    </row>
    <row r="7727" spans="1:8" x14ac:dyDescent="0.3">
      <c r="A7727" t="s">
        <v>2096</v>
      </c>
      <c r="B7727" t="s">
        <v>2097</v>
      </c>
      <c r="C7727">
        <v>8</v>
      </c>
      <c r="D7727" t="s">
        <v>1447</v>
      </c>
      <c r="E7727" t="s">
        <v>1972</v>
      </c>
      <c r="F7727" t="s">
        <v>1748</v>
      </c>
      <c r="H7727" s="165" t="str">
        <f>IF(ISBLANK('Q 8'!$G164),"",IF('Q 8'!$G164="&lt;please select&gt;","",'Q 8'!$G164))</f>
        <v>14</v>
      </c>
    </row>
    <row r="7728" spans="1:8" x14ac:dyDescent="0.3">
      <c r="A7728" t="s">
        <v>2096</v>
      </c>
      <c r="B7728" t="s">
        <v>2097</v>
      </c>
      <c r="C7728">
        <v>9</v>
      </c>
      <c r="D7728" t="s">
        <v>1447</v>
      </c>
      <c r="E7728" t="s">
        <v>1972</v>
      </c>
      <c r="F7728" t="s">
        <v>1748</v>
      </c>
      <c r="H7728" s="165" t="str">
        <f>IF(ISBLANK('Q 8'!$G165),"",IF('Q 8'!$G165="&lt;please select&gt;","",'Q 8'!$G165))</f>
        <v>4</v>
      </c>
    </row>
    <row r="7729" spans="1:8" x14ac:dyDescent="0.3">
      <c r="A7729" t="s">
        <v>2096</v>
      </c>
      <c r="B7729" t="s">
        <v>2097</v>
      </c>
      <c r="C7729">
        <v>10</v>
      </c>
      <c r="D7729" t="s">
        <v>1447</v>
      </c>
      <c r="E7729" t="s">
        <v>1972</v>
      </c>
      <c r="F7729" t="s">
        <v>1748</v>
      </c>
      <c r="H7729" s="165" t="str">
        <f>IF(ISBLANK('Q 8'!$G166),"",IF('Q 8'!$G166="&lt;please select&gt;","",'Q 8'!$G166))</f>
        <v>7</v>
      </c>
    </row>
    <row r="7730" spans="1:8" x14ac:dyDescent="0.3">
      <c r="A7730" t="s">
        <v>2096</v>
      </c>
      <c r="B7730" t="s">
        <v>2097</v>
      </c>
      <c r="C7730">
        <v>11</v>
      </c>
      <c r="D7730" t="s">
        <v>1447</v>
      </c>
      <c r="E7730" t="s">
        <v>1972</v>
      </c>
      <c r="F7730" t="s">
        <v>1748</v>
      </c>
      <c r="H7730" s="165" t="str">
        <f>IF(ISBLANK('Q 8'!$G167),"",IF('Q 8'!$G167="&lt;please select&gt;","",'Q 8'!$G167))</f>
        <v>7</v>
      </c>
    </row>
    <row r="7731" spans="1:8" x14ac:dyDescent="0.3">
      <c r="A7731" t="s">
        <v>2096</v>
      </c>
      <c r="B7731" t="s">
        <v>2097</v>
      </c>
      <c r="C7731">
        <v>12</v>
      </c>
      <c r="D7731" t="s">
        <v>1447</v>
      </c>
      <c r="E7731" t="s">
        <v>1972</v>
      </c>
      <c r="F7731" t="s">
        <v>1748</v>
      </c>
      <c r="H7731" s="165" t="str">
        <f>IF(ISBLANK('Q 8'!$G168),"",IF('Q 8'!$G168="&lt;please select&gt;","",'Q 8'!$G168))</f>
        <v>1</v>
      </c>
    </row>
    <row r="7732" spans="1:8" x14ac:dyDescent="0.3">
      <c r="A7732" t="s">
        <v>2096</v>
      </c>
      <c r="B7732" t="s">
        <v>2097</v>
      </c>
      <c r="C7732">
        <v>13</v>
      </c>
      <c r="D7732" t="s">
        <v>1447</v>
      </c>
      <c r="E7732" t="s">
        <v>1972</v>
      </c>
      <c r="F7732" t="s">
        <v>1748</v>
      </c>
      <c r="H7732" s="165" t="str">
        <f>IF(ISBLANK('Q 8'!$G169),"",IF('Q 8'!$G169="&lt;please select&gt;","",'Q 8'!$G169))</f>
        <v>23</v>
      </c>
    </row>
    <row r="7733" spans="1:8" x14ac:dyDescent="0.3">
      <c r="A7733" t="s">
        <v>2096</v>
      </c>
      <c r="B7733" t="s">
        <v>2097</v>
      </c>
      <c r="C7733">
        <v>14</v>
      </c>
      <c r="D7733" t="s">
        <v>1447</v>
      </c>
      <c r="E7733" t="s">
        <v>1972</v>
      </c>
      <c r="F7733" t="s">
        <v>1748</v>
      </c>
      <c r="H7733" s="165" t="str">
        <f>IF(ISBLANK('Q 8'!$G170),"",IF('Q 8'!$G170="&lt;please select&gt;","",'Q 8'!$G170))</f>
        <v>6</v>
      </c>
    </row>
    <row r="7734" spans="1:8" x14ac:dyDescent="0.3">
      <c r="A7734" t="s">
        <v>2096</v>
      </c>
      <c r="B7734" t="s">
        <v>2097</v>
      </c>
      <c r="C7734">
        <v>15</v>
      </c>
      <c r="D7734" t="s">
        <v>1447</v>
      </c>
      <c r="E7734" t="s">
        <v>1972</v>
      </c>
      <c r="F7734" t="s">
        <v>1748</v>
      </c>
      <c r="H7734" s="165" t="str">
        <f>IF(ISBLANK('Q 8'!$G171),"",IF('Q 8'!$G171="&lt;please select&gt;","",'Q 8'!$G171))</f>
        <v>3</v>
      </c>
    </row>
    <row r="7735" spans="1:8" x14ac:dyDescent="0.3">
      <c r="A7735" t="s">
        <v>2096</v>
      </c>
      <c r="B7735" t="s">
        <v>2097</v>
      </c>
      <c r="C7735">
        <v>16</v>
      </c>
      <c r="D7735" t="s">
        <v>1447</v>
      </c>
      <c r="E7735" t="s">
        <v>1972</v>
      </c>
      <c r="F7735" t="s">
        <v>1748</v>
      </c>
      <c r="H7735" s="165" t="str">
        <f>IF(ISBLANK('Q 8'!$G172),"",IF('Q 8'!$G172="&lt;please select&gt;","",'Q 8'!$G172))</f>
        <v>1</v>
      </c>
    </row>
    <row r="7736" spans="1:8" x14ac:dyDescent="0.3">
      <c r="A7736" t="s">
        <v>2096</v>
      </c>
      <c r="B7736" t="s">
        <v>2097</v>
      </c>
      <c r="C7736">
        <v>17</v>
      </c>
      <c r="D7736" t="s">
        <v>1447</v>
      </c>
      <c r="E7736" t="s">
        <v>1972</v>
      </c>
      <c r="F7736" t="s">
        <v>1748</v>
      </c>
      <c r="H7736" s="165" t="str">
        <f>IF(ISBLANK('Q 8'!$G173),"",IF('Q 8'!$G173="&lt;please select&gt;","",'Q 8'!$G173))</f>
        <v>3</v>
      </c>
    </row>
    <row r="7737" spans="1:8" x14ac:dyDescent="0.3">
      <c r="A7737" t="s">
        <v>2096</v>
      </c>
      <c r="B7737" t="s">
        <v>2097</v>
      </c>
      <c r="C7737">
        <v>18</v>
      </c>
      <c r="D7737" t="s">
        <v>1447</v>
      </c>
      <c r="E7737" t="s">
        <v>1972</v>
      </c>
      <c r="F7737" t="s">
        <v>1748</v>
      </c>
      <c r="H7737" s="165" t="str">
        <f>IF(ISBLANK('Q 8'!$G174),"",IF('Q 8'!$G174="&lt;please select&gt;","",'Q 8'!$G174))</f>
        <v>7</v>
      </c>
    </row>
    <row r="7738" spans="1:8" x14ac:dyDescent="0.3">
      <c r="A7738" t="s">
        <v>2096</v>
      </c>
      <c r="B7738" t="s">
        <v>2097</v>
      </c>
      <c r="C7738">
        <v>19</v>
      </c>
      <c r="D7738" t="s">
        <v>1447</v>
      </c>
      <c r="E7738" t="s">
        <v>1972</v>
      </c>
      <c r="F7738" t="s">
        <v>1748</v>
      </c>
      <c r="H7738" s="165" t="str">
        <f>IF(ISBLANK('Q 8'!$G175),"",IF('Q 8'!$G175="&lt;please select&gt;","",'Q 8'!$G175))</f>
        <v>2</v>
      </c>
    </row>
    <row r="7739" spans="1:8" x14ac:dyDescent="0.3">
      <c r="A7739" t="s">
        <v>2096</v>
      </c>
      <c r="B7739" t="s">
        <v>2097</v>
      </c>
      <c r="C7739">
        <v>20</v>
      </c>
      <c r="D7739" t="s">
        <v>1447</v>
      </c>
      <c r="E7739" t="s">
        <v>1972</v>
      </c>
      <c r="F7739" t="s">
        <v>1748</v>
      </c>
      <c r="H7739" s="165" t="str">
        <f>IF(ISBLANK('Q 8'!$G176),"",IF('Q 8'!$G176="&lt;please select&gt;","",'Q 8'!$G176))</f>
        <v>2</v>
      </c>
    </row>
    <row r="7740" spans="1:8" x14ac:dyDescent="0.3">
      <c r="A7740" t="s">
        <v>2096</v>
      </c>
      <c r="B7740" t="s">
        <v>2097</v>
      </c>
      <c r="C7740">
        <v>21</v>
      </c>
      <c r="D7740" t="s">
        <v>1447</v>
      </c>
      <c r="E7740" t="s">
        <v>1972</v>
      </c>
      <c r="F7740" t="s">
        <v>1748</v>
      </c>
      <c r="H7740" s="165" t="str">
        <f>IF(ISBLANK('Q 8'!$G177),"",IF('Q 8'!$G177="&lt;please select&gt;","",'Q 8'!$G177))</f>
        <v>161</v>
      </c>
    </row>
    <row r="7741" spans="1:8" x14ac:dyDescent="0.3">
      <c r="A7741" t="s">
        <v>2096</v>
      </c>
      <c r="B7741" t="s">
        <v>2097</v>
      </c>
      <c r="C7741">
        <v>22</v>
      </c>
      <c r="D7741" t="s">
        <v>1447</v>
      </c>
      <c r="E7741" t="s">
        <v>1972</v>
      </c>
      <c r="F7741" t="s">
        <v>1748</v>
      </c>
      <c r="H7741" s="165" t="str">
        <f>IF(ISBLANK('Q 8'!$G178),"",IF('Q 8'!$G178="&lt;please select&gt;","",'Q 8'!$G178))</f>
        <v>2</v>
      </c>
    </row>
    <row r="7742" spans="1:8" x14ac:dyDescent="0.3">
      <c r="A7742" t="s">
        <v>2096</v>
      </c>
      <c r="B7742" t="s">
        <v>2097</v>
      </c>
      <c r="C7742">
        <v>23</v>
      </c>
      <c r="D7742" t="s">
        <v>1447</v>
      </c>
      <c r="E7742" t="s">
        <v>1972</v>
      </c>
      <c r="F7742" t="s">
        <v>1748</v>
      </c>
      <c r="H7742" s="165" t="str">
        <f>IF(ISBLANK('Q 8'!$G179),"",IF('Q 8'!$G179="&lt;please select&gt;","",'Q 8'!$G179))</f>
        <v>11</v>
      </c>
    </row>
    <row r="7743" spans="1:8" x14ac:dyDescent="0.3">
      <c r="A7743" t="s">
        <v>2096</v>
      </c>
      <c r="B7743" t="s">
        <v>2097</v>
      </c>
      <c r="C7743">
        <v>24</v>
      </c>
      <c r="D7743" t="s">
        <v>1447</v>
      </c>
      <c r="E7743" t="s">
        <v>1972</v>
      </c>
      <c r="F7743" t="s">
        <v>1748</v>
      </c>
      <c r="H7743" s="165" t="str">
        <f>IF(ISBLANK('Q 8'!$G180),"",IF('Q 8'!$G180="&lt;please select&gt;","",'Q 8'!$G180))</f>
        <v>15</v>
      </c>
    </row>
    <row r="7744" spans="1:8" x14ac:dyDescent="0.3">
      <c r="A7744" t="s">
        <v>2096</v>
      </c>
      <c r="B7744" t="s">
        <v>2097</v>
      </c>
      <c r="C7744">
        <v>25</v>
      </c>
      <c r="D7744" t="s">
        <v>1447</v>
      </c>
      <c r="E7744" t="s">
        <v>1972</v>
      </c>
      <c r="F7744" t="s">
        <v>1748</v>
      </c>
      <c r="H7744" s="165" t="str">
        <f>IF(ISBLANK('Q 8'!$G181),"",IF('Q 8'!$G181="&lt;please select&gt;","",'Q 8'!$G181))</f>
        <v>25</v>
      </c>
    </row>
    <row r="7745" spans="1:8" x14ac:dyDescent="0.3">
      <c r="A7745" t="s">
        <v>2096</v>
      </c>
      <c r="B7745" t="s">
        <v>2097</v>
      </c>
      <c r="C7745">
        <v>26</v>
      </c>
      <c r="D7745" t="s">
        <v>1447</v>
      </c>
      <c r="E7745" t="s">
        <v>1972</v>
      </c>
      <c r="F7745" t="s">
        <v>1748</v>
      </c>
      <c r="H7745" s="165" t="str">
        <f>IF(ISBLANK('Q 8'!$G182),"",IF('Q 8'!$G182="&lt;please select&gt;","",'Q 8'!$G182))</f>
        <v>5</v>
      </c>
    </row>
    <row r="7746" spans="1:8" x14ac:dyDescent="0.3">
      <c r="A7746" t="s">
        <v>2096</v>
      </c>
      <c r="B7746" t="s">
        <v>2097</v>
      </c>
      <c r="C7746">
        <v>27</v>
      </c>
      <c r="D7746" t="s">
        <v>1447</v>
      </c>
      <c r="E7746" t="s">
        <v>1972</v>
      </c>
      <c r="F7746" t="s">
        <v>1748</v>
      </c>
      <c r="H7746" s="165" t="str">
        <f>IF(ISBLANK('Q 8'!$G183),"",IF('Q 8'!$G183="&lt;please select&gt;","",'Q 8'!$G183))</f>
        <v>1</v>
      </c>
    </row>
    <row r="7747" spans="1:8" x14ac:dyDescent="0.3">
      <c r="A7747" t="s">
        <v>2096</v>
      </c>
      <c r="B7747" t="s">
        <v>2097</v>
      </c>
      <c r="C7747">
        <v>28</v>
      </c>
      <c r="D7747" t="s">
        <v>1447</v>
      </c>
      <c r="E7747" t="s">
        <v>1972</v>
      </c>
      <c r="F7747" t="s">
        <v>1748</v>
      </c>
      <c r="H7747" s="165" t="str">
        <f>IF(ISBLANK('Q 8'!$G184),"",IF('Q 8'!$G184="&lt;please select&gt;","",'Q 8'!$G184))</f>
        <v>1</v>
      </c>
    </row>
    <row r="7748" spans="1:8" x14ac:dyDescent="0.3">
      <c r="A7748" t="s">
        <v>2096</v>
      </c>
      <c r="B7748" t="s">
        <v>2097</v>
      </c>
      <c r="C7748">
        <v>29</v>
      </c>
      <c r="D7748" t="s">
        <v>1447</v>
      </c>
      <c r="E7748" t="s">
        <v>1972</v>
      </c>
      <c r="F7748" t="s">
        <v>1748</v>
      </c>
      <c r="H7748" s="165" t="str">
        <f>IF(ISBLANK('Q 8'!$G185),"",IF('Q 8'!$G185="&lt;please select&gt;","",'Q 8'!$G185))</f>
        <v>11</v>
      </c>
    </row>
    <row r="7749" spans="1:8" x14ac:dyDescent="0.3">
      <c r="A7749" t="s">
        <v>2096</v>
      </c>
      <c r="B7749" t="s">
        <v>2097</v>
      </c>
      <c r="C7749">
        <v>30</v>
      </c>
      <c r="D7749" t="s">
        <v>1447</v>
      </c>
      <c r="E7749" t="s">
        <v>1972</v>
      </c>
      <c r="F7749" t="s">
        <v>1748</v>
      </c>
      <c r="H7749" s="165" t="str">
        <f>IF(ISBLANK('Q 8'!$G186),"",IF('Q 8'!$G186="&lt;please select&gt;","",'Q 8'!$G186))</f>
        <v>13</v>
      </c>
    </row>
    <row r="7750" spans="1:8" x14ac:dyDescent="0.3">
      <c r="A7750" t="s">
        <v>2096</v>
      </c>
      <c r="B7750" t="s">
        <v>2097</v>
      </c>
      <c r="C7750">
        <v>31</v>
      </c>
      <c r="D7750" t="s">
        <v>1447</v>
      </c>
      <c r="E7750" t="s">
        <v>1972</v>
      </c>
      <c r="F7750" t="s">
        <v>1748</v>
      </c>
      <c r="H7750" s="165" t="str">
        <f>IF(ISBLANK('Q 8'!$G187),"",IF('Q 8'!$G187="&lt;please select&gt;","",'Q 8'!$G187))</f>
        <v>3</v>
      </c>
    </row>
    <row r="7751" spans="1:8" x14ac:dyDescent="0.3">
      <c r="A7751" t="s">
        <v>2096</v>
      </c>
      <c r="B7751" t="s">
        <v>2097</v>
      </c>
      <c r="C7751">
        <v>32</v>
      </c>
      <c r="D7751" t="s">
        <v>1447</v>
      </c>
      <c r="E7751" t="s">
        <v>1972</v>
      </c>
      <c r="F7751" t="s">
        <v>1748</v>
      </c>
      <c r="H7751" s="165" t="str">
        <f>IF(ISBLANK('Q 8'!$G188),"",IF('Q 8'!$G188="&lt;please select&gt;","",'Q 8'!$G188))</f>
        <v>9</v>
      </c>
    </row>
    <row r="7752" spans="1:8" x14ac:dyDescent="0.3">
      <c r="A7752" t="s">
        <v>2096</v>
      </c>
      <c r="B7752" t="s">
        <v>2097</v>
      </c>
      <c r="C7752">
        <v>33</v>
      </c>
      <c r="D7752" t="s">
        <v>1447</v>
      </c>
      <c r="E7752" t="s">
        <v>1972</v>
      </c>
      <c r="F7752" t="s">
        <v>1748</v>
      </c>
      <c r="H7752" s="165" t="str">
        <f>IF(ISBLANK('Q 8'!$G189),"",IF('Q 8'!$G189="&lt;please select&gt;","",'Q 8'!$G189))</f>
        <v>1</v>
      </c>
    </row>
    <row r="7753" spans="1:8" x14ac:dyDescent="0.3">
      <c r="A7753" t="s">
        <v>2096</v>
      </c>
      <c r="B7753" t="s">
        <v>2097</v>
      </c>
      <c r="C7753">
        <v>34</v>
      </c>
      <c r="D7753" t="s">
        <v>1447</v>
      </c>
      <c r="E7753" t="s">
        <v>1972</v>
      </c>
      <c r="F7753" t="s">
        <v>1748</v>
      </c>
      <c r="H7753" s="165" t="str">
        <f>IF(ISBLANK('Q 8'!$G190),"",IF('Q 8'!$G190="&lt;please select&gt;","",'Q 8'!$G190))</f>
        <v>19</v>
      </c>
    </row>
    <row r="7754" spans="1:8" x14ac:dyDescent="0.3">
      <c r="A7754" t="s">
        <v>2096</v>
      </c>
      <c r="B7754" t="s">
        <v>2097</v>
      </c>
      <c r="C7754">
        <v>35</v>
      </c>
      <c r="D7754" t="s">
        <v>1447</v>
      </c>
      <c r="E7754" t="s">
        <v>1972</v>
      </c>
      <c r="F7754" t="s">
        <v>1748</v>
      </c>
      <c r="H7754" s="165" t="str">
        <f>IF(ISBLANK('Q 8'!$G191),"",IF('Q 8'!$G191="&lt;please select&gt;","",'Q 8'!$G191))</f>
        <v>1</v>
      </c>
    </row>
    <row r="7755" spans="1:8" x14ac:dyDescent="0.3">
      <c r="A7755" t="s">
        <v>2096</v>
      </c>
      <c r="B7755" t="s">
        <v>2097</v>
      </c>
      <c r="C7755">
        <v>36</v>
      </c>
      <c r="D7755" t="s">
        <v>1447</v>
      </c>
      <c r="E7755" t="s">
        <v>1972</v>
      </c>
      <c r="F7755" t="s">
        <v>1748</v>
      </c>
      <c r="H7755" s="165" t="str">
        <f>IF(ISBLANK('Q 8'!$G192),"",IF('Q 8'!$G192="&lt;please select&gt;","",'Q 8'!$G192))</f>
        <v>3</v>
      </c>
    </row>
    <row r="7756" spans="1:8" x14ac:dyDescent="0.3">
      <c r="A7756" t="s">
        <v>2096</v>
      </c>
      <c r="B7756" t="s">
        <v>2097</v>
      </c>
      <c r="C7756">
        <v>37</v>
      </c>
      <c r="D7756" t="s">
        <v>1447</v>
      </c>
      <c r="E7756" t="s">
        <v>1972</v>
      </c>
      <c r="F7756" t="s">
        <v>1748</v>
      </c>
      <c r="H7756" s="165" t="str">
        <f>IF(ISBLANK('Q 8'!$G193),"",IF('Q 8'!$G193="&lt;please select&gt;","",'Q 8'!$G193))</f>
        <v>1</v>
      </c>
    </row>
    <row r="7757" spans="1:8" x14ac:dyDescent="0.3">
      <c r="A7757" t="s">
        <v>2096</v>
      </c>
      <c r="B7757" t="s">
        <v>2097</v>
      </c>
      <c r="C7757">
        <v>38</v>
      </c>
      <c r="D7757" t="s">
        <v>1447</v>
      </c>
      <c r="E7757" t="s">
        <v>1972</v>
      </c>
      <c r="F7757" t="s">
        <v>1748</v>
      </c>
      <c r="H7757" s="165" t="str">
        <f>IF(ISBLANK('Q 8'!$G194),"",IF('Q 8'!$G194="&lt;please select&gt;","",'Q 8'!$G194))</f>
        <v>1</v>
      </c>
    </row>
    <row r="7758" spans="1:8" x14ac:dyDescent="0.3">
      <c r="A7758" t="s">
        <v>2096</v>
      </c>
      <c r="B7758" t="s">
        <v>2097</v>
      </c>
      <c r="C7758">
        <v>39</v>
      </c>
      <c r="D7758" t="s">
        <v>1447</v>
      </c>
      <c r="E7758" t="s">
        <v>1972</v>
      </c>
      <c r="F7758" t="s">
        <v>1748</v>
      </c>
      <c r="H7758" s="165" t="str">
        <f>IF(ISBLANK('Q 8'!$G195),"",IF('Q 8'!$G195="&lt;please select&gt;","",'Q 8'!$G195))</f>
        <v>17</v>
      </c>
    </row>
    <row r="7759" spans="1:8" x14ac:dyDescent="0.3">
      <c r="A7759" t="s">
        <v>2096</v>
      </c>
      <c r="B7759" t="s">
        <v>2097</v>
      </c>
      <c r="C7759">
        <v>40</v>
      </c>
      <c r="D7759" t="s">
        <v>1447</v>
      </c>
      <c r="E7759" t="s">
        <v>1972</v>
      </c>
      <c r="F7759" t="s">
        <v>1748</v>
      </c>
      <c r="H7759" s="165" t="str">
        <f>IF(ISBLANK('Q 8'!$G196),"",IF('Q 8'!$G196="&lt;please select&gt;","",'Q 8'!$G196))</f>
        <v>240</v>
      </c>
    </row>
    <row r="7760" spans="1:8" x14ac:dyDescent="0.3">
      <c r="A7760" t="s">
        <v>2096</v>
      </c>
      <c r="B7760" t="s">
        <v>2097</v>
      </c>
      <c r="C7760">
        <v>41</v>
      </c>
      <c r="D7760" t="s">
        <v>1447</v>
      </c>
      <c r="E7760" t="s">
        <v>1972</v>
      </c>
      <c r="F7760" t="s">
        <v>1748</v>
      </c>
      <c r="H7760" s="165" t="str">
        <f>IF(ISBLANK('Q 8'!$G197),"",IF('Q 8'!$G197="&lt;please select&gt;","",'Q 8'!$G197))</f>
        <v>3</v>
      </c>
    </row>
    <row r="7761" spans="1:8" x14ac:dyDescent="0.3">
      <c r="A7761" t="s">
        <v>2096</v>
      </c>
      <c r="B7761" t="s">
        <v>2097</v>
      </c>
      <c r="C7761">
        <v>42</v>
      </c>
      <c r="D7761" t="s">
        <v>1447</v>
      </c>
      <c r="E7761" t="s">
        <v>1972</v>
      </c>
      <c r="F7761" t="s">
        <v>1748</v>
      </c>
      <c r="H7761" s="165" t="str">
        <f>IF(ISBLANK('Q 8'!$G198),"",IF('Q 8'!$G198="&lt;please select&gt;","",'Q 8'!$G198))</f>
        <v>10</v>
      </c>
    </row>
    <row r="7762" spans="1:8" x14ac:dyDescent="0.3">
      <c r="A7762" t="s">
        <v>2096</v>
      </c>
      <c r="B7762" t="s">
        <v>2097</v>
      </c>
      <c r="C7762">
        <v>43</v>
      </c>
      <c r="D7762" t="s">
        <v>1447</v>
      </c>
      <c r="E7762" t="s">
        <v>1972</v>
      </c>
      <c r="F7762" t="s">
        <v>1748</v>
      </c>
      <c r="H7762" s="165" t="str">
        <f>IF(ISBLANK('Q 8'!$G199),"",IF('Q 8'!$G199="&lt;please select&gt;","",'Q 8'!$G199))</f>
        <v>26</v>
      </c>
    </row>
    <row r="7763" spans="1:8" x14ac:dyDescent="0.3">
      <c r="A7763" t="s">
        <v>2096</v>
      </c>
      <c r="B7763" t="s">
        <v>2097</v>
      </c>
      <c r="C7763">
        <v>44</v>
      </c>
      <c r="D7763" t="s">
        <v>1447</v>
      </c>
      <c r="E7763" t="s">
        <v>1972</v>
      </c>
      <c r="F7763" t="s">
        <v>1748</v>
      </c>
      <c r="H7763" s="165" t="str">
        <f>IF(ISBLANK('Q 8'!$G200),"",IF('Q 8'!$G200="&lt;please select&gt;","",'Q 8'!$G200))</f>
        <v>30</v>
      </c>
    </row>
    <row r="7764" spans="1:8" x14ac:dyDescent="0.3">
      <c r="A7764" t="s">
        <v>2096</v>
      </c>
      <c r="B7764" t="s">
        <v>2097</v>
      </c>
      <c r="C7764">
        <v>45</v>
      </c>
      <c r="D7764" t="s">
        <v>1447</v>
      </c>
      <c r="E7764" t="s">
        <v>1972</v>
      </c>
      <c r="F7764" t="s">
        <v>1748</v>
      </c>
      <c r="H7764" s="165" t="str">
        <f>IF(ISBLANK('Q 8'!$G201),"",IF('Q 8'!$G201="&lt;please select&gt;","",'Q 8'!$G201))</f>
        <v>8</v>
      </c>
    </row>
    <row r="7765" spans="1:8" x14ac:dyDescent="0.3">
      <c r="A7765" t="s">
        <v>2096</v>
      </c>
      <c r="B7765" t="s">
        <v>2097</v>
      </c>
      <c r="C7765">
        <v>46</v>
      </c>
      <c r="D7765" t="s">
        <v>1447</v>
      </c>
      <c r="E7765" t="s">
        <v>1972</v>
      </c>
      <c r="F7765" t="s">
        <v>1748</v>
      </c>
      <c r="H7765" s="165" t="str">
        <f>IF(ISBLANK('Q 8'!$G202),"",IF('Q 8'!$G202="&lt;please select&gt;","",'Q 8'!$G202))</f>
        <v>1</v>
      </c>
    </row>
    <row r="7766" spans="1:8" x14ac:dyDescent="0.3">
      <c r="A7766" t="s">
        <v>2096</v>
      </c>
      <c r="B7766" t="s">
        <v>2097</v>
      </c>
      <c r="C7766">
        <v>47</v>
      </c>
      <c r="D7766" t="s">
        <v>1447</v>
      </c>
      <c r="E7766" t="s">
        <v>1972</v>
      </c>
      <c r="F7766" t="s">
        <v>1748</v>
      </c>
      <c r="H7766" s="165" t="str">
        <f>IF(ISBLANK('Q 8'!$G203),"",IF('Q 8'!$G203="&lt;please select&gt;","",'Q 8'!$G203))</f>
        <v>14</v>
      </c>
    </row>
    <row r="7767" spans="1:8" x14ac:dyDescent="0.3">
      <c r="A7767" t="s">
        <v>2096</v>
      </c>
      <c r="B7767" t="s">
        <v>2097</v>
      </c>
      <c r="C7767">
        <v>48</v>
      </c>
      <c r="D7767" t="s">
        <v>1447</v>
      </c>
      <c r="E7767" t="s">
        <v>1972</v>
      </c>
      <c r="F7767" t="s">
        <v>1748</v>
      </c>
      <c r="H7767" s="165" t="str">
        <f>IF(ISBLANK('Q 8'!$G204),"",IF('Q 8'!$G204="&lt;please select&gt;","",'Q 8'!$G204))</f>
        <v>19</v>
      </c>
    </row>
    <row r="7768" spans="1:8" x14ac:dyDescent="0.3">
      <c r="A7768" t="s">
        <v>2096</v>
      </c>
      <c r="B7768" t="s">
        <v>2097</v>
      </c>
      <c r="C7768">
        <v>49</v>
      </c>
      <c r="D7768" t="s">
        <v>1447</v>
      </c>
      <c r="E7768" t="s">
        <v>1972</v>
      </c>
      <c r="F7768" t="s">
        <v>1748</v>
      </c>
      <c r="H7768" s="165" t="str">
        <f>IF(ISBLANK('Q 8'!$G205),"",IF('Q 8'!$G205="&lt;please select&gt;","",'Q 8'!$G205))</f>
        <v>1</v>
      </c>
    </row>
    <row r="7769" spans="1:8" x14ac:dyDescent="0.3">
      <c r="A7769" t="s">
        <v>2096</v>
      </c>
      <c r="B7769" t="s">
        <v>2097</v>
      </c>
      <c r="C7769">
        <v>50</v>
      </c>
      <c r="D7769" t="s">
        <v>1447</v>
      </c>
      <c r="E7769" t="s">
        <v>1972</v>
      </c>
      <c r="F7769" t="s">
        <v>1748</v>
      </c>
      <c r="H7769" s="165" t="str">
        <f>IF(ISBLANK('Q 8'!$G206),"",IF('Q 8'!$G206="&lt;please select&gt;","",'Q 8'!$G206))</f>
        <v>6</v>
      </c>
    </row>
    <row r="7770" spans="1:8" x14ac:dyDescent="0.3">
      <c r="A7770" t="s">
        <v>2096</v>
      </c>
      <c r="B7770" t="s">
        <v>2097</v>
      </c>
      <c r="C7770">
        <v>51</v>
      </c>
      <c r="D7770" t="s">
        <v>1447</v>
      </c>
      <c r="E7770" t="s">
        <v>1972</v>
      </c>
      <c r="F7770" t="s">
        <v>1748</v>
      </c>
      <c r="H7770" s="165" t="str">
        <f>IF(ISBLANK('Q 8'!$G207),"",IF('Q 8'!$G207="&lt;please select&gt;","",'Q 8'!$G207))</f>
        <v>7</v>
      </c>
    </row>
    <row r="7771" spans="1:8" x14ac:dyDescent="0.3">
      <c r="A7771" t="s">
        <v>2096</v>
      </c>
      <c r="B7771" t="s">
        <v>2097</v>
      </c>
      <c r="C7771">
        <v>52</v>
      </c>
      <c r="D7771" t="s">
        <v>1447</v>
      </c>
      <c r="E7771" t="s">
        <v>1972</v>
      </c>
      <c r="F7771" t="s">
        <v>1748</v>
      </c>
      <c r="H7771" s="165" t="str">
        <f>IF(ISBLANK('Q 8'!$G208),"",IF('Q 8'!$G208="&lt;please select&gt;","",'Q 8'!$G208))</f>
        <v>1</v>
      </c>
    </row>
    <row r="7772" spans="1:8" x14ac:dyDescent="0.3">
      <c r="A7772" t="s">
        <v>2096</v>
      </c>
      <c r="B7772" t="s">
        <v>2097</v>
      </c>
      <c r="C7772">
        <v>53</v>
      </c>
      <c r="D7772" t="s">
        <v>1447</v>
      </c>
      <c r="E7772" t="s">
        <v>1972</v>
      </c>
      <c r="F7772" t="s">
        <v>1748</v>
      </c>
      <c r="H7772" s="165" t="str">
        <f>IF(ISBLANK('Q 8'!$G209),"",IF('Q 8'!$G209="&lt;please select&gt;","",'Q 8'!$G209))</f>
        <v>2</v>
      </c>
    </row>
    <row r="7773" spans="1:8" x14ac:dyDescent="0.3">
      <c r="A7773" t="s">
        <v>2096</v>
      </c>
      <c r="B7773" t="s">
        <v>2097</v>
      </c>
      <c r="C7773">
        <v>54</v>
      </c>
      <c r="D7773" t="s">
        <v>1447</v>
      </c>
      <c r="E7773" t="s">
        <v>1972</v>
      </c>
      <c r="F7773" t="s">
        <v>1748</v>
      </c>
      <c r="H7773" s="165" t="str">
        <f>IF(ISBLANK('Q 8'!$G210),"",IF('Q 8'!$G210="&lt;please select&gt;","",'Q 8'!$G210))</f>
        <v>2</v>
      </c>
    </row>
    <row r="7774" spans="1:8" x14ac:dyDescent="0.3">
      <c r="A7774" t="s">
        <v>2096</v>
      </c>
      <c r="B7774" t="s">
        <v>2097</v>
      </c>
      <c r="C7774">
        <v>55</v>
      </c>
      <c r="D7774" t="s">
        <v>1447</v>
      </c>
      <c r="E7774" t="s">
        <v>1972</v>
      </c>
      <c r="F7774" t="s">
        <v>1748</v>
      </c>
      <c r="H7774" s="165" t="str">
        <f>IF(ISBLANK('Q 8'!$G211),"",IF('Q 8'!$G211="&lt;please select&gt;","",'Q 8'!$G211))</f>
        <v>22</v>
      </c>
    </row>
    <row r="7775" spans="1:8" x14ac:dyDescent="0.3">
      <c r="A7775" t="s">
        <v>2096</v>
      </c>
      <c r="B7775" t="s">
        <v>2097</v>
      </c>
      <c r="C7775">
        <v>56</v>
      </c>
      <c r="D7775" t="s">
        <v>1447</v>
      </c>
      <c r="E7775" t="s">
        <v>1972</v>
      </c>
      <c r="F7775" t="s">
        <v>1748</v>
      </c>
      <c r="H7775" s="165" t="str">
        <f>IF(ISBLANK('Q 8'!$G212),"",IF('Q 8'!$G212="&lt;please select&gt;","",'Q 8'!$G212))</f>
        <v>1</v>
      </c>
    </row>
    <row r="7776" spans="1:8" x14ac:dyDescent="0.3">
      <c r="A7776" t="s">
        <v>2096</v>
      </c>
      <c r="B7776" t="s">
        <v>2097</v>
      </c>
      <c r="C7776">
        <v>57</v>
      </c>
      <c r="D7776" t="s">
        <v>1447</v>
      </c>
      <c r="E7776" t="s">
        <v>1972</v>
      </c>
      <c r="F7776" t="s">
        <v>1748</v>
      </c>
      <c r="H7776" s="165" t="str">
        <f>IF(ISBLANK('Q 8'!$G213),"",IF('Q 8'!$G213="&lt;please select&gt;","",'Q 8'!$G213))</f>
        <v>283</v>
      </c>
    </row>
    <row r="7777" spans="1:8" x14ac:dyDescent="0.3">
      <c r="A7777" t="s">
        <v>2096</v>
      </c>
      <c r="B7777" t="s">
        <v>2097</v>
      </c>
      <c r="C7777">
        <v>58</v>
      </c>
      <c r="D7777" t="s">
        <v>1447</v>
      </c>
      <c r="E7777" t="s">
        <v>1972</v>
      </c>
      <c r="F7777" t="s">
        <v>1748</v>
      </c>
      <c r="H7777" s="165" t="str">
        <f>IF(ISBLANK('Q 8'!$G214),"",IF('Q 8'!$G214="&lt;please select&gt;","",'Q 8'!$G214))</f>
        <v>3</v>
      </c>
    </row>
    <row r="7778" spans="1:8" x14ac:dyDescent="0.3">
      <c r="A7778" t="s">
        <v>2096</v>
      </c>
      <c r="B7778" t="s">
        <v>2097</v>
      </c>
      <c r="C7778">
        <v>59</v>
      </c>
      <c r="D7778" t="s">
        <v>1447</v>
      </c>
      <c r="E7778" t="s">
        <v>1972</v>
      </c>
      <c r="F7778" t="s">
        <v>1748</v>
      </c>
      <c r="H7778" s="165" t="str">
        <f>IF(ISBLANK('Q 8'!$G215),"",IF('Q 8'!$G215="&lt;please select&gt;","",'Q 8'!$G215))</f>
        <v>14</v>
      </c>
    </row>
    <row r="7779" spans="1:8" x14ac:dyDescent="0.3">
      <c r="A7779" t="s">
        <v>2096</v>
      </c>
      <c r="B7779" t="s">
        <v>2097</v>
      </c>
      <c r="C7779">
        <v>60</v>
      </c>
      <c r="D7779" t="s">
        <v>1447</v>
      </c>
      <c r="E7779" t="s">
        <v>1972</v>
      </c>
      <c r="F7779" t="s">
        <v>1748</v>
      </c>
      <c r="H7779" s="165" t="str">
        <f>IF(ISBLANK('Q 8'!$G216),"",IF('Q 8'!$G216="&lt;please select&gt;","",'Q 8'!$G216))</f>
        <v>24</v>
      </c>
    </row>
    <row r="7780" spans="1:8" x14ac:dyDescent="0.3">
      <c r="A7780" t="s">
        <v>2096</v>
      </c>
      <c r="B7780" t="s">
        <v>2097</v>
      </c>
      <c r="C7780">
        <v>61</v>
      </c>
      <c r="D7780" t="s">
        <v>1447</v>
      </c>
      <c r="E7780" t="s">
        <v>1972</v>
      </c>
      <c r="F7780" t="s">
        <v>1748</v>
      </c>
      <c r="H7780" s="165" t="str">
        <f>IF(ISBLANK('Q 8'!$G217),"",IF('Q 8'!$G217="&lt;please select&gt;","",'Q 8'!$G217))</f>
        <v>36</v>
      </c>
    </row>
    <row r="7781" spans="1:8" x14ac:dyDescent="0.3">
      <c r="A7781" t="s">
        <v>2096</v>
      </c>
      <c r="B7781" t="s">
        <v>2097</v>
      </c>
      <c r="C7781">
        <v>62</v>
      </c>
      <c r="D7781" t="s">
        <v>1447</v>
      </c>
      <c r="E7781" t="s">
        <v>1972</v>
      </c>
      <c r="F7781" t="s">
        <v>1748</v>
      </c>
      <c r="H7781" s="165" t="str">
        <f>IF(ISBLANK('Q 8'!$G218),"",IF('Q 8'!$G218="&lt;please select&gt;","",'Q 8'!$G218))</f>
        <v>1</v>
      </c>
    </row>
    <row r="7782" spans="1:8" x14ac:dyDescent="0.3">
      <c r="A7782" t="s">
        <v>2096</v>
      </c>
      <c r="B7782" t="s">
        <v>2097</v>
      </c>
      <c r="C7782">
        <v>63</v>
      </c>
      <c r="D7782" t="s">
        <v>1447</v>
      </c>
      <c r="E7782" t="s">
        <v>1972</v>
      </c>
      <c r="F7782" t="s">
        <v>1748</v>
      </c>
      <c r="H7782" s="165" t="str">
        <f>IF(ISBLANK('Q 8'!$G219),"",IF('Q 8'!$G219="&lt;please select&gt;","",'Q 8'!$G219))</f>
        <v>2</v>
      </c>
    </row>
    <row r="7783" spans="1:8" x14ac:dyDescent="0.3">
      <c r="A7783" t="s">
        <v>2096</v>
      </c>
      <c r="B7783" t="s">
        <v>2097</v>
      </c>
      <c r="C7783">
        <v>64</v>
      </c>
      <c r="D7783" t="s">
        <v>1447</v>
      </c>
      <c r="E7783" t="s">
        <v>1972</v>
      </c>
      <c r="F7783" t="s">
        <v>1748</v>
      </c>
      <c r="H7783" s="165" t="str">
        <f>IF(ISBLANK('Q 8'!$G220),"",IF('Q 8'!$G220="&lt;please select&gt;","",'Q 8'!$G220))</f>
        <v>10</v>
      </c>
    </row>
    <row r="7784" spans="1:8" x14ac:dyDescent="0.3">
      <c r="A7784" t="s">
        <v>2096</v>
      </c>
      <c r="B7784" t="s">
        <v>2097</v>
      </c>
      <c r="C7784">
        <v>65</v>
      </c>
      <c r="D7784" t="s">
        <v>1447</v>
      </c>
      <c r="E7784" t="s">
        <v>1972</v>
      </c>
      <c r="F7784" t="s">
        <v>1748</v>
      </c>
      <c r="H7784" s="165" t="str">
        <f>IF(ISBLANK('Q 8'!$G221),"",IF('Q 8'!$G221="&lt;please select&gt;","",'Q 8'!$G221))</f>
        <v>18</v>
      </c>
    </row>
    <row r="7785" spans="1:8" x14ac:dyDescent="0.3">
      <c r="A7785" t="s">
        <v>2096</v>
      </c>
      <c r="B7785" t="s">
        <v>2097</v>
      </c>
      <c r="C7785">
        <v>66</v>
      </c>
      <c r="D7785" t="s">
        <v>1447</v>
      </c>
      <c r="E7785" t="s">
        <v>1972</v>
      </c>
      <c r="F7785" t="s">
        <v>1748</v>
      </c>
      <c r="H7785" s="165" t="str">
        <f>IF(ISBLANK('Q 8'!$G222),"",IF('Q 8'!$G222="&lt;please select&gt;","",'Q 8'!$G222))</f>
        <v>21</v>
      </c>
    </row>
    <row r="7786" spans="1:8" x14ac:dyDescent="0.3">
      <c r="A7786" t="s">
        <v>2096</v>
      </c>
      <c r="B7786" t="s">
        <v>2097</v>
      </c>
      <c r="C7786">
        <v>67</v>
      </c>
      <c r="D7786" t="s">
        <v>1447</v>
      </c>
      <c r="E7786" t="s">
        <v>1972</v>
      </c>
      <c r="F7786" t="s">
        <v>1748</v>
      </c>
      <c r="H7786" s="165" t="str">
        <f>IF(ISBLANK('Q 8'!$G223),"",IF('Q 8'!$G223="&lt;please select&gt;","",'Q 8'!$G223))</f>
        <v>4</v>
      </c>
    </row>
    <row r="7787" spans="1:8" x14ac:dyDescent="0.3">
      <c r="A7787" t="s">
        <v>2096</v>
      </c>
      <c r="B7787" t="s">
        <v>2097</v>
      </c>
      <c r="C7787">
        <v>68</v>
      </c>
      <c r="D7787" t="s">
        <v>1447</v>
      </c>
      <c r="E7787" t="s">
        <v>1972</v>
      </c>
      <c r="F7787" t="s">
        <v>1748</v>
      </c>
      <c r="H7787" s="165" t="str">
        <f>IF(ISBLANK('Q 8'!$G224),"",IF('Q 8'!$G224="&lt;please select&gt;","",'Q 8'!$G224))</f>
        <v>17</v>
      </c>
    </row>
    <row r="7788" spans="1:8" x14ac:dyDescent="0.3">
      <c r="A7788" t="s">
        <v>2096</v>
      </c>
      <c r="B7788" t="s">
        <v>2097</v>
      </c>
      <c r="C7788">
        <v>69</v>
      </c>
      <c r="D7788" t="s">
        <v>1447</v>
      </c>
      <c r="E7788" t="s">
        <v>1972</v>
      </c>
      <c r="F7788" t="s">
        <v>1748</v>
      </c>
      <c r="H7788" s="165" t="str">
        <f>IF(ISBLANK('Q 8'!$G225),"",IF('Q 8'!$G225="&lt;please select&gt;","",'Q 8'!$G225))</f>
        <v>1</v>
      </c>
    </row>
    <row r="7789" spans="1:8" x14ac:dyDescent="0.3">
      <c r="A7789" t="s">
        <v>2096</v>
      </c>
      <c r="B7789" t="s">
        <v>2097</v>
      </c>
      <c r="C7789">
        <v>70</v>
      </c>
      <c r="D7789" t="s">
        <v>1447</v>
      </c>
      <c r="E7789" t="s">
        <v>1972</v>
      </c>
      <c r="F7789" t="s">
        <v>1748</v>
      </c>
      <c r="H7789" s="165" t="str">
        <f>IF(ISBLANK('Q 8'!$G226),"",IF('Q 8'!$G226="&lt;please select&gt;","",'Q 8'!$G226))</f>
        <v>6</v>
      </c>
    </row>
    <row r="7790" spans="1:8" x14ac:dyDescent="0.3">
      <c r="A7790" t="s">
        <v>2096</v>
      </c>
      <c r="B7790" t="s">
        <v>2097</v>
      </c>
      <c r="C7790">
        <v>71</v>
      </c>
      <c r="D7790" t="s">
        <v>1447</v>
      </c>
      <c r="E7790" t="s">
        <v>1972</v>
      </c>
      <c r="F7790" t="s">
        <v>1748</v>
      </c>
      <c r="H7790" s="165" t="str">
        <f>IF(ISBLANK('Q 8'!$G227),"",IF('Q 8'!$G227="&lt;please select&gt;","",'Q 8'!$G227))</f>
        <v>1</v>
      </c>
    </row>
    <row r="7791" spans="1:8" x14ac:dyDescent="0.3">
      <c r="A7791" t="s">
        <v>2096</v>
      </c>
      <c r="B7791" t="s">
        <v>2097</v>
      </c>
      <c r="C7791">
        <v>72</v>
      </c>
      <c r="D7791" t="s">
        <v>1447</v>
      </c>
      <c r="E7791" t="s">
        <v>1972</v>
      </c>
      <c r="F7791" t="s">
        <v>1748</v>
      </c>
      <c r="H7791" s="165" t="str">
        <f>IF(ISBLANK('Q 8'!$G228),"",IF('Q 8'!$G228="&lt;please select&gt;","",'Q 8'!$G228))</f>
        <v>2</v>
      </c>
    </row>
    <row r="7792" spans="1:8" x14ac:dyDescent="0.3">
      <c r="A7792" t="s">
        <v>2096</v>
      </c>
      <c r="B7792" t="s">
        <v>2097</v>
      </c>
      <c r="C7792">
        <v>73</v>
      </c>
      <c r="D7792" t="s">
        <v>1447</v>
      </c>
      <c r="E7792" t="s">
        <v>1972</v>
      </c>
      <c r="F7792" t="s">
        <v>1748</v>
      </c>
      <c r="H7792" s="165" t="str">
        <f>IF(ISBLANK('Q 8'!$G229),"",IF('Q 8'!$G229="&lt;please select&gt;","",'Q 8'!$G229))</f>
        <v>3</v>
      </c>
    </row>
    <row r="7793" spans="1:8" x14ac:dyDescent="0.3">
      <c r="A7793" t="s">
        <v>2096</v>
      </c>
      <c r="B7793" t="s">
        <v>2097</v>
      </c>
      <c r="C7793">
        <v>74</v>
      </c>
      <c r="D7793" t="s">
        <v>1447</v>
      </c>
      <c r="E7793" t="s">
        <v>1972</v>
      </c>
      <c r="F7793" t="s">
        <v>1748</v>
      </c>
      <c r="H7793" s="165" t="str">
        <f>IF(ISBLANK('Q 8'!$G230),"",IF('Q 8'!$G230="&lt;please select&gt;","",'Q 8'!$G230))</f>
        <v>1</v>
      </c>
    </row>
    <row r="7794" spans="1:8" x14ac:dyDescent="0.3">
      <c r="A7794" t="s">
        <v>2096</v>
      </c>
      <c r="B7794" t="s">
        <v>2097</v>
      </c>
      <c r="C7794">
        <v>75</v>
      </c>
      <c r="D7794" t="s">
        <v>1447</v>
      </c>
      <c r="E7794" t="s">
        <v>1972</v>
      </c>
      <c r="F7794" t="s">
        <v>1748</v>
      </c>
      <c r="H7794" s="165" t="str">
        <f>IF(ISBLANK('Q 8'!$G231),"",IF('Q 8'!$G231="&lt;please select&gt;","",'Q 8'!$G231))</f>
        <v>22</v>
      </c>
    </row>
    <row r="7795" spans="1:8" x14ac:dyDescent="0.3">
      <c r="A7795" t="s">
        <v>2096</v>
      </c>
      <c r="B7795" t="s">
        <v>2097</v>
      </c>
      <c r="C7795">
        <v>76</v>
      </c>
      <c r="D7795" t="s">
        <v>1447</v>
      </c>
      <c r="E7795" t="s">
        <v>1972</v>
      </c>
      <c r="F7795" t="s">
        <v>1748</v>
      </c>
      <c r="H7795" s="165" t="str">
        <f>IF(ISBLANK('Q 8'!$G232),"",IF('Q 8'!$G232="&lt;please select&gt;","",'Q 8'!$G232))</f>
        <v>1</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0</v>
      </c>
    </row>
    <row r="7801" spans="1:8" x14ac:dyDescent="0.3">
      <c r="A7801" t="s">
        <v>2096</v>
      </c>
      <c r="B7801" t="s">
        <v>2097</v>
      </c>
      <c r="C7801">
        <v>2</v>
      </c>
      <c r="D7801" t="s">
        <v>1447</v>
      </c>
      <c r="E7801" t="s">
        <v>2094</v>
      </c>
      <c r="F7801" t="s">
        <v>1748</v>
      </c>
      <c r="H7801" s="165" t="str">
        <f>IF(ISBLANK('Q 8'!$H158),"",IF('Q 8'!$H158="&lt;please select&gt;","",'Q 8'!$H158))</f>
        <v>0</v>
      </c>
    </row>
    <row r="7802" spans="1:8" x14ac:dyDescent="0.3">
      <c r="A7802" t="s">
        <v>2096</v>
      </c>
      <c r="B7802" t="s">
        <v>2097</v>
      </c>
      <c r="C7802">
        <v>3</v>
      </c>
      <c r="D7802" t="s">
        <v>1447</v>
      </c>
      <c r="E7802" t="s">
        <v>2094</v>
      </c>
      <c r="F7802" t="s">
        <v>1748</v>
      </c>
      <c r="H7802" s="165" t="str">
        <f>IF(ISBLANK('Q 8'!$H159),"",IF('Q 8'!$H159="&lt;please select&gt;","",'Q 8'!$H159))</f>
        <v>0</v>
      </c>
    </row>
    <row r="7803" spans="1:8" x14ac:dyDescent="0.3">
      <c r="A7803" t="s">
        <v>2096</v>
      </c>
      <c r="B7803" t="s">
        <v>2097</v>
      </c>
      <c r="C7803">
        <v>4</v>
      </c>
      <c r="D7803" t="s">
        <v>1447</v>
      </c>
      <c r="E7803" t="s">
        <v>2094</v>
      </c>
      <c r="F7803" t="s">
        <v>1748</v>
      </c>
      <c r="H7803" s="165" t="str">
        <f>IF(ISBLANK('Q 8'!$H160),"",IF('Q 8'!$H160="&lt;please select&gt;","",'Q 8'!$H160))</f>
        <v>0</v>
      </c>
    </row>
    <row r="7804" spans="1:8" x14ac:dyDescent="0.3">
      <c r="A7804" t="s">
        <v>2096</v>
      </c>
      <c r="B7804" t="s">
        <v>2097</v>
      </c>
      <c r="C7804">
        <v>5</v>
      </c>
      <c r="D7804" t="s">
        <v>1447</v>
      </c>
      <c r="E7804" t="s">
        <v>2094</v>
      </c>
      <c r="F7804" t="s">
        <v>1748</v>
      </c>
      <c r="H7804" s="165" t="str">
        <f>IF(ISBLANK('Q 8'!$H161),"",IF('Q 8'!$H161="&lt;please select&gt;","",'Q 8'!$H161))</f>
        <v>0</v>
      </c>
    </row>
    <row r="7805" spans="1:8" x14ac:dyDescent="0.3">
      <c r="A7805" t="s">
        <v>2096</v>
      </c>
      <c r="B7805" t="s">
        <v>2097</v>
      </c>
      <c r="C7805">
        <v>6</v>
      </c>
      <c r="D7805" t="s">
        <v>1447</v>
      </c>
      <c r="E7805" t="s">
        <v>2094</v>
      </c>
      <c r="F7805" t="s">
        <v>1748</v>
      </c>
      <c r="H7805" s="165" t="str">
        <f>IF(ISBLANK('Q 8'!$H162),"",IF('Q 8'!$H162="&lt;please select&gt;","",'Q 8'!$H162))</f>
        <v>0</v>
      </c>
    </row>
    <row r="7806" spans="1:8" x14ac:dyDescent="0.3">
      <c r="A7806" t="s">
        <v>2096</v>
      </c>
      <c r="B7806" t="s">
        <v>2097</v>
      </c>
      <c r="C7806">
        <v>7</v>
      </c>
      <c r="D7806" t="s">
        <v>1447</v>
      </c>
      <c r="E7806" t="s">
        <v>2094</v>
      </c>
      <c r="F7806" t="s">
        <v>1748</v>
      </c>
      <c r="H7806" s="165" t="str">
        <f>IF(ISBLANK('Q 8'!$H163),"",IF('Q 8'!$H163="&lt;please select&gt;","",'Q 8'!$H163))</f>
        <v>0</v>
      </c>
    </row>
    <row r="7807" spans="1:8" x14ac:dyDescent="0.3">
      <c r="A7807" t="s">
        <v>2096</v>
      </c>
      <c r="B7807" t="s">
        <v>2097</v>
      </c>
      <c r="C7807">
        <v>8</v>
      </c>
      <c r="D7807" t="s">
        <v>1447</v>
      </c>
      <c r="E7807" t="s">
        <v>2094</v>
      </c>
      <c r="F7807" t="s">
        <v>1748</v>
      </c>
      <c r="H7807" s="165" t="str">
        <f>IF(ISBLANK('Q 8'!$H164),"",IF('Q 8'!$H164="&lt;please select&gt;","",'Q 8'!$H164))</f>
        <v>0</v>
      </c>
    </row>
    <row r="7808" spans="1:8" x14ac:dyDescent="0.3">
      <c r="A7808" t="s">
        <v>2096</v>
      </c>
      <c r="B7808" t="s">
        <v>2097</v>
      </c>
      <c r="C7808">
        <v>9</v>
      </c>
      <c r="D7808" t="s">
        <v>1447</v>
      </c>
      <c r="E7808" t="s">
        <v>2094</v>
      </c>
      <c r="F7808" t="s">
        <v>1748</v>
      </c>
      <c r="H7808" s="165" t="str">
        <f>IF(ISBLANK('Q 8'!$H165),"",IF('Q 8'!$H165="&lt;please select&gt;","",'Q 8'!$H165))</f>
        <v>0</v>
      </c>
    </row>
    <row r="7809" spans="1:8" x14ac:dyDescent="0.3">
      <c r="A7809" t="s">
        <v>2096</v>
      </c>
      <c r="B7809" t="s">
        <v>2097</v>
      </c>
      <c r="C7809">
        <v>10</v>
      </c>
      <c r="D7809" t="s">
        <v>1447</v>
      </c>
      <c r="E7809" t="s">
        <v>2094</v>
      </c>
      <c r="F7809" t="s">
        <v>1748</v>
      </c>
      <c r="H7809" s="165" t="str">
        <f>IF(ISBLANK('Q 8'!$H166),"",IF('Q 8'!$H166="&lt;please select&gt;","",'Q 8'!$H166))</f>
        <v>0</v>
      </c>
    </row>
    <row r="7810" spans="1:8" x14ac:dyDescent="0.3">
      <c r="A7810" t="s">
        <v>2096</v>
      </c>
      <c r="B7810" t="s">
        <v>2097</v>
      </c>
      <c r="C7810">
        <v>11</v>
      </c>
      <c r="D7810" t="s">
        <v>1447</v>
      </c>
      <c r="E7810" t="s">
        <v>2094</v>
      </c>
      <c r="F7810" t="s">
        <v>1748</v>
      </c>
      <c r="H7810" s="165" t="str">
        <f>IF(ISBLANK('Q 8'!$H167),"",IF('Q 8'!$H167="&lt;please select&gt;","",'Q 8'!$H167))</f>
        <v>0</v>
      </c>
    </row>
    <row r="7811" spans="1:8" x14ac:dyDescent="0.3">
      <c r="A7811" t="s">
        <v>2096</v>
      </c>
      <c r="B7811" t="s">
        <v>2097</v>
      </c>
      <c r="C7811">
        <v>12</v>
      </c>
      <c r="D7811" t="s">
        <v>1447</v>
      </c>
      <c r="E7811" t="s">
        <v>2094</v>
      </c>
      <c r="F7811" t="s">
        <v>1748</v>
      </c>
      <c r="H7811" s="165" t="str">
        <f>IF(ISBLANK('Q 8'!$H168),"",IF('Q 8'!$H168="&lt;please select&gt;","",'Q 8'!$H168))</f>
        <v>0</v>
      </c>
    </row>
    <row r="7812" spans="1:8" x14ac:dyDescent="0.3">
      <c r="A7812" t="s">
        <v>2096</v>
      </c>
      <c r="B7812" t="s">
        <v>2097</v>
      </c>
      <c r="C7812">
        <v>13</v>
      </c>
      <c r="D7812" t="s">
        <v>1447</v>
      </c>
      <c r="E7812" t="s">
        <v>2094</v>
      </c>
      <c r="F7812" t="s">
        <v>1748</v>
      </c>
      <c r="H7812" s="165" t="str">
        <f>IF(ISBLANK('Q 8'!$H169),"",IF('Q 8'!$H169="&lt;please select&gt;","",'Q 8'!$H169))</f>
        <v>0</v>
      </c>
    </row>
    <row r="7813" spans="1:8" x14ac:dyDescent="0.3">
      <c r="A7813" t="s">
        <v>2096</v>
      </c>
      <c r="B7813" t="s">
        <v>2097</v>
      </c>
      <c r="C7813">
        <v>14</v>
      </c>
      <c r="D7813" t="s">
        <v>1447</v>
      </c>
      <c r="E7813" t="s">
        <v>2094</v>
      </c>
      <c r="F7813" t="s">
        <v>1748</v>
      </c>
      <c r="H7813" s="165" t="str">
        <f>IF(ISBLANK('Q 8'!$H170),"",IF('Q 8'!$H170="&lt;please select&gt;","",'Q 8'!$H170))</f>
        <v>0</v>
      </c>
    </row>
    <row r="7814" spans="1:8" x14ac:dyDescent="0.3">
      <c r="A7814" t="s">
        <v>2096</v>
      </c>
      <c r="B7814" t="s">
        <v>2097</v>
      </c>
      <c r="C7814">
        <v>15</v>
      </c>
      <c r="D7814" t="s">
        <v>1447</v>
      </c>
      <c r="E7814" t="s">
        <v>2094</v>
      </c>
      <c r="F7814" t="s">
        <v>1748</v>
      </c>
      <c r="H7814" s="165" t="str">
        <f>IF(ISBLANK('Q 8'!$H171),"",IF('Q 8'!$H171="&lt;please select&gt;","",'Q 8'!$H171))</f>
        <v>0</v>
      </c>
    </row>
    <row r="7815" spans="1:8" x14ac:dyDescent="0.3">
      <c r="A7815" t="s">
        <v>2096</v>
      </c>
      <c r="B7815" t="s">
        <v>2097</v>
      </c>
      <c r="C7815">
        <v>16</v>
      </c>
      <c r="D7815" t="s">
        <v>1447</v>
      </c>
      <c r="E7815" t="s">
        <v>2094</v>
      </c>
      <c r="F7815" t="s">
        <v>1748</v>
      </c>
      <c r="H7815" s="165" t="str">
        <f>IF(ISBLANK('Q 8'!$H172),"",IF('Q 8'!$H172="&lt;please select&gt;","",'Q 8'!$H172))</f>
        <v>0</v>
      </c>
    </row>
    <row r="7816" spans="1:8" x14ac:dyDescent="0.3">
      <c r="A7816" t="s">
        <v>2096</v>
      </c>
      <c r="B7816" t="s">
        <v>2097</v>
      </c>
      <c r="C7816">
        <v>17</v>
      </c>
      <c r="D7816" t="s">
        <v>1447</v>
      </c>
      <c r="E7816" t="s">
        <v>2094</v>
      </c>
      <c r="F7816" t="s">
        <v>1748</v>
      </c>
      <c r="H7816" s="165" t="str">
        <f>IF(ISBLANK('Q 8'!$H173),"",IF('Q 8'!$H173="&lt;please select&gt;","",'Q 8'!$H173))</f>
        <v>0</v>
      </c>
    </row>
    <row r="7817" spans="1:8" x14ac:dyDescent="0.3">
      <c r="A7817" t="s">
        <v>2096</v>
      </c>
      <c r="B7817" t="s">
        <v>2097</v>
      </c>
      <c r="C7817">
        <v>18</v>
      </c>
      <c r="D7817" t="s">
        <v>1447</v>
      </c>
      <c r="E7817" t="s">
        <v>2094</v>
      </c>
      <c r="F7817" t="s">
        <v>1748</v>
      </c>
      <c r="H7817" s="165" t="str">
        <f>IF(ISBLANK('Q 8'!$H174),"",IF('Q 8'!$H174="&lt;please select&gt;","",'Q 8'!$H174))</f>
        <v>0</v>
      </c>
    </row>
    <row r="7818" spans="1:8" x14ac:dyDescent="0.3">
      <c r="A7818" t="s">
        <v>2096</v>
      </c>
      <c r="B7818" t="s">
        <v>2097</v>
      </c>
      <c r="C7818">
        <v>19</v>
      </c>
      <c r="D7818" t="s">
        <v>1447</v>
      </c>
      <c r="E7818" t="s">
        <v>2094</v>
      </c>
      <c r="F7818" t="s">
        <v>1748</v>
      </c>
      <c r="H7818" s="165" t="str">
        <f>IF(ISBLANK('Q 8'!$H175),"",IF('Q 8'!$H175="&lt;please select&gt;","",'Q 8'!$H175))</f>
        <v>0</v>
      </c>
    </row>
    <row r="7819" spans="1:8" x14ac:dyDescent="0.3">
      <c r="A7819" t="s">
        <v>2096</v>
      </c>
      <c r="B7819" t="s">
        <v>2097</v>
      </c>
      <c r="C7819">
        <v>20</v>
      </c>
      <c r="D7819" t="s">
        <v>1447</v>
      </c>
      <c r="E7819" t="s">
        <v>2094</v>
      </c>
      <c r="F7819" t="s">
        <v>1748</v>
      </c>
      <c r="H7819" s="165" t="str">
        <f>IF(ISBLANK('Q 8'!$H176),"",IF('Q 8'!$H176="&lt;please select&gt;","",'Q 8'!$H176))</f>
        <v>0</v>
      </c>
    </row>
    <row r="7820" spans="1:8" x14ac:dyDescent="0.3">
      <c r="A7820" t="s">
        <v>2096</v>
      </c>
      <c r="B7820" t="s">
        <v>2097</v>
      </c>
      <c r="C7820">
        <v>21</v>
      </c>
      <c r="D7820" t="s">
        <v>1447</v>
      </c>
      <c r="E7820" t="s">
        <v>2094</v>
      </c>
      <c r="F7820" t="s">
        <v>1748</v>
      </c>
      <c r="H7820" s="165" t="str">
        <f>IF(ISBLANK('Q 8'!$H177),"",IF('Q 8'!$H177="&lt;please select&gt;","",'Q 8'!$H177))</f>
        <v>0</v>
      </c>
    </row>
    <row r="7821" spans="1:8" x14ac:dyDescent="0.3">
      <c r="A7821" t="s">
        <v>2096</v>
      </c>
      <c r="B7821" t="s">
        <v>2097</v>
      </c>
      <c r="C7821">
        <v>22</v>
      </c>
      <c r="D7821" t="s">
        <v>1447</v>
      </c>
      <c r="E7821" t="s">
        <v>2094</v>
      </c>
      <c r="F7821" t="s">
        <v>1748</v>
      </c>
      <c r="H7821" s="165" t="str">
        <f>IF(ISBLANK('Q 8'!$H178),"",IF('Q 8'!$H178="&lt;please select&gt;","",'Q 8'!$H178))</f>
        <v>0</v>
      </c>
    </row>
    <row r="7822" spans="1:8" x14ac:dyDescent="0.3">
      <c r="A7822" t="s">
        <v>2096</v>
      </c>
      <c r="B7822" t="s">
        <v>2097</v>
      </c>
      <c r="C7822">
        <v>23</v>
      </c>
      <c r="D7822" t="s">
        <v>1447</v>
      </c>
      <c r="E7822" t="s">
        <v>2094</v>
      </c>
      <c r="F7822" t="s">
        <v>1748</v>
      </c>
      <c r="H7822" s="165" t="str">
        <f>IF(ISBLANK('Q 8'!$H179),"",IF('Q 8'!$H179="&lt;please select&gt;","",'Q 8'!$H179))</f>
        <v>0</v>
      </c>
    </row>
    <row r="7823" spans="1:8" x14ac:dyDescent="0.3">
      <c r="A7823" t="s">
        <v>2096</v>
      </c>
      <c r="B7823" t="s">
        <v>2097</v>
      </c>
      <c r="C7823">
        <v>24</v>
      </c>
      <c r="D7823" t="s">
        <v>1447</v>
      </c>
      <c r="E7823" t="s">
        <v>2094</v>
      </c>
      <c r="F7823" t="s">
        <v>1748</v>
      </c>
      <c r="H7823" s="165" t="str">
        <f>IF(ISBLANK('Q 8'!$H180),"",IF('Q 8'!$H180="&lt;please select&gt;","",'Q 8'!$H180))</f>
        <v>0</v>
      </c>
    </row>
    <row r="7824" spans="1:8" x14ac:dyDescent="0.3">
      <c r="A7824" t="s">
        <v>2096</v>
      </c>
      <c r="B7824" t="s">
        <v>2097</v>
      </c>
      <c r="C7824">
        <v>25</v>
      </c>
      <c r="D7824" t="s">
        <v>1447</v>
      </c>
      <c r="E7824" t="s">
        <v>2094</v>
      </c>
      <c r="F7824" t="s">
        <v>1748</v>
      </c>
      <c r="H7824" s="165" t="str">
        <f>IF(ISBLANK('Q 8'!$H181),"",IF('Q 8'!$H181="&lt;please select&gt;","",'Q 8'!$H181))</f>
        <v>0</v>
      </c>
    </row>
    <row r="7825" spans="1:8" x14ac:dyDescent="0.3">
      <c r="A7825" t="s">
        <v>2096</v>
      </c>
      <c r="B7825" t="s">
        <v>2097</v>
      </c>
      <c r="C7825">
        <v>26</v>
      </c>
      <c r="D7825" t="s">
        <v>1447</v>
      </c>
      <c r="E7825" t="s">
        <v>2094</v>
      </c>
      <c r="F7825" t="s">
        <v>1748</v>
      </c>
      <c r="H7825" s="165" t="str">
        <f>IF(ISBLANK('Q 8'!$H182),"",IF('Q 8'!$H182="&lt;please select&gt;","",'Q 8'!$H182))</f>
        <v>0</v>
      </c>
    </row>
    <row r="7826" spans="1:8" x14ac:dyDescent="0.3">
      <c r="A7826" t="s">
        <v>2096</v>
      </c>
      <c r="B7826" t="s">
        <v>2097</v>
      </c>
      <c r="C7826">
        <v>27</v>
      </c>
      <c r="D7826" t="s">
        <v>1447</v>
      </c>
      <c r="E7826" t="s">
        <v>2094</v>
      </c>
      <c r="F7826" t="s">
        <v>1748</v>
      </c>
      <c r="H7826" s="165" t="str">
        <f>IF(ISBLANK('Q 8'!$H183),"",IF('Q 8'!$H183="&lt;please select&gt;","",'Q 8'!$H183))</f>
        <v>0</v>
      </c>
    </row>
    <row r="7827" spans="1:8" x14ac:dyDescent="0.3">
      <c r="A7827" t="s">
        <v>2096</v>
      </c>
      <c r="B7827" t="s">
        <v>2097</v>
      </c>
      <c r="C7827">
        <v>28</v>
      </c>
      <c r="D7827" t="s">
        <v>1447</v>
      </c>
      <c r="E7827" t="s">
        <v>2094</v>
      </c>
      <c r="F7827" t="s">
        <v>1748</v>
      </c>
      <c r="H7827" s="165" t="str">
        <f>IF(ISBLANK('Q 8'!$H184),"",IF('Q 8'!$H184="&lt;please select&gt;","",'Q 8'!$H184))</f>
        <v>0</v>
      </c>
    </row>
    <row r="7828" spans="1:8" x14ac:dyDescent="0.3">
      <c r="A7828" t="s">
        <v>2096</v>
      </c>
      <c r="B7828" t="s">
        <v>2097</v>
      </c>
      <c r="C7828">
        <v>29</v>
      </c>
      <c r="D7828" t="s">
        <v>1447</v>
      </c>
      <c r="E7828" t="s">
        <v>2094</v>
      </c>
      <c r="F7828" t="s">
        <v>1748</v>
      </c>
      <c r="H7828" s="165" t="str">
        <f>IF(ISBLANK('Q 8'!$H185),"",IF('Q 8'!$H185="&lt;please select&gt;","",'Q 8'!$H185))</f>
        <v>0</v>
      </c>
    </row>
    <row r="7829" spans="1:8" x14ac:dyDescent="0.3">
      <c r="A7829" t="s">
        <v>2096</v>
      </c>
      <c r="B7829" t="s">
        <v>2097</v>
      </c>
      <c r="C7829">
        <v>30</v>
      </c>
      <c r="D7829" t="s">
        <v>1447</v>
      </c>
      <c r="E7829" t="s">
        <v>2094</v>
      </c>
      <c r="F7829" t="s">
        <v>1748</v>
      </c>
      <c r="H7829" s="165" t="str">
        <f>IF(ISBLANK('Q 8'!$H186),"",IF('Q 8'!$H186="&lt;please select&gt;","",'Q 8'!$H186))</f>
        <v>0</v>
      </c>
    </row>
    <row r="7830" spans="1:8" x14ac:dyDescent="0.3">
      <c r="A7830" t="s">
        <v>2096</v>
      </c>
      <c r="B7830" t="s">
        <v>2097</v>
      </c>
      <c r="C7830">
        <v>31</v>
      </c>
      <c r="D7830" t="s">
        <v>1447</v>
      </c>
      <c r="E7830" t="s">
        <v>2094</v>
      </c>
      <c r="F7830" t="s">
        <v>1748</v>
      </c>
      <c r="H7830" s="165" t="str">
        <f>IF(ISBLANK('Q 8'!$H187),"",IF('Q 8'!$H187="&lt;please select&gt;","",'Q 8'!$H187))</f>
        <v>0</v>
      </c>
    </row>
    <row r="7831" spans="1:8" x14ac:dyDescent="0.3">
      <c r="A7831" t="s">
        <v>2096</v>
      </c>
      <c r="B7831" t="s">
        <v>2097</v>
      </c>
      <c r="C7831">
        <v>32</v>
      </c>
      <c r="D7831" t="s">
        <v>1447</v>
      </c>
      <c r="E7831" t="s">
        <v>2094</v>
      </c>
      <c r="F7831" t="s">
        <v>1748</v>
      </c>
      <c r="H7831" s="165" t="str">
        <f>IF(ISBLANK('Q 8'!$H188),"",IF('Q 8'!$H188="&lt;please select&gt;","",'Q 8'!$H188))</f>
        <v>0</v>
      </c>
    </row>
    <row r="7832" spans="1:8" x14ac:dyDescent="0.3">
      <c r="A7832" t="s">
        <v>2096</v>
      </c>
      <c r="B7832" t="s">
        <v>2097</v>
      </c>
      <c r="C7832">
        <v>33</v>
      </c>
      <c r="D7832" t="s">
        <v>1447</v>
      </c>
      <c r="E7832" t="s">
        <v>2094</v>
      </c>
      <c r="F7832" t="s">
        <v>1748</v>
      </c>
      <c r="H7832" s="165" t="str">
        <f>IF(ISBLANK('Q 8'!$H189),"",IF('Q 8'!$H189="&lt;please select&gt;","",'Q 8'!$H189))</f>
        <v>0</v>
      </c>
    </row>
    <row r="7833" spans="1:8" x14ac:dyDescent="0.3">
      <c r="A7833" t="s">
        <v>2096</v>
      </c>
      <c r="B7833" t="s">
        <v>2097</v>
      </c>
      <c r="C7833">
        <v>34</v>
      </c>
      <c r="D7833" t="s">
        <v>1447</v>
      </c>
      <c r="E7833" t="s">
        <v>2094</v>
      </c>
      <c r="F7833" t="s">
        <v>1748</v>
      </c>
      <c r="H7833" s="165" t="str">
        <f>IF(ISBLANK('Q 8'!$H190),"",IF('Q 8'!$H190="&lt;please select&gt;","",'Q 8'!$H190))</f>
        <v>0</v>
      </c>
    </row>
    <row r="7834" spans="1:8" x14ac:dyDescent="0.3">
      <c r="A7834" t="s">
        <v>2096</v>
      </c>
      <c r="B7834" t="s">
        <v>2097</v>
      </c>
      <c r="C7834">
        <v>35</v>
      </c>
      <c r="D7834" t="s">
        <v>1447</v>
      </c>
      <c r="E7834" t="s">
        <v>2094</v>
      </c>
      <c r="F7834" t="s">
        <v>1748</v>
      </c>
      <c r="H7834" s="165" t="str">
        <f>IF(ISBLANK('Q 8'!$H191),"",IF('Q 8'!$H191="&lt;please select&gt;","",'Q 8'!$H191))</f>
        <v>0</v>
      </c>
    </row>
    <row r="7835" spans="1:8" x14ac:dyDescent="0.3">
      <c r="A7835" t="s">
        <v>2096</v>
      </c>
      <c r="B7835" t="s">
        <v>2097</v>
      </c>
      <c r="C7835">
        <v>36</v>
      </c>
      <c r="D7835" t="s">
        <v>1447</v>
      </c>
      <c r="E7835" t="s">
        <v>2094</v>
      </c>
      <c r="F7835" t="s">
        <v>1748</v>
      </c>
      <c r="H7835" s="165" t="str">
        <f>IF(ISBLANK('Q 8'!$H192),"",IF('Q 8'!$H192="&lt;please select&gt;","",'Q 8'!$H192))</f>
        <v>0</v>
      </c>
    </row>
    <row r="7836" spans="1:8" x14ac:dyDescent="0.3">
      <c r="A7836" t="s">
        <v>2096</v>
      </c>
      <c r="B7836" t="s">
        <v>2097</v>
      </c>
      <c r="C7836">
        <v>37</v>
      </c>
      <c r="D7836" t="s">
        <v>1447</v>
      </c>
      <c r="E7836" t="s">
        <v>2094</v>
      </c>
      <c r="F7836" t="s">
        <v>1748</v>
      </c>
      <c r="H7836" s="165" t="str">
        <f>IF(ISBLANK('Q 8'!$H193),"",IF('Q 8'!$H193="&lt;please select&gt;","",'Q 8'!$H193))</f>
        <v>0</v>
      </c>
    </row>
    <row r="7837" spans="1:8" x14ac:dyDescent="0.3">
      <c r="A7837" t="s">
        <v>2096</v>
      </c>
      <c r="B7837" t="s">
        <v>2097</v>
      </c>
      <c r="C7837">
        <v>38</v>
      </c>
      <c r="D7837" t="s">
        <v>1447</v>
      </c>
      <c r="E7837" t="s">
        <v>2094</v>
      </c>
      <c r="F7837" t="s">
        <v>1748</v>
      </c>
      <c r="H7837" s="165" t="str">
        <f>IF(ISBLANK('Q 8'!$H194),"",IF('Q 8'!$H194="&lt;please select&gt;","",'Q 8'!$H194))</f>
        <v>0</v>
      </c>
    </row>
    <row r="7838" spans="1:8" x14ac:dyDescent="0.3">
      <c r="A7838" t="s">
        <v>2096</v>
      </c>
      <c r="B7838" t="s">
        <v>2097</v>
      </c>
      <c r="C7838">
        <v>39</v>
      </c>
      <c r="D7838" t="s">
        <v>1447</v>
      </c>
      <c r="E7838" t="s">
        <v>2094</v>
      </c>
      <c r="F7838" t="s">
        <v>1748</v>
      </c>
      <c r="H7838" s="165" t="str">
        <f>IF(ISBLANK('Q 8'!$H195),"",IF('Q 8'!$H195="&lt;please select&gt;","",'Q 8'!$H195))</f>
        <v>0</v>
      </c>
    </row>
    <row r="7839" spans="1:8" x14ac:dyDescent="0.3">
      <c r="A7839" t="s">
        <v>2096</v>
      </c>
      <c r="B7839" t="s">
        <v>2097</v>
      </c>
      <c r="C7839">
        <v>40</v>
      </c>
      <c r="D7839" t="s">
        <v>1447</v>
      </c>
      <c r="E7839" t="s">
        <v>2094</v>
      </c>
      <c r="F7839" t="s">
        <v>1748</v>
      </c>
      <c r="H7839" s="165" t="str">
        <f>IF(ISBLANK('Q 8'!$H196),"",IF('Q 8'!$H196="&lt;please select&gt;","",'Q 8'!$H196))</f>
        <v>0</v>
      </c>
    </row>
    <row r="7840" spans="1:8" x14ac:dyDescent="0.3">
      <c r="A7840" t="s">
        <v>2096</v>
      </c>
      <c r="B7840" t="s">
        <v>2097</v>
      </c>
      <c r="C7840">
        <v>41</v>
      </c>
      <c r="D7840" t="s">
        <v>1447</v>
      </c>
      <c r="E7840" t="s">
        <v>2094</v>
      </c>
      <c r="F7840" t="s">
        <v>1748</v>
      </c>
      <c r="H7840" s="165" t="str">
        <f>IF(ISBLANK('Q 8'!$H197),"",IF('Q 8'!$H197="&lt;please select&gt;","",'Q 8'!$H197))</f>
        <v>0</v>
      </c>
    </row>
    <row r="7841" spans="1:8" x14ac:dyDescent="0.3">
      <c r="A7841" t="s">
        <v>2096</v>
      </c>
      <c r="B7841" t="s">
        <v>2097</v>
      </c>
      <c r="C7841">
        <v>42</v>
      </c>
      <c r="D7841" t="s">
        <v>1447</v>
      </c>
      <c r="E7841" t="s">
        <v>2094</v>
      </c>
      <c r="F7841" t="s">
        <v>1748</v>
      </c>
      <c r="H7841" s="165" t="str">
        <f>IF(ISBLANK('Q 8'!$H198),"",IF('Q 8'!$H198="&lt;please select&gt;","",'Q 8'!$H198))</f>
        <v>0</v>
      </c>
    </row>
    <row r="7842" spans="1:8" x14ac:dyDescent="0.3">
      <c r="A7842" t="s">
        <v>2096</v>
      </c>
      <c r="B7842" t="s">
        <v>2097</v>
      </c>
      <c r="C7842">
        <v>43</v>
      </c>
      <c r="D7842" t="s">
        <v>1447</v>
      </c>
      <c r="E7842" t="s">
        <v>2094</v>
      </c>
      <c r="F7842" t="s">
        <v>1748</v>
      </c>
      <c r="H7842" s="165" t="str">
        <f>IF(ISBLANK('Q 8'!$H199),"",IF('Q 8'!$H199="&lt;please select&gt;","",'Q 8'!$H199))</f>
        <v>0</v>
      </c>
    </row>
    <row r="7843" spans="1:8" x14ac:dyDescent="0.3">
      <c r="A7843" t="s">
        <v>2096</v>
      </c>
      <c r="B7843" t="s">
        <v>2097</v>
      </c>
      <c r="C7843">
        <v>44</v>
      </c>
      <c r="D7843" t="s">
        <v>1447</v>
      </c>
      <c r="E7843" t="s">
        <v>2094</v>
      </c>
      <c r="F7843" t="s">
        <v>1748</v>
      </c>
      <c r="H7843" s="165" t="str">
        <f>IF(ISBLANK('Q 8'!$H200),"",IF('Q 8'!$H200="&lt;please select&gt;","",'Q 8'!$H200))</f>
        <v>0</v>
      </c>
    </row>
    <row r="7844" spans="1:8" x14ac:dyDescent="0.3">
      <c r="A7844" t="s">
        <v>2096</v>
      </c>
      <c r="B7844" t="s">
        <v>2097</v>
      </c>
      <c r="C7844">
        <v>45</v>
      </c>
      <c r="D7844" t="s">
        <v>1447</v>
      </c>
      <c r="E7844" t="s">
        <v>2094</v>
      </c>
      <c r="F7844" t="s">
        <v>1748</v>
      </c>
      <c r="H7844" s="165" t="str">
        <f>IF(ISBLANK('Q 8'!$H201),"",IF('Q 8'!$H201="&lt;please select&gt;","",'Q 8'!$H201))</f>
        <v>0</v>
      </c>
    </row>
    <row r="7845" spans="1:8" x14ac:dyDescent="0.3">
      <c r="A7845" t="s">
        <v>2096</v>
      </c>
      <c r="B7845" t="s">
        <v>2097</v>
      </c>
      <c r="C7845">
        <v>46</v>
      </c>
      <c r="D7845" t="s">
        <v>1447</v>
      </c>
      <c r="E7845" t="s">
        <v>2094</v>
      </c>
      <c r="F7845" t="s">
        <v>1748</v>
      </c>
      <c r="H7845" s="165" t="str">
        <f>IF(ISBLANK('Q 8'!$H202),"",IF('Q 8'!$H202="&lt;please select&gt;","",'Q 8'!$H202))</f>
        <v>0</v>
      </c>
    </row>
    <row r="7846" spans="1:8" x14ac:dyDescent="0.3">
      <c r="A7846" t="s">
        <v>2096</v>
      </c>
      <c r="B7846" t="s">
        <v>2097</v>
      </c>
      <c r="C7846">
        <v>47</v>
      </c>
      <c r="D7846" t="s">
        <v>1447</v>
      </c>
      <c r="E7846" t="s">
        <v>2094</v>
      </c>
      <c r="F7846" t="s">
        <v>1748</v>
      </c>
      <c r="H7846" s="165" t="str">
        <f>IF(ISBLANK('Q 8'!$H203),"",IF('Q 8'!$H203="&lt;please select&gt;","",'Q 8'!$H203))</f>
        <v>0</v>
      </c>
    </row>
    <row r="7847" spans="1:8" x14ac:dyDescent="0.3">
      <c r="A7847" t="s">
        <v>2096</v>
      </c>
      <c r="B7847" t="s">
        <v>2097</v>
      </c>
      <c r="C7847">
        <v>48</v>
      </c>
      <c r="D7847" t="s">
        <v>1447</v>
      </c>
      <c r="E7847" t="s">
        <v>2094</v>
      </c>
      <c r="F7847" t="s">
        <v>1748</v>
      </c>
      <c r="H7847" s="165" t="str">
        <f>IF(ISBLANK('Q 8'!$H204),"",IF('Q 8'!$H204="&lt;please select&gt;","",'Q 8'!$H204))</f>
        <v>0</v>
      </c>
    </row>
    <row r="7848" spans="1:8" x14ac:dyDescent="0.3">
      <c r="A7848" t="s">
        <v>2096</v>
      </c>
      <c r="B7848" t="s">
        <v>2097</v>
      </c>
      <c r="C7848">
        <v>49</v>
      </c>
      <c r="D7848" t="s">
        <v>1447</v>
      </c>
      <c r="E7848" t="s">
        <v>2094</v>
      </c>
      <c r="F7848" t="s">
        <v>1748</v>
      </c>
      <c r="H7848" s="165" t="str">
        <f>IF(ISBLANK('Q 8'!$H205),"",IF('Q 8'!$H205="&lt;please select&gt;","",'Q 8'!$H205))</f>
        <v>0</v>
      </c>
    </row>
    <row r="7849" spans="1:8" x14ac:dyDescent="0.3">
      <c r="A7849" t="s">
        <v>2096</v>
      </c>
      <c r="B7849" t="s">
        <v>2097</v>
      </c>
      <c r="C7849">
        <v>50</v>
      </c>
      <c r="D7849" t="s">
        <v>1447</v>
      </c>
      <c r="E7849" t="s">
        <v>2094</v>
      </c>
      <c r="F7849" t="s">
        <v>1748</v>
      </c>
      <c r="H7849" s="165" t="str">
        <f>IF(ISBLANK('Q 8'!$H206),"",IF('Q 8'!$H206="&lt;please select&gt;","",'Q 8'!$H206))</f>
        <v>0</v>
      </c>
    </row>
    <row r="7850" spans="1:8" x14ac:dyDescent="0.3">
      <c r="A7850" t="s">
        <v>2096</v>
      </c>
      <c r="B7850" t="s">
        <v>2097</v>
      </c>
      <c r="C7850">
        <v>51</v>
      </c>
      <c r="D7850" t="s">
        <v>1447</v>
      </c>
      <c r="E7850" t="s">
        <v>2094</v>
      </c>
      <c r="F7850" t="s">
        <v>1748</v>
      </c>
      <c r="H7850" s="165" t="str">
        <f>IF(ISBLANK('Q 8'!$H207),"",IF('Q 8'!$H207="&lt;please select&gt;","",'Q 8'!$H207))</f>
        <v>0</v>
      </c>
    </row>
    <row r="7851" spans="1:8" x14ac:dyDescent="0.3">
      <c r="A7851" t="s">
        <v>2096</v>
      </c>
      <c r="B7851" t="s">
        <v>2097</v>
      </c>
      <c r="C7851">
        <v>52</v>
      </c>
      <c r="D7851" t="s">
        <v>1447</v>
      </c>
      <c r="E7851" t="s">
        <v>2094</v>
      </c>
      <c r="F7851" t="s">
        <v>1748</v>
      </c>
      <c r="H7851" s="165" t="str">
        <f>IF(ISBLANK('Q 8'!$H208),"",IF('Q 8'!$H208="&lt;please select&gt;","",'Q 8'!$H208))</f>
        <v>0</v>
      </c>
    </row>
    <row r="7852" spans="1:8" x14ac:dyDescent="0.3">
      <c r="A7852" t="s">
        <v>2096</v>
      </c>
      <c r="B7852" t="s">
        <v>2097</v>
      </c>
      <c r="C7852">
        <v>53</v>
      </c>
      <c r="D7852" t="s">
        <v>1447</v>
      </c>
      <c r="E7852" t="s">
        <v>2094</v>
      </c>
      <c r="F7852" t="s">
        <v>1748</v>
      </c>
      <c r="H7852" s="165" t="str">
        <f>IF(ISBLANK('Q 8'!$H209),"",IF('Q 8'!$H209="&lt;please select&gt;","",'Q 8'!$H209))</f>
        <v>0</v>
      </c>
    </row>
    <row r="7853" spans="1:8" x14ac:dyDescent="0.3">
      <c r="A7853" t="s">
        <v>2096</v>
      </c>
      <c r="B7853" t="s">
        <v>2097</v>
      </c>
      <c r="C7853">
        <v>54</v>
      </c>
      <c r="D7853" t="s">
        <v>1447</v>
      </c>
      <c r="E7853" t="s">
        <v>2094</v>
      </c>
      <c r="F7853" t="s">
        <v>1748</v>
      </c>
      <c r="H7853" s="165" t="str">
        <f>IF(ISBLANK('Q 8'!$H210),"",IF('Q 8'!$H210="&lt;please select&gt;","",'Q 8'!$H210))</f>
        <v>0</v>
      </c>
    </row>
    <row r="7854" spans="1:8" x14ac:dyDescent="0.3">
      <c r="A7854" t="s">
        <v>2096</v>
      </c>
      <c r="B7854" t="s">
        <v>2097</v>
      </c>
      <c r="C7854">
        <v>55</v>
      </c>
      <c r="D7854" t="s">
        <v>1447</v>
      </c>
      <c r="E7854" t="s">
        <v>2094</v>
      </c>
      <c r="F7854" t="s">
        <v>1748</v>
      </c>
      <c r="H7854" s="165" t="str">
        <f>IF(ISBLANK('Q 8'!$H211),"",IF('Q 8'!$H211="&lt;please select&gt;","",'Q 8'!$H211))</f>
        <v>0</v>
      </c>
    </row>
    <row r="7855" spans="1:8" x14ac:dyDescent="0.3">
      <c r="A7855" t="s">
        <v>2096</v>
      </c>
      <c r="B7855" t="s">
        <v>2097</v>
      </c>
      <c r="C7855">
        <v>56</v>
      </c>
      <c r="D7855" t="s">
        <v>1447</v>
      </c>
      <c r="E7855" t="s">
        <v>2094</v>
      </c>
      <c r="F7855" t="s">
        <v>1748</v>
      </c>
      <c r="H7855" s="165" t="str">
        <f>IF(ISBLANK('Q 8'!$H212),"",IF('Q 8'!$H212="&lt;please select&gt;","",'Q 8'!$H212))</f>
        <v>0</v>
      </c>
    </row>
    <row r="7856" spans="1:8" x14ac:dyDescent="0.3">
      <c r="A7856" t="s">
        <v>2096</v>
      </c>
      <c r="B7856" t="s">
        <v>2097</v>
      </c>
      <c r="C7856">
        <v>57</v>
      </c>
      <c r="D7856" t="s">
        <v>1447</v>
      </c>
      <c r="E7856" t="s">
        <v>2094</v>
      </c>
      <c r="F7856" t="s">
        <v>1748</v>
      </c>
      <c r="H7856" s="165" t="str">
        <f>IF(ISBLANK('Q 8'!$H213),"",IF('Q 8'!$H213="&lt;please select&gt;","",'Q 8'!$H213))</f>
        <v>0</v>
      </c>
    </row>
    <row r="7857" spans="1:8" x14ac:dyDescent="0.3">
      <c r="A7857" t="s">
        <v>2096</v>
      </c>
      <c r="B7857" t="s">
        <v>2097</v>
      </c>
      <c r="C7857">
        <v>58</v>
      </c>
      <c r="D7857" t="s">
        <v>1447</v>
      </c>
      <c r="E7857" t="s">
        <v>2094</v>
      </c>
      <c r="F7857" t="s">
        <v>1748</v>
      </c>
      <c r="H7857" s="165" t="str">
        <f>IF(ISBLANK('Q 8'!$H214),"",IF('Q 8'!$H214="&lt;please select&gt;","",'Q 8'!$H214))</f>
        <v>0</v>
      </c>
    </row>
    <row r="7858" spans="1:8" x14ac:dyDescent="0.3">
      <c r="A7858" t="s">
        <v>2096</v>
      </c>
      <c r="B7858" t="s">
        <v>2097</v>
      </c>
      <c r="C7858">
        <v>59</v>
      </c>
      <c r="D7858" t="s">
        <v>1447</v>
      </c>
      <c r="E7858" t="s">
        <v>2094</v>
      </c>
      <c r="F7858" t="s">
        <v>1748</v>
      </c>
      <c r="H7858" s="165" t="str">
        <f>IF(ISBLANK('Q 8'!$H215),"",IF('Q 8'!$H215="&lt;please select&gt;","",'Q 8'!$H215))</f>
        <v>0</v>
      </c>
    </row>
    <row r="7859" spans="1:8" x14ac:dyDescent="0.3">
      <c r="A7859" t="s">
        <v>2096</v>
      </c>
      <c r="B7859" t="s">
        <v>2097</v>
      </c>
      <c r="C7859">
        <v>60</v>
      </c>
      <c r="D7859" t="s">
        <v>1447</v>
      </c>
      <c r="E7859" t="s">
        <v>2094</v>
      </c>
      <c r="F7859" t="s">
        <v>1748</v>
      </c>
      <c r="H7859" s="165" t="str">
        <f>IF(ISBLANK('Q 8'!$H216),"",IF('Q 8'!$H216="&lt;please select&gt;","",'Q 8'!$H216))</f>
        <v>0</v>
      </c>
    </row>
    <row r="7860" spans="1:8" x14ac:dyDescent="0.3">
      <c r="A7860" t="s">
        <v>2096</v>
      </c>
      <c r="B7860" t="s">
        <v>2097</v>
      </c>
      <c r="C7860">
        <v>61</v>
      </c>
      <c r="D7860" t="s">
        <v>1447</v>
      </c>
      <c r="E7860" t="s">
        <v>2094</v>
      </c>
      <c r="F7860" t="s">
        <v>1748</v>
      </c>
      <c r="H7860" s="165" t="str">
        <f>IF(ISBLANK('Q 8'!$H217),"",IF('Q 8'!$H217="&lt;please select&gt;","",'Q 8'!$H217))</f>
        <v>0</v>
      </c>
    </row>
    <row r="7861" spans="1:8" x14ac:dyDescent="0.3">
      <c r="A7861" t="s">
        <v>2096</v>
      </c>
      <c r="B7861" t="s">
        <v>2097</v>
      </c>
      <c r="C7861">
        <v>62</v>
      </c>
      <c r="D7861" t="s">
        <v>1447</v>
      </c>
      <c r="E7861" t="s">
        <v>2094</v>
      </c>
      <c r="F7861" t="s">
        <v>1748</v>
      </c>
      <c r="H7861" s="165" t="str">
        <f>IF(ISBLANK('Q 8'!$H218),"",IF('Q 8'!$H218="&lt;please select&gt;","",'Q 8'!$H218))</f>
        <v>0</v>
      </c>
    </row>
    <row r="7862" spans="1:8" x14ac:dyDescent="0.3">
      <c r="A7862" t="s">
        <v>2096</v>
      </c>
      <c r="B7862" t="s">
        <v>2097</v>
      </c>
      <c r="C7862">
        <v>63</v>
      </c>
      <c r="D7862" t="s">
        <v>1447</v>
      </c>
      <c r="E7862" t="s">
        <v>2094</v>
      </c>
      <c r="F7862" t="s">
        <v>1748</v>
      </c>
      <c r="H7862" s="165" t="str">
        <f>IF(ISBLANK('Q 8'!$H219),"",IF('Q 8'!$H219="&lt;please select&gt;","",'Q 8'!$H219))</f>
        <v>0</v>
      </c>
    </row>
    <row r="7863" spans="1:8" x14ac:dyDescent="0.3">
      <c r="A7863" t="s">
        <v>2096</v>
      </c>
      <c r="B7863" t="s">
        <v>2097</v>
      </c>
      <c r="C7863">
        <v>64</v>
      </c>
      <c r="D7863" t="s">
        <v>1447</v>
      </c>
      <c r="E7863" t="s">
        <v>2094</v>
      </c>
      <c r="F7863" t="s">
        <v>1748</v>
      </c>
      <c r="H7863" s="165" t="str">
        <f>IF(ISBLANK('Q 8'!$H220),"",IF('Q 8'!$H220="&lt;please select&gt;","",'Q 8'!$H220))</f>
        <v>0</v>
      </c>
    </row>
    <row r="7864" spans="1:8" x14ac:dyDescent="0.3">
      <c r="A7864" t="s">
        <v>2096</v>
      </c>
      <c r="B7864" t="s">
        <v>2097</v>
      </c>
      <c r="C7864">
        <v>65</v>
      </c>
      <c r="D7864" t="s">
        <v>1447</v>
      </c>
      <c r="E7864" t="s">
        <v>2094</v>
      </c>
      <c r="F7864" t="s">
        <v>1748</v>
      </c>
      <c r="H7864" s="165" t="str">
        <f>IF(ISBLANK('Q 8'!$H221),"",IF('Q 8'!$H221="&lt;please select&gt;","",'Q 8'!$H221))</f>
        <v>0</v>
      </c>
    </row>
    <row r="7865" spans="1:8" x14ac:dyDescent="0.3">
      <c r="A7865" t="s">
        <v>2096</v>
      </c>
      <c r="B7865" t="s">
        <v>2097</v>
      </c>
      <c r="C7865">
        <v>66</v>
      </c>
      <c r="D7865" t="s">
        <v>1447</v>
      </c>
      <c r="E7865" t="s">
        <v>2094</v>
      </c>
      <c r="F7865" t="s">
        <v>1748</v>
      </c>
      <c r="H7865" s="165" t="str">
        <f>IF(ISBLANK('Q 8'!$H222),"",IF('Q 8'!$H222="&lt;please select&gt;","",'Q 8'!$H222))</f>
        <v>0</v>
      </c>
    </row>
    <row r="7866" spans="1:8" x14ac:dyDescent="0.3">
      <c r="A7866" t="s">
        <v>2096</v>
      </c>
      <c r="B7866" t="s">
        <v>2097</v>
      </c>
      <c r="C7866">
        <v>67</v>
      </c>
      <c r="D7866" t="s">
        <v>1447</v>
      </c>
      <c r="E7866" t="s">
        <v>2094</v>
      </c>
      <c r="F7866" t="s">
        <v>1748</v>
      </c>
      <c r="H7866" s="165" t="str">
        <f>IF(ISBLANK('Q 8'!$H223),"",IF('Q 8'!$H223="&lt;please select&gt;","",'Q 8'!$H223))</f>
        <v>0</v>
      </c>
    </row>
    <row r="7867" spans="1:8" x14ac:dyDescent="0.3">
      <c r="A7867" t="s">
        <v>2096</v>
      </c>
      <c r="B7867" t="s">
        <v>2097</v>
      </c>
      <c r="C7867">
        <v>68</v>
      </c>
      <c r="D7867" t="s">
        <v>1447</v>
      </c>
      <c r="E7867" t="s">
        <v>2094</v>
      </c>
      <c r="F7867" t="s">
        <v>1748</v>
      </c>
      <c r="H7867" s="165" t="str">
        <f>IF(ISBLANK('Q 8'!$H224),"",IF('Q 8'!$H224="&lt;please select&gt;","",'Q 8'!$H224))</f>
        <v>0</v>
      </c>
    </row>
    <row r="7868" spans="1:8" x14ac:dyDescent="0.3">
      <c r="A7868" t="s">
        <v>2096</v>
      </c>
      <c r="B7868" t="s">
        <v>2097</v>
      </c>
      <c r="C7868">
        <v>69</v>
      </c>
      <c r="D7868" t="s">
        <v>1447</v>
      </c>
      <c r="E7868" t="s">
        <v>2094</v>
      </c>
      <c r="F7868" t="s">
        <v>1748</v>
      </c>
      <c r="H7868" s="165" t="str">
        <f>IF(ISBLANK('Q 8'!$H225),"",IF('Q 8'!$H225="&lt;please select&gt;","",'Q 8'!$H225))</f>
        <v>0</v>
      </c>
    </row>
    <row r="7869" spans="1:8" x14ac:dyDescent="0.3">
      <c r="A7869" t="s">
        <v>2096</v>
      </c>
      <c r="B7869" t="s">
        <v>2097</v>
      </c>
      <c r="C7869">
        <v>70</v>
      </c>
      <c r="D7869" t="s">
        <v>1447</v>
      </c>
      <c r="E7869" t="s">
        <v>2094</v>
      </c>
      <c r="F7869" t="s">
        <v>1748</v>
      </c>
      <c r="H7869" s="165" t="str">
        <f>IF(ISBLANK('Q 8'!$H226),"",IF('Q 8'!$H226="&lt;please select&gt;","",'Q 8'!$H226))</f>
        <v>0</v>
      </c>
    </row>
    <row r="7870" spans="1:8" x14ac:dyDescent="0.3">
      <c r="A7870" t="s">
        <v>2096</v>
      </c>
      <c r="B7870" t="s">
        <v>2097</v>
      </c>
      <c r="C7870">
        <v>71</v>
      </c>
      <c r="D7870" t="s">
        <v>1447</v>
      </c>
      <c r="E7870" t="s">
        <v>2094</v>
      </c>
      <c r="F7870" t="s">
        <v>1748</v>
      </c>
      <c r="H7870" s="165" t="str">
        <f>IF(ISBLANK('Q 8'!$H227),"",IF('Q 8'!$H227="&lt;please select&gt;","",'Q 8'!$H227))</f>
        <v>0</v>
      </c>
    </row>
    <row r="7871" spans="1:8" x14ac:dyDescent="0.3">
      <c r="A7871" t="s">
        <v>2096</v>
      </c>
      <c r="B7871" t="s">
        <v>2097</v>
      </c>
      <c r="C7871">
        <v>72</v>
      </c>
      <c r="D7871" t="s">
        <v>1447</v>
      </c>
      <c r="E7871" t="s">
        <v>2094</v>
      </c>
      <c r="F7871" t="s">
        <v>1748</v>
      </c>
      <c r="H7871" s="165" t="str">
        <f>IF(ISBLANK('Q 8'!$H228),"",IF('Q 8'!$H228="&lt;please select&gt;","",'Q 8'!$H228))</f>
        <v>0</v>
      </c>
    </row>
    <row r="7872" spans="1:8" x14ac:dyDescent="0.3">
      <c r="A7872" t="s">
        <v>2096</v>
      </c>
      <c r="B7872" t="s">
        <v>2097</v>
      </c>
      <c r="C7872">
        <v>73</v>
      </c>
      <c r="D7872" t="s">
        <v>1447</v>
      </c>
      <c r="E7872" t="s">
        <v>2094</v>
      </c>
      <c r="F7872" t="s">
        <v>1748</v>
      </c>
      <c r="H7872" s="165" t="str">
        <f>IF(ISBLANK('Q 8'!$H229),"",IF('Q 8'!$H229="&lt;please select&gt;","",'Q 8'!$H229))</f>
        <v>0</v>
      </c>
    </row>
    <row r="7873" spans="1:11" x14ac:dyDescent="0.3">
      <c r="A7873" t="s">
        <v>2096</v>
      </c>
      <c r="B7873" t="s">
        <v>2097</v>
      </c>
      <c r="C7873">
        <v>74</v>
      </c>
      <c r="D7873" t="s">
        <v>1447</v>
      </c>
      <c r="E7873" t="s">
        <v>2094</v>
      </c>
      <c r="F7873" t="s">
        <v>1748</v>
      </c>
      <c r="H7873" s="165" t="str">
        <f>IF(ISBLANK('Q 8'!$H230),"",IF('Q 8'!$H230="&lt;please select&gt;","",'Q 8'!$H230))</f>
        <v>0</v>
      </c>
    </row>
    <row r="7874" spans="1:11" x14ac:dyDescent="0.3">
      <c r="A7874" t="s">
        <v>2096</v>
      </c>
      <c r="B7874" t="s">
        <v>2097</v>
      </c>
      <c r="C7874">
        <v>75</v>
      </c>
      <c r="D7874" t="s">
        <v>1447</v>
      </c>
      <c r="E7874" t="s">
        <v>2094</v>
      </c>
      <c r="F7874" t="s">
        <v>1748</v>
      </c>
      <c r="H7874" s="165" t="str">
        <f>IF(ISBLANK('Q 8'!$H231),"",IF('Q 8'!$H231="&lt;please select&gt;","",'Q 8'!$H231))</f>
        <v>0</v>
      </c>
    </row>
    <row r="7875" spans="1:11" x14ac:dyDescent="0.3">
      <c r="A7875" t="s">
        <v>2096</v>
      </c>
      <c r="B7875" t="s">
        <v>2097</v>
      </c>
      <c r="C7875">
        <v>76</v>
      </c>
      <c r="D7875" t="s">
        <v>1447</v>
      </c>
      <c r="E7875" t="s">
        <v>2094</v>
      </c>
      <c r="F7875" t="s">
        <v>1748</v>
      </c>
      <c r="H7875" s="165" t="str">
        <f>IF(ISBLANK('Q 8'!$H232),"",IF('Q 8'!$H232="&lt;please select&gt;","",'Q 8'!$H232))</f>
        <v>0</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Yes</v>
      </c>
    </row>
    <row r="7881" spans="1:11" x14ac:dyDescent="0.3">
      <c r="A7881" t="s">
        <v>2098</v>
      </c>
      <c r="B7881" t="s">
        <v>2100</v>
      </c>
      <c r="C7881">
        <v>1</v>
      </c>
      <c r="D7881" t="s">
        <v>1447</v>
      </c>
      <c r="E7881" t="s">
        <v>2101</v>
      </c>
      <c r="F7881" t="s">
        <v>1748</v>
      </c>
      <c r="H7881" s="165" t="str">
        <f>IF(ISBLANK('Q 8'!$F243),"",IF('Q 8'!$F243="&lt;please select&gt;","",'Q 8'!$F243))</f>
        <v>1</v>
      </c>
    </row>
    <row r="7882" spans="1:11" x14ac:dyDescent="0.3">
      <c r="A7882" t="s">
        <v>2098</v>
      </c>
      <c r="B7882" t="s">
        <v>2100</v>
      </c>
      <c r="C7882">
        <v>2</v>
      </c>
      <c r="D7882" t="s">
        <v>1447</v>
      </c>
      <c r="E7882" t="s">
        <v>2101</v>
      </c>
      <c r="F7882" t="s">
        <v>1748</v>
      </c>
      <c r="H7882" s="165" t="str">
        <f>IF(ISBLANK('Q 8'!$F244),"",IF('Q 8'!$F244="&lt;please select&gt;","",'Q 8'!$F244))</f>
        <v>3</v>
      </c>
    </row>
    <row r="7883" spans="1:11" x14ac:dyDescent="0.3">
      <c r="A7883" t="s">
        <v>2098</v>
      </c>
      <c r="B7883" t="s">
        <v>2100</v>
      </c>
      <c r="C7883">
        <v>2</v>
      </c>
      <c r="D7883" t="s">
        <v>1447</v>
      </c>
      <c r="E7883" t="s">
        <v>2102</v>
      </c>
      <c r="F7883" t="s">
        <v>1791</v>
      </c>
      <c r="J7883" s="165" t="str">
        <f>IF(ISBLANK('Q 8'!$H$244),"",IF('Q 8'!$H$244="&lt;please select&gt;","",'Q 8'!$H$244))</f>
        <v>material misstatement / non conformities / No annual activity level report submitted by 31 March</v>
      </c>
    </row>
    <row r="7884" spans="1:11" x14ac:dyDescent="0.3">
      <c r="A7884" t="s">
        <v>2098</v>
      </c>
      <c r="B7884" t="s">
        <v>2100</v>
      </c>
      <c r="C7884">
        <v>3</v>
      </c>
      <c r="D7884" t="s">
        <v>1447</v>
      </c>
      <c r="E7884" t="s">
        <v>2000</v>
      </c>
      <c r="F7884" t="s">
        <v>1741</v>
      </c>
      <c r="G7884" t="str">
        <f>IF(ISBLANK('Q 8'!$F$245),"",IF('Q 8'!$F$245="&lt;please select&gt;","",'Q 8'!$F$245))</f>
        <v>Establishment of conservative estimation</v>
      </c>
    </row>
    <row r="7885" spans="1:11" x14ac:dyDescent="0.3">
      <c r="A7885" t="s">
        <v>2098</v>
      </c>
      <c r="B7885" t="s">
        <v>2100</v>
      </c>
      <c r="C7885">
        <v>4</v>
      </c>
      <c r="D7885" t="s">
        <v>1419</v>
      </c>
      <c r="E7885" t="s">
        <v>2000</v>
      </c>
      <c r="F7885" t="s">
        <v>1791</v>
      </c>
      <c r="J7885" t="str">
        <f>IF(ISBLANK('Q 8'!$F$246),"",IF('Q 8'!$F$246="&lt;please select&gt;","",'Q 8'!$F$246))</f>
        <v>Inspection</v>
      </c>
    </row>
    <row r="7886" spans="1:11" x14ac:dyDescent="0.3">
      <c r="A7886" t="s">
        <v>2103</v>
      </c>
      <c r="B7886" t="s">
        <v>2104</v>
      </c>
      <c r="C7886">
        <v>0</v>
      </c>
      <c r="D7886" t="s">
        <v>1447</v>
      </c>
      <c r="E7886" t="s">
        <v>2104</v>
      </c>
      <c r="F7886" t="s">
        <v>1759</v>
      </c>
      <c r="K7886" t="str">
        <f>IF(ISBLANK('Q 8'!$I$248),"",IF('Q 8'!$I$248="&lt;please select&gt;","",'Q 8'!$I$248))</f>
        <v>No</v>
      </c>
    </row>
    <row r="7887" spans="1:11" x14ac:dyDescent="0.3">
      <c r="A7887" t="s">
        <v>2103</v>
      </c>
      <c r="B7887" t="s">
        <v>2105</v>
      </c>
      <c r="C7887">
        <v>1</v>
      </c>
      <c r="D7887" t="s">
        <v>1447</v>
      </c>
      <c r="E7887" t="s">
        <v>1798</v>
      </c>
      <c r="F7887" t="s">
        <v>1748</v>
      </c>
      <c r="H7887" s="165" t="str">
        <f>IF(ISBLANK('Q 8'!$G251),"",IF('Q 8'!$G251="&lt;please select&gt;","",'Q 8'!$G251))</f>
        <v>0</v>
      </c>
    </row>
    <row r="7888" spans="1:11" x14ac:dyDescent="0.3">
      <c r="A7888" t="s">
        <v>2103</v>
      </c>
      <c r="B7888" t="s">
        <v>2105</v>
      </c>
      <c r="C7888">
        <v>2</v>
      </c>
      <c r="D7888" t="s">
        <v>1447</v>
      </c>
      <c r="E7888" t="s">
        <v>1798</v>
      </c>
      <c r="F7888" t="s">
        <v>1748</v>
      </c>
      <c r="H7888" s="165" t="str">
        <f>IF(ISBLANK('Q 8'!$G252),"",IF('Q 8'!$G252="&lt;please select&gt;","",'Q 8'!$G252))</f>
        <v>0</v>
      </c>
    </row>
    <row r="7889" spans="1:11" x14ac:dyDescent="0.3">
      <c r="A7889" t="s">
        <v>2103</v>
      </c>
      <c r="B7889" t="s">
        <v>2105</v>
      </c>
      <c r="C7889">
        <v>3</v>
      </c>
      <c r="D7889" t="s">
        <v>1447</v>
      </c>
      <c r="E7889" t="s">
        <v>1798</v>
      </c>
      <c r="F7889" t="s">
        <v>1748</v>
      </c>
      <c r="H7889" s="165" t="str">
        <f>IF(ISBLANK('Q 8'!$G253),"",IF('Q 8'!$G253="&lt;please select&gt;","",'Q 8'!$G253))</f>
        <v>0</v>
      </c>
    </row>
    <row r="7890" spans="1:11" x14ac:dyDescent="0.3">
      <c r="A7890" t="s">
        <v>2103</v>
      </c>
      <c r="B7890" t="s">
        <v>2105</v>
      </c>
      <c r="C7890">
        <v>4</v>
      </c>
      <c r="D7890" t="s">
        <v>1447</v>
      </c>
      <c r="E7890" t="s">
        <v>1798</v>
      </c>
      <c r="F7890" t="s">
        <v>1748</v>
      </c>
      <c r="H7890" s="165" t="str">
        <f>IF(ISBLANK('Q 8'!$G254),"",IF('Q 8'!$G254="&lt;please select&gt;","",'Q 8'!$G254))</f>
        <v>0</v>
      </c>
    </row>
    <row r="7891" spans="1:11" x14ac:dyDescent="0.3">
      <c r="A7891" t="s">
        <v>2103</v>
      </c>
      <c r="B7891" t="s">
        <v>2105</v>
      </c>
      <c r="C7891">
        <v>5</v>
      </c>
      <c r="D7891" t="s">
        <v>1447</v>
      </c>
      <c r="E7891" t="s">
        <v>1798</v>
      </c>
      <c r="F7891" t="s">
        <v>1748</v>
      </c>
      <c r="H7891" s="165" t="str">
        <f>IF(ISBLANK('Q 8'!$G255),"",IF('Q 8'!$G255="&lt;please select&gt;","",'Q 8'!$G255))</f>
        <v>0</v>
      </c>
    </row>
    <row r="7892" spans="1:11" x14ac:dyDescent="0.3">
      <c r="A7892" t="s">
        <v>2106</v>
      </c>
      <c r="B7892" t="s">
        <v>2107</v>
      </c>
      <c r="C7892">
        <v>0</v>
      </c>
      <c r="D7892" t="s">
        <v>1447</v>
      </c>
      <c r="E7892" t="s">
        <v>2107</v>
      </c>
      <c r="F7892" t="s">
        <v>1759</v>
      </c>
      <c r="K7892" t="str">
        <f>IF(ISBLANK('Q 8'!$I$258),"",IF('Q 8'!$I$258="&lt;please select&gt;","",'Q 8'!$I$258))</f>
        <v>Yes</v>
      </c>
    </row>
    <row r="7893" spans="1:11" x14ac:dyDescent="0.3">
      <c r="A7893" t="s">
        <v>2106</v>
      </c>
      <c r="B7893" t="s">
        <v>2108</v>
      </c>
      <c r="C7893">
        <v>1</v>
      </c>
      <c r="D7893" t="s">
        <v>1447</v>
      </c>
      <c r="E7893" t="s">
        <v>2010</v>
      </c>
      <c r="F7893" t="s">
        <v>1741</v>
      </c>
      <c r="G7893" t="str">
        <f>IF(ISBLANK('Q 8'!$C264),"",IF('Q 8'!$C264="&lt;please select&gt;","",'Q 8'!$C264))</f>
        <v>Covid-19</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46</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Generic authorisation under Article 34a of Implementing Regulation (EU) 2018/2067</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Yes</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
      </c>
    </row>
    <row r="7942" spans="1:9" x14ac:dyDescent="0.3">
      <c r="A7942" t="s">
        <v>2109</v>
      </c>
      <c r="B7942" t="s">
        <v>2110</v>
      </c>
      <c r="C7942">
        <v>2</v>
      </c>
      <c r="D7942" t="s">
        <v>1447</v>
      </c>
      <c r="E7942" t="s">
        <v>2111</v>
      </c>
      <c r="F7942" t="s">
        <v>1806</v>
      </c>
      <c r="I7942" s="165" t="str">
        <f>IF(ISBLANK('Q 8'!E284),"",IF('Q 8'!E284="&lt;please select&gt;","",'Q 8'!E284))</f>
        <v/>
      </c>
    </row>
    <row r="7943" spans="1:9" x14ac:dyDescent="0.3">
      <c r="A7943" t="s">
        <v>2109</v>
      </c>
      <c r="B7943" t="s">
        <v>2110</v>
      </c>
      <c r="C7943">
        <v>3</v>
      </c>
      <c r="D7943" t="s">
        <v>1447</v>
      </c>
      <c r="E7943" t="s">
        <v>2111</v>
      </c>
      <c r="F7943" t="s">
        <v>1806</v>
      </c>
      <c r="I7943" s="165" t="str">
        <f>IF(ISBLANK('Q 8'!E285),"",IF('Q 8'!E285="&lt;please select&gt;","",'Q 8'!E285))</f>
        <v/>
      </c>
    </row>
    <row r="7944" spans="1:9" x14ac:dyDescent="0.3">
      <c r="A7944" t="s">
        <v>2109</v>
      </c>
      <c r="B7944" t="s">
        <v>2110</v>
      </c>
      <c r="C7944">
        <v>4</v>
      </c>
      <c r="D7944" t="s">
        <v>1447</v>
      </c>
      <c r="E7944" t="s">
        <v>2111</v>
      </c>
      <c r="F7944" t="s">
        <v>1806</v>
      </c>
      <c r="I7944" s="165" t="str">
        <f>IF(ISBLANK('Q 8'!E286),"",IF('Q 8'!E286="&lt;please select&gt;","",'Q 8'!E286))</f>
        <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
      </c>
    </row>
    <row r="7950" spans="1:9" x14ac:dyDescent="0.3">
      <c r="A7950" t="s">
        <v>2109</v>
      </c>
      <c r="B7950" t="s">
        <v>2110</v>
      </c>
      <c r="C7950">
        <v>2</v>
      </c>
      <c r="D7950" t="s">
        <v>1447</v>
      </c>
      <c r="E7950" t="s">
        <v>2112</v>
      </c>
      <c r="F7950" t="s">
        <v>1806</v>
      </c>
      <c r="I7950" s="165" t="str">
        <f>IF(ISBLANK('Q 8'!$F284),"",IF('Q 8'!$F284="&lt;please select&gt;","",'Q 8'!$F284))</f>
        <v/>
      </c>
    </row>
    <row r="7951" spans="1:9" x14ac:dyDescent="0.3">
      <c r="A7951" t="s">
        <v>2109</v>
      </c>
      <c r="B7951" t="s">
        <v>2110</v>
      </c>
      <c r="C7951">
        <v>3</v>
      </c>
      <c r="D7951" t="s">
        <v>1447</v>
      </c>
      <c r="E7951" t="s">
        <v>2112</v>
      </c>
      <c r="F7951" t="s">
        <v>1806</v>
      </c>
      <c r="I7951" s="165" t="str">
        <f>IF(ISBLANK('Q 8'!$F285),"",IF('Q 8'!$F285="&lt;please select&gt;","",'Q 8'!$F285))</f>
        <v/>
      </c>
    </row>
    <row r="7952" spans="1:9" x14ac:dyDescent="0.3">
      <c r="A7952" t="s">
        <v>2109</v>
      </c>
      <c r="B7952" t="s">
        <v>2110</v>
      </c>
      <c r="C7952">
        <v>4</v>
      </c>
      <c r="D7952" t="s">
        <v>1447</v>
      </c>
      <c r="E7952" t="s">
        <v>2112</v>
      </c>
      <c r="F7952" t="s">
        <v>1806</v>
      </c>
      <c r="I7952" s="165" t="str">
        <f>IF(ISBLANK('Q 8'!$F286),"",IF('Q 8'!$F286="&lt;please select&gt;","",'Q 8'!$F286))</f>
        <v/>
      </c>
    </row>
    <row r="7953" spans="1:9" x14ac:dyDescent="0.3">
      <c r="A7953" t="s">
        <v>2109</v>
      </c>
      <c r="B7953" t="s">
        <v>2110</v>
      </c>
      <c r="C7953">
        <v>5</v>
      </c>
      <c r="D7953" t="s">
        <v>1419</v>
      </c>
      <c r="E7953" t="s">
        <v>2112</v>
      </c>
      <c r="F7953" t="s">
        <v>1806</v>
      </c>
      <c r="I7953" s="165" t="str">
        <f>IF(ISBLANK('Q 8'!$F287),"",IF('Q 8'!$F287="&lt;please select&gt;","",'Q 8'!$F287))</f>
        <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
      </c>
    </row>
    <row r="7966" spans="1:9" x14ac:dyDescent="0.3">
      <c r="A7966" t="s">
        <v>2109</v>
      </c>
      <c r="B7966" t="s">
        <v>2110</v>
      </c>
      <c r="C7966">
        <v>2</v>
      </c>
      <c r="D7966" t="s">
        <v>1447</v>
      </c>
      <c r="E7966" t="s">
        <v>2114</v>
      </c>
      <c r="F7966" t="s">
        <v>1806</v>
      </c>
      <c r="I7966" s="165" t="str">
        <f>IF(ISBLANK('Q 8'!H284),"",IF('Q 8'!H284="&lt;please select&gt;","",'Q 8'!H284))</f>
        <v/>
      </c>
    </row>
    <row r="7967" spans="1:9" x14ac:dyDescent="0.3">
      <c r="A7967" t="s">
        <v>2109</v>
      </c>
      <c r="B7967" t="s">
        <v>2110</v>
      </c>
      <c r="C7967">
        <v>3</v>
      </c>
      <c r="D7967" t="s">
        <v>1447</v>
      </c>
      <c r="E7967" t="s">
        <v>2114</v>
      </c>
      <c r="F7967" t="s">
        <v>1806</v>
      </c>
      <c r="I7967" s="165" t="str">
        <f>IF(ISBLANK('Q 8'!H285),"",IF('Q 8'!H285="&lt;please select&gt;","",'Q 8'!H285))</f>
        <v/>
      </c>
    </row>
    <row r="7968" spans="1:9" x14ac:dyDescent="0.3">
      <c r="A7968" t="s">
        <v>2109</v>
      </c>
      <c r="B7968" t="s">
        <v>2110</v>
      </c>
      <c r="C7968">
        <v>4</v>
      </c>
      <c r="D7968" t="s">
        <v>1447</v>
      </c>
      <c r="E7968" t="s">
        <v>2114</v>
      </c>
      <c r="F7968" t="s">
        <v>1806</v>
      </c>
      <c r="I7968" s="165" t="str">
        <f>IF(ISBLANK('Q 8'!H286),"",IF('Q 8'!H286="&lt;please select&gt;","",'Q 8'!H286))</f>
        <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formal notice</v>
      </c>
    </row>
    <row r="7974" spans="1:10" x14ac:dyDescent="0.3">
      <c r="A7974" t="s">
        <v>2109</v>
      </c>
      <c r="B7974" t="s">
        <v>2110</v>
      </c>
      <c r="C7974">
        <v>2</v>
      </c>
      <c r="D7974" t="s">
        <v>1447</v>
      </c>
      <c r="E7974" t="s">
        <v>2115</v>
      </c>
      <c r="F7974" t="s">
        <v>1741</v>
      </c>
      <c r="G7974" t="str">
        <f>IF(ISBLANK('Q 8'!$I284),"",IF('Q 8'!$I284="&lt;please select&gt;","",'Q 8'!$I284))</f>
        <v>formal notice</v>
      </c>
    </row>
    <row r="7975" spans="1:10" x14ac:dyDescent="0.3">
      <c r="A7975" t="s">
        <v>2109</v>
      </c>
      <c r="B7975" t="s">
        <v>2110</v>
      </c>
      <c r="C7975">
        <v>3</v>
      </c>
      <c r="D7975" t="s">
        <v>1447</v>
      </c>
      <c r="E7975" t="s">
        <v>2115</v>
      </c>
      <c r="F7975" t="s">
        <v>1741</v>
      </c>
      <c r="G7975" t="str">
        <f>IF(ISBLANK('Q 8'!$I285),"",IF('Q 8'!$I285="&lt;please select&gt;","",'Q 8'!$I285))</f>
        <v>formal notice</v>
      </c>
    </row>
    <row r="7976" spans="1:10" x14ac:dyDescent="0.3">
      <c r="A7976" t="s">
        <v>2109</v>
      </c>
      <c r="B7976" t="s">
        <v>2110</v>
      </c>
      <c r="C7976">
        <v>4</v>
      </c>
      <c r="D7976" t="s">
        <v>1447</v>
      </c>
      <c r="E7976" t="s">
        <v>2115</v>
      </c>
      <c r="F7976" t="s">
        <v>1741</v>
      </c>
      <c r="G7976" t="str">
        <f>IF(ISBLANK('Q 8'!$I286),"",IF('Q 8'!$I286="&lt;please select&gt;","",'Q 8'!$I286))</f>
        <v>formal notice</v>
      </c>
    </row>
    <row r="7977" spans="1:10" x14ac:dyDescent="0.3">
      <c r="A7977" t="s">
        <v>2109</v>
      </c>
      <c r="B7977" t="s">
        <v>2110</v>
      </c>
      <c r="C7977">
        <v>5</v>
      </c>
      <c r="D7977" t="s">
        <v>1419</v>
      </c>
      <c r="E7977" t="s">
        <v>2115</v>
      </c>
      <c r="F7977" t="s">
        <v>1741</v>
      </c>
      <c r="G7977" t="str">
        <f>IF(ISBLANK('Q 8'!$I287),"",IF('Q 8'!$I287="&lt;please select&gt;","",'Q 8'!$I287))</f>
        <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
      </c>
    </row>
    <row r="7982" spans="1:10" x14ac:dyDescent="0.3">
      <c r="A7982" t="s">
        <v>2109</v>
      </c>
      <c r="B7982" t="s">
        <v>2110</v>
      </c>
      <c r="C7982">
        <v>6</v>
      </c>
      <c r="D7982" t="s">
        <v>1419</v>
      </c>
      <c r="E7982" t="s">
        <v>2116</v>
      </c>
      <c r="F7982" t="s">
        <v>1791</v>
      </c>
      <c r="J7982" t="str">
        <f>IF(ISBLANK('Q 8'!D288),"",IF('Q 8'!D288="&lt;please select&gt;","",'Q 8'!D288))</f>
        <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Failure to submit an annual activity level report by the required deadline</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0</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0</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formal notice</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No</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Yes</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No</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No</v>
      </c>
    </row>
    <row r="8170" spans="1:11" x14ac:dyDescent="0.3">
      <c r="A8170" t="s">
        <v>2130</v>
      </c>
      <c r="B8170" t="s">
        <v>2132</v>
      </c>
      <c r="C8170">
        <v>1</v>
      </c>
      <c r="D8170" t="s">
        <v>1447</v>
      </c>
      <c r="E8170" t="s">
        <v>2133</v>
      </c>
      <c r="F8170" t="s">
        <v>1806</v>
      </c>
      <c r="I8170" s="165" t="str">
        <f>IF(ISBLANK('Q 9'!$G9),"",IF('Q 9'!$G9="&lt;please select&gt;","",'Q 9'!$G9))</f>
        <v/>
      </c>
    </row>
    <row r="8171" spans="1:11" x14ac:dyDescent="0.3">
      <c r="A8171" t="s">
        <v>2130</v>
      </c>
      <c r="B8171" t="s">
        <v>2132</v>
      </c>
      <c r="C8171">
        <v>2</v>
      </c>
      <c r="D8171" t="s">
        <v>1447</v>
      </c>
      <c r="E8171" t="s">
        <v>2133</v>
      </c>
      <c r="F8171" t="s">
        <v>1806</v>
      </c>
      <c r="I8171" s="165" t="str">
        <f>IF(ISBLANK('Q 9'!$G10),"",IF('Q 9'!$G10="&lt;please select&gt;","",'Q 9'!$G10))</f>
        <v/>
      </c>
    </row>
    <row r="8172" spans="1:11" x14ac:dyDescent="0.3">
      <c r="A8172" t="s">
        <v>2130</v>
      </c>
      <c r="B8172" t="s">
        <v>2132</v>
      </c>
      <c r="C8172">
        <v>3</v>
      </c>
      <c r="D8172" t="s">
        <v>1447</v>
      </c>
      <c r="E8172" t="s">
        <v>2133</v>
      </c>
      <c r="F8172" t="s">
        <v>1806</v>
      </c>
      <c r="I8172" s="165" t="str">
        <f>IF(ISBLANK('Q 9'!$G11),"",IF('Q 9'!$G11="&lt;please select&gt;","",'Q 9'!$G11))</f>
        <v/>
      </c>
    </row>
    <row r="8173" spans="1:11" x14ac:dyDescent="0.3">
      <c r="A8173" t="s">
        <v>2130</v>
      </c>
      <c r="B8173" t="s">
        <v>2132</v>
      </c>
      <c r="C8173">
        <v>4</v>
      </c>
      <c r="D8173" t="s">
        <v>1447</v>
      </c>
      <c r="E8173" t="s">
        <v>2133</v>
      </c>
      <c r="F8173" t="s">
        <v>1806</v>
      </c>
      <c r="I8173" s="165" t="str">
        <f>IF(ISBLANK('Q 9'!$G12),"",IF('Q 9'!$G12="&lt;please select&gt;","",'Q 9'!$G12))</f>
        <v/>
      </c>
    </row>
    <row r="8174" spans="1:11" x14ac:dyDescent="0.3">
      <c r="A8174" t="s">
        <v>2130</v>
      </c>
      <c r="B8174" t="s">
        <v>2132</v>
      </c>
      <c r="C8174">
        <v>5</v>
      </c>
      <c r="D8174" t="s">
        <v>1447</v>
      </c>
      <c r="E8174" t="s">
        <v>2133</v>
      </c>
      <c r="F8174" t="s">
        <v>1806</v>
      </c>
      <c r="I8174" s="165" t="str">
        <f>IF(ISBLANK('Q 9'!$G13),"",IF('Q 9'!$G13="&lt;please select&gt;","",'Q 9'!$G13))</f>
        <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account opening fee for operator holding account</v>
      </c>
    </row>
    <row r="8217" spans="1:10" x14ac:dyDescent="0.3">
      <c r="A8217" t="s">
        <v>2136</v>
      </c>
      <c r="B8217" t="s">
        <v>2140</v>
      </c>
      <c r="C8217">
        <v>2</v>
      </c>
      <c r="D8217" t="s">
        <v>1447</v>
      </c>
      <c r="E8217" t="s">
        <v>2141</v>
      </c>
      <c r="F8217" t="s">
        <v>1741</v>
      </c>
      <c r="G8217" t="str">
        <f>IF(ISBLANK('Q 9'!$C61),"",IF('Q 9'!$C61="&lt;please select&gt;","",'Q 9'!$C61))</f>
        <v>account opening fee for aircraft operator holding account</v>
      </c>
    </row>
    <row r="8218" spans="1:10" x14ac:dyDescent="0.3">
      <c r="A8218" t="s">
        <v>2136</v>
      </c>
      <c r="B8218" t="s">
        <v>2140</v>
      </c>
      <c r="C8218">
        <v>3</v>
      </c>
      <c r="D8218" t="s">
        <v>1447</v>
      </c>
      <c r="E8218" t="s">
        <v>2141</v>
      </c>
      <c r="F8218" t="s">
        <v>1741</v>
      </c>
      <c r="G8218" t="str">
        <f>IF(ISBLANK('Q 9'!$C62),"",IF('Q 9'!$C62="&lt;please select&gt;","",'Q 9'!$C62))</f>
        <v>account opening fee for trading account</v>
      </c>
    </row>
    <row r="8219" spans="1:10" x14ac:dyDescent="0.3">
      <c r="A8219" t="s">
        <v>2136</v>
      </c>
      <c r="B8219" t="s">
        <v>2140</v>
      </c>
      <c r="C8219">
        <v>4</v>
      </c>
      <c r="D8219" t="s">
        <v>1447</v>
      </c>
      <c r="E8219" t="s">
        <v>2141</v>
      </c>
      <c r="F8219" t="s">
        <v>1741</v>
      </c>
      <c r="G8219" t="str">
        <f>IF(ISBLANK('Q 9'!$C63),"",IF('Q 9'!$C63="&lt;please select&gt;","",'Q 9'!$C63))</f>
        <v>account opening fee for person holding account</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500</v>
      </c>
    </row>
    <row r="8227" spans="1:9" x14ac:dyDescent="0.3">
      <c r="A8227" t="s">
        <v>2136</v>
      </c>
      <c r="B8227" t="s">
        <v>2140</v>
      </c>
      <c r="C8227">
        <v>2</v>
      </c>
      <c r="D8227" t="s">
        <v>1447</v>
      </c>
      <c r="E8227" t="s">
        <v>2142</v>
      </c>
      <c r="F8227" t="s">
        <v>1806</v>
      </c>
      <c r="I8227" s="165" t="str">
        <f>IF(ISBLANK('Q 9'!$G61),"",IF('Q 9'!$G61="&lt;please select&gt;","",'Q 9'!$G61))</f>
        <v>500</v>
      </c>
    </row>
    <row r="8228" spans="1:9" x14ac:dyDescent="0.3">
      <c r="A8228" t="s">
        <v>2136</v>
      </c>
      <c r="B8228" t="s">
        <v>2140</v>
      </c>
      <c r="C8228">
        <v>3</v>
      </c>
      <c r="D8228" t="s">
        <v>1447</v>
      </c>
      <c r="E8228" t="s">
        <v>2142</v>
      </c>
      <c r="F8228" t="s">
        <v>1806</v>
      </c>
      <c r="I8228" s="165" t="str">
        <f>IF(ISBLANK('Q 9'!$G62),"",IF('Q 9'!$G62="&lt;please select&gt;","",'Q 9'!$G62))</f>
        <v>1100</v>
      </c>
    </row>
    <row r="8229" spans="1:9" x14ac:dyDescent="0.3">
      <c r="A8229" t="s">
        <v>2136</v>
      </c>
      <c r="B8229" t="s">
        <v>2140</v>
      </c>
      <c r="C8229">
        <v>4</v>
      </c>
      <c r="D8229" t="s">
        <v>1447</v>
      </c>
      <c r="E8229" t="s">
        <v>2142</v>
      </c>
      <c r="F8229" t="s">
        <v>1806</v>
      </c>
      <c r="I8229" s="165" t="str">
        <f>IF(ISBLANK('Q 9'!$G63),"",IF('Q 9'!$G63="&lt;please select&gt;","",'Q 9'!$G63))</f>
        <v>1100</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annual management fee for operator holding account for VEs of 2019 fewer than 25000 tons</v>
      </c>
    </row>
    <row r="8237" spans="1:9" x14ac:dyDescent="0.3">
      <c r="A8237" t="s">
        <v>2136</v>
      </c>
      <c r="B8237" t="s">
        <v>2143</v>
      </c>
      <c r="C8237">
        <v>2</v>
      </c>
      <c r="D8237" t="s">
        <v>1447</v>
      </c>
      <c r="E8237" t="s">
        <v>2144</v>
      </c>
      <c r="F8237" t="s">
        <v>1741</v>
      </c>
      <c r="G8237" t="str">
        <f>IF(ISBLANK('Q 9'!$C75),"",IF('Q 9'!$C75="&lt;please select&gt;","",'Q 9'!$C75))</f>
        <v>annual management fee for operator holding account with VEs more or equal to 25000 tons</v>
      </c>
    </row>
    <row r="8238" spans="1:9" x14ac:dyDescent="0.3">
      <c r="A8238" t="s">
        <v>2136</v>
      </c>
      <c r="B8238" t="s">
        <v>2143</v>
      </c>
      <c r="C8238">
        <v>3</v>
      </c>
      <c r="D8238" t="s">
        <v>1447</v>
      </c>
      <c r="E8238" t="s">
        <v>2144</v>
      </c>
      <c r="F8238" t="s">
        <v>1741</v>
      </c>
      <c r="G8238" t="str">
        <f>IF(ISBLANK('Q 9'!$C76),"",IF('Q 9'!$C76="&lt;please select&gt;","",'Q 9'!$C76))</f>
        <v>annual management fee for aircraft operators holding account (non excluded in 2021)</v>
      </c>
    </row>
    <row r="8239" spans="1:9" x14ac:dyDescent="0.3">
      <c r="A8239" t="s">
        <v>2136</v>
      </c>
      <c r="B8239" t="s">
        <v>2143</v>
      </c>
      <c r="C8239">
        <v>4</v>
      </c>
      <c r="D8239" t="s">
        <v>1447</v>
      </c>
      <c r="E8239" t="s">
        <v>2144</v>
      </c>
      <c r="F8239" t="s">
        <v>1741</v>
      </c>
      <c r="G8239" t="str">
        <f>IF(ISBLANK('Q 9'!$C77),"",IF('Q 9'!$C77="&lt;please select&gt;","",'Q 9'!$C77))</f>
        <v>annual management fee for trading account</v>
      </c>
    </row>
    <row r="8240" spans="1:9" x14ac:dyDescent="0.3">
      <c r="A8240" t="s">
        <v>2136</v>
      </c>
      <c r="B8240" t="s">
        <v>2143</v>
      </c>
      <c r="C8240">
        <v>5</v>
      </c>
      <c r="D8240" t="s">
        <v>1447</v>
      </c>
      <c r="E8240" t="s">
        <v>2144</v>
      </c>
      <c r="F8240" t="s">
        <v>1741</v>
      </c>
      <c r="G8240" t="str">
        <f>IF(ISBLANK('Q 9'!$C78),"",IF('Q 9'!$C78="&lt;please select&gt;","",'Q 9'!$C78))</f>
        <v>annual management fee for person holding account</v>
      </c>
    </row>
    <row r="8241" spans="1:11" x14ac:dyDescent="0.3">
      <c r="A8241" t="s">
        <v>2136</v>
      </c>
      <c r="B8241" t="s">
        <v>2143</v>
      </c>
      <c r="C8241">
        <v>6</v>
      </c>
      <c r="D8241" t="s">
        <v>1447</v>
      </c>
      <c r="E8241" t="s">
        <v>2144</v>
      </c>
      <c r="F8241" t="s">
        <v>1741</v>
      </c>
      <c r="G8241" t="str">
        <f>IF(ISBLANK('Q 9'!$C79),"",IF('Q 9'!$C79="&lt;please select&gt;","",'Q 9'!$C79))</f>
        <v xml:space="preserve">per ton of VE in 2020 for operator holding account </v>
      </c>
    </row>
    <row r="8242" spans="1:11" x14ac:dyDescent="0.3">
      <c r="A8242" t="s">
        <v>2136</v>
      </c>
      <c r="B8242" t="s">
        <v>2143</v>
      </c>
      <c r="C8242">
        <v>7</v>
      </c>
      <c r="D8242" t="s">
        <v>1447</v>
      </c>
      <c r="E8242" t="s">
        <v>2144</v>
      </c>
      <c r="F8242" t="s">
        <v>1741</v>
      </c>
      <c r="G8242" t="str">
        <f>IF(ISBLANK('Q 9'!$C80),"",IF('Q 9'!$C80="&lt;please select&gt;","",'Q 9'!$C80))</f>
        <v>per ton of VE in 2021 for aircratf operator holding account</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150</v>
      </c>
    </row>
    <row r="8247" spans="1:11" x14ac:dyDescent="0.3">
      <c r="A8247" t="s">
        <v>2136</v>
      </c>
      <c r="B8247" t="s">
        <v>2143</v>
      </c>
      <c r="C8247">
        <v>2</v>
      </c>
      <c r="D8247" t="s">
        <v>1447</v>
      </c>
      <c r="E8247" t="s">
        <v>2145</v>
      </c>
      <c r="F8247" t="s">
        <v>1806</v>
      </c>
      <c r="I8247" s="165" t="str">
        <f>IF(ISBLANK('Q 9'!$G75),"",IF('Q 9'!$G75="&lt;please select&gt;","",'Q 9'!$G75))</f>
        <v>250</v>
      </c>
    </row>
    <row r="8248" spans="1:11" x14ac:dyDescent="0.3">
      <c r="A8248" t="s">
        <v>2136</v>
      </c>
      <c r="B8248" t="s">
        <v>2143</v>
      </c>
      <c r="C8248">
        <v>3</v>
      </c>
      <c r="D8248" t="s">
        <v>1447</v>
      </c>
      <c r="E8248" t="s">
        <v>2145</v>
      </c>
      <c r="F8248" t="s">
        <v>1806</v>
      </c>
      <c r="I8248" s="165" t="str">
        <f>IF(ISBLANK('Q 9'!$G76),"",IF('Q 9'!$G76="&lt;please select&gt;","",'Q 9'!$G76))</f>
        <v>250</v>
      </c>
    </row>
    <row r="8249" spans="1:11" x14ac:dyDescent="0.3">
      <c r="A8249" t="s">
        <v>2136</v>
      </c>
      <c r="B8249" t="s">
        <v>2143</v>
      </c>
      <c r="C8249">
        <v>4</v>
      </c>
      <c r="D8249" t="s">
        <v>1447</v>
      </c>
      <c r="E8249" t="s">
        <v>2145</v>
      </c>
      <c r="F8249" t="s">
        <v>1806</v>
      </c>
      <c r="I8249" s="165" t="str">
        <f>IF(ISBLANK('Q 9'!$G77),"",IF('Q 9'!$G77="&lt;please select&gt;","",'Q 9'!$G77))</f>
        <v>950</v>
      </c>
    </row>
    <row r="8250" spans="1:11" x14ac:dyDescent="0.3">
      <c r="A8250" t="s">
        <v>2136</v>
      </c>
      <c r="B8250" t="s">
        <v>2143</v>
      </c>
      <c r="C8250">
        <v>5</v>
      </c>
      <c r="D8250" t="s">
        <v>1447</v>
      </c>
      <c r="E8250" t="s">
        <v>2145</v>
      </c>
      <c r="F8250" t="s">
        <v>1806</v>
      </c>
      <c r="I8250" s="165" t="str">
        <f>IF(ISBLANK('Q 9'!$G78),"",IF('Q 9'!$G78="&lt;please select&gt;","",'Q 9'!$G78))</f>
        <v>950</v>
      </c>
    </row>
    <row r="8251" spans="1:11" x14ac:dyDescent="0.3">
      <c r="A8251" t="s">
        <v>2136</v>
      </c>
      <c r="B8251" t="s">
        <v>2143</v>
      </c>
      <c r="C8251">
        <v>6</v>
      </c>
      <c r="D8251" t="s">
        <v>1447</v>
      </c>
      <c r="E8251" t="s">
        <v>2145</v>
      </c>
      <c r="F8251" t="s">
        <v>1806</v>
      </c>
      <c r="I8251" s="165" t="str">
        <f>IF(ISBLANK('Q 9'!$G79),"",IF('Q 9'!$G79="&lt;please select&gt;","",'Q 9'!$G79))</f>
        <v>0.007</v>
      </c>
    </row>
    <row r="8252" spans="1:11" x14ac:dyDescent="0.3">
      <c r="A8252" t="s">
        <v>2136</v>
      </c>
      <c r="B8252" t="s">
        <v>2143</v>
      </c>
      <c r="C8252">
        <v>7</v>
      </c>
      <c r="D8252" t="s">
        <v>1447</v>
      </c>
      <c r="E8252" t="s">
        <v>2145</v>
      </c>
      <c r="F8252" t="s">
        <v>1806</v>
      </c>
      <c r="I8252" s="165" t="str">
        <f>IF(ISBLANK('Q 9'!$G80),"",IF('Q 9'!$G80="&lt;please select&gt;","",'Q 9'!$G80))</f>
        <v>0.02</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Yes</v>
      </c>
    </row>
    <row r="8257" spans="1:11" x14ac:dyDescent="0.3">
      <c r="A8257" t="s">
        <v>2146</v>
      </c>
      <c r="B8257" t="s">
        <v>2147</v>
      </c>
      <c r="C8257">
        <v>2</v>
      </c>
      <c r="D8257" t="s">
        <v>1447</v>
      </c>
      <c r="E8257" t="s">
        <v>2148</v>
      </c>
      <c r="F8257" t="s">
        <v>1759</v>
      </c>
      <c r="K8257" t="str">
        <f>IF(ISBLANK('Q 10'!$H8),"",IF('Q 10'!$H8="&lt;please select&gt;","",'Q 10'!$H8))</f>
        <v>Yes</v>
      </c>
    </row>
    <row r="8258" spans="1:11" x14ac:dyDescent="0.3">
      <c r="A8258" t="s">
        <v>2146</v>
      </c>
      <c r="B8258" t="s">
        <v>2147</v>
      </c>
      <c r="C8258">
        <v>3</v>
      </c>
      <c r="D8258" t="s">
        <v>1447</v>
      </c>
      <c r="E8258" t="s">
        <v>2148</v>
      </c>
      <c r="F8258" t="s">
        <v>1759</v>
      </c>
      <c r="K8258" t="str">
        <f>IF(ISBLANK('Q 10'!$H9),"",IF('Q 10'!$H9="&lt;please select&gt;","",'Q 10'!$H9))</f>
        <v>Yes</v>
      </c>
    </row>
    <row r="8259" spans="1:11" x14ac:dyDescent="0.3">
      <c r="A8259" t="s">
        <v>2146</v>
      </c>
      <c r="B8259" t="s">
        <v>2147</v>
      </c>
      <c r="C8259">
        <v>4</v>
      </c>
      <c r="D8259" t="s">
        <v>1447</v>
      </c>
      <c r="E8259" t="s">
        <v>2148</v>
      </c>
      <c r="F8259" t="s">
        <v>1759</v>
      </c>
      <c r="K8259" t="str">
        <f>IF(ISBLANK('Q 10'!$H10),"",IF('Q 10'!$H10="&lt;please select&gt;","",'Q 10'!$H10))</f>
        <v>No</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In 2021, a workshop occured to explain to operators the main changes with Phase 4. No regular trainings or workshops are in place at national levels for operators, but regional competent authorities do help operators understand regulation during emissions and activity level campaign.</v>
      </c>
    </row>
    <row r="8267" spans="1:11" x14ac:dyDescent="0.3">
      <c r="A8267" t="s">
        <v>2146</v>
      </c>
      <c r="B8267" t="s">
        <v>2147</v>
      </c>
      <c r="C8267">
        <v>4</v>
      </c>
      <c r="D8267" t="s">
        <v>1447</v>
      </c>
      <c r="E8267" t="s">
        <v>2149</v>
      </c>
      <c r="F8267" t="s">
        <v>1791</v>
      </c>
      <c r="J8267" t="str">
        <f>IF(ISBLANK('Q 10'!$I10),"",IF('Q 10'!$I10="&lt;please select&gt;","",'Q 10'!$I10))</f>
        <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
      </c>
    </row>
    <row r="8277" spans="1:10" x14ac:dyDescent="0.3">
      <c r="A8277" t="s">
        <v>2151</v>
      </c>
      <c r="B8277" t="s">
        <v>2152</v>
      </c>
      <c r="C8277">
        <v>2</v>
      </c>
      <c r="D8277" t="s">
        <v>1447</v>
      </c>
      <c r="E8277" t="s">
        <v>2111</v>
      </c>
      <c r="F8277" t="s">
        <v>1806</v>
      </c>
      <c r="I8277" s="165" t="str">
        <f>IF(ISBLANK('Q 10'!$E22),"",IF('Q 10'!$E22="&lt;please select&gt;","",'Q 10'!$E22))</f>
        <v/>
      </c>
    </row>
    <row r="8278" spans="1:10" x14ac:dyDescent="0.3">
      <c r="A8278" t="s">
        <v>2151</v>
      </c>
      <c r="B8278" t="s">
        <v>2152</v>
      </c>
      <c r="C8278">
        <v>3</v>
      </c>
      <c r="D8278" t="s">
        <v>1447</v>
      </c>
      <c r="E8278" t="s">
        <v>2111</v>
      </c>
      <c r="F8278" t="s">
        <v>1806</v>
      </c>
      <c r="I8278" s="165" t="str">
        <f>IF(ISBLANK('Q 10'!$E23),"",IF('Q 10'!$E23="&lt;please select&gt;","",'Q 10'!$E23))</f>
        <v/>
      </c>
    </row>
    <row r="8279" spans="1:10" x14ac:dyDescent="0.3">
      <c r="A8279" t="s">
        <v>2151</v>
      </c>
      <c r="B8279" t="s">
        <v>2152</v>
      </c>
      <c r="C8279">
        <v>4</v>
      </c>
      <c r="D8279" t="s">
        <v>1447</v>
      </c>
      <c r="E8279" t="s">
        <v>2111</v>
      </c>
      <c r="F8279" t="s">
        <v>1806</v>
      </c>
      <c r="I8279" s="165" t="str">
        <f>IF(ISBLANK('Q 10'!$E24),"",IF('Q 10'!$E24="&lt;please select&gt;","",'Q 10'!$E24))</f>
        <v/>
      </c>
    </row>
    <row r="8280" spans="1:10" x14ac:dyDescent="0.3">
      <c r="A8280" t="s">
        <v>2151</v>
      </c>
      <c r="B8280" t="s">
        <v>2152</v>
      </c>
      <c r="C8280">
        <v>5</v>
      </c>
      <c r="D8280" t="s">
        <v>1447</v>
      </c>
      <c r="E8280" t="s">
        <v>2111</v>
      </c>
      <c r="F8280" t="s">
        <v>1806</v>
      </c>
      <c r="I8280" s="165" t="str">
        <f>IF(ISBLANK('Q 10'!$E25),"",IF('Q 10'!$E25="&lt;please select&gt;","",'Q 10'!$E25))</f>
        <v/>
      </c>
    </row>
    <row r="8281" spans="1:10" x14ac:dyDescent="0.3">
      <c r="A8281" t="s">
        <v>2151</v>
      </c>
      <c r="B8281" t="s">
        <v>2152</v>
      </c>
      <c r="C8281">
        <v>6</v>
      </c>
      <c r="D8281" t="s">
        <v>1447</v>
      </c>
      <c r="E8281" t="s">
        <v>2111</v>
      </c>
      <c r="F8281" t="s">
        <v>1806</v>
      </c>
      <c r="I8281" s="165" t="str">
        <f>IF(ISBLANK('Q 10'!$E26),"",IF('Q 10'!$E26="&lt;please select&gt;","",'Q 10'!$E26))</f>
        <v/>
      </c>
    </row>
    <row r="8282" spans="1:10" x14ac:dyDescent="0.3">
      <c r="A8282" t="s">
        <v>2151</v>
      </c>
      <c r="B8282" t="s">
        <v>2152</v>
      </c>
      <c r="C8282">
        <v>7</v>
      </c>
      <c r="D8282" t="s">
        <v>1447</v>
      </c>
      <c r="E8282" t="s">
        <v>2111</v>
      </c>
      <c r="F8282" t="s">
        <v>1806</v>
      </c>
      <c r="I8282" s="165" t="str">
        <f>IF(ISBLANK('Q 10'!$E27),"",IF('Q 10'!$E27="&lt;please select&gt;","",'Q 10'!$E27))</f>
        <v/>
      </c>
    </row>
    <row r="8283" spans="1:10" x14ac:dyDescent="0.3">
      <c r="A8283" t="s">
        <v>2151</v>
      </c>
      <c r="B8283" t="s">
        <v>2152</v>
      </c>
      <c r="C8283">
        <v>8</v>
      </c>
      <c r="D8283" t="s">
        <v>1447</v>
      </c>
      <c r="E8283" t="s">
        <v>2111</v>
      </c>
      <c r="F8283" t="s">
        <v>1806</v>
      </c>
      <c r="I8283" s="165" t="str">
        <f>IF(ISBLANK('Q 10'!$E28),"",IF('Q 10'!$E28="&lt;please select&gt;","",'Q 10'!$E28))</f>
        <v/>
      </c>
    </row>
    <row r="8284" spans="1:10" x14ac:dyDescent="0.3">
      <c r="A8284" t="s">
        <v>2151</v>
      </c>
      <c r="B8284" t="s">
        <v>2152</v>
      </c>
      <c r="C8284">
        <v>9</v>
      </c>
      <c r="D8284" t="s">
        <v>1447</v>
      </c>
      <c r="E8284" t="s">
        <v>2111</v>
      </c>
      <c r="F8284" t="s">
        <v>1806</v>
      </c>
      <c r="I8284" s="165" t="str">
        <f>IF(ISBLANK('Q 10'!$E29),"",IF('Q 10'!$E29="&lt;please select&gt;","",'Q 10'!$E29))</f>
        <v/>
      </c>
    </row>
    <row r="8285" spans="1:10" x14ac:dyDescent="0.3">
      <c r="A8285" t="s">
        <v>2151</v>
      </c>
      <c r="B8285" t="s">
        <v>2152</v>
      </c>
      <c r="C8285">
        <v>10</v>
      </c>
      <c r="D8285" t="s">
        <v>1447</v>
      </c>
      <c r="E8285" t="s">
        <v>2111</v>
      </c>
      <c r="F8285" t="s">
        <v>1806</v>
      </c>
      <c r="I8285" s="165" t="str">
        <f>IF(ISBLANK('Q 10'!$E30),"",IF('Q 10'!$E30="&lt;please select&gt;","",'Q 10'!$E30))</f>
        <v/>
      </c>
    </row>
    <row r="8286" spans="1:10" x14ac:dyDescent="0.3">
      <c r="A8286" t="s">
        <v>2151</v>
      </c>
      <c r="B8286" t="s">
        <v>2152</v>
      </c>
      <c r="C8286">
        <v>11</v>
      </c>
      <c r="D8286" t="s">
        <v>1447</v>
      </c>
      <c r="E8286" t="s">
        <v>2111</v>
      </c>
      <c r="F8286" t="s">
        <v>1806</v>
      </c>
      <c r="I8286" s="165" t="str">
        <f>IF(ISBLANK('Q 10'!$E31),"",IF('Q 10'!$E31="&lt;please select&gt;","",'Q 10'!$E31))</f>
        <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
      </c>
    </row>
    <row r="8313" spans="1:9" x14ac:dyDescent="0.3">
      <c r="A8313" t="s">
        <v>2151</v>
      </c>
      <c r="B8313" t="s">
        <v>2152</v>
      </c>
      <c r="C8313">
        <v>2</v>
      </c>
      <c r="D8313" t="s">
        <v>1447</v>
      </c>
      <c r="E8313" t="s">
        <v>2112</v>
      </c>
      <c r="F8313" t="s">
        <v>1806</v>
      </c>
      <c r="I8313" s="165" t="str">
        <f>IF(ISBLANK('Q 10'!$F22),"",IF('Q 10'!$F22="&lt;please select&gt;","",'Q 10'!$F22))</f>
        <v/>
      </c>
    </row>
    <row r="8314" spans="1:9" x14ac:dyDescent="0.3">
      <c r="A8314" t="s">
        <v>2151</v>
      </c>
      <c r="B8314" t="s">
        <v>2152</v>
      </c>
      <c r="C8314">
        <v>3</v>
      </c>
      <c r="D8314" t="s">
        <v>1447</v>
      </c>
      <c r="E8314" t="s">
        <v>2112</v>
      </c>
      <c r="F8314" t="s">
        <v>1806</v>
      </c>
      <c r="I8314" s="165" t="str">
        <f>IF(ISBLANK('Q 10'!$F23),"",IF('Q 10'!$F23="&lt;please select&gt;","",'Q 10'!$F23))</f>
        <v/>
      </c>
    </row>
    <row r="8315" spans="1:9" x14ac:dyDescent="0.3">
      <c r="A8315" t="s">
        <v>2151</v>
      </c>
      <c r="B8315" t="s">
        <v>2152</v>
      </c>
      <c r="C8315">
        <v>4</v>
      </c>
      <c r="D8315" t="s">
        <v>1447</v>
      </c>
      <c r="E8315" t="s">
        <v>2112</v>
      </c>
      <c r="F8315" t="s">
        <v>1806</v>
      </c>
      <c r="I8315" s="165" t="str">
        <f>IF(ISBLANK('Q 10'!$F24),"",IF('Q 10'!$F24="&lt;please select&gt;","",'Q 10'!$F24))</f>
        <v/>
      </c>
    </row>
    <row r="8316" spans="1:9" x14ac:dyDescent="0.3">
      <c r="A8316" t="s">
        <v>2151</v>
      </c>
      <c r="B8316" t="s">
        <v>2152</v>
      </c>
      <c r="C8316">
        <v>5</v>
      </c>
      <c r="D8316" t="s">
        <v>1447</v>
      </c>
      <c r="E8316" t="s">
        <v>2112</v>
      </c>
      <c r="F8316" t="s">
        <v>1806</v>
      </c>
      <c r="I8316" s="165" t="str">
        <f>IF(ISBLANK('Q 10'!$F25),"",IF('Q 10'!$F25="&lt;please select&gt;","",'Q 10'!$F25))</f>
        <v/>
      </c>
    </row>
    <row r="8317" spans="1:9" x14ac:dyDescent="0.3">
      <c r="A8317" t="s">
        <v>2151</v>
      </c>
      <c r="B8317" t="s">
        <v>2152</v>
      </c>
      <c r="C8317">
        <v>6</v>
      </c>
      <c r="D8317" t="s">
        <v>1447</v>
      </c>
      <c r="E8317" t="s">
        <v>2112</v>
      </c>
      <c r="F8317" t="s">
        <v>1806</v>
      </c>
      <c r="I8317" s="165" t="str">
        <f>IF(ISBLANK('Q 10'!$F26),"",IF('Q 10'!$F26="&lt;please select&gt;","",'Q 10'!$F26))</f>
        <v/>
      </c>
    </row>
    <row r="8318" spans="1:9" x14ac:dyDescent="0.3">
      <c r="A8318" t="s">
        <v>2151</v>
      </c>
      <c r="B8318" t="s">
        <v>2152</v>
      </c>
      <c r="C8318">
        <v>7</v>
      </c>
      <c r="D8318" t="s">
        <v>1447</v>
      </c>
      <c r="E8318" t="s">
        <v>2112</v>
      </c>
      <c r="F8318" t="s">
        <v>1806</v>
      </c>
      <c r="I8318" s="165" t="str">
        <f>IF(ISBLANK('Q 10'!$F27),"",IF('Q 10'!$F27="&lt;please select&gt;","",'Q 10'!$F27))</f>
        <v/>
      </c>
    </row>
    <row r="8319" spans="1:9" x14ac:dyDescent="0.3">
      <c r="A8319" t="s">
        <v>2151</v>
      </c>
      <c r="B8319" t="s">
        <v>2152</v>
      </c>
      <c r="C8319">
        <v>8</v>
      </c>
      <c r="D8319" t="s">
        <v>1447</v>
      </c>
      <c r="E8319" t="s">
        <v>2112</v>
      </c>
      <c r="F8319" t="s">
        <v>1806</v>
      </c>
      <c r="I8319" s="165" t="str">
        <f>IF(ISBLANK('Q 10'!$F28),"",IF('Q 10'!$F28="&lt;please select&gt;","",'Q 10'!$F28))</f>
        <v/>
      </c>
    </row>
    <row r="8320" spans="1:9" x14ac:dyDescent="0.3">
      <c r="A8320" t="s">
        <v>2151</v>
      </c>
      <c r="B8320" t="s">
        <v>2152</v>
      </c>
      <c r="C8320">
        <v>9</v>
      </c>
      <c r="D8320" t="s">
        <v>1447</v>
      </c>
      <c r="E8320" t="s">
        <v>2112</v>
      </c>
      <c r="F8320" t="s">
        <v>1806</v>
      </c>
      <c r="I8320" s="165" t="str">
        <f>IF(ISBLANK('Q 10'!$F29),"",IF('Q 10'!$F29="&lt;please select&gt;","",'Q 10'!$F29))</f>
        <v/>
      </c>
    </row>
    <row r="8321" spans="1:9" x14ac:dyDescent="0.3">
      <c r="A8321" t="s">
        <v>2151</v>
      </c>
      <c r="B8321" t="s">
        <v>2152</v>
      </c>
      <c r="C8321">
        <v>10</v>
      </c>
      <c r="D8321" t="s">
        <v>1447</v>
      </c>
      <c r="E8321" t="s">
        <v>2112</v>
      </c>
      <c r="F8321" t="s">
        <v>1806</v>
      </c>
      <c r="I8321" s="165" t="str">
        <f>IF(ISBLANK('Q 10'!$F30),"",IF('Q 10'!$F30="&lt;please select&gt;","",'Q 10'!$F30))</f>
        <v/>
      </c>
    </row>
    <row r="8322" spans="1:9" x14ac:dyDescent="0.3">
      <c r="A8322" t="s">
        <v>2151</v>
      </c>
      <c r="B8322" t="s">
        <v>2152</v>
      </c>
      <c r="C8322">
        <v>11</v>
      </c>
      <c r="D8322" t="s">
        <v>1447</v>
      </c>
      <c r="E8322" t="s">
        <v>2112</v>
      </c>
      <c r="F8322" t="s">
        <v>1806</v>
      </c>
      <c r="I8322" s="165" t="str">
        <f>IF(ISBLANK('Q 10'!$F31),"",IF('Q 10'!$F31="&lt;please select&gt;","",'Q 10'!$F31))</f>
        <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
      </c>
    </row>
    <row r="8385" spans="1:9" x14ac:dyDescent="0.3">
      <c r="A8385" t="s">
        <v>2151</v>
      </c>
      <c r="B8385" t="s">
        <v>2152</v>
      </c>
      <c r="C8385">
        <v>2</v>
      </c>
      <c r="D8385" t="s">
        <v>1447</v>
      </c>
      <c r="E8385" t="s">
        <v>2114</v>
      </c>
      <c r="F8385" t="s">
        <v>1806</v>
      </c>
      <c r="I8385" s="165" t="str">
        <f>IF(ISBLANK('Q 10'!$H22),"",IF('Q 10'!$H22="&lt;please select&gt;","",'Q 10'!$H22))</f>
        <v/>
      </c>
    </row>
    <row r="8386" spans="1:9" x14ac:dyDescent="0.3">
      <c r="A8386" t="s">
        <v>2151</v>
      </c>
      <c r="B8386" t="s">
        <v>2152</v>
      </c>
      <c r="C8386">
        <v>3</v>
      </c>
      <c r="D8386" t="s">
        <v>1447</v>
      </c>
      <c r="E8386" t="s">
        <v>2114</v>
      </c>
      <c r="F8386" t="s">
        <v>1806</v>
      </c>
      <c r="I8386" s="165" t="str">
        <f>IF(ISBLANK('Q 10'!$H23),"",IF('Q 10'!$H23="&lt;please select&gt;","",'Q 10'!$H23))</f>
        <v/>
      </c>
    </row>
    <row r="8387" spans="1:9" x14ac:dyDescent="0.3">
      <c r="A8387" t="s">
        <v>2151</v>
      </c>
      <c r="B8387" t="s">
        <v>2152</v>
      </c>
      <c r="C8387">
        <v>4</v>
      </c>
      <c r="D8387" t="s">
        <v>1447</v>
      </c>
      <c r="E8387" t="s">
        <v>2114</v>
      </c>
      <c r="F8387" t="s">
        <v>1806</v>
      </c>
      <c r="I8387" s="165" t="str">
        <f>IF(ISBLANK('Q 10'!$H24),"",IF('Q 10'!$H24="&lt;please select&gt;","",'Q 10'!$H24))</f>
        <v/>
      </c>
    </row>
    <row r="8388" spans="1:9" x14ac:dyDescent="0.3">
      <c r="A8388" t="s">
        <v>2151</v>
      </c>
      <c r="B8388" t="s">
        <v>2152</v>
      </c>
      <c r="C8388">
        <v>5</v>
      </c>
      <c r="D8388" t="s">
        <v>1447</v>
      </c>
      <c r="E8388" t="s">
        <v>2114</v>
      </c>
      <c r="F8388" t="s">
        <v>1806</v>
      </c>
      <c r="I8388" s="165" t="str">
        <f>IF(ISBLANK('Q 10'!$H25),"",IF('Q 10'!$H25="&lt;please select&gt;","",'Q 10'!$H25))</f>
        <v/>
      </c>
    </row>
    <row r="8389" spans="1:9" x14ac:dyDescent="0.3">
      <c r="A8389" t="s">
        <v>2151</v>
      </c>
      <c r="B8389" t="s">
        <v>2152</v>
      </c>
      <c r="C8389">
        <v>6</v>
      </c>
      <c r="D8389" t="s">
        <v>1447</v>
      </c>
      <c r="E8389" t="s">
        <v>2114</v>
      </c>
      <c r="F8389" t="s">
        <v>1806</v>
      </c>
      <c r="I8389" s="165" t="str">
        <f>IF(ISBLANK('Q 10'!$H26),"",IF('Q 10'!$H26="&lt;please select&gt;","",'Q 10'!$H26))</f>
        <v/>
      </c>
    </row>
    <row r="8390" spans="1:9" x14ac:dyDescent="0.3">
      <c r="A8390" t="s">
        <v>2151</v>
      </c>
      <c r="B8390" t="s">
        <v>2152</v>
      </c>
      <c r="C8390">
        <v>7</v>
      </c>
      <c r="D8390" t="s">
        <v>1447</v>
      </c>
      <c r="E8390" t="s">
        <v>2114</v>
      </c>
      <c r="F8390" t="s">
        <v>1806</v>
      </c>
      <c r="I8390" s="165" t="str">
        <f>IF(ISBLANK('Q 10'!$H27),"",IF('Q 10'!$H27="&lt;please select&gt;","",'Q 10'!$H27))</f>
        <v/>
      </c>
    </row>
    <row r="8391" spans="1:9" x14ac:dyDescent="0.3">
      <c r="A8391" t="s">
        <v>2151</v>
      </c>
      <c r="B8391" t="s">
        <v>2152</v>
      </c>
      <c r="C8391">
        <v>8</v>
      </c>
      <c r="D8391" t="s">
        <v>1447</v>
      </c>
      <c r="E8391" t="s">
        <v>2114</v>
      </c>
      <c r="F8391" t="s">
        <v>1806</v>
      </c>
      <c r="I8391" s="165" t="str">
        <f>IF(ISBLANK('Q 10'!$H28),"",IF('Q 10'!$H28="&lt;please select&gt;","",'Q 10'!$H28))</f>
        <v/>
      </c>
    </row>
    <row r="8392" spans="1:9" x14ac:dyDescent="0.3">
      <c r="A8392" t="s">
        <v>2151</v>
      </c>
      <c r="B8392" t="s">
        <v>2152</v>
      </c>
      <c r="C8392">
        <v>9</v>
      </c>
      <c r="D8392" t="s">
        <v>1447</v>
      </c>
      <c r="E8392" t="s">
        <v>2114</v>
      </c>
      <c r="F8392" t="s">
        <v>1806</v>
      </c>
      <c r="I8392" s="165" t="str">
        <f>IF(ISBLANK('Q 10'!$H29),"",IF('Q 10'!$H29="&lt;please select&gt;","",'Q 10'!$H29))</f>
        <v/>
      </c>
    </row>
    <row r="8393" spans="1:9" x14ac:dyDescent="0.3">
      <c r="A8393" t="s">
        <v>2151</v>
      </c>
      <c r="B8393" t="s">
        <v>2152</v>
      </c>
      <c r="C8393">
        <v>10</v>
      </c>
      <c r="D8393" t="s">
        <v>1447</v>
      </c>
      <c r="E8393" t="s">
        <v>2114</v>
      </c>
      <c r="F8393" t="s">
        <v>1806</v>
      </c>
      <c r="I8393" s="165" t="str">
        <f>IF(ISBLANK('Q 10'!$H30),"",IF('Q 10'!$H30="&lt;please select&gt;","",'Q 10'!$H30))</f>
        <v/>
      </c>
    </row>
    <row r="8394" spans="1:9" x14ac:dyDescent="0.3">
      <c r="A8394" t="s">
        <v>2151</v>
      </c>
      <c r="B8394" t="s">
        <v>2152</v>
      </c>
      <c r="C8394">
        <v>11</v>
      </c>
      <c r="D8394" t="s">
        <v>1447</v>
      </c>
      <c r="E8394" t="s">
        <v>2114</v>
      </c>
      <c r="F8394" t="s">
        <v>1806</v>
      </c>
      <c r="I8394" s="165" t="str">
        <f>IF(ISBLANK('Q 10'!$H31),"",IF('Q 10'!$H31="&lt;please select&gt;","",'Q 10'!$H31))</f>
        <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Not possible to operate without a permit</v>
      </c>
    </row>
    <row r="8421" spans="1:10" x14ac:dyDescent="0.3">
      <c r="A8421" t="s">
        <v>2151</v>
      </c>
      <c r="B8421" t="s">
        <v>2152</v>
      </c>
      <c r="C8421">
        <v>2</v>
      </c>
      <c r="D8421" t="s">
        <v>1447</v>
      </c>
      <c r="E8421" t="s">
        <v>2115</v>
      </c>
      <c r="F8421" t="s">
        <v>1791</v>
      </c>
      <c r="J8421" t="str">
        <f>IF(ISBLANK('Q 10'!$I22),"",IF('Q 10'!$I22="&lt;please select&gt;","",'Q 10'!$I22))</f>
        <v>Formal notice</v>
      </c>
    </row>
    <row r="8422" spans="1:10" x14ac:dyDescent="0.3">
      <c r="A8422" t="s">
        <v>2151</v>
      </c>
      <c r="B8422" t="s">
        <v>2152</v>
      </c>
      <c r="C8422">
        <v>3</v>
      </c>
      <c r="D8422" t="s">
        <v>1447</v>
      </c>
      <c r="E8422" t="s">
        <v>2115</v>
      </c>
      <c r="F8422" t="s">
        <v>1791</v>
      </c>
      <c r="J8422" t="str">
        <f>IF(ISBLANK('Q 10'!$I23),"",IF('Q 10'!$I23="&lt;please select&gt;","",'Q 10'!$I23))</f>
        <v>Formal notice</v>
      </c>
    </row>
    <row r="8423" spans="1:10" x14ac:dyDescent="0.3">
      <c r="A8423" t="s">
        <v>2151</v>
      </c>
      <c r="B8423" t="s">
        <v>2152</v>
      </c>
      <c r="C8423">
        <v>4</v>
      </c>
      <c r="D8423" t="s">
        <v>1447</v>
      </c>
      <c r="E8423" t="s">
        <v>2115</v>
      </c>
      <c r="F8423" t="s">
        <v>1791</v>
      </c>
      <c r="J8423" t="str">
        <f>IF(ISBLANK('Q 10'!$I24),"",IF('Q 10'!$I24="&lt;please select&gt;","",'Q 10'!$I24))</f>
        <v>Formal notice</v>
      </c>
    </row>
    <row r="8424" spans="1:10" x14ac:dyDescent="0.3">
      <c r="A8424" t="s">
        <v>2151</v>
      </c>
      <c r="B8424" t="s">
        <v>2152</v>
      </c>
      <c r="C8424">
        <v>5</v>
      </c>
      <c r="D8424" t="s">
        <v>1447</v>
      </c>
      <c r="E8424" t="s">
        <v>2115</v>
      </c>
      <c r="F8424" t="s">
        <v>1791</v>
      </c>
      <c r="J8424" t="str">
        <f>IF(ISBLANK('Q 10'!$I25),"",IF('Q 10'!$I25="&lt;please select&gt;","",'Q 10'!$I25))</f>
        <v>Formal notice</v>
      </c>
    </row>
    <row r="8425" spans="1:10" x14ac:dyDescent="0.3">
      <c r="A8425" t="s">
        <v>2151</v>
      </c>
      <c r="B8425" t="s">
        <v>2152</v>
      </c>
      <c r="C8425">
        <v>6</v>
      </c>
      <c r="D8425" t="s">
        <v>1447</v>
      </c>
      <c r="E8425" t="s">
        <v>2115</v>
      </c>
      <c r="F8425" t="s">
        <v>1791</v>
      </c>
      <c r="J8425" t="str">
        <f>IF(ISBLANK('Q 10'!$I26),"",IF('Q 10'!$I26="&lt;please select&gt;","",'Q 10'!$I26))</f>
        <v>Formal notice</v>
      </c>
    </row>
    <row r="8426" spans="1:10" x14ac:dyDescent="0.3">
      <c r="A8426" t="s">
        <v>2151</v>
      </c>
      <c r="B8426" t="s">
        <v>2152</v>
      </c>
      <c r="C8426">
        <v>7</v>
      </c>
      <c r="D8426" t="s">
        <v>1447</v>
      </c>
      <c r="E8426" t="s">
        <v>2115</v>
      </c>
      <c r="F8426" t="s">
        <v>1791</v>
      </c>
      <c r="J8426" t="str">
        <f>IF(ISBLANK('Q 10'!$I27),"",IF('Q 10'!$I27="&lt;please select&gt;","",'Q 10'!$I27))</f>
        <v>Formal notice</v>
      </c>
    </row>
    <row r="8427" spans="1:10" x14ac:dyDescent="0.3">
      <c r="A8427" t="s">
        <v>2151</v>
      </c>
      <c r="B8427" t="s">
        <v>2152</v>
      </c>
      <c r="C8427">
        <v>8</v>
      </c>
      <c r="D8427" t="s">
        <v>1447</v>
      </c>
      <c r="E8427" t="s">
        <v>2115</v>
      </c>
      <c r="F8427" t="s">
        <v>1791</v>
      </c>
      <c r="J8427" t="str">
        <f>IF(ISBLANK('Q 10'!$I28),"",IF('Q 10'!$I28="&lt;please select&gt;","",'Q 10'!$I28))</f>
        <v>Formal notice, conservative estimation of emissions</v>
      </c>
    </row>
    <row r="8428" spans="1:10" x14ac:dyDescent="0.3">
      <c r="A8428" t="s">
        <v>2151</v>
      </c>
      <c r="B8428" t="s">
        <v>2152</v>
      </c>
      <c r="C8428">
        <v>9</v>
      </c>
      <c r="D8428" t="s">
        <v>1447</v>
      </c>
      <c r="E8428" t="s">
        <v>2115</v>
      </c>
      <c r="F8428" t="s">
        <v>1791</v>
      </c>
      <c r="J8428" t="str">
        <f>IF(ISBLANK('Q 10'!$I29),"",IF('Q 10'!$I29="&lt;please select&gt;","",'Q 10'!$I29))</f>
        <v>Formal notice</v>
      </c>
    </row>
    <row r="8429" spans="1:10" x14ac:dyDescent="0.3">
      <c r="A8429" t="s">
        <v>2151</v>
      </c>
      <c r="B8429" t="s">
        <v>2152</v>
      </c>
      <c r="C8429">
        <v>10</v>
      </c>
      <c r="D8429" t="s">
        <v>1447</v>
      </c>
      <c r="E8429" t="s">
        <v>2115</v>
      </c>
      <c r="F8429" t="s">
        <v>1791</v>
      </c>
      <c r="J8429" t="str">
        <f>IF(ISBLANK('Q 10'!$I30),"",IF('Q 10'!$I30="&lt;please select&gt;","",'Q 10'!$I30))</f>
        <v>Formal notice</v>
      </c>
    </row>
    <row r="8430" spans="1:10" x14ac:dyDescent="0.3">
      <c r="A8430" t="s">
        <v>2151</v>
      </c>
      <c r="B8430" t="s">
        <v>2152</v>
      </c>
      <c r="C8430">
        <v>11</v>
      </c>
      <c r="D8430" t="s">
        <v>1447</v>
      </c>
      <c r="E8430" t="s">
        <v>2115</v>
      </c>
      <c r="F8430" t="s">
        <v>1791</v>
      </c>
      <c r="J8430" t="str">
        <f>IF(ISBLANK('Q 10'!$I31),"",IF('Q 10'!$I31="&lt;please select&gt;","",'Q 10'!$I31))</f>
        <v>Formal notice, conservative estimation of emissions</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Article L. 229-10 II and L. 229-8 of the Environmental Code</v>
      </c>
    </row>
    <row r="8482" spans="1:11" x14ac:dyDescent="0.3">
      <c r="A8482" t="s">
        <v>2154</v>
      </c>
      <c r="B8482" t="s">
        <v>2155</v>
      </c>
      <c r="C8482">
        <v>1</v>
      </c>
      <c r="D8482" t="s">
        <v>1447</v>
      </c>
      <c r="E8482" t="s">
        <v>2119</v>
      </c>
      <c r="F8482" t="s">
        <v>1737</v>
      </c>
      <c r="K8482" t="str">
        <f>IF(ISBLANK('Q 10'!$C66),"",IF('Q 10'!$C66="&lt;please select&gt;","",'Q 10'!$C66))</f>
        <v>Failure to submit a verified emission report by 31 March or earlier if the competent authority set an earlier deadline</v>
      </c>
    </row>
    <row r="8483" spans="1:11" x14ac:dyDescent="0.3">
      <c r="A8483" t="s">
        <v>2154</v>
      </c>
      <c r="B8483" t="s">
        <v>2155</v>
      </c>
      <c r="C8483">
        <v>2</v>
      </c>
      <c r="D8483" t="s">
        <v>1447</v>
      </c>
      <c r="E8483" t="s">
        <v>2119</v>
      </c>
      <c r="F8483" t="s">
        <v>1737</v>
      </c>
      <c r="K8483" t="str">
        <f>IF(ISBLANK('Q 10'!$C67),"",IF('Q 10'!$C67="&lt;please select&gt;","",'Q 10'!$C67))</f>
        <v>The verified emission report is found not to be in line with Implementing Regulation (EU) 2018/2066</v>
      </c>
    </row>
    <row r="8484" spans="1:11" x14ac:dyDescent="0.3">
      <c r="A8484" t="s">
        <v>2154</v>
      </c>
      <c r="B8484" t="s">
        <v>2155</v>
      </c>
      <c r="C8484">
        <v>3</v>
      </c>
      <c r="D8484" t="s">
        <v>1447</v>
      </c>
      <c r="E8484" t="s">
        <v>2119</v>
      </c>
      <c r="F8484" t="s">
        <v>1737</v>
      </c>
      <c r="K8484" t="str">
        <f>IF(ISBLANK('Q 10'!$C68),"",IF('Q 10'!$C68="&lt;please select&gt;","",'Q 10'!$C68))</f>
        <v>Failure to hold a required sampling plan(s) approved by the competent authority</v>
      </c>
    </row>
    <row r="8485" spans="1:11" x14ac:dyDescent="0.3">
      <c r="A8485" t="s">
        <v>2154</v>
      </c>
      <c r="B8485" t="s">
        <v>2155</v>
      </c>
      <c r="C8485">
        <v>4</v>
      </c>
      <c r="D8485" t="s">
        <v>1447</v>
      </c>
      <c r="E8485" t="s">
        <v>2119</v>
      </c>
      <c r="F8485" t="s">
        <v>1737</v>
      </c>
      <c r="K8485" t="str">
        <f>IF(ISBLANK('Q 10'!$C69),"",IF('Q 10'!$C69="&lt;please select&gt;","",'Q 10'!$C69))</f>
        <v>Failure to monitor and implement procedures in accordance with the approved monitoring plan and Implementing Regulation (EU) 2018/2066</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0</v>
      </c>
    </row>
    <row r="8505" spans="1:11" x14ac:dyDescent="0.3">
      <c r="A8505" t="s">
        <v>2154</v>
      </c>
      <c r="B8505" t="s">
        <v>2155</v>
      </c>
      <c r="C8505">
        <v>2</v>
      </c>
      <c r="D8505" t="s">
        <v>1447</v>
      </c>
      <c r="E8505" t="s">
        <v>2120</v>
      </c>
      <c r="F8505" t="s">
        <v>1806</v>
      </c>
      <c r="I8505" s="165" t="str">
        <f>IF(ISBLANK('Q 10'!$E67),"",IF('Q 10'!$E67="&lt;please select&gt;","",'Q 10'!$E67))</f>
        <v>0</v>
      </c>
    </row>
    <row r="8506" spans="1:11" x14ac:dyDescent="0.3">
      <c r="A8506" t="s">
        <v>2154</v>
      </c>
      <c r="B8506" t="s">
        <v>2155</v>
      </c>
      <c r="C8506">
        <v>3</v>
      </c>
      <c r="D8506" t="s">
        <v>1447</v>
      </c>
      <c r="E8506" t="s">
        <v>2120</v>
      </c>
      <c r="F8506" t="s">
        <v>1806</v>
      </c>
      <c r="I8506" s="165" t="str">
        <f>IF(ISBLANK('Q 10'!$E68),"",IF('Q 10'!$E68="&lt;please select&gt;","",'Q 10'!$E68))</f>
        <v>0</v>
      </c>
    </row>
    <row r="8507" spans="1:11" x14ac:dyDescent="0.3">
      <c r="A8507" t="s">
        <v>2154</v>
      </c>
      <c r="B8507" t="s">
        <v>2155</v>
      </c>
      <c r="C8507">
        <v>4</v>
      </c>
      <c r="D8507" t="s">
        <v>1447</v>
      </c>
      <c r="E8507" t="s">
        <v>2120</v>
      </c>
      <c r="F8507" t="s">
        <v>1806</v>
      </c>
      <c r="I8507" s="165" t="str">
        <f>IF(ISBLANK('Q 10'!$E69),"",IF('Q 10'!$E69="&lt;please select&gt;","",'Q 10'!$E69))</f>
        <v>0</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0</v>
      </c>
    </row>
    <row r="8527" spans="1:9" x14ac:dyDescent="0.3">
      <c r="A8527" t="s">
        <v>2154</v>
      </c>
      <c r="B8527" t="s">
        <v>2155</v>
      </c>
      <c r="C8527">
        <v>2</v>
      </c>
      <c r="D8527" t="s">
        <v>1447</v>
      </c>
      <c r="E8527" t="s">
        <v>2121</v>
      </c>
      <c r="F8527" t="s">
        <v>1806</v>
      </c>
      <c r="I8527" s="165" t="str">
        <f>IF(ISBLANK('Q 10'!$F67),"",IF('Q 10'!$F67="&lt;please select&gt;","",'Q 10'!$F67))</f>
        <v>0</v>
      </c>
    </row>
    <row r="8528" spans="1:9" x14ac:dyDescent="0.3">
      <c r="A8528" t="s">
        <v>2154</v>
      </c>
      <c r="B8528" t="s">
        <v>2155</v>
      </c>
      <c r="C8528">
        <v>3</v>
      </c>
      <c r="D8528" t="s">
        <v>1447</v>
      </c>
      <c r="E8528" t="s">
        <v>2121</v>
      </c>
      <c r="F8528" t="s">
        <v>1806</v>
      </c>
      <c r="I8528" s="165" t="str">
        <f>IF(ISBLANK('Q 10'!$F68),"",IF('Q 10'!$F68="&lt;please select&gt;","",'Q 10'!$F68))</f>
        <v>0</v>
      </c>
    </row>
    <row r="8529" spans="1:9" x14ac:dyDescent="0.3">
      <c r="A8529" t="s">
        <v>2154</v>
      </c>
      <c r="B8529" t="s">
        <v>2155</v>
      </c>
      <c r="C8529">
        <v>4</v>
      </c>
      <c r="D8529" t="s">
        <v>1447</v>
      </c>
      <c r="E8529" t="s">
        <v>2121</v>
      </c>
      <c r="F8529" t="s">
        <v>1806</v>
      </c>
      <c r="I8529" s="165" t="str">
        <f>IF(ISBLANK('Q 10'!$F69),"",IF('Q 10'!$F69="&lt;please select&gt;","",'Q 10'!$F69))</f>
        <v>0</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Formal notice, conservative estimation of emissions</v>
      </c>
    </row>
    <row r="8549" spans="1:10" x14ac:dyDescent="0.3">
      <c r="A8549" t="s">
        <v>2154</v>
      </c>
      <c r="B8549" t="s">
        <v>2155</v>
      </c>
      <c r="C8549">
        <v>2</v>
      </c>
      <c r="D8549" t="s">
        <v>1447</v>
      </c>
      <c r="E8549" t="s">
        <v>2122</v>
      </c>
      <c r="F8549" t="s">
        <v>1791</v>
      </c>
      <c r="J8549" t="str">
        <f>IF(ISBLANK('Q 10'!$G67),"",IF('Q 10'!$G67="&lt;please select&gt;","",'Q 10'!$G67))</f>
        <v>Formal notice, conservative estimation of emissions</v>
      </c>
    </row>
    <row r="8550" spans="1:10" x14ac:dyDescent="0.3">
      <c r="A8550" t="s">
        <v>2154</v>
      </c>
      <c r="B8550" t="s">
        <v>2155</v>
      </c>
      <c r="C8550">
        <v>3</v>
      </c>
      <c r="D8550" t="s">
        <v>1447</v>
      </c>
      <c r="E8550" t="s">
        <v>2122</v>
      </c>
      <c r="F8550" t="s">
        <v>1791</v>
      </c>
      <c r="J8550" t="str">
        <f>IF(ISBLANK('Q 10'!$G68),"",IF('Q 10'!$G68="&lt;please select&gt;","",'Q 10'!$G68))</f>
        <v>Formal notice</v>
      </c>
    </row>
    <row r="8551" spans="1:10" x14ac:dyDescent="0.3">
      <c r="A8551" t="s">
        <v>2154</v>
      </c>
      <c r="B8551" t="s">
        <v>2155</v>
      </c>
      <c r="C8551">
        <v>4</v>
      </c>
      <c r="D8551" t="s">
        <v>1447</v>
      </c>
      <c r="E8551" t="s">
        <v>2122</v>
      </c>
      <c r="F8551" t="s">
        <v>1791</v>
      </c>
      <c r="J8551" t="str">
        <f>IF(ISBLANK('Q 10'!$G69),"",IF('Q 10'!$G69="&lt;please select&gt;","",'Q 10'!$G69))</f>
        <v>Formal notice</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No</v>
      </c>
    </row>
    <row r="8571" spans="1:11" x14ac:dyDescent="0.3">
      <c r="A8571" t="s">
        <v>2154</v>
      </c>
      <c r="B8571" t="s">
        <v>2155</v>
      </c>
      <c r="C8571">
        <v>2</v>
      </c>
      <c r="D8571" t="s">
        <v>1447</v>
      </c>
      <c r="E8571" t="s">
        <v>2123</v>
      </c>
      <c r="F8571" t="s">
        <v>1759</v>
      </c>
      <c r="K8571" t="str">
        <f>IF(ISBLANK('Q 10'!$H67),"",IF('Q 10'!$H67="&lt;please select&gt;","",'Q 10'!$H67))</f>
        <v>No</v>
      </c>
    </row>
    <row r="8572" spans="1:11" x14ac:dyDescent="0.3">
      <c r="A8572" t="s">
        <v>2154</v>
      </c>
      <c r="B8572" t="s">
        <v>2155</v>
      </c>
      <c r="C8572">
        <v>3</v>
      </c>
      <c r="D8572" t="s">
        <v>1447</v>
      </c>
      <c r="E8572" t="s">
        <v>2123</v>
      </c>
      <c r="F8572" t="s">
        <v>1759</v>
      </c>
      <c r="K8572" t="str">
        <f>IF(ISBLANK('Q 10'!$H68),"",IF('Q 10'!$H68="&lt;please select&gt;","",'Q 10'!$H68))</f>
        <v>No</v>
      </c>
    </row>
    <row r="8573" spans="1:11" x14ac:dyDescent="0.3">
      <c r="A8573" t="s">
        <v>2154</v>
      </c>
      <c r="B8573" t="s">
        <v>2155</v>
      </c>
      <c r="C8573">
        <v>4</v>
      </c>
      <c r="D8573" t="s">
        <v>1447</v>
      </c>
      <c r="E8573" t="s">
        <v>2123</v>
      </c>
      <c r="F8573" t="s">
        <v>1759</v>
      </c>
      <c r="K8573" t="str">
        <f>IF(ISBLANK('Q 10'!$H69),"",IF('Q 10'!$H69="&lt;please select&gt;","",'Q 10'!$H69))</f>
        <v>No</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Yes</v>
      </c>
    </row>
    <row r="8593" spans="1:11" x14ac:dyDescent="0.3">
      <c r="A8593" t="s">
        <v>2154</v>
      </c>
      <c r="B8593" t="s">
        <v>2155</v>
      </c>
      <c r="C8593">
        <v>2</v>
      </c>
      <c r="D8593" t="s">
        <v>1447</v>
      </c>
      <c r="E8593" t="s">
        <v>2124</v>
      </c>
      <c r="F8593" t="s">
        <v>1759</v>
      </c>
      <c r="K8593" t="str">
        <f>IF(ISBLANK('Q 10'!$I67),"",IF('Q 10'!$I67="&lt;please select&gt;","",'Q 10'!$I67))</f>
        <v>Yes</v>
      </c>
    </row>
    <row r="8594" spans="1:11" x14ac:dyDescent="0.3">
      <c r="A8594" t="s">
        <v>2154</v>
      </c>
      <c r="B8594" t="s">
        <v>2155</v>
      </c>
      <c r="C8594">
        <v>3</v>
      </c>
      <c r="D8594" t="s">
        <v>1447</v>
      </c>
      <c r="E8594" t="s">
        <v>2124</v>
      </c>
      <c r="F8594" t="s">
        <v>1759</v>
      </c>
      <c r="K8594" t="str">
        <f>IF(ISBLANK('Q 10'!$I68),"",IF('Q 10'!$I68="&lt;please select&gt;","",'Q 10'!$I68))</f>
        <v>Yes</v>
      </c>
    </row>
    <row r="8595" spans="1:11" x14ac:dyDescent="0.3">
      <c r="A8595" t="s">
        <v>2154</v>
      </c>
      <c r="B8595" t="s">
        <v>2155</v>
      </c>
      <c r="C8595">
        <v>4</v>
      </c>
      <c r="D8595" t="s">
        <v>1447</v>
      </c>
      <c r="E8595" t="s">
        <v>2124</v>
      </c>
      <c r="F8595" t="s">
        <v>1759</v>
      </c>
      <c r="K8595" t="str">
        <f>IF(ISBLANK('Q 10'!$I69),"",IF('Q 10'!$I69="&lt;please select&gt;","",'Q 10'!$I69))</f>
        <v>Yes</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No</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No</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No</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
      </c>
    </row>
    <row r="8711" spans="1:10" x14ac:dyDescent="0.3">
      <c r="A8711" t="s">
        <v>2162</v>
      </c>
      <c r="B8711" t="s">
        <v>2163</v>
      </c>
      <c r="C8711">
        <v>2</v>
      </c>
      <c r="D8711" t="s">
        <v>1447</v>
      </c>
      <c r="E8711" t="s">
        <v>2111</v>
      </c>
      <c r="F8711" t="s">
        <v>1806</v>
      </c>
      <c r="I8711" s="165" t="str">
        <f>IF(ISBLANK('Q 10'!$E148),"",IF('Q 10'!$E148="&lt;please select&gt;","",'Q 10'!$E148))</f>
        <v/>
      </c>
    </row>
    <row r="8712" spans="1:10" x14ac:dyDescent="0.3">
      <c r="A8712" t="s">
        <v>2162</v>
      </c>
      <c r="B8712" t="s">
        <v>2163</v>
      </c>
      <c r="C8712">
        <v>3</v>
      </c>
      <c r="D8712" t="s">
        <v>1447</v>
      </c>
      <c r="E8712" t="s">
        <v>2111</v>
      </c>
      <c r="F8712" t="s">
        <v>1806</v>
      </c>
      <c r="I8712" s="165" t="str">
        <f>IF(ISBLANK('Q 10'!$E149),"",IF('Q 10'!$E149="&lt;please select&gt;","",'Q 10'!$E149))</f>
        <v/>
      </c>
    </row>
    <row r="8713" spans="1:10" x14ac:dyDescent="0.3">
      <c r="A8713" t="s">
        <v>2162</v>
      </c>
      <c r="B8713" t="s">
        <v>2163</v>
      </c>
      <c r="C8713">
        <v>4</v>
      </c>
      <c r="D8713" t="s">
        <v>1447</v>
      </c>
      <c r="E8713" t="s">
        <v>2111</v>
      </c>
      <c r="F8713" t="s">
        <v>1806</v>
      </c>
      <c r="I8713" s="165" t="str">
        <f>IF(ISBLANK('Q 10'!$E150),"",IF('Q 10'!$E150="&lt;please select&gt;","",'Q 10'!$E150))</f>
        <v/>
      </c>
    </row>
    <row r="8714" spans="1:10" x14ac:dyDescent="0.3">
      <c r="A8714" t="s">
        <v>2162</v>
      </c>
      <c r="B8714" t="s">
        <v>2163</v>
      </c>
      <c r="C8714">
        <v>5</v>
      </c>
      <c r="D8714" t="s">
        <v>1447</v>
      </c>
      <c r="E8714" t="s">
        <v>2111</v>
      </c>
      <c r="F8714" t="s">
        <v>1806</v>
      </c>
      <c r="I8714" s="165" t="str">
        <f>IF(ISBLANK('Q 10'!$E151),"",IF('Q 10'!$E151="&lt;please select&gt;","",'Q 10'!$E151))</f>
        <v/>
      </c>
    </row>
    <row r="8715" spans="1:10" x14ac:dyDescent="0.3">
      <c r="A8715" t="s">
        <v>2162</v>
      </c>
      <c r="B8715" t="s">
        <v>2163</v>
      </c>
      <c r="C8715">
        <v>6</v>
      </c>
      <c r="D8715" t="s">
        <v>1447</v>
      </c>
      <c r="E8715" t="s">
        <v>2111</v>
      </c>
      <c r="F8715" t="s">
        <v>1806</v>
      </c>
      <c r="I8715" s="165" t="str">
        <f>IF(ISBLANK('Q 10'!$E152),"",IF('Q 10'!$E152="&lt;please select&gt;","",'Q 10'!$E152))</f>
        <v/>
      </c>
    </row>
    <row r="8716" spans="1:10" x14ac:dyDescent="0.3">
      <c r="A8716" t="s">
        <v>2162</v>
      </c>
      <c r="B8716" t="s">
        <v>2163</v>
      </c>
      <c r="C8716">
        <v>7</v>
      </c>
      <c r="D8716" t="s">
        <v>1447</v>
      </c>
      <c r="E8716" t="s">
        <v>2111</v>
      </c>
      <c r="F8716" t="s">
        <v>1806</v>
      </c>
      <c r="I8716" s="165" t="str">
        <f>IF(ISBLANK('Q 10'!$E153),"",IF('Q 10'!$E153="&lt;please select&gt;","",'Q 10'!$E153))</f>
        <v/>
      </c>
    </row>
    <row r="8717" spans="1:10" x14ac:dyDescent="0.3">
      <c r="A8717" t="s">
        <v>2162</v>
      </c>
      <c r="B8717" t="s">
        <v>2163</v>
      </c>
      <c r="C8717">
        <v>8</v>
      </c>
      <c r="D8717" t="s">
        <v>1447</v>
      </c>
      <c r="E8717" t="s">
        <v>2111</v>
      </c>
      <c r="F8717" t="s">
        <v>1806</v>
      </c>
      <c r="I8717" s="165" t="str">
        <f>IF(ISBLANK('Q 10'!$E154),"",IF('Q 10'!$E154="&lt;please select&gt;","",'Q 10'!$E154))</f>
        <v/>
      </c>
    </row>
    <row r="8718" spans="1:10" x14ac:dyDescent="0.3">
      <c r="A8718" t="s">
        <v>2162</v>
      </c>
      <c r="B8718" t="s">
        <v>2163</v>
      </c>
      <c r="C8718">
        <v>9</v>
      </c>
      <c r="D8718" t="s">
        <v>1447</v>
      </c>
      <c r="E8718" t="s">
        <v>2111</v>
      </c>
      <c r="F8718" t="s">
        <v>1806</v>
      </c>
      <c r="I8718" s="165" t="str">
        <f>IF(ISBLANK('Q 10'!$E155),"",IF('Q 10'!$E155="&lt;please select&gt;","",'Q 10'!$E155))</f>
        <v/>
      </c>
    </row>
    <row r="8719" spans="1:10" x14ac:dyDescent="0.3">
      <c r="A8719" t="s">
        <v>2162</v>
      </c>
      <c r="B8719" t="s">
        <v>2163</v>
      </c>
      <c r="C8719">
        <v>10</v>
      </c>
      <c r="D8719" t="s">
        <v>1447</v>
      </c>
      <c r="E8719" t="s">
        <v>2111</v>
      </c>
      <c r="F8719" t="s">
        <v>1806</v>
      </c>
      <c r="I8719" s="165" t="str">
        <f>IF(ISBLANK('Q 10'!$E156),"",IF('Q 10'!$E156="&lt;please select&gt;","",'Q 10'!$E156))</f>
        <v/>
      </c>
    </row>
    <row r="8720" spans="1:10" x14ac:dyDescent="0.3">
      <c r="A8720" t="s">
        <v>2162</v>
      </c>
      <c r="B8720" t="s">
        <v>2163</v>
      </c>
      <c r="C8720">
        <v>11</v>
      </c>
      <c r="D8720" t="s">
        <v>1447</v>
      </c>
      <c r="E8720" t="s">
        <v>2111</v>
      </c>
      <c r="F8720" t="s">
        <v>1806</v>
      </c>
      <c r="I8720" s="165" t="str">
        <f>IF(ISBLANK('Q 10'!$E157),"",IF('Q 10'!$E157="&lt;please select&gt;","",'Q 10'!$E157))</f>
        <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
      </c>
    </row>
    <row r="8726" spans="1:9" x14ac:dyDescent="0.3">
      <c r="A8726" t="s">
        <v>2162</v>
      </c>
      <c r="B8726" t="s">
        <v>2163</v>
      </c>
      <c r="C8726">
        <v>2</v>
      </c>
      <c r="D8726" t="s">
        <v>1447</v>
      </c>
      <c r="E8726" t="s">
        <v>2112</v>
      </c>
      <c r="F8726" t="s">
        <v>1806</v>
      </c>
      <c r="I8726" s="165" t="str">
        <f>IF(ISBLANK('Q 10'!$F148),"",IF('Q 10'!$F148="&lt;please select&gt;","",'Q 10'!$F148))</f>
        <v/>
      </c>
    </row>
    <row r="8727" spans="1:9" x14ac:dyDescent="0.3">
      <c r="A8727" t="s">
        <v>2162</v>
      </c>
      <c r="B8727" t="s">
        <v>2163</v>
      </c>
      <c r="C8727">
        <v>3</v>
      </c>
      <c r="D8727" t="s">
        <v>1447</v>
      </c>
      <c r="E8727" t="s">
        <v>2112</v>
      </c>
      <c r="F8727" t="s">
        <v>1806</v>
      </c>
      <c r="I8727" s="165" t="str">
        <f>IF(ISBLANK('Q 10'!$F149),"",IF('Q 10'!$F149="&lt;please select&gt;","",'Q 10'!$F149))</f>
        <v/>
      </c>
    </row>
    <row r="8728" spans="1:9" x14ac:dyDescent="0.3">
      <c r="A8728" t="s">
        <v>2162</v>
      </c>
      <c r="B8728" t="s">
        <v>2163</v>
      </c>
      <c r="C8728">
        <v>4</v>
      </c>
      <c r="D8728" t="s">
        <v>1447</v>
      </c>
      <c r="E8728" t="s">
        <v>2112</v>
      </c>
      <c r="F8728" t="s">
        <v>1806</v>
      </c>
      <c r="I8728" s="165" t="str">
        <f>IF(ISBLANK('Q 10'!$F150),"",IF('Q 10'!$F150="&lt;please select&gt;","",'Q 10'!$F150))</f>
        <v/>
      </c>
    </row>
    <row r="8729" spans="1:9" x14ac:dyDescent="0.3">
      <c r="A8729" t="s">
        <v>2162</v>
      </c>
      <c r="B8729" t="s">
        <v>2163</v>
      </c>
      <c r="C8729">
        <v>5</v>
      </c>
      <c r="D8729" t="s">
        <v>1447</v>
      </c>
      <c r="E8729" t="s">
        <v>2112</v>
      </c>
      <c r="F8729" t="s">
        <v>1806</v>
      </c>
      <c r="I8729" s="165" t="str">
        <f>IF(ISBLANK('Q 10'!$F151),"",IF('Q 10'!$F151="&lt;please select&gt;","",'Q 10'!$F151))</f>
        <v/>
      </c>
    </row>
    <row r="8730" spans="1:9" x14ac:dyDescent="0.3">
      <c r="A8730" t="s">
        <v>2162</v>
      </c>
      <c r="B8730" t="s">
        <v>2163</v>
      </c>
      <c r="C8730">
        <v>6</v>
      </c>
      <c r="D8730" t="s">
        <v>1447</v>
      </c>
      <c r="E8730" t="s">
        <v>2112</v>
      </c>
      <c r="F8730" t="s">
        <v>1806</v>
      </c>
      <c r="I8730" s="165" t="str">
        <f>IF(ISBLANK('Q 10'!$F152),"",IF('Q 10'!$F152="&lt;please select&gt;","",'Q 10'!$F152))</f>
        <v/>
      </c>
    </row>
    <row r="8731" spans="1:9" x14ac:dyDescent="0.3">
      <c r="A8731" t="s">
        <v>2162</v>
      </c>
      <c r="B8731" t="s">
        <v>2163</v>
      </c>
      <c r="C8731">
        <v>7</v>
      </c>
      <c r="D8731" t="s">
        <v>1447</v>
      </c>
      <c r="E8731" t="s">
        <v>2112</v>
      </c>
      <c r="F8731" t="s">
        <v>1806</v>
      </c>
      <c r="I8731" s="165" t="str">
        <f>IF(ISBLANK('Q 10'!$F153),"",IF('Q 10'!$F153="&lt;please select&gt;","",'Q 10'!$F153))</f>
        <v/>
      </c>
    </row>
    <row r="8732" spans="1:9" x14ac:dyDescent="0.3">
      <c r="A8732" t="s">
        <v>2162</v>
      </c>
      <c r="B8732" t="s">
        <v>2163</v>
      </c>
      <c r="C8732">
        <v>8</v>
      </c>
      <c r="D8732" t="s">
        <v>1447</v>
      </c>
      <c r="E8732" t="s">
        <v>2112</v>
      </c>
      <c r="F8732" t="s">
        <v>1806</v>
      </c>
      <c r="I8732" s="165" t="str">
        <f>IF(ISBLANK('Q 10'!$F154),"",IF('Q 10'!$F154="&lt;please select&gt;","",'Q 10'!$F154))</f>
        <v/>
      </c>
    </row>
    <row r="8733" spans="1:9" x14ac:dyDescent="0.3">
      <c r="A8733" t="s">
        <v>2162</v>
      </c>
      <c r="B8733" t="s">
        <v>2163</v>
      </c>
      <c r="C8733">
        <v>9</v>
      </c>
      <c r="D8733" t="s">
        <v>1447</v>
      </c>
      <c r="E8733" t="s">
        <v>2112</v>
      </c>
      <c r="F8733" t="s">
        <v>1806</v>
      </c>
      <c r="I8733" s="165" t="str">
        <f>IF(ISBLANK('Q 10'!$F155),"",IF('Q 10'!$F155="&lt;please select&gt;","",'Q 10'!$F155))</f>
        <v/>
      </c>
    </row>
    <row r="8734" spans="1:9" x14ac:dyDescent="0.3">
      <c r="A8734" t="s">
        <v>2162</v>
      </c>
      <c r="B8734" t="s">
        <v>2163</v>
      </c>
      <c r="C8734">
        <v>10</v>
      </c>
      <c r="D8734" t="s">
        <v>1447</v>
      </c>
      <c r="E8734" t="s">
        <v>2112</v>
      </c>
      <c r="F8734" t="s">
        <v>1806</v>
      </c>
      <c r="I8734" s="165" t="str">
        <f>IF(ISBLANK('Q 10'!$F156),"",IF('Q 10'!$F156="&lt;please select&gt;","",'Q 10'!$F156))</f>
        <v/>
      </c>
    </row>
    <row r="8735" spans="1:9" x14ac:dyDescent="0.3">
      <c r="A8735" t="s">
        <v>2162</v>
      </c>
      <c r="B8735" t="s">
        <v>2163</v>
      </c>
      <c r="C8735">
        <v>11</v>
      </c>
      <c r="D8735" t="s">
        <v>1447</v>
      </c>
      <c r="E8735" t="s">
        <v>2112</v>
      </c>
      <c r="F8735" t="s">
        <v>1806</v>
      </c>
      <c r="I8735" s="165" t="str">
        <f>IF(ISBLANK('Q 10'!$F157),"",IF('Q 10'!$F157="&lt;please select&gt;","",'Q 10'!$F157))</f>
        <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
      </c>
    </row>
    <row r="8741" spans="1:9" x14ac:dyDescent="0.3">
      <c r="A8741" t="s">
        <v>2162</v>
      </c>
      <c r="B8741" t="s">
        <v>2163</v>
      </c>
      <c r="C8741">
        <v>2</v>
      </c>
      <c r="D8741" t="s">
        <v>1447</v>
      </c>
      <c r="E8741" t="s">
        <v>2113</v>
      </c>
      <c r="F8741" t="s">
        <v>1806</v>
      </c>
      <c r="I8741" s="165" t="str">
        <f>IF(ISBLANK('Q 10'!$G148),"",IF('Q 10'!$G148="&lt;please select&gt;","",'Q 10'!$G148))</f>
        <v/>
      </c>
    </row>
    <row r="8742" spans="1:9" x14ac:dyDescent="0.3">
      <c r="A8742" t="s">
        <v>2162</v>
      </c>
      <c r="B8742" t="s">
        <v>2163</v>
      </c>
      <c r="C8742">
        <v>3</v>
      </c>
      <c r="D8742" t="s">
        <v>1447</v>
      </c>
      <c r="E8742" t="s">
        <v>2113</v>
      </c>
      <c r="F8742" t="s">
        <v>1806</v>
      </c>
      <c r="I8742" s="165" t="str">
        <f>IF(ISBLANK('Q 10'!$G149),"",IF('Q 10'!$G149="&lt;please select&gt;","",'Q 10'!$G149))</f>
        <v/>
      </c>
    </row>
    <row r="8743" spans="1:9" x14ac:dyDescent="0.3">
      <c r="A8743" t="s">
        <v>2162</v>
      </c>
      <c r="B8743" t="s">
        <v>2163</v>
      </c>
      <c r="C8743">
        <v>4</v>
      </c>
      <c r="D8743" t="s">
        <v>1447</v>
      </c>
      <c r="E8743" t="s">
        <v>2113</v>
      </c>
      <c r="F8743" t="s">
        <v>1806</v>
      </c>
      <c r="I8743" s="165" t="str">
        <f>IF(ISBLANK('Q 10'!$G150),"",IF('Q 10'!$G150="&lt;please select&gt;","",'Q 10'!$G150))</f>
        <v/>
      </c>
    </row>
    <row r="8744" spans="1:9" x14ac:dyDescent="0.3">
      <c r="A8744" t="s">
        <v>2162</v>
      </c>
      <c r="B8744" t="s">
        <v>2163</v>
      </c>
      <c r="C8744">
        <v>5</v>
      </c>
      <c r="D8744" t="s">
        <v>1447</v>
      </c>
      <c r="E8744" t="s">
        <v>2113</v>
      </c>
      <c r="F8744" t="s">
        <v>1806</v>
      </c>
      <c r="I8744" s="165" t="str">
        <f>IF(ISBLANK('Q 10'!$G151),"",IF('Q 10'!$G151="&lt;please select&gt;","",'Q 10'!$G151))</f>
        <v/>
      </c>
    </row>
    <row r="8745" spans="1:9" x14ac:dyDescent="0.3">
      <c r="A8745" t="s">
        <v>2162</v>
      </c>
      <c r="B8745" t="s">
        <v>2163</v>
      </c>
      <c r="C8745">
        <v>6</v>
      </c>
      <c r="D8745" t="s">
        <v>1447</v>
      </c>
      <c r="E8745" t="s">
        <v>2113</v>
      </c>
      <c r="F8745" t="s">
        <v>1806</v>
      </c>
      <c r="I8745" s="165" t="str">
        <f>IF(ISBLANK('Q 10'!$G152),"",IF('Q 10'!$G152="&lt;please select&gt;","",'Q 10'!$G152))</f>
        <v/>
      </c>
    </row>
    <row r="8746" spans="1:9" x14ac:dyDescent="0.3">
      <c r="A8746" t="s">
        <v>2162</v>
      </c>
      <c r="B8746" t="s">
        <v>2163</v>
      </c>
      <c r="C8746">
        <v>7</v>
      </c>
      <c r="D8746" t="s">
        <v>1447</v>
      </c>
      <c r="E8746" t="s">
        <v>2113</v>
      </c>
      <c r="F8746" t="s">
        <v>1806</v>
      </c>
      <c r="I8746" s="165" t="str">
        <f>IF(ISBLANK('Q 10'!$G153),"",IF('Q 10'!$G153="&lt;please select&gt;","",'Q 10'!$G153))</f>
        <v/>
      </c>
    </row>
    <row r="8747" spans="1:9" x14ac:dyDescent="0.3">
      <c r="A8747" t="s">
        <v>2162</v>
      </c>
      <c r="B8747" t="s">
        <v>2163</v>
      </c>
      <c r="C8747">
        <v>8</v>
      </c>
      <c r="D8747" t="s">
        <v>1447</v>
      </c>
      <c r="E8747" t="s">
        <v>2113</v>
      </c>
      <c r="F8747" t="s">
        <v>1806</v>
      </c>
      <c r="I8747" s="165" t="str">
        <f>IF(ISBLANK('Q 10'!$G154),"",IF('Q 10'!$G154="&lt;please select&gt;","",'Q 10'!$G154))</f>
        <v/>
      </c>
    </row>
    <row r="8748" spans="1:9" x14ac:dyDescent="0.3">
      <c r="A8748" t="s">
        <v>2162</v>
      </c>
      <c r="B8748" t="s">
        <v>2163</v>
      </c>
      <c r="C8748">
        <v>9</v>
      </c>
      <c r="D8748" t="s">
        <v>1447</v>
      </c>
      <c r="E8748" t="s">
        <v>2113</v>
      </c>
      <c r="F8748" t="s">
        <v>1806</v>
      </c>
      <c r="I8748" s="165" t="str">
        <f>IF(ISBLANK('Q 10'!$G155),"",IF('Q 10'!$G155="&lt;please select&gt;","",'Q 10'!$G155))</f>
        <v/>
      </c>
    </row>
    <row r="8749" spans="1:9" x14ac:dyDescent="0.3">
      <c r="A8749" t="s">
        <v>2162</v>
      </c>
      <c r="B8749" t="s">
        <v>2163</v>
      </c>
      <c r="C8749">
        <v>10</v>
      </c>
      <c r="D8749" t="s">
        <v>1447</v>
      </c>
      <c r="E8749" t="s">
        <v>2113</v>
      </c>
      <c r="F8749" t="s">
        <v>1806</v>
      </c>
      <c r="I8749" s="165" t="str">
        <f>IF(ISBLANK('Q 10'!$G156),"",IF('Q 10'!$G156="&lt;please select&gt;","",'Q 10'!$G156))</f>
        <v/>
      </c>
    </row>
    <row r="8750" spans="1:9" x14ac:dyDescent="0.3">
      <c r="A8750" t="s">
        <v>2162</v>
      </c>
      <c r="B8750" t="s">
        <v>2163</v>
      </c>
      <c r="C8750">
        <v>11</v>
      </c>
      <c r="D8750" t="s">
        <v>1447</v>
      </c>
      <c r="E8750" t="s">
        <v>2113</v>
      </c>
      <c r="F8750" t="s">
        <v>1806</v>
      </c>
      <c r="I8750" s="165" t="str">
        <f>IF(ISBLANK('Q 10'!$G157),"",IF('Q 10'!$G157="&lt;please select&gt;","",'Q 10'!$G157))</f>
        <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
      </c>
    </row>
    <row r="8756" spans="1:9" x14ac:dyDescent="0.3">
      <c r="A8756" t="s">
        <v>2162</v>
      </c>
      <c r="B8756" t="s">
        <v>2163</v>
      </c>
      <c r="C8756">
        <v>2</v>
      </c>
      <c r="D8756" t="s">
        <v>1447</v>
      </c>
      <c r="E8756" t="s">
        <v>2114</v>
      </c>
      <c r="F8756" t="s">
        <v>1806</v>
      </c>
      <c r="I8756" s="165" t="str">
        <f>IF(ISBLANK('Q 10'!$H148),"",IF('Q 10'!$H148="&lt;please select&gt;","",'Q 10'!$H148))</f>
        <v/>
      </c>
    </row>
    <row r="8757" spans="1:9" x14ac:dyDescent="0.3">
      <c r="A8757" t="s">
        <v>2162</v>
      </c>
      <c r="B8757" t="s">
        <v>2163</v>
      </c>
      <c r="C8757">
        <v>3</v>
      </c>
      <c r="D8757" t="s">
        <v>1447</v>
      </c>
      <c r="E8757" t="s">
        <v>2114</v>
      </c>
      <c r="F8757" t="s">
        <v>1806</v>
      </c>
      <c r="I8757" s="165" t="str">
        <f>IF(ISBLANK('Q 10'!$H149),"",IF('Q 10'!$H149="&lt;please select&gt;","",'Q 10'!$H149))</f>
        <v/>
      </c>
    </row>
    <row r="8758" spans="1:9" x14ac:dyDescent="0.3">
      <c r="A8758" t="s">
        <v>2162</v>
      </c>
      <c r="B8758" t="s">
        <v>2163</v>
      </c>
      <c r="C8758">
        <v>4</v>
      </c>
      <c r="D8758" t="s">
        <v>1447</v>
      </c>
      <c r="E8758" t="s">
        <v>2114</v>
      </c>
      <c r="F8758" t="s">
        <v>1806</v>
      </c>
      <c r="I8758" s="165" t="str">
        <f>IF(ISBLANK('Q 10'!$H150),"",IF('Q 10'!$H150="&lt;please select&gt;","",'Q 10'!$H150))</f>
        <v/>
      </c>
    </row>
    <row r="8759" spans="1:9" x14ac:dyDescent="0.3">
      <c r="A8759" t="s">
        <v>2162</v>
      </c>
      <c r="B8759" t="s">
        <v>2163</v>
      </c>
      <c r="C8759">
        <v>5</v>
      </c>
      <c r="D8759" t="s">
        <v>1447</v>
      </c>
      <c r="E8759" t="s">
        <v>2114</v>
      </c>
      <c r="F8759" t="s">
        <v>1806</v>
      </c>
      <c r="I8759" s="165" t="str">
        <f>IF(ISBLANK('Q 10'!$H151),"",IF('Q 10'!$H151="&lt;please select&gt;","",'Q 10'!$H151))</f>
        <v/>
      </c>
    </row>
    <row r="8760" spans="1:9" x14ac:dyDescent="0.3">
      <c r="A8760" t="s">
        <v>2162</v>
      </c>
      <c r="B8760" t="s">
        <v>2163</v>
      </c>
      <c r="C8760">
        <v>6</v>
      </c>
      <c r="D8760" t="s">
        <v>1447</v>
      </c>
      <c r="E8760" t="s">
        <v>2114</v>
      </c>
      <c r="F8760" t="s">
        <v>1806</v>
      </c>
      <c r="I8760" s="165" t="str">
        <f>IF(ISBLANK('Q 10'!$H152),"",IF('Q 10'!$H152="&lt;please select&gt;","",'Q 10'!$H152))</f>
        <v/>
      </c>
    </row>
    <row r="8761" spans="1:9" x14ac:dyDescent="0.3">
      <c r="A8761" t="s">
        <v>2162</v>
      </c>
      <c r="B8761" t="s">
        <v>2163</v>
      </c>
      <c r="C8761">
        <v>7</v>
      </c>
      <c r="D8761" t="s">
        <v>1447</v>
      </c>
      <c r="E8761" t="s">
        <v>2114</v>
      </c>
      <c r="F8761" t="s">
        <v>1806</v>
      </c>
      <c r="I8761" s="165" t="str">
        <f>IF(ISBLANK('Q 10'!$H153),"",IF('Q 10'!$H153="&lt;please select&gt;","",'Q 10'!$H153))</f>
        <v/>
      </c>
    </row>
    <row r="8762" spans="1:9" x14ac:dyDescent="0.3">
      <c r="A8762" t="s">
        <v>2162</v>
      </c>
      <c r="B8762" t="s">
        <v>2163</v>
      </c>
      <c r="C8762">
        <v>8</v>
      </c>
      <c r="D8762" t="s">
        <v>1447</v>
      </c>
      <c r="E8762" t="s">
        <v>2114</v>
      </c>
      <c r="F8762" t="s">
        <v>1806</v>
      </c>
      <c r="I8762" s="165" t="str">
        <f>IF(ISBLANK('Q 10'!$H154),"",IF('Q 10'!$H154="&lt;please select&gt;","",'Q 10'!$H154))</f>
        <v/>
      </c>
    </row>
    <row r="8763" spans="1:9" x14ac:dyDescent="0.3">
      <c r="A8763" t="s">
        <v>2162</v>
      </c>
      <c r="B8763" t="s">
        <v>2163</v>
      </c>
      <c r="C8763">
        <v>9</v>
      </c>
      <c r="D8763" t="s">
        <v>1447</v>
      </c>
      <c r="E8763" t="s">
        <v>2114</v>
      </c>
      <c r="F8763" t="s">
        <v>1806</v>
      </c>
      <c r="I8763" s="165" t="str">
        <f>IF(ISBLANK('Q 10'!$H155),"",IF('Q 10'!$H155="&lt;please select&gt;","",'Q 10'!$H155))</f>
        <v/>
      </c>
    </row>
    <row r="8764" spans="1:9" x14ac:dyDescent="0.3">
      <c r="A8764" t="s">
        <v>2162</v>
      </c>
      <c r="B8764" t="s">
        <v>2163</v>
      </c>
      <c r="C8764">
        <v>10</v>
      </c>
      <c r="D8764" t="s">
        <v>1447</v>
      </c>
      <c r="E8764" t="s">
        <v>2114</v>
      </c>
      <c r="F8764" t="s">
        <v>1806</v>
      </c>
      <c r="I8764" s="165" t="str">
        <f>IF(ISBLANK('Q 10'!$H156),"",IF('Q 10'!$H156="&lt;please select&gt;","",'Q 10'!$H156))</f>
        <v/>
      </c>
    </row>
    <row r="8765" spans="1:9" x14ac:dyDescent="0.3">
      <c r="A8765" t="s">
        <v>2162</v>
      </c>
      <c r="B8765" t="s">
        <v>2163</v>
      </c>
      <c r="C8765">
        <v>11</v>
      </c>
      <c r="D8765" t="s">
        <v>1447</v>
      </c>
      <c r="E8765" t="s">
        <v>2114</v>
      </c>
      <c r="F8765" t="s">
        <v>1806</v>
      </c>
      <c r="I8765" s="165" t="str">
        <f>IF(ISBLANK('Q 10'!$H157),"",IF('Q 10'!$H157="&lt;please select&gt;","",'Q 10'!$H157))</f>
        <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
      </c>
    </row>
    <row r="8771" spans="1:10" x14ac:dyDescent="0.3">
      <c r="A8771" t="s">
        <v>2162</v>
      </c>
      <c r="B8771" t="s">
        <v>2163</v>
      </c>
      <c r="C8771">
        <v>2</v>
      </c>
      <c r="D8771" t="s">
        <v>1447</v>
      </c>
      <c r="E8771" t="s">
        <v>2115</v>
      </c>
      <c r="F8771" t="s">
        <v>1791</v>
      </c>
      <c r="J8771" t="str">
        <f>IF(ISBLANK('Q 10'!$I148),"",IF('Q 10'!$I148="&lt;please select&gt;","",'Q 10'!$I148))</f>
        <v/>
      </c>
    </row>
    <row r="8772" spans="1:10" x14ac:dyDescent="0.3">
      <c r="A8772" t="s">
        <v>2162</v>
      </c>
      <c r="B8772" t="s">
        <v>2163</v>
      </c>
      <c r="C8772">
        <v>3</v>
      </c>
      <c r="D8772" t="s">
        <v>1447</v>
      </c>
      <c r="E8772" t="s">
        <v>2115</v>
      </c>
      <c r="F8772" t="s">
        <v>1791</v>
      </c>
      <c r="J8772" t="str">
        <f>IF(ISBLANK('Q 10'!$I149),"",IF('Q 10'!$I149="&lt;please select&gt;","",'Q 10'!$I149))</f>
        <v/>
      </c>
    </row>
    <row r="8773" spans="1:10" x14ac:dyDescent="0.3">
      <c r="A8773" t="s">
        <v>2162</v>
      </c>
      <c r="B8773" t="s">
        <v>2163</v>
      </c>
      <c r="C8773">
        <v>4</v>
      </c>
      <c r="D8773" t="s">
        <v>1447</v>
      </c>
      <c r="E8773" t="s">
        <v>2115</v>
      </c>
      <c r="F8773" t="s">
        <v>1791</v>
      </c>
      <c r="J8773" t="str">
        <f>IF(ISBLANK('Q 10'!$I150),"",IF('Q 10'!$I150="&lt;please select&gt;","",'Q 10'!$I150))</f>
        <v/>
      </c>
    </row>
    <row r="8774" spans="1:10" x14ac:dyDescent="0.3">
      <c r="A8774" t="s">
        <v>2162</v>
      </c>
      <c r="B8774" t="s">
        <v>2163</v>
      </c>
      <c r="C8774">
        <v>5</v>
      </c>
      <c r="D8774" t="s">
        <v>1447</v>
      </c>
      <c r="E8774" t="s">
        <v>2115</v>
      </c>
      <c r="F8774" t="s">
        <v>1791</v>
      </c>
      <c r="J8774" t="str">
        <f>IF(ISBLANK('Q 10'!$I151),"",IF('Q 10'!$I151="&lt;please select&gt;","",'Q 10'!$I151))</f>
        <v/>
      </c>
    </row>
    <row r="8775" spans="1:10" x14ac:dyDescent="0.3">
      <c r="A8775" t="s">
        <v>2162</v>
      </c>
      <c r="B8775" t="s">
        <v>2163</v>
      </c>
      <c r="C8775">
        <v>6</v>
      </c>
      <c r="D8775" t="s">
        <v>1447</v>
      </c>
      <c r="E8775" t="s">
        <v>2115</v>
      </c>
      <c r="F8775" t="s">
        <v>1791</v>
      </c>
      <c r="J8775" t="str">
        <f>IF(ISBLANK('Q 10'!$I152),"",IF('Q 10'!$I152="&lt;please select&gt;","",'Q 10'!$I152))</f>
        <v/>
      </c>
    </row>
    <row r="8776" spans="1:10" x14ac:dyDescent="0.3">
      <c r="A8776" t="s">
        <v>2162</v>
      </c>
      <c r="B8776" t="s">
        <v>2163</v>
      </c>
      <c r="C8776">
        <v>7</v>
      </c>
      <c r="D8776" t="s">
        <v>1447</v>
      </c>
      <c r="E8776" t="s">
        <v>2115</v>
      </c>
      <c r="F8776" t="s">
        <v>1791</v>
      </c>
      <c r="J8776" t="str">
        <f>IF(ISBLANK('Q 10'!$I153),"",IF('Q 10'!$I153="&lt;please select&gt;","",'Q 10'!$I153))</f>
        <v/>
      </c>
    </row>
    <row r="8777" spans="1:10" x14ac:dyDescent="0.3">
      <c r="A8777" t="s">
        <v>2162</v>
      </c>
      <c r="B8777" t="s">
        <v>2163</v>
      </c>
      <c r="C8777">
        <v>8</v>
      </c>
      <c r="D8777" t="s">
        <v>1447</v>
      </c>
      <c r="E8777" t="s">
        <v>2115</v>
      </c>
      <c r="F8777" t="s">
        <v>1791</v>
      </c>
      <c r="J8777" t="str">
        <f>IF(ISBLANK('Q 10'!$I154),"",IF('Q 10'!$I154="&lt;please select&gt;","",'Q 10'!$I154))</f>
        <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No</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c>
    </row>
    <row r="8918" spans="1:11" x14ac:dyDescent="0.3">
      <c r="A8918" t="s">
        <v>2174</v>
      </c>
      <c r="B8918" t="s">
        <v>2175</v>
      </c>
      <c r="C8918">
        <v>0</v>
      </c>
      <c r="D8918" t="s">
        <v>1447</v>
      </c>
      <c r="E8918" t="s">
        <v>2175</v>
      </c>
      <c r="F8918" t="s">
        <v>1741</v>
      </c>
      <c r="G8918" t="str">
        <f>IF(ISBLANK('Q 11'!$C$6),"",IF('Q 11'!$C$6="&lt;please select&gt;","",'Q 11'!$C$6))</f>
        <v>The allowances are chattels (personal/tangible/moveable asset) whose property is materialised by an entry in the account of the holder in the registry (Article L. 229-11 of the Environmental Code).</v>
      </c>
    </row>
    <row r="8919" spans="1:11" x14ac:dyDescent="0.3">
      <c r="A8919" t="s">
        <v>2176</v>
      </c>
      <c r="B8919" t="s">
        <v>2177</v>
      </c>
      <c r="C8919">
        <v>0</v>
      </c>
      <c r="D8919" t="s">
        <v>1447</v>
      </c>
      <c r="E8919" t="s">
        <v>2177</v>
      </c>
      <c r="F8919" t="s">
        <v>1741</v>
      </c>
      <c r="G8919" t="str">
        <f>IF(ISBLANK('Q 11'!$C$9),"",IF('Q 11'!$C$9="&lt;please select&gt;","",'Q 11'!$C$9))</f>
        <v>There are two different regimes depending on the model of the person in question ("production" model, or "trading" model).
"Production" (installations) :
- Allowances are recorded in inventory accounts (purchase value or zero for the free allocation); 
- They are substracted from the stocks when CO2 is emitted, in return for a production charge; 
- In case of shortage of allowances: recognition of a liability (the subsequent purchase of allowances puts an end to the liability). 
"Trading" (intermediaries) : 
- Allowances are recorded at their acquisition cost; 
- If the current value is less than their carrying amount, the latter is reduced to the present value through an impairment; 
- Gains and losses are recognized in the income statement.</v>
      </c>
    </row>
    <row r="8920" spans="1:11" x14ac:dyDescent="0.3">
      <c r="A8920" t="s">
        <v>2178</v>
      </c>
      <c r="B8920" t="s">
        <v>2179</v>
      </c>
      <c r="C8920">
        <v>0</v>
      </c>
      <c r="D8920" t="s">
        <v>1447</v>
      </c>
      <c r="E8920" t="s">
        <v>2179</v>
      </c>
      <c r="F8920" t="s">
        <v>1759</v>
      </c>
      <c r="K8920" t="str">
        <f>IF(ISBLANK('Q 11'!$I$11),"",IF('Q 11'!$I$11="&lt;please select&gt;","",'Q 11'!$I$11))</f>
        <v>No</v>
      </c>
    </row>
    <row r="8921" spans="1:11" x14ac:dyDescent="0.3">
      <c r="A8921" t="s">
        <v>2178</v>
      </c>
      <c r="B8921" t="s">
        <v>2180</v>
      </c>
      <c r="C8921">
        <v>0</v>
      </c>
      <c r="D8921" t="s">
        <v>1447</v>
      </c>
      <c r="E8921" t="s">
        <v>2180</v>
      </c>
      <c r="F8921" t="s">
        <v>1759</v>
      </c>
      <c r="K8921" t="str">
        <f>IF(ISBLANK('Q 11'!$I$13),"",IF('Q 11'!$I$13="&lt;please select&gt;","",'Q 11'!$I$13))</f>
        <v/>
      </c>
    </row>
    <row r="8922" spans="1:11" x14ac:dyDescent="0.3">
      <c r="A8922" t="s">
        <v>2181</v>
      </c>
      <c r="B8922" t="s">
        <v>2182</v>
      </c>
      <c r="C8922">
        <v>0</v>
      </c>
      <c r="D8922" t="s">
        <v>1447</v>
      </c>
      <c r="E8922" t="s">
        <v>2182</v>
      </c>
      <c r="F8922" t="s">
        <v>1759</v>
      </c>
      <c r="K8922" t="str">
        <f>IF(ISBLANK('Q 11'!$I$15),"",IF('Q 11'!$I$15="&lt;please select&gt;","",'Q 11'!$I$15))</f>
        <v>No</v>
      </c>
    </row>
    <row r="8923" spans="1:11" x14ac:dyDescent="0.3">
      <c r="A8923" t="s">
        <v>2181</v>
      </c>
      <c r="B8923" t="s">
        <v>2183</v>
      </c>
      <c r="C8923">
        <v>1</v>
      </c>
      <c r="D8923" t="s">
        <v>1447</v>
      </c>
      <c r="E8923" t="s">
        <v>2184</v>
      </c>
      <c r="F8923" t="s">
        <v>1741</v>
      </c>
      <c r="G8923" t="str">
        <f>IF(ISBLANK('Q 11'!$C18),"",IF('Q 11'!$C18="&lt;please select&gt;","",'Q 11'!$C18))</f>
        <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There is no special arrangement specifically for free allocation of allowances. TRACFIN is the financial intelligence unit in France. Its mission is to fight against illegal financial channels, money laundering and the financing of terrorism. It is under the authority of the Ministry of Finance (competent authority). Persons falling within the scope of TRACFIN have an obligation to report activities that they know, suspect or have reasonable grounds to suspect that they might be fraudulent.</v>
      </c>
    </row>
    <row r="8936" spans="1:7" x14ac:dyDescent="0.3">
      <c r="A8936" t="s">
        <v>2186</v>
      </c>
      <c r="B8936" t="s">
        <v>2187</v>
      </c>
      <c r="C8936">
        <v>2</v>
      </c>
      <c r="D8936" t="s">
        <v>1447</v>
      </c>
      <c r="E8936" t="s">
        <v>2188</v>
      </c>
      <c r="F8936" t="s">
        <v>1741</v>
      </c>
      <c r="G8936" t="str">
        <f>IF(ISBLANK('Q 12'!$G8),"",IF('Q 12'!$G8="&lt;please select&gt;","",'Q 12'!$G8))</f>
        <v>There is no special arrangement specifically for free allocation of allowances. In the course of its investigations, TRACFIN has powers which are provided in the monetary and financial code in terms of access to information and intervention in transactions.</v>
      </c>
    </row>
    <row r="8937" spans="1:7" x14ac:dyDescent="0.3">
      <c r="A8937" t="s">
        <v>2186</v>
      </c>
      <c r="B8937" t="s">
        <v>2187</v>
      </c>
      <c r="C8937">
        <v>3</v>
      </c>
      <c r="D8937" t="s">
        <v>1447</v>
      </c>
      <c r="E8937" t="s">
        <v>2188</v>
      </c>
      <c r="F8937" t="s">
        <v>1741</v>
      </c>
      <c r="G8937" t="str">
        <f>IF(ISBLANK('Q 12'!$G9),"",IF('Q 12'!$G9="&lt;please select&gt;","",'Q 12'!$G9))</f>
        <v/>
      </c>
    </row>
    <row r="8938" spans="1:7" x14ac:dyDescent="0.3">
      <c r="A8938" t="s">
        <v>2186</v>
      </c>
      <c r="B8938" t="s">
        <v>2187</v>
      </c>
      <c r="C8938">
        <v>4</v>
      </c>
      <c r="D8938" t="s">
        <v>1447</v>
      </c>
      <c r="E8938" t="s">
        <v>2188</v>
      </c>
      <c r="F8938" t="s">
        <v>1741</v>
      </c>
      <c r="G8938" t="str">
        <f>IF(ISBLANK('Q 12'!$G10),"",IF('Q 12'!$G10="&lt;please select&gt;","",'Q 12'!$G10))</f>
        <v/>
      </c>
    </row>
    <row r="8939" spans="1:7" x14ac:dyDescent="0.3">
      <c r="A8939" t="s">
        <v>2186</v>
      </c>
      <c r="B8939" t="s">
        <v>2187</v>
      </c>
      <c r="C8939">
        <v>5</v>
      </c>
      <c r="D8939" t="s">
        <v>1447</v>
      </c>
      <c r="E8939" t="s">
        <v>2188</v>
      </c>
      <c r="F8939" t="s">
        <v>1741</v>
      </c>
      <c r="G8939" t="str">
        <f>IF(ISBLANK('Q 12'!$G11),"",IF('Q 12'!$G11="&lt;please select&gt;","",'Q 12'!$G11))</f>
        <v/>
      </c>
    </row>
    <row r="8940" spans="1:7" x14ac:dyDescent="0.3">
      <c r="A8940" t="s">
        <v>2186</v>
      </c>
      <c r="B8940" t="s">
        <v>2187</v>
      </c>
      <c r="C8940">
        <v>6</v>
      </c>
      <c r="D8940" t="s">
        <v>1447</v>
      </c>
      <c r="E8940" t="s">
        <v>2188</v>
      </c>
      <c r="F8940" t="s">
        <v>1741</v>
      </c>
      <c r="G8940" t="str">
        <f>IF(ISBLANK('Q 12'!$G12),"",IF('Q 12'!$G12="&lt;please select&gt;","",'Q 12'!$G12))</f>
        <v>In cases related to tax fraud, the author can be punishable: € 500,000 fine and 5 years imprisonment. These penalties are increased to € 2 million fine and seven years' imprisonment where the offense was committed by an organized gang or through: opening accounts or subscription contracts with entities established abroad the interposition of persons or foreign-based screen agencies, the use of a false identity or forged documents (or any falsification) a debit or a fictitious or artificial abroad act."</v>
      </c>
    </row>
    <row r="8941" spans="1:7" x14ac:dyDescent="0.3">
      <c r="A8941" t="s">
        <v>2189</v>
      </c>
      <c r="B8941" t="s">
        <v>2190</v>
      </c>
      <c r="C8941">
        <v>1</v>
      </c>
      <c r="D8941" t="s">
        <v>1447</v>
      </c>
      <c r="E8941" t="s">
        <v>2191</v>
      </c>
      <c r="F8941" t="s">
        <v>1741</v>
      </c>
      <c r="G8941" t="str">
        <f>IF(ISBLANK('Q 12'!$G17),"",IF('Q 12'!$G17="&lt;please select&gt;","",'Q 12'!$G17))</f>
        <v>The competent authority for the EU ETS has regular contacts and exchanges with the AMLD competent authority and with the registry, which itself has regular contacts with TRACFIN (French financial intelligence unit).</v>
      </c>
    </row>
    <row r="8942" spans="1:7" x14ac:dyDescent="0.3">
      <c r="A8942" t="s">
        <v>2189</v>
      </c>
      <c r="B8942" t="s">
        <v>2190</v>
      </c>
      <c r="C8942">
        <v>2</v>
      </c>
      <c r="D8942" t="s">
        <v>1447</v>
      </c>
      <c r="E8942" t="s">
        <v>2191</v>
      </c>
      <c r="F8942" t="s">
        <v>1741</v>
      </c>
      <c r="G8942" t="str">
        <f>IF(ISBLANK('Q 12'!$G18),"",IF('Q 12'!$G18="&lt;please select&gt;","",'Q 12'!$G18))</f>
        <v>See answer to the first question</v>
      </c>
    </row>
    <row r="8943" spans="1:7" x14ac:dyDescent="0.3">
      <c r="A8943" t="s">
        <v>2189</v>
      </c>
      <c r="B8943" t="s">
        <v>2190</v>
      </c>
      <c r="C8943">
        <v>3</v>
      </c>
      <c r="D8943" t="s">
        <v>1447</v>
      </c>
      <c r="E8943" t="s">
        <v>2191</v>
      </c>
      <c r="F8943" t="s">
        <v>1741</v>
      </c>
      <c r="G8943" t="str">
        <f>IF(ISBLANK('Q 12'!$G19),"",IF('Q 12'!$G19="&lt;please select&gt;","",'Q 12'!$G19))</f>
        <v>See answer to the first question</v>
      </c>
    </row>
    <row r="8944" spans="1:7" x14ac:dyDescent="0.3">
      <c r="A8944" t="s">
        <v>2189</v>
      </c>
      <c r="B8944" t="s">
        <v>2190</v>
      </c>
      <c r="C8944">
        <v>4</v>
      </c>
      <c r="D8944" t="s">
        <v>1447</v>
      </c>
      <c r="E8944" t="s">
        <v>2191</v>
      </c>
      <c r="F8944" t="s">
        <v>1741</v>
      </c>
      <c r="G8944" t="str">
        <f>IF(ISBLANK('Q 12'!$G20),"",IF('Q 12'!$G20="&lt;please select&gt;","",'Q 12'!$G20))</f>
        <v>See answer to the first question</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The EU ETS teams in the DREAL are usually regional competent authorities. But for 2 regions, some assessments of emissions and annual activity level reports were performed by the "Unités départementales", local competent authorities.</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Compared with last year: 
Q5.6 is based on the work done for MMR-Annex V (in compliance with Regulation (EU) No 525/2013) and provided in March 2022. The ratios used for 2020 ETS data are applied on 2021 ETS emissions.
ETS emissions allocated to 2D3 are now allocated in 2H (because 2D3 is not in the list anymore).
ETS emissions from iron and steel, combining 1A1c, 1A2a and 2C1 are now allocated in majority in 2C1, in compliance with the IPCC guidelines, in particular for integrated steel plants (with coke production, iron production and steel production with blast furnaces).</v>
      </c>
    </row>
    <row r="8961" spans="1:10" x14ac:dyDescent="0.3">
      <c r="A8961" t="s">
        <v>2195</v>
      </c>
      <c r="B8961" t="s">
        <v>2196</v>
      </c>
      <c r="C8961">
        <v>13</v>
      </c>
      <c r="D8961" t="s">
        <v>1447</v>
      </c>
      <c r="E8961" t="s">
        <v>2197</v>
      </c>
      <c r="F8961" t="s">
        <v>1791</v>
      </c>
      <c r="J8961" t="str">
        <f>IF(ISBLANK('Q 13'!E19),"",IF('Q 13'!E19="&lt;please select&gt;","",'Q 13'!E19))</f>
        <v xml:space="preserve">We do not have the means to answer this question </v>
      </c>
    </row>
    <row r="8962" spans="1:10" x14ac:dyDescent="0.3">
      <c r="A8962" t="s">
        <v>2195</v>
      </c>
      <c r="B8962" t="s">
        <v>2196</v>
      </c>
      <c r="C8962">
        <v>14</v>
      </c>
      <c r="D8962" t="s">
        <v>1447</v>
      </c>
      <c r="E8962" t="s">
        <v>2197</v>
      </c>
      <c r="F8962" t="s">
        <v>1791</v>
      </c>
      <c r="J8962" t="str">
        <f>IF(ISBLANK('Q 13'!E20),"",IF('Q 13'!E20="&lt;please select&gt;","",'Q 13'!E20))</f>
        <v>Information is very difficult to collect and it is very time-consuming because it needs an analysis of all monitoring plan (1040).</v>
      </c>
    </row>
    <row r="8963" spans="1:10" x14ac:dyDescent="0.3">
      <c r="A8963" t="s">
        <v>2195</v>
      </c>
      <c r="B8963" t="s">
        <v>2196</v>
      </c>
      <c r="C8963">
        <v>15</v>
      </c>
      <c r="D8963" t="s">
        <v>1447</v>
      </c>
      <c r="E8963" t="s">
        <v>2197</v>
      </c>
      <c r="F8963" t="s">
        <v>1791</v>
      </c>
      <c r="J8963" t="str">
        <f>IF(ISBLANK('Q 13'!E21),"",IF('Q 13'!E21="&lt;please select&gt;","",'Q 13'!E21))</f>
        <v>The data on improvement report in 2021 is different from other years. Indeed, competent authorities asked all operators to send a new monitoring plan for Phase 4 using the template from the Commission for September 2021. Therefore all operators has sent new monitoring plans, instead of an improvement report, most of them taking into account the remarks from the verifiers. It is difficult to check that all comments from verifiers were indeed included in the modified monitoring plan at a national level. Some cases where neither improvement report or monitoring plan were received are sometimes cases of cessations or merging of installations.</v>
      </c>
    </row>
    <row r="8964" spans="1:10" x14ac:dyDescent="0.3">
      <c r="A8964" t="s">
        <v>2195</v>
      </c>
      <c r="B8964" t="s">
        <v>2196</v>
      </c>
      <c r="C8964">
        <v>16</v>
      </c>
      <c r="D8964" t="s">
        <v>1447</v>
      </c>
      <c r="E8964" t="s">
        <v>2197</v>
      </c>
      <c r="F8964" t="s">
        <v>1791</v>
      </c>
      <c r="J8964" t="str">
        <f>IF(ISBLANK('Q 13'!E22),"",IF('Q 13'!E22="&lt;please select&gt;","",'Q 13'!E22))</f>
        <v>11 source streams with emissions from sustainable biomass had no associated energy content (2 were estimated). 
We also included process emissions in this question.</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We are currently waiting for the conservative estimation of emissions for 3 installations</v>
      </c>
    </row>
    <row r="8984" spans="1:10" x14ac:dyDescent="0.3">
      <c r="A8984" t="s">
        <v>2195</v>
      </c>
      <c r="B8984" t="s">
        <v>2196</v>
      </c>
      <c r="C8984">
        <v>36</v>
      </c>
      <c r="D8984" t="s">
        <v>1447</v>
      </c>
      <c r="E8984" t="s">
        <v>2197</v>
      </c>
      <c r="F8984" t="s">
        <v>1791</v>
      </c>
      <c r="J8984" t="str">
        <f>IF(ISBLANK('Q 13'!E42),"",IF('Q 13'!E42="&lt;please select&gt;","",'Q 13'!E42))</f>
        <v>Regarding the column "number of issues" : we use data from our online reporting platform and we cannot know the number of issues for each installation, only the type of issue encountered. The number of issue is therefore understated.</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36 AOHA use a mandate (out of a total of 135  AOHA opened  at the end of 2021)</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xml:space="preserve">All allowances were suspended until the assement by the competent authority. </v>
      </c>
    </row>
    <row r="8999" spans="1:10" x14ac:dyDescent="0.3">
      <c r="A8999" t="s">
        <v>2195</v>
      </c>
      <c r="B8999" t="s">
        <v>2196</v>
      </c>
      <c r="C8999">
        <v>51</v>
      </c>
      <c r="D8999" t="s">
        <v>1447</v>
      </c>
      <c r="E8999" t="s">
        <v>2197</v>
      </c>
      <c r="F8999" t="s">
        <v>1791</v>
      </c>
      <c r="J8999" t="str">
        <f>IF(ISBLANK('Q 13'!E57),"",IF('Q 13'!E57="&lt;please select&gt;","",'Q 13'!E57))</f>
        <v>We do not have the means to answer this question</v>
      </c>
    </row>
    <row r="9000" spans="1:10" x14ac:dyDescent="0.3">
      <c r="A9000" t="s">
        <v>2195</v>
      </c>
      <c r="B9000" t="s">
        <v>2196</v>
      </c>
      <c r="C9000">
        <v>52</v>
      </c>
      <c r="D9000" t="s">
        <v>1447</v>
      </c>
      <c r="E9000" t="s">
        <v>2197</v>
      </c>
      <c r="F9000" t="s">
        <v>1791</v>
      </c>
      <c r="J9000" t="str">
        <f>IF(ISBLANK('Q 13'!E58),"",IF('Q 13'!E58="&lt;please select&gt;","",'Q 13'!E58))</f>
        <v>We do not have the means to answer this question</v>
      </c>
    </row>
    <row r="9001" spans="1:10" x14ac:dyDescent="0.3">
      <c r="A9001" t="s">
        <v>2195</v>
      </c>
      <c r="B9001" t="s">
        <v>2196</v>
      </c>
      <c r="C9001">
        <v>53</v>
      </c>
      <c r="D9001" t="s">
        <v>1447</v>
      </c>
      <c r="E9001" t="s">
        <v>2197</v>
      </c>
      <c r="F9001" t="s">
        <v>1791</v>
      </c>
      <c r="J9001" t="str">
        <f>IF(ISBLANK('Q 13'!E59),"",IF('Q 13'!E59="&lt;please select&gt;","",'Q 13'!E59))</f>
        <v>Regarding the column "number of issues" : we use data from our online reporting platform and we cannot know the number of issues for each installation, only the type of issue encountered. The number of issue is therefore understated.</v>
      </c>
    </row>
    <row r="9002" spans="1:10" x14ac:dyDescent="0.3">
      <c r="A9002" t="s">
        <v>2195</v>
      </c>
      <c r="B9002" t="s">
        <v>2196</v>
      </c>
      <c r="C9002">
        <v>54</v>
      </c>
      <c r="D9002" t="s">
        <v>1447</v>
      </c>
      <c r="E9002" t="s">
        <v>2197</v>
      </c>
      <c r="F9002" t="s">
        <v>1791</v>
      </c>
      <c r="J9002" t="str">
        <f>IF(ISBLANK('Q 13'!E60),"",IF('Q 13'!E60="&lt;please select&gt;","",'Q 13'!E60))</f>
        <v>We cannot differentiate virtual site visits carried out for emission and activity levels in 2021. Usually, during the pandemic, both emissions and activity levels were checked virtually by the verifier for the affected installations.</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The financial sanction is very dissuasive and in the facts, it is not necessary to implement it since operators respect the obligation of returning the excess allowances.</v>
      </c>
    </row>
    <row r="9020" spans="1:10" x14ac:dyDescent="0.3">
      <c r="A9020" t="s">
        <v>2195</v>
      </c>
      <c r="B9020" t="s">
        <v>2196</v>
      </c>
      <c r="C9020">
        <v>72</v>
      </c>
      <c r="D9020" t="s">
        <v>1447</v>
      </c>
      <c r="E9020" t="s">
        <v>2197</v>
      </c>
      <c r="F9020" t="s">
        <v>1791</v>
      </c>
      <c r="J9020" t="str">
        <f>IF(ISBLANK('Q 13'!E78),"",IF('Q 13'!E78="&lt;please select&gt;","",'Q 13'!E78))</f>
        <v>Questions 10.5 to 10.9: no penalties were imposed</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Question 2.1</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Question 5.6</v>
      </c>
    </row>
    <row r="9045" spans="1:11" x14ac:dyDescent="0.3">
      <c r="A9045" t="s">
        <v>2195</v>
      </c>
      <c r="B9045" t="s">
        <v>2196</v>
      </c>
      <c r="C9045">
        <v>13</v>
      </c>
      <c r="D9045" t="s">
        <v>1447</v>
      </c>
      <c r="E9045" t="s">
        <v>2198</v>
      </c>
      <c r="F9045" t="s">
        <v>1737</v>
      </c>
      <c r="K9045" t="str">
        <f>IF(ISBLANK('Q 13'!$D19),"",IF('Q 13'!$D19="&lt;please select&gt;","",'Q 13'!$D19))</f>
        <v>Question 5.7</v>
      </c>
    </row>
    <row r="9046" spans="1:11" x14ac:dyDescent="0.3">
      <c r="A9046" t="s">
        <v>2195</v>
      </c>
      <c r="B9046" t="s">
        <v>2196</v>
      </c>
      <c r="C9046">
        <v>14</v>
      </c>
      <c r="D9046" t="s">
        <v>1447</v>
      </c>
      <c r="E9046" t="s">
        <v>2198</v>
      </c>
      <c r="F9046" t="s">
        <v>1737</v>
      </c>
      <c r="K9046" t="str">
        <f>IF(ISBLANK('Q 13'!$D20),"",IF('Q 13'!$D20="&lt;please select&gt;","",'Q 13'!$D20))</f>
        <v>Question 5.8</v>
      </c>
    </row>
    <row r="9047" spans="1:11" x14ac:dyDescent="0.3">
      <c r="A9047" t="s">
        <v>2195</v>
      </c>
      <c r="B9047" t="s">
        <v>2196</v>
      </c>
      <c r="C9047">
        <v>15</v>
      </c>
      <c r="D9047" t="s">
        <v>1447</v>
      </c>
      <c r="E9047" t="s">
        <v>2198</v>
      </c>
      <c r="F9047" t="s">
        <v>1737</v>
      </c>
      <c r="K9047" t="str">
        <f>IF(ISBLANK('Q 13'!$D21),"",IF('Q 13'!$D21="&lt;please select&gt;","",'Q 13'!$D21))</f>
        <v>Question 5.12</v>
      </c>
    </row>
    <row r="9048" spans="1:11" x14ac:dyDescent="0.3">
      <c r="A9048" t="s">
        <v>2195</v>
      </c>
      <c r="B9048" t="s">
        <v>2196</v>
      </c>
      <c r="C9048">
        <v>16</v>
      </c>
      <c r="D9048" t="s">
        <v>1447</v>
      </c>
      <c r="E9048" t="s">
        <v>2198</v>
      </c>
      <c r="F9048" t="s">
        <v>1737</v>
      </c>
      <c r="K9048" t="str">
        <f>IF(ISBLANK('Q 13'!$D22),"",IF('Q 13'!$D22="&lt;please select&gt;","",'Q 13'!$D22))</f>
        <v>Question 5.15</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Question 6.3</v>
      </c>
    </row>
    <row r="9068" spans="1:11" x14ac:dyDescent="0.3">
      <c r="A9068" t="s">
        <v>2195</v>
      </c>
      <c r="B9068" t="s">
        <v>2196</v>
      </c>
      <c r="C9068">
        <v>36</v>
      </c>
      <c r="D9068" t="s">
        <v>1447</v>
      </c>
      <c r="E9068" t="s">
        <v>2198</v>
      </c>
      <c r="F9068" t="s">
        <v>1737</v>
      </c>
      <c r="K9068" t="str">
        <f>IF(ISBLANK('Q 13'!$D42),"",IF('Q 13'!$D42="&lt;please select&gt;","",'Q 13'!$D42))</f>
        <v>Question 6.4</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Question 7.3</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Question 8.4</v>
      </c>
    </row>
    <row r="9083" spans="1:11" x14ac:dyDescent="0.3">
      <c r="A9083" t="s">
        <v>2195</v>
      </c>
      <c r="B9083" t="s">
        <v>2196</v>
      </c>
      <c r="C9083">
        <v>51</v>
      </c>
      <c r="D9083" t="s">
        <v>1447</v>
      </c>
      <c r="E9083" t="s">
        <v>2198</v>
      </c>
      <c r="F9083" t="s">
        <v>1737</v>
      </c>
      <c r="K9083" t="str">
        <f>IF(ISBLANK('Q 13'!$D57),"",IF('Q 13'!$D57="&lt;please select&gt;","",'Q 13'!$D57))</f>
        <v>Question 8.8</v>
      </c>
    </row>
    <row r="9084" spans="1:11" x14ac:dyDescent="0.3">
      <c r="A9084" t="s">
        <v>2195</v>
      </c>
      <c r="B9084" t="s">
        <v>2196</v>
      </c>
      <c r="C9084">
        <v>52</v>
      </c>
      <c r="D9084" t="s">
        <v>1447</v>
      </c>
      <c r="E9084" t="s">
        <v>2198</v>
      </c>
      <c r="F9084" t="s">
        <v>1737</v>
      </c>
      <c r="K9084" t="str">
        <f>IF(ISBLANK('Q 13'!$D58),"",IF('Q 13'!$D58="&lt;please select&gt;","",'Q 13'!$D58))</f>
        <v>Question 8.9</v>
      </c>
    </row>
    <row r="9085" spans="1:11" x14ac:dyDescent="0.3">
      <c r="A9085" t="s">
        <v>2195</v>
      </c>
      <c r="B9085" t="s">
        <v>2196</v>
      </c>
      <c r="C9085">
        <v>53</v>
      </c>
      <c r="D9085" t="s">
        <v>1447</v>
      </c>
      <c r="E9085" t="s">
        <v>2198</v>
      </c>
      <c r="F9085" t="s">
        <v>1737</v>
      </c>
      <c r="K9085" t="str">
        <f>IF(ISBLANK('Q 13'!$D59),"",IF('Q 13'!$D59="&lt;please select&gt;","",'Q 13'!$D59))</f>
        <v>Question 8.13</v>
      </c>
    </row>
    <row r="9086" spans="1:11" x14ac:dyDescent="0.3">
      <c r="A9086" t="s">
        <v>2195</v>
      </c>
      <c r="B9086" t="s">
        <v>2196</v>
      </c>
      <c r="C9086">
        <v>54</v>
      </c>
      <c r="D9086" t="s">
        <v>1447</v>
      </c>
      <c r="E9086" t="s">
        <v>2198</v>
      </c>
      <c r="F9086" t="s">
        <v>1737</v>
      </c>
      <c r="K9086" t="str">
        <f>IF(ISBLANK('Q 13'!$D60),"",IF('Q 13'!$D60="&lt;please select&gt;","",'Q 13'!$D60))</f>
        <v>Question 8.16</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Question 10.4</v>
      </c>
    </row>
    <row r="9104" spans="1:11" x14ac:dyDescent="0.3">
      <c r="A9104" t="s">
        <v>2195</v>
      </c>
      <c r="B9104" t="s">
        <v>2196</v>
      </c>
      <c r="C9104">
        <v>72</v>
      </c>
      <c r="D9104" t="s">
        <v>1447</v>
      </c>
      <c r="E9104" t="s">
        <v>2198</v>
      </c>
      <c r="F9104" t="s">
        <v>1737</v>
      </c>
      <c r="K9104" t="str">
        <f>IF(ISBLANK('Q 13'!$D78),"",IF('Q 13'!$D78="&lt;please select&gt;","",'Q 13'!$D78))</f>
        <v>Question 10.5</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